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Paul\Nextcloud\Documents\Projects\nixieclock\nixie-clock-ice\KiCad\nixieAccurateClock\"/>
    </mc:Choice>
  </mc:AlternateContent>
  <xr:revisionPtr revIDLastSave="0" documentId="13_ncr:1_{BEB27B59-C0E8-4283-8553-6E5868435961}"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108" yWindow="-108" windowWidth="46296" windowHeight="2541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_xlnm.Print_Area" localSheetId="0">'Design Converter'!$A$1:$Z$100</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A1" i="7"/>
  <c r="B36" i="2" l="1"/>
  <c r="M126" i="2"/>
  <c r="B2" i="6"/>
  <c r="B48" i="3"/>
  <c r="B251" i="2"/>
  <c r="B250" i="2"/>
  <c r="B249" i="2"/>
  <c r="B247" i="2"/>
  <c r="B246" i="2"/>
  <c r="B245" i="2"/>
  <c r="B244" i="2"/>
  <c r="B243" i="2"/>
  <c r="B239" i="2"/>
  <c r="B238" i="2"/>
  <c r="B172" i="2"/>
  <c r="B42" i="3"/>
  <c r="B170" i="2" s="1"/>
  <c r="B169" i="2"/>
  <c r="B168" i="2"/>
  <c r="B167" i="2"/>
  <c r="B166" i="2"/>
  <c r="B162" i="2"/>
  <c r="B37" i="3"/>
  <c r="B160" i="2"/>
  <c r="B213" i="2"/>
  <c r="O8" i="5" s="1"/>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9" i="3"/>
  <c r="B31" i="5" s="1"/>
  <c r="B182" i="2"/>
  <c r="B55" i="5" s="1"/>
  <c r="B184" i="2"/>
  <c r="B56" i="5" s="1"/>
  <c r="B230" i="2"/>
  <c r="B232" i="2"/>
  <c r="B59" i="5" s="1"/>
  <c r="B228" i="2"/>
  <c r="B28" i="5"/>
  <c r="B156" i="2"/>
  <c r="B155" i="2"/>
  <c r="B152" i="2"/>
  <c r="B144" i="2"/>
  <c r="B139" i="2"/>
  <c r="B27" i="5" s="1"/>
  <c r="B138" i="2"/>
  <c r="B26" i="5" s="1"/>
  <c r="B27" i="3"/>
  <c r="B25" i="3"/>
  <c r="B122" i="2"/>
  <c r="B85" i="2"/>
  <c r="B84" i="2"/>
  <c r="B22" i="3"/>
  <c r="B71" i="2"/>
  <c r="B10" i="2"/>
  <c r="B14" i="3"/>
  <c r="B12" i="3"/>
  <c r="B10" i="3"/>
  <c r="B17" i="2"/>
  <c r="B14" i="2"/>
  <c r="H85" i="1" s="1"/>
  <c r="B13" i="2"/>
  <c r="B9" i="2"/>
  <c r="B5" i="8" s="1"/>
  <c r="B8" i="2"/>
  <c r="T121" i="4" s="1"/>
  <c r="B7" i="2"/>
  <c r="B21" i="5"/>
  <c r="AP87" i="4" l="1"/>
  <c r="B10" i="5"/>
  <c r="B89" i="2"/>
  <c r="B194" i="2"/>
  <c r="B195" i="2" s="1"/>
  <c r="B63" i="5"/>
  <c r="AG85"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Q79" i="4" s="1"/>
  <c r="B58" i="5"/>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AQ105" i="4" s="1"/>
  <c r="T80" i="4"/>
  <c r="AQ80" i="4" s="1"/>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B42" i="5"/>
  <c r="T64" i="5" s="1"/>
  <c r="B183" i="2"/>
  <c r="H61" i="1" s="1"/>
  <c r="B62" i="2"/>
  <c r="B66" i="2"/>
  <c r="Q51" i="1"/>
  <c r="B127" i="2"/>
  <c r="B141" i="2"/>
  <c r="K141" i="2" s="1"/>
  <c r="B254" i="2"/>
  <c r="B256" i="2" s="1"/>
  <c r="B163" i="2"/>
  <c r="H47" i="1" s="1"/>
  <c r="K8" i="2"/>
  <c r="B60" i="2"/>
  <c r="B58" i="2"/>
  <c r="B203" i="2"/>
  <c r="H57" i="1"/>
  <c r="B179" i="2" s="1"/>
  <c r="O7" i="5"/>
  <c r="B219" i="2"/>
  <c r="AQ121"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J126" i="2"/>
  <c r="B29" i="5"/>
  <c r="B202" i="2"/>
  <c r="AP39" i="4"/>
  <c r="AP46" i="4"/>
  <c r="AP69" i="4"/>
  <c r="AP79" i="4"/>
  <c r="AP52" i="4"/>
  <c r="AP75" i="4"/>
  <c r="AP16" i="4"/>
  <c r="AP90" i="4"/>
  <c r="AP113" i="4"/>
  <c r="B4" i="8"/>
  <c r="B64" i="2"/>
  <c r="B46" i="2"/>
  <c r="B61" i="5"/>
  <c r="B171" i="2"/>
  <c r="H52" i="1" s="1"/>
  <c r="B173" i="2"/>
  <c r="T75" i="5"/>
  <c r="B64" i="5"/>
  <c r="AJ64" i="5" s="1"/>
  <c r="T51" i="5"/>
  <c r="AM486" i="5" l="1"/>
  <c r="AM498" i="5"/>
  <c r="AM115" i="5"/>
  <c r="AM540" i="5"/>
  <c r="AG476" i="5"/>
  <c r="AG364" i="5"/>
  <c r="AG528" i="5"/>
  <c r="AG113" i="5"/>
  <c r="AG493" i="5"/>
  <c r="AG477" i="5"/>
  <c r="AG405" i="5"/>
  <c r="AH405" i="5" s="1"/>
  <c r="AG42" i="5"/>
  <c r="AH42" i="5" s="1"/>
  <c r="AG97" i="5"/>
  <c r="AI97" i="5" s="1"/>
  <c r="AG51" i="5"/>
  <c r="AG444" i="5"/>
  <c r="AI444" i="5" s="1"/>
  <c r="AG492" i="5"/>
  <c r="AG283" i="5"/>
  <c r="AG300" i="5"/>
  <c r="AG403" i="5"/>
  <c r="AI403" i="5" s="1"/>
  <c r="AM365" i="5"/>
  <c r="AM258" i="5"/>
  <c r="AM133" i="5"/>
  <c r="AM476" i="5"/>
  <c r="AO476" i="5" s="1"/>
  <c r="AG452" i="5"/>
  <c r="AI452" i="5" s="1"/>
  <c r="AG91" i="5"/>
  <c r="AH91" i="5" s="1"/>
  <c r="AG355" i="5"/>
  <c r="AG30" i="5"/>
  <c r="AH30" i="5" s="1"/>
  <c r="AG99" i="5"/>
  <c r="AH99" i="5" s="1"/>
  <c r="AG558" i="5"/>
  <c r="AG350" i="5"/>
  <c r="AG255" i="5"/>
  <c r="AG340" i="5"/>
  <c r="AG379" i="5"/>
  <c r="AG78" i="5"/>
  <c r="AG438" i="5"/>
  <c r="AH438" i="5" s="1"/>
  <c r="AG368" i="5"/>
  <c r="AI368" i="5" s="1"/>
  <c r="AG69" i="5"/>
  <c r="AH69" i="5" s="1"/>
  <c r="AG436" i="5"/>
  <c r="AI436" i="5" s="1"/>
  <c r="AG216" i="5"/>
  <c r="AI216" i="5" s="1"/>
  <c r="AG105" i="5"/>
  <c r="AH105" i="5" s="1"/>
  <c r="AG291" i="5"/>
  <c r="AG380" i="5"/>
  <c r="AG422" i="5"/>
  <c r="AI422" i="5" s="1"/>
  <c r="AG281" i="5"/>
  <c r="AG409" i="5"/>
  <c r="AI409" i="5" s="1"/>
  <c r="AG202" i="5"/>
  <c r="AG330" i="5"/>
  <c r="AH330" i="5" s="1"/>
  <c r="AG485" i="5"/>
  <c r="AI485" i="5" s="1"/>
  <c r="AG119" i="5"/>
  <c r="AH119" i="5" s="1"/>
  <c r="AG398" i="5"/>
  <c r="AG486" i="5"/>
  <c r="AI486" i="5" s="1"/>
  <c r="AG394" i="5"/>
  <c r="AI394" i="5" s="1"/>
  <c r="AG418" i="5"/>
  <c r="AG313" i="5"/>
  <c r="AG447" i="5"/>
  <c r="AG535" i="5"/>
  <c r="AG338" i="5"/>
  <c r="AG356" i="5"/>
  <c r="AG354" i="5"/>
  <c r="AI354" i="5" s="1"/>
  <c r="AG332" i="5"/>
  <c r="AH332" i="5" s="1"/>
  <c r="AG301" i="5"/>
  <c r="AH301" i="5" s="1"/>
  <c r="AG219" i="5"/>
  <c r="AG19" i="5"/>
  <c r="AI19" i="5" s="1"/>
  <c r="AG84" i="5"/>
  <c r="AH84" i="5" s="1"/>
  <c r="AG221" i="5"/>
  <c r="AG270" i="5"/>
  <c r="AG158" i="5"/>
  <c r="AH158" i="5" s="1"/>
  <c r="AG233" i="5"/>
  <c r="AG222" i="5"/>
  <c r="AG190" i="5"/>
  <c r="AG205" i="5"/>
  <c r="AI205" i="5" s="1"/>
  <c r="AG134" i="5"/>
  <c r="AH134" i="5" s="1"/>
  <c r="AG229" i="5"/>
  <c r="AH229" i="5" s="1"/>
  <c r="AG526" i="5"/>
  <c r="AI526" i="5" s="1"/>
  <c r="AG197" i="5"/>
  <c r="AH197" i="5" s="1"/>
  <c r="AG166" i="5"/>
  <c r="AH166" i="5" s="1"/>
  <c r="AG182" i="5"/>
  <c r="AG181" i="5"/>
  <c r="AG101" i="5"/>
  <c r="AG218" i="5"/>
  <c r="AG136" i="5"/>
  <c r="AG155" i="5"/>
  <c r="AI155" i="5" s="1"/>
  <c r="AG211" i="5"/>
  <c r="AI211" i="5" s="1"/>
  <c r="AG148" i="5"/>
  <c r="AH148" i="5" s="1"/>
  <c r="AG118" i="5"/>
  <c r="AI118" i="5" s="1"/>
  <c r="AG21" i="5"/>
  <c r="AG94" i="5"/>
  <c r="AH94" i="5" s="1"/>
  <c r="AG65" i="5"/>
  <c r="AH65" i="5" s="1"/>
  <c r="AG488" i="5"/>
  <c r="AG80" i="5"/>
  <c r="AG137" i="5"/>
  <c r="AH137" i="5" s="1"/>
  <c r="AG81" i="5"/>
  <c r="AG454" i="5"/>
  <c r="AG520" i="5"/>
  <c r="AG517" i="5"/>
  <c r="AI517" i="5" s="1"/>
  <c r="AG548" i="5"/>
  <c r="AH548" i="5" s="1"/>
  <c r="AG441" i="5"/>
  <c r="AI441" i="5" s="1"/>
  <c r="AG308" i="5"/>
  <c r="AI308" i="5" s="1"/>
  <c r="AG124" i="5"/>
  <c r="AH124" i="5" s="1"/>
  <c r="AG116" i="5"/>
  <c r="AI116" i="5" s="1"/>
  <c r="AG122" i="5"/>
  <c r="AI122" i="5" s="1"/>
  <c r="AG186" i="5"/>
  <c r="AH186" i="5" s="1"/>
  <c r="AG31" i="5"/>
  <c r="AI31" i="5" s="1"/>
  <c r="AG312" i="5"/>
  <c r="AG483" i="5"/>
  <c r="AI483" i="5" s="1"/>
  <c r="AG480" i="5"/>
  <c r="AI480" i="5" s="1"/>
  <c r="AG50" i="5"/>
  <c r="AH50" i="5" s="1"/>
  <c r="AG265" i="5"/>
  <c r="AH265" i="5" s="1"/>
  <c r="AG39" i="5"/>
  <c r="AH39" i="5" s="1"/>
  <c r="AG128" i="5"/>
  <c r="AI128" i="5" s="1"/>
  <c r="AG507" i="5"/>
  <c r="AH507" i="5" s="1"/>
  <c r="AG504" i="5"/>
  <c r="AI504" i="5" s="1"/>
  <c r="AG123" i="5"/>
  <c r="AG73" i="5"/>
  <c r="AG196" i="5"/>
  <c r="AH196" i="5" s="1"/>
  <c r="AG74" i="5"/>
  <c r="AH74" i="5" s="1"/>
  <c r="AG439" i="5"/>
  <c r="AG192" i="5"/>
  <c r="AG347" i="5"/>
  <c r="AI347" i="5" s="1"/>
  <c r="AG320" i="5"/>
  <c r="AH320" i="5" s="1"/>
  <c r="AG177" i="5"/>
  <c r="AI177" i="5" s="1"/>
  <c r="AG163" i="5"/>
  <c r="AH163" i="5" s="1"/>
  <c r="AG107" i="5"/>
  <c r="AI107" i="5" s="1"/>
  <c r="AG179" i="5"/>
  <c r="AI179" i="5" s="1"/>
  <c r="AG132" i="5"/>
  <c r="AH132" i="5" s="1"/>
  <c r="AG387" i="5"/>
  <c r="AG560" i="5"/>
  <c r="AG245" i="5"/>
  <c r="AG262" i="5"/>
  <c r="AG551" i="5"/>
  <c r="AG173" i="5"/>
  <c r="AI173" i="5" s="1"/>
  <c r="AG318" i="5"/>
  <c r="AH318" i="5" s="1"/>
  <c r="AG516" i="5"/>
  <c r="AH516" i="5" s="1"/>
  <c r="AG165" i="5"/>
  <c r="AG335" i="5"/>
  <c r="AH335" i="5" s="1"/>
  <c r="AG432" i="5"/>
  <c r="AH432" i="5" s="1"/>
  <c r="AG24" i="5"/>
  <c r="AG152" i="5"/>
  <c r="AH152" i="5" s="1"/>
  <c r="AG59" i="5"/>
  <c r="AI59" i="5" s="1"/>
  <c r="AG242" i="5"/>
  <c r="AG147" i="5"/>
  <c r="AG349" i="5"/>
  <c r="AH349" i="5" s="1"/>
  <c r="AG282" i="5"/>
  <c r="AI282" i="5" s="1"/>
  <c r="AG25" i="5"/>
  <c r="AH25" i="5" s="1"/>
  <c r="AG305" i="5"/>
  <c r="AI305" i="5" s="1"/>
  <c r="AG389" i="5"/>
  <c r="AI389" i="5" s="1"/>
  <c r="AG194" i="5"/>
  <c r="AI194" i="5" s="1"/>
  <c r="AG397" i="5"/>
  <c r="AI397" i="5" s="1"/>
  <c r="AG524" i="5"/>
  <c r="AG138" i="5"/>
  <c r="AG244" i="5"/>
  <c r="AH244" i="5" s="1"/>
  <c r="AG370" i="5"/>
  <c r="AG153" i="5"/>
  <c r="AG223" i="5"/>
  <c r="AG448" i="5"/>
  <c r="AH448" i="5" s="1"/>
  <c r="AG48" i="5"/>
  <c r="AI48" i="5" s="1"/>
  <c r="AG168" i="5"/>
  <c r="AH168" i="5" s="1"/>
  <c r="AG98" i="5"/>
  <c r="AI98" i="5" s="1"/>
  <c r="AG249" i="5"/>
  <c r="AH249" i="5" s="1"/>
  <c r="AG515" i="5"/>
  <c r="AH515" i="5" s="1"/>
  <c r="AG559" i="5"/>
  <c r="AG231" i="5"/>
  <c r="AH231" i="5" s="1"/>
  <c r="AG131" i="5"/>
  <c r="AG499" i="5"/>
  <c r="AG552" i="5"/>
  <c r="AG146" i="5"/>
  <c r="AG341" i="5"/>
  <c r="AI341" i="5" s="1"/>
  <c r="AG302" i="5"/>
  <c r="AI302" i="5" s="1"/>
  <c r="AG109" i="5"/>
  <c r="AI109" i="5" s="1"/>
  <c r="AG258" i="5"/>
  <c r="AG510" i="5"/>
  <c r="AH510" i="5" s="1"/>
  <c r="AG89" i="5"/>
  <c r="AI89" i="5" s="1"/>
  <c r="AG239" i="5"/>
  <c r="AG464" i="5"/>
  <c r="AG96" i="5"/>
  <c r="AG375" i="5"/>
  <c r="AG40" i="5"/>
  <c r="AG145" i="5"/>
  <c r="AI145" i="5" s="1"/>
  <c r="AG322" i="5"/>
  <c r="AH322" i="5" s="1"/>
  <c r="AG100" i="5"/>
  <c r="AH100" i="5" s="1"/>
  <c r="AG484" i="5"/>
  <c r="AH484" i="5" s="1"/>
  <c r="AG393" i="5"/>
  <c r="AI393" i="5" s="1"/>
  <c r="AG257" i="5"/>
  <c r="AI257" i="5" s="1"/>
  <c r="AG527" i="5"/>
  <c r="AH527" i="5" s="1"/>
  <c r="AG404" i="5"/>
  <c r="AG37" i="5"/>
  <c r="AG261" i="5"/>
  <c r="AG522" i="5"/>
  <c r="AG506" i="5"/>
  <c r="AG140" i="5"/>
  <c r="AH140" i="5" s="1"/>
  <c r="AG321" i="5"/>
  <c r="AI321" i="5" s="1"/>
  <c r="AG54" i="5"/>
  <c r="AH54" i="5" s="1"/>
  <c r="AG287" i="5"/>
  <c r="AH287" i="5" s="1"/>
  <c r="AG360" i="5"/>
  <c r="AG513" i="5"/>
  <c r="AH513" i="5" s="1"/>
  <c r="AG161" i="5"/>
  <c r="AH161" i="5" s="1"/>
  <c r="AG187" i="5"/>
  <c r="AH187" i="5" s="1"/>
  <c r="AG156" i="5"/>
  <c r="AG183" i="5"/>
  <c r="AI183" i="5" s="1"/>
  <c r="AG195" i="5"/>
  <c r="AH195" i="5" s="1"/>
  <c r="AG171" i="5"/>
  <c r="AG167" i="5"/>
  <c r="AI167" i="5" s="1"/>
  <c r="AG127" i="5"/>
  <c r="AI127" i="5" s="1"/>
  <c r="AG296" i="5"/>
  <c r="AH296" i="5" s="1"/>
  <c r="AG549" i="5"/>
  <c r="AI549" i="5" s="1"/>
  <c r="AG534" i="5"/>
  <c r="AH534" i="5" s="1"/>
  <c r="AG310" i="5"/>
  <c r="AH310" i="5" s="1"/>
  <c r="AG75" i="5"/>
  <c r="AH75" i="5" s="1"/>
  <c r="AG111" i="5"/>
  <c r="AI111" i="5" s="1"/>
  <c r="AG247" i="5"/>
  <c r="AH247" i="5" s="1"/>
  <c r="AG135" i="5"/>
  <c r="AH135" i="5" s="1"/>
  <c r="AG304" i="5"/>
  <c r="AG459" i="5"/>
  <c r="AI459" i="5" s="1"/>
  <c r="AG472" i="5"/>
  <c r="AI472" i="5" s="1"/>
  <c r="AG358" i="5"/>
  <c r="AI358" i="5" s="1"/>
  <c r="AG83" i="5"/>
  <c r="AI83" i="5" s="1"/>
  <c r="AG213" i="5"/>
  <c r="AI213" i="5" s="1"/>
  <c r="AG537" i="5"/>
  <c r="AH537" i="5" s="1"/>
  <c r="AG77" i="5"/>
  <c r="AH77" i="5" s="1"/>
  <c r="AG26" i="5"/>
  <c r="AI26" i="5" s="1"/>
  <c r="AG121" i="5"/>
  <c r="AG455" i="5"/>
  <c r="AG104" i="5"/>
  <c r="AG319" i="5"/>
  <c r="AG180" i="5"/>
  <c r="AH180" i="5" s="1"/>
  <c r="AG323" i="5"/>
  <c r="AI323" i="5" s="1"/>
  <c r="AG174" i="5"/>
  <c r="AI174" i="5" s="1"/>
  <c r="AG217" i="5"/>
  <c r="AI217" i="5" s="1"/>
  <c r="AG149" i="5"/>
  <c r="AI149" i="5" s="1"/>
  <c r="AG142" i="5"/>
  <c r="AI142" i="5" s="1"/>
  <c r="AG22" i="5"/>
  <c r="AH22" i="5" s="1"/>
  <c r="AG45" i="5"/>
  <c r="AG93" i="5"/>
  <c r="AG463" i="5"/>
  <c r="AI463" i="5" s="1"/>
  <c r="AG334" i="5"/>
  <c r="AI334" i="5" s="1"/>
  <c r="AG427" i="5"/>
  <c r="AH427" i="5" s="1"/>
  <c r="AG429" i="5"/>
  <c r="AH429" i="5" s="1"/>
  <c r="AG259" i="5"/>
  <c r="AH259" i="5" s="1"/>
  <c r="AG178" i="5"/>
  <c r="AH178" i="5" s="1"/>
  <c r="AG141" i="5"/>
  <c r="AH141" i="5" s="1"/>
  <c r="AG20" i="5"/>
  <c r="AH20" i="5" s="1"/>
  <c r="AG542" i="5"/>
  <c r="AH542" i="5" s="1"/>
  <c r="AG66" i="5"/>
  <c r="AI66" i="5" s="1"/>
  <c r="AG327" i="5"/>
  <c r="AG502" i="5"/>
  <c r="AG518" i="5"/>
  <c r="AH518" i="5" s="1"/>
  <c r="AG442" i="5"/>
  <c r="AI442" i="5" s="1"/>
  <c r="AG290" i="5"/>
  <c r="AG299" i="5"/>
  <c r="AG531" i="5"/>
  <c r="AH531" i="5" s="1"/>
  <c r="AG460" i="5"/>
  <c r="AH460" i="5" s="1"/>
  <c r="AG450" i="5"/>
  <c r="AH450" i="5" s="1"/>
  <c r="AG382" i="5"/>
  <c r="AH382" i="5" s="1"/>
  <c r="AG378" i="5"/>
  <c r="AG47" i="5"/>
  <c r="AI47" i="5" s="1"/>
  <c r="AG240" i="5"/>
  <c r="AH240" i="5" s="1"/>
  <c r="AG336" i="5"/>
  <c r="AH336" i="5" s="1"/>
  <c r="AG505" i="5"/>
  <c r="AI505" i="5" s="1"/>
  <c r="AG465" i="5"/>
  <c r="AI465" i="5" s="1"/>
  <c r="AG451" i="5"/>
  <c r="AI451" i="5" s="1"/>
  <c r="AG294" i="5"/>
  <c r="AH294" i="5" s="1"/>
  <c r="AG410" i="5"/>
  <c r="AH410" i="5" s="1"/>
  <c r="AG226" i="5"/>
  <c r="AH226" i="5" s="1"/>
  <c r="AG284" i="5"/>
  <c r="AH284" i="5" s="1"/>
  <c r="AG55" i="5"/>
  <c r="AI55" i="5" s="1"/>
  <c r="AG256" i="5"/>
  <c r="AH256" i="5" s="1"/>
  <c r="AG352" i="5"/>
  <c r="AI352" i="5" s="1"/>
  <c r="AG509" i="5"/>
  <c r="AH509" i="5" s="1"/>
  <c r="AG467" i="5"/>
  <c r="AI467" i="5" s="1"/>
  <c r="AG466" i="5"/>
  <c r="AG386" i="5"/>
  <c r="AG420" i="5"/>
  <c r="AG348" i="5"/>
  <c r="AG345" i="5"/>
  <c r="AI345" i="5" s="1"/>
  <c r="AG79" i="5"/>
  <c r="AH79" i="5" s="1"/>
  <c r="AG264" i="5"/>
  <c r="AH264" i="5" s="1"/>
  <c r="AG425" i="5"/>
  <c r="AI425" i="5" s="1"/>
  <c r="AG120" i="5"/>
  <c r="AH120" i="5" s="1"/>
  <c r="AG169" i="5"/>
  <c r="AH169" i="5" s="1"/>
  <c r="AG395" i="5"/>
  <c r="AH395" i="5" s="1"/>
  <c r="AG33" i="5"/>
  <c r="AI33" i="5" s="1"/>
  <c r="AG238" i="5"/>
  <c r="AG306" i="5"/>
  <c r="AH306" i="5" s="1"/>
  <c r="AG273" i="5"/>
  <c r="AH273" i="5" s="1"/>
  <c r="AG280" i="5"/>
  <c r="AI280" i="5" s="1"/>
  <c r="AG547" i="5"/>
  <c r="AI547" i="5" s="1"/>
  <c r="AG344" i="5"/>
  <c r="AI344" i="5" s="1"/>
  <c r="AG501" i="5"/>
  <c r="AI501" i="5" s="1"/>
  <c r="AG246" i="5"/>
  <c r="AI246" i="5" s="1"/>
  <c r="AG68" i="5"/>
  <c r="AH68" i="5" s="1"/>
  <c r="AG60" i="5"/>
  <c r="AH60" i="5" s="1"/>
  <c r="AG271" i="5"/>
  <c r="AG253" i="5"/>
  <c r="AH253" i="5" s="1"/>
  <c r="AG151" i="5"/>
  <c r="AH151" i="5" s="1"/>
  <c r="AG415" i="5"/>
  <c r="AH415" i="5" s="1"/>
  <c r="AG367" i="5"/>
  <c r="AI367" i="5" s="1"/>
  <c r="AG385" i="5"/>
  <c r="AH385" i="5" s="1"/>
  <c r="AG28" i="5"/>
  <c r="AI28" i="5" s="1"/>
  <c r="AG376" i="5"/>
  <c r="AI376" i="5" s="1"/>
  <c r="AG220" i="5"/>
  <c r="AH220" i="5" s="1"/>
  <c r="AG307" i="5"/>
  <c r="AH307" i="5" s="1"/>
  <c r="AG198" i="5"/>
  <c r="AH198" i="5" s="1"/>
  <c r="AG343" i="5"/>
  <c r="AI343" i="5" s="1"/>
  <c r="AG511" i="5"/>
  <c r="AH511" i="5" s="1"/>
  <c r="AG125" i="5"/>
  <c r="AH125" i="5" s="1"/>
  <c r="AG473" i="5"/>
  <c r="AI473" i="5" s="1"/>
  <c r="AG278" i="5"/>
  <c r="AH278" i="5" s="1"/>
  <c r="AG29" i="5"/>
  <c r="AH29" i="5" s="1"/>
  <c r="AG326" i="5"/>
  <c r="AI326" i="5" s="1"/>
  <c r="AG286" i="5"/>
  <c r="AH286" i="5" s="1"/>
  <c r="AG545" i="5"/>
  <c r="AH545" i="5" s="1"/>
  <c r="AG160" i="5"/>
  <c r="AH160" i="5" s="1"/>
  <c r="AG408" i="5"/>
  <c r="AI408" i="5" s="1"/>
  <c r="AG268" i="5"/>
  <c r="AI268" i="5" s="1"/>
  <c r="AG254" i="5"/>
  <c r="AH254" i="5" s="1"/>
  <c r="AG62" i="5"/>
  <c r="AH62" i="5" s="1"/>
  <c r="AG207" i="5"/>
  <c r="AG521" i="5"/>
  <c r="AH521" i="5" s="1"/>
  <c r="AG260" i="5"/>
  <c r="AI260" i="5" s="1"/>
  <c r="AG412" i="5"/>
  <c r="AI412" i="5" s="1"/>
  <c r="AG556" i="5"/>
  <c r="AH556" i="5" s="1"/>
  <c r="AG189" i="5"/>
  <c r="AH189" i="5" s="1"/>
  <c r="AG437" i="5"/>
  <c r="AH437" i="5" s="1"/>
  <c r="AG426" i="5"/>
  <c r="AI426" i="5" s="1"/>
  <c r="AG250" i="5"/>
  <c r="AI250" i="5" s="1"/>
  <c r="AG525" i="5"/>
  <c r="AH525" i="5" s="1"/>
  <c r="AG199" i="5"/>
  <c r="AH199" i="5" s="1"/>
  <c r="AG176" i="5"/>
  <c r="AH176" i="5" s="1"/>
  <c r="AG416" i="5"/>
  <c r="AG292" i="5"/>
  <c r="AG317" i="5"/>
  <c r="AI317" i="5" s="1"/>
  <c r="AG203" i="5"/>
  <c r="AH203" i="5" s="1"/>
  <c r="AG423" i="5"/>
  <c r="AI423" i="5" s="1"/>
  <c r="AG90" i="5"/>
  <c r="AH90" i="5" s="1"/>
  <c r="AG236" i="5"/>
  <c r="AI236" i="5" s="1"/>
  <c r="AG544" i="5"/>
  <c r="AI544" i="5" s="1"/>
  <c r="AG237" i="5"/>
  <c r="AH237" i="5" s="1"/>
  <c r="AG38" i="5"/>
  <c r="AH38" i="5" s="1"/>
  <c r="AG143" i="5"/>
  <c r="AI143" i="5" s="1"/>
  <c r="AG337" i="5"/>
  <c r="AI337" i="5" s="1"/>
  <c r="AG117" i="5"/>
  <c r="AH117" i="5" s="1"/>
  <c r="AG530" i="5"/>
  <c r="AI530" i="5" s="1"/>
  <c r="AG34" i="5"/>
  <c r="AH34" i="5" s="1"/>
  <c r="AG234" i="5"/>
  <c r="AI234" i="5" s="1"/>
  <c r="AG372" i="5"/>
  <c r="AI372" i="5" s="1"/>
  <c r="AG449" i="5"/>
  <c r="AI449" i="5" s="1"/>
  <c r="AG316" i="5"/>
  <c r="AI316" i="5" s="1"/>
  <c r="AG553" i="5"/>
  <c r="AH553" i="5" s="1"/>
  <c r="AG159" i="5"/>
  <c r="AI159" i="5" s="1"/>
  <c r="AG144" i="5"/>
  <c r="AI144" i="5" s="1"/>
  <c r="AG36" i="5"/>
  <c r="AH36" i="5" s="1"/>
  <c r="AG400" i="5"/>
  <c r="AI400" i="5" s="1"/>
  <c r="AG228" i="5"/>
  <c r="AI228" i="5" s="1"/>
  <c r="AG366" i="5"/>
  <c r="AI366" i="5" s="1"/>
  <c r="AG188" i="5"/>
  <c r="AH188" i="5" s="1"/>
  <c r="AG401" i="5"/>
  <c r="AH401" i="5" s="1"/>
  <c r="AG46" i="5"/>
  <c r="AI46" i="5" s="1"/>
  <c r="AG172" i="5"/>
  <c r="AH172" i="5" s="1"/>
  <c r="AG494" i="5"/>
  <c r="AI494" i="5" s="1"/>
  <c r="AG154" i="5"/>
  <c r="AI154" i="5" s="1"/>
  <c r="AG523" i="5"/>
  <c r="AI523" i="5" s="1"/>
  <c r="AG175" i="5"/>
  <c r="AH175" i="5" s="1"/>
  <c r="AG44" i="5"/>
  <c r="AH44" i="5" s="1"/>
  <c r="AG309" i="5"/>
  <c r="AI309" i="5" s="1"/>
  <c r="AG357" i="5"/>
  <c r="AH357" i="5" s="1"/>
  <c r="AG214" i="5"/>
  <c r="AI214" i="5" s="1"/>
  <c r="AG402" i="5"/>
  <c r="AI402" i="5" s="1"/>
  <c r="AG365" i="5"/>
  <c r="AI365" i="5" s="1"/>
  <c r="AG157" i="5"/>
  <c r="AI157" i="5" s="1"/>
  <c r="AG406" i="5"/>
  <c r="AI406" i="5" s="1"/>
  <c r="AG536" i="5"/>
  <c r="AI536" i="5" s="1"/>
  <c r="AG324" i="5"/>
  <c r="AH324" i="5" s="1"/>
  <c r="AG533" i="5"/>
  <c r="AI533" i="5" s="1"/>
  <c r="AG23" i="5"/>
  <c r="AI23" i="5" s="1"/>
  <c r="AG184" i="5"/>
  <c r="AI184" i="5" s="1"/>
  <c r="AG503" i="5"/>
  <c r="AH503" i="5" s="1"/>
  <c r="AG224" i="5"/>
  <c r="AG303" i="5"/>
  <c r="AH303" i="5" s="1"/>
  <c r="AG508" i="5"/>
  <c r="AH508" i="5" s="1"/>
  <c r="AG311" i="5"/>
  <c r="AG550" i="5"/>
  <c r="AH550" i="5" s="1"/>
  <c r="AG115" i="5"/>
  <c r="AI115" i="5" s="1"/>
  <c r="AG295" i="5"/>
  <c r="AI295" i="5" s="1"/>
  <c r="AG129" i="5"/>
  <c r="AG267" i="5"/>
  <c r="AI267" i="5" s="1"/>
  <c r="AG461" i="5"/>
  <c r="AI461" i="5" s="1"/>
  <c r="AG162" i="5"/>
  <c r="AI162" i="5" s="1"/>
  <c r="AG421" i="5"/>
  <c r="AI421" i="5" s="1"/>
  <c r="AG458" i="5"/>
  <c r="AI458" i="5" s="1"/>
  <c r="AG126" i="5"/>
  <c r="AH126" i="5" s="1"/>
  <c r="AG285" i="5"/>
  <c r="AI285" i="5" s="1"/>
  <c r="AG474" i="5"/>
  <c r="AI474" i="5" s="1"/>
  <c r="AG164" i="5"/>
  <c r="AI164" i="5" s="1"/>
  <c r="AG487" i="5"/>
  <c r="AH487" i="5" s="1"/>
  <c r="AG87" i="5"/>
  <c r="AI87" i="5" s="1"/>
  <c r="AG496" i="5"/>
  <c r="AH496" i="5" s="1"/>
  <c r="AG56" i="5"/>
  <c r="AI56" i="5" s="1"/>
  <c r="AG353" i="5"/>
  <c r="AI353" i="5" s="1"/>
  <c r="AG554" i="5"/>
  <c r="AH554" i="5" s="1"/>
  <c r="AG200" i="5"/>
  <c r="AI200" i="5" s="1"/>
  <c r="AG490" i="5"/>
  <c r="AI490" i="5" s="1"/>
  <c r="AG235" i="5"/>
  <c r="AI235" i="5" s="1"/>
  <c r="AG514" i="5"/>
  <c r="AI514" i="5" s="1"/>
  <c r="AG86" i="5"/>
  <c r="AH86" i="5" s="1"/>
  <c r="AG230" i="5"/>
  <c r="AG414" i="5"/>
  <c r="AG495" i="5"/>
  <c r="AI495" i="5" s="1"/>
  <c r="AG103" i="5"/>
  <c r="AH103" i="5" s="1"/>
  <c r="AG512" i="5"/>
  <c r="AH512" i="5" s="1"/>
  <c r="AG64" i="5"/>
  <c r="AI64" i="5" s="1"/>
  <c r="AG361" i="5"/>
  <c r="AI361" i="5" s="1"/>
  <c r="AG538" i="5"/>
  <c r="AI538" i="5" s="1"/>
  <c r="AG208" i="5"/>
  <c r="AG478" i="5"/>
  <c r="AH478" i="5" s="1"/>
  <c r="AG315" i="5"/>
  <c r="AI315" i="5" s="1"/>
  <c r="AG539" i="5"/>
  <c r="AI539" i="5" s="1"/>
  <c r="AG114" i="5"/>
  <c r="AI114" i="5" s="1"/>
  <c r="AG293" i="5"/>
  <c r="AG489" i="5"/>
  <c r="AI489" i="5" s="1"/>
  <c r="AG133" i="5"/>
  <c r="AI133" i="5" s="1"/>
  <c r="AG419" i="5"/>
  <c r="AI419" i="5" s="1"/>
  <c r="AG328" i="5"/>
  <c r="AI328" i="5" s="1"/>
  <c r="AG72" i="5"/>
  <c r="AH72" i="5" s="1"/>
  <c r="AG377" i="5"/>
  <c r="AI377" i="5" s="1"/>
  <c r="AG546" i="5"/>
  <c r="AI546" i="5" s="1"/>
  <c r="AG32" i="5"/>
  <c r="AI32" i="5" s="1"/>
  <c r="AG297" i="5"/>
  <c r="AI297" i="5" s="1"/>
  <c r="AG482" i="5"/>
  <c r="AH482" i="5" s="1"/>
  <c r="AG139" i="5"/>
  <c r="AH139" i="5" s="1"/>
  <c r="AG413" i="5"/>
  <c r="AH413" i="5" s="1"/>
  <c r="AG106" i="5"/>
  <c r="AI106" i="5" s="1"/>
  <c r="AG279" i="5"/>
  <c r="AH279" i="5" s="1"/>
  <c r="AG475" i="5"/>
  <c r="AG497" i="5"/>
  <c r="AH497" i="5" s="1"/>
  <c r="AG390" i="5"/>
  <c r="AI390" i="5" s="1"/>
  <c r="AG110" i="5"/>
  <c r="AI110" i="5" s="1"/>
  <c r="AG384" i="5"/>
  <c r="AI384" i="5" s="1"/>
  <c r="AG529" i="5"/>
  <c r="AI529" i="5" s="1"/>
  <c r="AG424" i="5"/>
  <c r="AI424" i="5" s="1"/>
  <c r="AG88" i="5"/>
  <c r="AH88" i="5" s="1"/>
  <c r="AG185" i="5"/>
  <c r="AI185" i="5" s="1"/>
  <c r="AG63" i="5"/>
  <c r="AH63" i="5" s="1"/>
  <c r="AG27" i="5"/>
  <c r="AI27" i="5" s="1"/>
  <c r="AG227" i="5"/>
  <c r="AH227" i="5" s="1"/>
  <c r="AG391" i="5"/>
  <c r="AH391" i="5" s="1"/>
  <c r="AG491" i="5"/>
  <c r="AI491" i="5" s="1"/>
  <c r="AG498" i="5"/>
  <c r="AI498" i="5" s="1"/>
  <c r="AG82" i="5"/>
  <c r="AH82" i="5" s="1"/>
  <c r="AG276" i="5"/>
  <c r="AI276" i="5" s="1"/>
  <c r="AG470" i="5"/>
  <c r="AI470" i="5" s="1"/>
  <c r="AG274" i="5"/>
  <c r="AH274" i="5" s="1"/>
  <c r="AG346" i="5"/>
  <c r="AI346" i="5" s="1"/>
  <c r="AG351" i="5"/>
  <c r="AI351" i="5" s="1"/>
  <c r="AG112" i="5"/>
  <c r="AH112" i="5" s="1"/>
  <c r="AG61" i="5"/>
  <c r="AG457" i="5"/>
  <c r="AI457" i="5" s="1"/>
  <c r="AG363" i="5"/>
  <c r="AH363" i="5" s="1"/>
  <c r="AG462" i="5"/>
  <c r="AI462" i="5" s="1"/>
  <c r="AG70" i="5"/>
  <c r="AI70" i="5" s="1"/>
  <c r="AG210" i="5"/>
  <c r="AH210" i="5" s="1"/>
  <c r="AG381" i="5"/>
  <c r="AI381" i="5" s="1"/>
  <c r="AG428" i="5"/>
  <c r="AH428" i="5" s="1"/>
  <c r="AG252" i="5"/>
  <c r="AH252" i="5" s="1"/>
  <c r="AG417" i="5"/>
  <c r="AI417" i="5" s="1"/>
  <c r="AG130" i="5"/>
  <c r="AI130" i="5" s="1"/>
  <c r="AG359" i="5"/>
  <c r="AI359" i="5" s="1"/>
  <c r="AG392" i="5"/>
  <c r="AH392" i="5" s="1"/>
  <c r="AG8" i="5"/>
  <c r="AH8" i="5" s="1"/>
  <c r="AG519" i="5"/>
  <c r="AI519" i="5" s="1"/>
  <c r="AG440" i="5"/>
  <c r="AI440" i="5" s="1"/>
  <c r="AG193" i="5"/>
  <c r="AI193" i="5" s="1"/>
  <c r="AG102" i="5"/>
  <c r="AH102" i="5" s="1"/>
  <c r="AG35" i="5"/>
  <c r="AH35" i="5" s="1"/>
  <c r="AG76" i="5"/>
  <c r="AI76" i="5" s="1"/>
  <c r="AG225" i="5"/>
  <c r="AI225" i="5" s="1"/>
  <c r="AG411" i="5"/>
  <c r="AI411" i="5" s="1"/>
  <c r="AG557" i="5"/>
  <c r="AI557" i="5" s="1"/>
  <c r="AG434" i="5"/>
  <c r="AI434" i="5" s="1"/>
  <c r="AG58" i="5"/>
  <c r="AI58" i="5" s="1"/>
  <c r="AG314" i="5"/>
  <c r="AI314" i="5" s="1"/>
  <c r="AG333" i="5"/>
  <c r="AH333" i="5" s="1"/>
  <c r="AG540" i="5"/>
  <c r="AI540" i="5" s="1"/>
  <c r="AG212" i="5"/>
  <c r="AI212" i="5" s="1"/>
  <c r="AG396" i="5"/>
  <c r="AI396" i="5" s="1"/>
  <c r="AG92" i="5"/>
  <c r="AH92" i="5" s="1"/>
  <c r="AG383" i="5"/>
  <c r="AH383" i="5" s="1"/>
  <c r="AG232" i="5"/>
  <c r="AI232" i="5" s="1"/>
  <c r="AG443" i="5"/>
  <c r="AI443" i="5" s="1"/>
  <c r="AG456" i="5"/>
  <c r="AH456" i="5" s="1"/>
  <c r="AG201" i="5"/>
  <c r="AI201" i="5" s="1"/>
  <c r="AG71" i="5"/>
  <c r="AI71" i="5" s="1"/>
  <c r="AG67" i="5"/>
  <c r="AH67" i="5" s="1"/>
  <c r="AG108" i="5"/>
  <c r="AI108" i="5" s="1"/>
  <c r="AG266" i="5"/>
  <c r="AI266" i="5" s="1"/>
  <c r="AG481" i="5"/>
  <c r="AI186" i="5"/>
  <c r="AI195" i="5"/>
  <c r="AM525" i="5"/>
  <c r="AG289" i="5"/>
  <c r="AI289" i="5" s="1"/>
  <c r="AG407" i="5"/>
  <c r="AI407" i="5" s="1"/>
  <c r="AG371" i="5"/>
  <c r="AI371" i="5" s="1"/>
  <c r="AG170" i="5"/>
  <c r="AH170" i="5" s="1"/>
  <c r="AG215" i="5"/>
  <c r="AI215" i="5" s="1"/>
  <c r="AG277" i="5"/>
  <c r="AI277" i="5" s="1"/>
  <c r="AG269" i="5"/>
  <c r="AH269" i="5" s="1"/>
  <c r="AG433" i="5"/>
  <c r="AI433" i="5" s="1"/>
  <c r="AI518" i="5"/>
  <c r="AG248" i="5"/>
  <c r="AH248" i="5" s="1"/>
  <c r="AG209" i="5"/>
  <c r="AI209" i="5" s="1"/>
  <c r="AG500" i="5"/>
  <c r="AI500" i="5" s="1"/>
  <c r="AG243" i="5"/>
  <c r="AI243" i="5" s="1"/>
  <c r="AG374" i="5"/>
  <c r="AI374" i="5" s="1"/>
  <c r="AG362" i="5"/>
  <c r="AI362" i="5" s="1"/>
  <c r="AG469" i="5"/>
  <c r="AI469" i="5" s="1"/>
  <c r="AG468" i="5"/>
  <c r="AH468" i="5" s="1"/>
  <c r="AM251" i="5"/>
  <c r="AO251" i="5" s="1"/>
  <c r="AM41" i="5"/>
  <c r="AN41" i="5" s="1"/>
  <c r="AG272" i="5"/>
  <c r="AG41" i="5"/>
  <c r="AH41" i="5" s="1"/>
  <c r="AG251" i="5"/>
  <c r="AG298" i="5"/>
  <c r="AG373" i="5"/>
  <c r="AI373" i="5" s="1"/>
  <c r="AG435" i="5"/>
  <c r="AG204" i="5"/>
  <c r="AH204" i="5" s="1"/>
  <c r="AG288" i="5"/>
  <c r="AH288" i="5" s="1"/>
  <c r="AG57" i="5"/>
  <c r="AI57" i="5" s="1"/>
  <c r="AG49" i="5"/>
  <c r="AH49" i="5" s="1"/>
  <c r="AG275" i="5"/>
  <c r="AH275" i="5" s="1"/>
  <c r="AG339" i="5"/>
  <c r="AI339" i="5" s="1"/>
  <c r="AG445" i="5"/>
  <c r="AH445" i="5" s="1"/>
  <c r="AG453" i="5"/>
  <c r="AH453" i="5" s="1"/>
  <c r="AG555" i="5"/>
  <c r="AH555" i="5" s="1"/>
  <c r="AM482" i="5"/>
  <c r="AM348" i="5"/>
  <c r="AM93" i="5"/>
  <c r="AM253" i="5"/>
  <c r="AJ283" i="5"/>
  <c r="AK283" i="5" s="1"/>
  <c r="AM519" i="5"/>
  <c r="AO519" i="5" s="1"/>
  <c r="AM449" i="5"/>
  <c r="AO449" i="5" s="1"/>
  <c r="AM395" i="5"/>
  <c r="AN395" i="5" s="1"/>
  <c r="AM459" i="5"/>
  <c r="AO459" i="5" s="1"/>
  <c r="AM234" i="5"/>
  <c r="AN234" i="5" s="1"/>
  <c r="AM508" i="5"/>
  <c r="AO508" i="5" s="1"/>
  <c r="AM445" i="5"/>
  <c r="AO445" i="5" s="1"/>
  <c r="AM362" i="5"/>
  <c r="AM285" i="5"/>
  <c r="AO285" i="5" s="1"/>
  <c r="AM189" i="5"/>
  <c r="AO189" i="5" s="1"/>
  <c r="AM69" i="5"/>
  <c r="AM235" i="5"/>
  <c r="AN235" i="5" s="1"/>
  <c r="AM370" i="5"/>
  <c r="AO370" i="5" s="1"/>
  <c r="AM66" i="5"/>
  <c r="AN66" i="5" s="1"/>
  <c r="AM332" i="5"/>
  <c r="AO332" i="5" s="1"/>
  <c r="AM105" i="5"/>
  <c r="AN105" i="5" s="1"/>
  <c r="AM530" i="5"/>
  <c r="AO530" i="5" s="1"/>
  <c r="AM436" i="5"/>
  <c r="AN436" i="5" s="1"/>
  <c r="AM135" i="5"/>
  <c r="AO135" i="5" s="1"/>
  <c r="AJ307" i="5"/>
  <c r="AL307" i="5" s="1"/>
  <c r="AJ187" i="5"/>
  <c r="AL187" i="5" s="1"/>
  <c r="AJ521" i="5"/>
  <c r="AK521" i="5" s="1"/>
  <c r="T65" i="5"/>
  <c r="T31" i="5"/>
  <c r="T308" i="5"/>
  <c r="T73" i="5"/>
  <c r="AI85" i="5"/>
  <c r="AH85" i="5"/>
  <c r="AG471" i="5"/>
  <c r="AG479" i="5"/>
  <c r="AG532" i="5"/>
  <c r="AH532" i="5" s="1"/>
  <c r="AG446" i="5"/>
  <c r="AI446" i="5" s="1"/>
  <c r="AG206" i="5"/>
  <c r="AI74" i="5"/>
  <c r="AM549" i="5"/>
  <c r="AN549" i="5" s="1"/>
  <c r="AM409" i="5"/>
  <c r="AN409" i="5" s="1"/>
  <c r="AM113" i="5"/>
  <c r="AN113" i="5" s="1"/>
  <c r="AM347" i="5"/>
  <c r="AO347" i="5" s="1"/>
  <c r="AM500" i="5"/>
  <c r="AO500" i="5" s="1"/>
  <c r="AM485" i="5"/>
  <c r="AO485" i="5" s="1"/>
  <c r="AM334" i="5"/>
  <c r="AN334" i="5" s="1"/>
  <c r="AM238" i="5"/>
  <c r="AN238" i="5" s="1"/>
  <c r="AM29" i="5"/>
  <c r="AN29" i="5" s="1"/>
  <c r="AM426" i="5"/>
  <c r="AM322" i="5"/>
  <c r="AN322" i="5" s="1"/>
  <c r="AM53" i="5"/>
  <c r="AO53" i="5" s="1"/>
  <c r="AM454" i="5"/>
  <c r="AO454" i="5" s="1"/>
  <c r="AM286" i="5"/>
  <c r="AO286" i="5" s="1"/>
  <c r="AM186" i="5"/>
  <c r="AN186" i="5" s="1"/>
  <c r="AM62" i="5"/>
  <c r="AO62" i="5" s="1"/>
  <c r="AM493" i="5"/>
  <c r="AO493" i="5" s="1"/>
  <c r="AM222" i="5"/>
  <c r="AO222" i="5" s="1"/>
  <c r="AM492" i="5"/>
  <c r="AN492" i="5" s="1"/>
  <c r="AM326" i="5"/>
  <c r="AN326" i="5" s="1"/>
  <c r="AM68" i="5"/>
  <c r="AO68" i="5" s="1"/>
  <c r="AM487" i="5"/>
  <c r="AM496" i="5"/>
  <c r="AN496" i="5" s="1"/>
  <c r="AM263" i="5"/>
  <c r="AN263" i="5" s="1"/>
  <c r="AM554" i="5"/>
  <c r="AO554" i="5" s="1"/>
  <c r="AM243" i="5"/>
  <c r="AN243" i="5" s="1"/>
  <c r="AM388" i="5"/>
  <c r="AO388" i="5" s="1"/>
  <c r="AM520" i="5"/>
  <c r="AN520" i="5" s="1"/>
  <c r="AM346" i="5"/>
  <c r="AO346" i="5" s="1"/>
  <c r="AM173" i="5"/>
  <c r="AN173" i="5" s="1"/>
  <c r="AM550" i="5"/>
  <c r="AN550" i="5" s="1"/>
  <c r="AM458" i="5"/>
  <c r="AN458" i="5" s="1"/>
  <c r="AM298" i="5"/>
  <c r="AM38" i="5"/>
  <c r="AN38" i="5" s="1"/>
  <c r="AM484" i="5"/>
  <c r="AN484" i="5" s="1"/>
  <c r="AM389" i="5"/>
  <c r="AO389" i="5" s="1"/>
  <c r="AM204" i="5"/>
  <c r="AO204" i="5" s="1"/>
  <c r="AM28" i="5"/>
  <c r="AO28" i="5" s="1"/>
  <c r="AM397" i="5"/>
  <c r="AO397" i="5" s="1"/>
  <c r="AM141" i="5"/>
  <c r="AN141" i="5" s="1"/>
  <c r="AM394" i="5"/>
  <c r="AN394" i="5" s="1"/>
  <c r="AM161" i="5"/>
  <c r="AO161" i="5" s="1"/>
  <c r="AM431" i="5"/>
  <c r="AO431" i="5" s="1"/>
  <c r="AM495" i="5"/>
  <c r="AN495" i="5" s="1"/>
  <c r="AM359" i="5"/>
  <c r="AM546" i="5"/>
  <c r="AO546" i="5" s="1"/>
  <c r="AM24" i="5"/>
  <c r="AN24" i="5" s="1"/>
  <c r="AM457" i="5"/>
  <c r="AN457" i="5" s="1"/>
  <c r="AM129" i="5"/>
  <c r="AO129" i="5" s="1"/>
  <c r="AM211" i="5"/>
  <c r="AO211" i="5" s="1"/>
  <c r="AM410" i="5"/>
  <c r="AM270" i="5"/>
  <c r="AO270" i="5" s="1"/>
  <c r="AM430" i="5"/>
  <c r="AN430" i="5" s="1"/>
  <c r="AM58" i="5"/>
  <c r="AN58" i="5" s="1"/>
  <c r="AM198" i="5"/>
  <c r="AO198" i="5" s="1"/>
  <c r="AM31" i="5"/>
  <c r="AN31" i="5" s="1"/>
  <c r="AM72" i="5"/>
  <c r="AO72" i="5" s="1"/>
  <c r="AM289" i="5"/>
  <c r="AO289" i="5" s="1"/>
  <c r="AM155" i="5"/>
  <c r="AN155" i="5" s="1"/>
  <c r="AM83" i="5"/>
  <c r="AN83" i="5" s="1"/>
  <c r="AM299" i="5"/>
  <c r="AN299" i="5" s="1"/>
  <c r="AM396" i="5"/>
  <c r="AO396" i="5" s="1"/>
  <c r="AM434" i="5"/>
  <c r="AO434" i="5" s="1"/>
  <c r="AM306" i="5"/>
  <c r="AO306" i="5" s="1"/>
  <c r="AM122" i="5"/>
  <c r="AO122" i="5" s="1"/>
  <c r="AM437" i="5"/>
  <c r="AO437" i="5" s="1"/>
  <c r="AM354" i="5"/>
  <c r="AN354" i="5" s="1"/>
  <c r="AM282" i="5"/>
  <c r="AN282" i="5" s="1"/>
  <c r="AM26" i="5"/>
  <c r="AM462" i="5"/>
  <c r="AO462" i="5" s="1"/>
  <c r="AM293" i="5"/>
  <c r="AN293" i="5" s="1"/>
  <c r="AM205" i="5"/>
  <c r="AN205" i="5" s="1"/>
  <c r="AM42" i="5"/>
  <c r="AO42" i="5" s="1"/>
  <c r="AM374" i="5"/>
  <c r="AO374" i="5" s="1"/>
  <c r="AM149" i="5"/>
  <c r="AM422" i="5"/>
  <c r="AN422" i="5" s="1"/>
  <c r="AM194" i="5"/>
  <c r="AO194" i="5" s="1"/>
  <c r="AM311" i="5"/>
  <c r="AO311" i="5" s="1"/>
  <c r="AM175" i="5"/>
  <c r="AN175" i="5" s="1"/>
  <c r="AM32" i="5"/>
  <c r="AO32" i="5" s="1"/>
  <c r="AM465" i="5"/>
  <c r="AN465" i="5" s="1"/>
  <c r="AM145" i="5"/>
  <c r="AN145" i="5" s="1"/>
  <c r="AM324" i="5"/>
  <c r="AN324" i="5" s="1"/>
  <c r="AM556" i="5"/>
  <c r="AO556" i="5" s="1"/>
  <c r="AM438" i="5"/>
  <c r="AN438" i="5" s="1"/>
  <c r="AM61" i="5"/>
  <c r="AO61" i="5" s="1"/>
  <c r="AM418" i="5"/>
  <c r="AO418" i="5" s="1"/>
  <c r="AM514" i="5"/>
  <c r="AN514" i="5" s="1"/>
  <c r="AM157" i="5"/>
  <c r="AO157" i="5" s="1"/>
  <c r="AM423" i="5"/>
  <c r="AO423" i="5" s="1"/>
  <c r="AM128" i="5"/>
  <c r="AN128" i="5" s="1"/>
  <c r="AM225" i="5"/>
  <c r="AN225" i="5" s="1"/>
  <c r="AM369" i="5"/>
  <c r="AO369" i="5" s="1"/>
  <c r="AM450" i="5"/>
  <c r="AN450" i="5" s="1"/>
  <c r="AM506" i="5"/>
  <c r="AO506" i="5" s="1"/>
  <c r="AM262" i="5"/>
  <c r="AN262" i="5" s="1"/>
  <c r="AM109" i="5"/>
  <c r="AO109" i="5" s="1"/>
  <c r="AM536" i="5"/>
  <c r="AN536" i="5" s="1"/>
  <c r="AM349" i="5"/>
  <c r="AM261" i="5"/>
  <c r="AN261" i="5" s="1"/>
  <c r="AM372" i="5"/>
  <c r="AN372" i="5" s="1"/>
  <c r="AM412" i="5"/>
  <c r="AO412" i="5" s="1"/>
  <c r="AM404" i="5"/>
  <c r="AN404" i="5" s="1"/>
  <c r="AM162" i="5"/>
  <c r="AO162" i="5" s="1"/>
  <c r="AM552" i="5"/>
  <c r="AM413" i="5"/>
  <c r="AN413" i="5" s="1"/>
  <c r="AM85" i="5"/>
  <c r="AN85" i="5" s="1"/>
  <c r="AM340" i="5"/>
  <c r="AN340" i="5" s="1"/>
  <c r="AM197" i="5"/>
  <c r="AN197" i="5" s="1"/>
  <c r="AM447" i="5"/>
  <c r="AN447" i="5" s="1"/>
  <c r="AM383" i="5"/>
  <c r="AN383" i="5" s="1"/>
  <c r="AM360" i="5"/>
  <c r="AN360" i="5" s="1"/>
  <c r="AM48" i="5"/>
  <c r="AO48" i="5" s="1"/>
  <c r="AM435" i="5"/>
  <c r="AO435" i="5" s="1"/>
  <c r="AM130" i="5"/>
  <c r="AO130" i="5" s="1"/>
  <c r="AM302" i="5"/>
  <c r="AO302" i="5" s="1"/>
  <c r="AM228" i="5"/>
  <c r="AN228" i="5" s="1"/>
  <c r="AM444" i="5"/>
  <c r="AO444" i="5" s="1"/>
  <c r="AM136" i="5"/>
  <c r="AO136" i="5" s="1"/>
  <c r="AM185" i="5"/>
  <c r="AM131" i="5"/>
  <c r="AO131" i="5" s="1"/>
  <c r="AM195" i="5"/>
  <c r="AO195" i="5" s="1"/>
  <c r="AM281" i="5"/>
  <c r="AM169" i="5"/>
  <c r="AN169" i="5" s="1"/>
  <c r="AJ539" i="5"/>
  <c r="AL539" i="5" s="1"/>
  <c r="AM209" i="5"/>
  <c r="AN209" i="5" s="1"/>
  <c r="AM551" i="5"/>
  <c r="AN551" i="5" s="1"/>
  <c r="AM325" i="5"/>
  <c r="AO325" i="5" s="1"/>
  <c r="AM318" i="5"/>
  <c r="AO318" i="5" s="1"/>
  <c r="AM98" i="5"/>
  <c r="AO98" i="5" s="1"/>
  <c r="AM518" i="5"/>
  <c r="AN518" i="5" s="1"/>
  <c r="AM390" i="5"/>
  <c r="AN390" i="5" s="1"/>
  <c r="AM210" i="5"/>
  <c r="AN210" i="5" s="1"/>
  <c r="AM528" i="5"/>
  <c r="AN528" i="5" s="1"/>
  <c r="AM532" i="5"/>
  <c r="AO532" i="5" s="1"/>
  <c r="AM301" i="5"/>
  <c r="AN301" i="5" s="1"/>
  <c r="AM142" i="5"/>
  <c r="AO142" i="5" s="1"/>
  <c r="AM543" i="5"/>
  <c r="AN543" i="5" s="1"/>
  <c r="AM338" i="5"/>
  <c r="AO338" i="5" s="1"/>
  <c r="AM82" i="5"/>
  <c r="AN82" i="5" s="1"/>
  <c r="AM356" i="5"/>
  <c r="AO356" i="5" s="1"/>
  <c r="AM116" i="5"/>
  <c r="AN116" i="5" s="1"/>
  <c r="AM87" i="5"/>
  <c r="AN87" i="5" s="1"/>
  <c r="AM176" i="5"/>
  <c r="AO176" i="5" s="1"/>
  <c r="AM118" i="5"/>
  <c r="AN118" i="5" s="1"/>
  <c r="AM510" i="5"/>
  <c r="AN510" i="5" s="1"/>
  <c r="AM490" i="5"/>
  <c r="AO490" i="5" s="1"/>
  <c r="AM294" i="5"/>
  <c r="AN294" i="5" s="1"/>
  <c r="AM106" i="5"/>
  <c r="AN106" i="5" s="1"/>
  <c r="AM560" i="5"/>
  <c r="AO560" i="5" s="1"/>
  <c r="AM206" i="5"/>
  <c r="AN206" i="5" s="1"/>
  <c r="AM481" i="5"/>
  <c r="AN481" i="5" s="1"/>
  <c r="AM358" i="5"/>
  <c r="AM110" i="5"/>
  <c r="AN110" i="5" s="1"/>
  <c r="AM223" i="5"/>
  <c r="AO223" i="5" s="1"/>
  <c r="AM127" i="5"/>
  <c r="AN127" i="5" s="1"/>
  <c r="AM267" i="5"/>
  <c r="AO267" i="5" s="1"/>
  <c r="AM421" i="5"/>
  <c r="AO421" i="5" s="1"/>
  <c r="AM341" i="5"/>
  <c r="AM174" i="5"/>
  <c r="AN174" i="5" s="1"/>
  <c r="AM45" i="5"/>
  <c r="AN45" i="5" s="1"/>
  <c r="AM474" i="5"/>
  <c r="AO474" i="5" s="1"/>
  <c r="AM252" i="5"/>
  <c r="AN252" i="5" s="1"/>
  <c r="AM274" i="5"/>
  <c r="AN274" i="5" s="1"/>
  <c r="AM132" i="5"/>
  <c r="AN132" i="5" s="1"/>
  <c r="AM79" i="5"/>
  <c r="AN79" i="5" s="1"/>
  <c r="AM533" i="5"/>
  <c r="AO533" i="5" s="1"/>
  <c r="AM455" i="5"/>
  <c r="AO455" i="5" s="1"/>
  <c r="AM367" i="5"/>
  <c r="AM239" i="5"/>
  <c r="AN239" i="5" s="1"/>
  <c r="AM219" i="5"/>
  <c r="AO219" i="5" s="1"/>
  <c r="T167" i="5"/>
  <c r="U167" i="5" s="1"/>
  <c r="AM71" i="5"/>
  <c r="AN71" i="5" s="1"/>
  <c r="T153" i="5"/>
  <c r="T122" i="5"/>
  <c r="U122" i="5" s="1"/>
  <c r="AM328" i="5"/>
  <c r="AN328" i="5" s="1"/>
  <c r="AM224" i="5"/>
  <c r="AO224" i="5" s="1"/>
  <c r="AM56" i="5"/>
  <c r="AN56" i="5" s="1"/>
  <c r="AM385" i="5"/>
  <c r="AO385" i="5" s="1"/>
  <c r="AM331" i="5"/>
  <c r="AM260" i="5"/>
  <c r="AN260" i="5" s="1"/>
  <c r="AM415" i="5"/>
  <c r="AM547" i="5"/>
  <c r="AO547" i="5" s="1"/>
  <c r="AM446" i="5"/>
  <c r="AN446" i="5" s="1"/>
  <c r="AM420" i="5"/>
  <c r="AO420" i="5" s="1"/>
  <c r="AM220" i="5"/>
  <c r="AO220" i="5" s="1"/>
  <c r="AM81" i="5"/>
  <c r="AO81" i="5" s="1"/>
  <c r="AM463" i="5"/>
  <c r="AN463" i="5" s="1"/>
  <c r="AM419" i="5"/>
  <c r="AN419" i="5" s="1"/>
  <c r="AM167" i="5"/>
  <c r="AN167" i="5" s="1"/>
  <c r="AM23" i="5"/>
  <c r="AN23" i="5" s="1"/>
  <c r="T198" i="5"/>
  <c r="T58" i="5"/>
  <c r="V58" i="5" s="1"/>
  <c r="AM232" i="5"/>
  <c r="AO232" i="5" s="1"/>
  <c r="AM296" i="5"/>
  <c r="AO296" i="5" s="1"/>
  <c r="AM168" i="5"/>
  <c r="AN168" i="5" s="1"/>
  <c r="AM8" i="5"/>
  <c r="AO8" i="5" s="1"/>
  <c r="AM276" i="5"/>
  <c r="AO276" i="5" s="1"/>
  <c r="AM39" i="5"/>
  <c r="AO39" i="5" s="1"/>
  <c r="AJ371" i="5"/>
  <c r="AK371" i="5" s="1"/>
  <c r="O12" i="5"/>
  <c r="W12" i="5" s="1"/>
  <c r="AM477" i="5"/>
  <c r="AN477" i="5" s="1"/>
  <c r="AM314" i="5"/>
  <c r="AM125" i="5"/>
  <c r="AN125" i="5" s="1"/>
  <c r="AM505" i="5"/>
  <c r="AN505" i="5" s="1"/>
  <c r="AM406" i="5"/>
  <c r="AO406" i="5" s="1"/>
  <c r="AM249" i="5"/>
  <c r="AO249" i="5" s="1"/>
  <c r="AM221" i="5"/>
  <c r="AO221" i="5" s="1"/>
  <c r="AM70" i="5"/>
  <c r="AN70" i="5" s="1"/>
  <c r="AM537" i="5"/>
  <c r="AO537" i="5" s="1"/>
  <c r="AM335" i="5"/>
  <c r="AN335" i="5" s="1"/>
  <c r="AM287" i="5"/>
  <c r="AN287" i="5" s="1"/>
  <c r="AM199" i="5"/>
  <c r="AO199" i="5" s="1"/>
  <c r="AM47" i="5"/>
  <c r="AO47" i="5" s="1"/>
  <c r="AM103" i="5"/>
  <c r="AO103" i="5" s="1"/>
  <c r="T218" i="5"/>
  <c r="AM538" i="5"/>
  <c r="AN538" i="5" s="1"/>
  <c r="T184" i="5"/>
  <c r="AM40" i="5"/>
  <c r="AO40" i="5" s="1"/>
  <c r="AM88" i="5"/>
  <c r="AN88" i="5" s="1"/>
  <c r="AM137" i="5"/>
  <c r="AO137" i="5" s="1"/>
  <c r="AM451" i="5"/>
  <c r="AM259" i="5"/>
  <c r="AO259" i="5" s="1"/>
  <c r="AH122" i="5"/>
  <c r="AJ379" i="5"/>
  <c r="AK379" i="5" s="1"/>
  <c r="AM442" i="5"/>
  <c r="AO442" i="5" s="1"/>
  <c r="AM178" i="5"/>
  <c r="AO178" i="5" s="1"/>
  <c r="AM114" i="5"/>
  <c r="AN114" i="5" s="1"/>
  <c r="AM473" i="5"/>
  <c r="AN473" i="5" s="1"/>
  <c r="AM380" i="5"/>
  <c r="AO380" i="5" s="1"/>
  <c r="AM278" i="5"/>
  <c r="AN278" i="5" s="1"/>
  <c r="AM172" i="5"/>
  <c r="AN172" i="5" s="1"/>
  <c r="AM50" i="5"/>
  <c r="AN50" i="5" s="1"/>
  <c r="AM231" i="5"/>
  <c r="AO231" i="5" s="1"/>
  <c r="T219" i="5"/>
  <c r="U219" i="5" s="1"/>
  <c r="AM207" i="5"/>
  <c r="AO207" i="5" s="1"/>
  <c r="T111" i="5"/>
  <c r="T42" i="5"/>
  <c r="AM526" i="5"/>
  <c r="AO526" i="5" s="1"/>
  <c r="AM392" i="5"/>
  <c r="AO392" i="5" s="1"/>
  <c r="AM264" i="5"/>
  <c r="AN264" i="5" s="1"/>
  <c r="AM192" i="5"/>
  <c r="AO192" i="5" s="1"/>
  <c r="AM555" i="5"/>
  <c r="AN555" i="5" s="1"/>
  <c r="AM97" i="5"/>
  <c r="AN97" i="5" s="1"/>
  <c r="AM283" i="5"/>
  <c r="AN283" i="5" s="1"/>
  <c r="AI75" i="5"/>
  <c r="AM159" i="5"/>
  <c r="AN159" i="5" s="1"/>
  <c r="T23" i="5"/>
  <c r="U23" i="5" s="1"/>
  <c r="T71" i="5"/>
  <c r="AM111" i="5"/>
  <c r="AO111" i="5" s="1"/>
  <c r="T193" i="5"/>
  <c r="AM534" i="5"/>
  <c r="AM152" i="5"/>
  <c r="AO152" i="5" s="1"/>
  <c r="AM112" i="5"/>
  <c r="AO112" i="5" s="1"/>
  <c r="AM139" i="5"/>
  <c r="AO139" i="5" s="1"/>
  <c r="AM539" i="5"/>
  <c r="AM497" i="5"/>
  <c r="AO497" i="5" s="1"/>
  <c r="AM233" i="5"/>
  <c r="AO233" i="5" s="1"/>
  <c r="AM25" i="5"/>
  <c r="AO25" i="5" s="1"/>
  <c r="AM557" i="5"/>
  <c r="AO557" i="5" s="1"/>
  <c r="AM467" i="5"/>
  <c r="AO467" i="5" s="1"/>
  <c r="AM355" i="5"/>
  <c r="AO355" i="5" s="1"/>
  <c r="AM147" i="5"/>
  <c r="AN147" i="5" s="1"/>
  <c r="AM284" i="5"/>
  <c r="AN284" i="5" s="1"/>
  <c r="AM92" i="5"/>
  <c r="AO92" i="5" s="1"/>
  <c r="AM416" i="5"/>
  <c r="AN416" i="5" s="1"/>
  <c r="AM432" i="5"/>
  <c r="AN432" i="5" s="1"/>
  <c r="AM512" i="5"/>
  <c r="AO512" i="5" s="1"/>
  <c r="AM240" i="5"/>
  <c r="AO240" i="5" s="1"/>
  <c r="AM96" i="5"/>
  <c r="AN96" i="5" s="1"/>
  <c r="AM265" i="5"/>
  <c r="AO265" i="5" s="1"/>
  <c r="AM33" i="5"/>
  <c r="AN33" i="5" s="1"/>
  <c r="AM521" i="5"/>
  <c r="AN521" i="5" s="1"/>
  <c r="AM475" i="5"/>
  <c r="AO475" i="5" s="1"/>
  <c r="AM363" i="5"/>
  <c r="AO363" i="5" s="1"/>
  <c r="AM171" i="5"/>
  <c r="AM140" i="5"/>
  <c r="AO140" i="5" s="1"/>
  <c r="AM108" i="5"/>
  <c r="AM89" i="5"/>
  <c r="AN89" i="5" s="1"/>
  <c r="AJ51" i="5"/>
  <c r="AK51" i="5" s="1"/>
  <c r="AJ105" i="5"/>
  <c r="AL105" i="5" s="1"/>
  <c r="AM320" i="5"/>
  <c r="AN320" i="5" s="1"/>
  <c r="AM384" i="5"/>
  <c r="AO384" i="5" s="1"/>
  <c r="AM256" i="5"/>
  <c r="AN256" i="5" s="1"/>
  <c r="AM304" i="5"/>
  <c r="AO304" i="5" s="1"/>
  <c r="AM160" i="5"/>
  <c r="AO160" i="5" s="1"/>
  <c r="AM200" i="5"/>
  <c r="AO200" i="5" s="1"/>
  <c r="AM527" i="5"/>
  <c r="AN527" i="5" s="1"/>
  <c r="AM273" i="5"/>
  <c r="AO273" i="5" s="1"/>
  <c r="AM49" i="5"/>
  <c r="AN49" i="5" s="1"/>
  <c r="AM371" i="5"/>
  <c r="AN371" i="5" s="1"/>
  <c r="AM27" i="5"/>
  <c r="AO27" i="5" s="1"/>
  <c r="AM156" i="5"/>
  <c r="AO156" i="5" s="1"/>
  <c r="AM305" i="5"/>
  <c r="AN305" i="5" s="1"/>
  <c r="AM65" i="5"/>
  <c r="AO65" i="5" s="1"/>
  <c r="AM491" i="5"/>
  <c r="AN491" i="5" s="1"/>
  <c r="AM43" i="5"/>
  <c r="AO43" i="5" s="1"/>
  <c r="AM164" i="5"/>
  <c r="AN164" i="5" s="1"/>
  <c r="AM179" i="5"/>
  <c r="AO179" i="5" s="1"/>
  <c r="AJ273" i="5"/>
  <c r="AL273" i="5" s="1"/>
  <c r="AM312" i="5"/>
  <c r="AO312" i="5" s="1"/>
  <c r="AM433" i="5"/>
  <c r="AN433" i="5" s="1"/>
  <c r="AM313" i="5"/>
  <c r="AM73" i="5"/>
  <c r="AM427" i="5"/>
  <c r="AM499" i="5"/>
  <c r="AM51" i="5"/>
  <c r="AM212" i="5"/>
  <c r="AN212" i="5" s="1"/>
  <c r="AM343" i="5"/>
  <c r="AN343" i="5" s="1"/>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T132" i="5"/>
  <c r="T165" i="5"/>
  <c r="T189" i="5"/>
  <c r="AJ225" i="5"/>
  <c r="AK225" i="5" s="1"/>
  <c r="T143" i="5"/>
  <c r="V143" i="5" s="1"/>
  <c r="T103" i="5"/>
  <c r="U103" i="5" s="1"/>
  <c r="T217" i="5"/>
  <c r="T110" i="5"/>
  <c r="T277" i="5"/>
  <c r="V277" i="5" s="1"/>
  <c r="T124" i="5"/>
  <c r="T46" i="5"/>
  <c r="U46" i="5" s="1"/>
  <c r="T158" i="5"/>
  <c r="T102" i="5"/>
  <c r="U102" i="5" s="1"/>
  <c r="T240" i="5"/>
  <c r="T200" i="5"/>
  <c r="T255" i="5"/>
  <c r="T220" i="5"/>
  <c r="U220" i="5" s="1"/>
  <c r="T97" i="5"/>
  <c r="U97" i="5" s="1"/>
  <c r="T213" i="5"/>
  <c r="U213" i="5" s="1"/>
  <c r="T108" i="5"/>
  <c r="U108" i="5" s="1"/>
  <c r="B43" i="5"/>
  <c r="T163" i="5"/>
  <c r="T81" i="5"/>
  <c r="T128" i="5"/>
  <c r="T48" i="5"/>
  <c r="U48" i="5" s="1"/>
  <c r="T99" i="5"/>
  <c r="U99" i="5" s="1"/>
  <c r="T127" i="5"/>
  <c r="T202" i="5"/>
  <c r="T78" i="5"/>
  <c r="T157" i="5"/>
  <c r="T60" i="5"/>
  <c r="U60" i="5" s="1"/>
  <c r="T238" i="5"/>
  <c r="U238" i="5" s="1"/>
  <c r="T178" i="5"/>
  <c r="V178" i="5" s="1"/>
  <c r="T77" i="5"/>
  <c r="V77" i="5" s="1"/>
  <c r="T144" i="5"/>
  <c r="T216" i="5"/>
  <c r="T96" i="5"/>
  <c r="T147" i="5"/>
  <c r="U147" i="5" s="1"/>
  <c r="AJ227" i="5"/>
  <c r="AK227" i="5" s="1"/>
  <c r="AH483" i="5"/>
  <c r="T179" i="5"/>
  <c r="T49" i="5"/>
  <c r="T197" i="5"/>
  <c r="T68" i="5"/>
  <c r="U68" i="5" s="1"/>
  <c r="T234" i="5"/>
  <c r="U234" i="5" s="1"/>
  <c r="T148" i="5"/>
  <c r="T54" i="5"/>
  <c r="U54" i="5" s="1"/>
  <c r="AH409" i="5"/>
  <c r="AM163" i="5"/>
  <c r="AO163" i="5" s="1"/>
  <c r="AM488" i="5"/>
  <c r="AN488" i="5" s="1"/>
  <c r="AI187" i="5"/>
  <c r="T278" i="5"/>
  <c r="U278" i="5" s="1"/>
  <c r="T145" i="5"/>
  <c r="U145" i="5" s="1"/>
  <c r="T45" i="5"/>
  <c r="V45" i="5" s="1"/>
  <c r="T182" i="5"/>
  <c r="U182" i="5" s="1"/>
  <c r="T62" i="5"/>
  <c r="V62" i="5" s="1"/>
  <c r="T209" i="5"/>
  <c r="T116" i="5"/>
  <c r="T29" i="5"/>
  <c r="T104" i="5"/>
  <c r="U104" i="5" s="1"/>
  <c r="T534" i="5"/>
  <c r="U534" i="5" s="1"/>
  <c r="T136" i="5"/>
  <c r="U136" i="5" s="1"/>
  <c r="T175" i="5"/>
  <c r="T257" i="5"/>
  <c r="V257" i="5" s="1"/>
  <c r="T129" i="5"/>
  <c r="V129" i="5" s="1"/>
  <c r="T21" i="5"/>
  <c r="U21" i="5" s="1"/>
  <c r="T86" i="5"/>
  <c r="V86" i="5" s="1"/>
  <c r="T20" i="5"/>
  <c r="T164" i="5"/>
  <c r="T113" i="5"/>
  <c r="T120" i="5"/>
  <c r="T40" i="5"/>
  <c r="V40" i="5" s="1"/>
  <c r="T72" i="5"/>
  <c r="AM504" i="5"/>
  <c r="AN504" i="5" s="1"/>
  <c r="B59" i="2"/>
  <c r="K26" i="2"/>
  <c r="B67" i="2"/>
  <c r="M26" i="2"/>
  <c r="B63" i="2"/>
  <c r="L26" i="2"/>
  <c r="AH505" i="5"/>
  <c r="AH73" i="5"/>
  <c r="AI73" i="5"/>
  <c r="AJ43" i="5"/>
  <c r="AL43" i="5" s="1"/>
  <c r="AJ147" i="5"/>
  <c r="AK147" i="5" s="1"/>
  <c r="AH111" i="5"/>
  <c r="B43" i="2"/>
  <c r="K35" i="2"/>
  <c r="AH145" i="5"/>
  <c r="AH123" i="5"/>
  <c r="AI123" i="5"/>
  <c r="AJ153" i="5"/>
  <c r="AL153" i="5" s="1"/>
  <c r="AJ169" i="5"/>
  <c r="AK169" i="5" s="1"/>
  <c r="AM64" i="5"/>
  <c r="AO64" i="5" s="1"/>
  <c r="AI559" i="5"/>
  <c r="AH559" i="5"/>
  <c r="L35" i="2"/>
  <c r="AI147" i="5"/>
  <c r="AH147" i="5"/>
  <c r="AH423" i="5"/>
  <c r="AI349" i="5"/>
  <c r="AM80" i="5"/>
  <c r="AN80" i="5" s="1"/>
  <c r="AH242" i="5"/>
  <c r="AI242" i="5"/>
  <c r="AH179" i="5"/>
  <c r="AJ483" i="5"/>
  <c r="AL483" i="5" s="1"/>
  <c r="AI231" i="5"/>
  <c r="AM472" i="5"/>
  <c r="AO472" i="5" s="1"/>
  <c r="T176" i="5"/>
  <c r="AH156" i="5"/>
  <c r="AI156" i="5"/>
  <c r="AM352" i="5"/>
  <c r="AO352" i="5" s="1"/>
  <c r="AH502" i="5"/>
  <c r="AI502" i="5"/>
  <c r="AI188" i="5"/>
  <c r="AI171" i="5"/>
  <c r="AH171" i="5"/>
  <c r="AH467" i="5"/>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AQ134" i="4"/>
  <c r="W383" i="5"/>
  <c r="X383" i="5" s="1"/>
  <c r="O9" i="5"/>
  <c r="W533" i="5"/>
  <c r="Y533" i="5" s="1"/>
  <c r="W395" i="5"/>
  <c r="Y395" i="5" s="1"/>
  <c r="W199" i="5"/>
  <c r="X199" i="5" s="1"/>
  <c r="W215" i="5"/>
  <c r="Y215" i="5" s="1"/>
  <c r="W493" i="5"/>
  <c r="X493" i="5" s="1"/>
  <c r="W116" i="5"/>
  <c r="X116" i="5" s="1"/>
  <c r="W315" i="5"/>
  <c r="W345" i="5"/>
  <c r="W404" i="5"/>
  <c r="W499" i="5"/>
  <c r="AQ141"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N96" i="4" s="1"/>
  <c r="AQ73" i="4"/>
  <c r="U96"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I152" i="5"/>
  <c r="AH403" i="5"/>
  <c r="AO465" i="5"/>
  <c r="AH459" i="5"/>
  <c r="AN272" i="5"/>
  <c r="AO272" i="5"/>
  <c r="U64" i="5"/>
  <c r="V64" i="5"/>
  <c r="AM193" i="5"/>
  <c r="U64" i="4"/>
  <c r="AM59" i="5"/>
  <c r="T554" i="5"/>
  <c r="T546" i="5"/>
  <c r="T432" i="5"/>
  <c r="T448" i="5"/>
  <c r="T408" i="5"/>
  <c r="T280" i="5"/>
  <c r="T296" i="5"/>
  <c r="AH136" i="5"/>
  <c r="AI136" i="5"/>
  <c r="AM104"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U8" i="4"/>
  <c r="V8" i="4"/>
  <c r="AS8" i="4"/>
  <c r="U44" i="4"/>
  <c r="AM99" i="5"/>
  <c r="AM448" i="5"/>
  <c r="T464" i="5"/>
  <c r="T480" i="5"/>
  <c r="T328" i="5"/>
  <c r="T344" i="5"/>
  <c r="T376" i="5"/>
  <c r="T392" i="5"/>
  <c r="T248" i="5"/>
  <c r="T264" i="5"/>
  <c r="AM280" i="5"/>
  <c r="AI120" i="5"/>
  <c r="T160" i="5"/>
  <c r="T24" i="5"/>
  <c r="U176" i="5"/>
  <c r="V176" i="5"/>
  <c r="AH40" i="5"/>
  <c r="AI40" i="5"/>
  <c r="AM387" i="5"/>
  <c r="AM123" i="5"/>
  <c r="AM107" i="5"/>
  <c r="AM300" i="5"/>
  <c r="AM177" i="5"/>
  <c r="AM57" i="5"/>
  <c r="AM464" i="5"/>
  <c r="AM480" i="5"/>
  <c r="T496" i="5"/>
  <c r="T512" i="5"/>
  <c r="T360" i="5"/>
  <c r="AM408" i="5"/>
  <c r="T224" i="5"/>
  <c r="AM248" i="5"/>
  <c r="AM120" i="5"/>
  <c r="AM184" i="5"/>
  <c r="T208" i="5"/>
  <c r="T88" i="5"/>
  <c r="AS93" i="4"/>
  <c r="V93" i="4"/>
  <c r="U93" i="4"/>
  <c r="AJ451" i="5"/>
  <c r="AL451" i="5" s="1"/>
  <c r="AJ465" i="5"/>
  <c r="AK465" i="5" s="1"/>
  <c r="AM308" i="5"/>
  <c r="AM121" i="5"/>
  <c r="AS22" i="4"/>
  <c r="T526" i="5"/>
  <c r="AM424" i="5"/>
  <c r="T440" i="5"/>
  <c r="AM344" i="5"/>
  <c r="AM376" i="5"/>
  <c r="T304" i="5"/>
  <c r="AM144" i="5"/>
  <c r="AI208" i="5"/>
  <c r="AH208" i="5"/>
  <c r="T32" i="5"/>
  <c r="T112" i="5"/>
  <c r="AO145" i="5"/>
  <c r="AI319" i="5"/>
  <c r="AH319" i="5"/>
  <c r="U150" i="4"/>
  <c r="U135" i="4"/>
  <c r="T424" i="5"/>
  <c r="T456" i="5"/>
  <c r="T336" i="5"/>
  <c r="T400" i="5"/>
  <c r="T272" i="5"/>
  <c r="AM208" i="5"/>
  <c r="T56" i="5"/>
  <c r="AM535" i="5"/>
  <c r="AM337" i="5"/>
  <c r="AM257" i="5"/>
  <c r="AM153" i="5"/>
  <c r="AM227" i="5"/>
  <c r="AM203" i="5"/>
  <c r="AM236" i="5"/>
  <c r="AM148" i="5"/>
  <c r="AM60" i="5"/>
  <c r="AH375" i="5"/>
  <c r="AI375" i="5"/>
  <c r="T538" i="5"/>
  <c r="AM440" i="5"/>
  <c r="T472" i="5"/>
  <c r="T504" i="5"/>
  <c r="AM336" i="5"/>
  <c r="T352" i="5"/>
  <c r="T368" i="5"/>
  <c r="T416" i="5"/>
  <c r="T232" i="5"/>
  <c r="T288" i="5"/>
  <c r="T192" i="5"/>
  <c r="T80" i="5"/>
  <c r="S96" i="5"/>
  <c r="R96" i="5"/>
  <c r="AS103" i="4"/>
  <c r="AS69" i="4"/>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M456" i="5"/>
  <c r="AH472" i="5"/>
  <c r="T488" i="5"/>
  <c r="T320" i="5"/>
  <c r="AM368" i="5"/>
  <c r="T384" i="5"/>
  <c r="AM400" i="5"/>
  <c r="AI416" i="5"/>
  <c r="AH416" i="5"/>
  <c r="T256" i="5"/>
  <c r="AM288" i="5"/>
  <c r="T312" i="5"/>
  <c r="T152" i="5"/>
  <c r="AM216" i="5"/>
  <c r="AH80" i="5"/>
  <c r="AI80" i="5"/>
  <c r="T8" i="5"/>
  <c r="B206" i="2"/>
  <c r="B255" i="2"/>
  <c r="AL64" i="5"/>
  <c r="AK64" i="5"/>
  <c r="U51" i="5"/>
  <c r="V51" i="5"/>
  <c r="AO409" i="5"/>
  <c r="AI299" i="5"/>
  <c r="AH299" i="5"/>
  <c r="AJ195" i="5"/>
  <c r="AJ519" i="5"/>
  <c r="AJ171" i="5"/>
  <c r="AJ457" i="5"/>
  <c r="AJ131" i="5"/>
  <c r="AJ59" i="5"/>
  <c r="AJ115" i="5"/>
  <c r="AH37" i="5"/>
  <c r="AI37" i="5"/>
  <c r="AI221" i="5"/>
  <c r="AH221" i="5"/>
  <c r="AH458" i="5"/>
  <c r="AH506" i="5"/>
  <c r="AI506" i="5"/>
  <c r="AN349" i="5"/>
  <c r="AO349" i="5"/>
  <c r="AO314" i="5"/>
  <c r="AN314" i="5"/>
  <c r="AO125" i="5"/>
  <c r="U92" i="4"/>
  <c r="V92" i="4"/>
  <c r="AS92" i="4"/>
  <c r="V81" i="4"/>
  <c r="AS81" i="4"/>
  <c r="U81" i="4"/>
  <c r="AJ533" i="5"/>
  <c r="AH439" i="5"/>
  <c r="AI439" i="5"/>
  <c r="AH463" i="5"/>
  <c r="AJ351" i="5"/>
  <c r="AJ383" i="5"/>
  <c r="AJ263" i="5"/>
  <c r="AJ159" i="5"/>
  <c r="AJ191" i="5"/>
  <c r="AJ95" i="5"/>
  <c r="U129" i="5"/>
  <c r="U20" i="5"/>
  <c r="V20" i="5"/>
  <c r="U164" i="5"/>
  <c r="V164" i="5"/>
  <c r="U113" i="5"/>
  <c r="V113" i="5"/>
  <c r="B51" i="2"/>
  <c r="B32" i="2" s="1"/>
  <c r="AJ448" i="5"/>
  <c r="AJ504" i="5"/>
  <c r="AJ376" i="5"/>
  <c r="AI256" i="5"/>
  <c r="AJ120" i="5"/>
  <c r="AJ176" i="5"/>
  <c r="U40" i="5"/>
  <c r="AJ112" i="5"/>
  <c r="AJ369" i="5"/>
  <c r="AJ281" i="5"/>
  <c r="AN185" i="5"/>
  <c r="AO185" i="5"/>
  <c r="AI81" i="5"/>
  <c r="AH81" i="5"/>
  <c r="AH499" i="5"/>
  <c r="AI499" i="5"/>
  <c r="AJ203" i="5"/>
  <c r="AJ395" i="5"/>
  <c r="AJ155" i="5"/>
  <c r="AH389" i="5"/>
  <c r="AI466" i="5"/>
  <c r="AH466" i="5"/>
  <c r="AH190" i="5"/>
  <c r="AI190" i="5"/>
  <c r="AI420" i="5"/>
  <c r="AH420" i="5"/>
  <c r="AI477" i="5"/>
  <c r="AH477" i="5"/>
  <c r="AI158" i="5"/>
  <c r="AH436" i="5"/>
  <c r="AI218" i="5"/>
  <c r="AH218" i="5"/>
  <c r="AH121" i="5"/>
  <c r="AI121" i="5"/>
  <c r="AO552" i="5"/>
  <c r="AN552" i="5"/>
  <c r="AO234" i="5"/>
  <c r="AS120" i="4"/>
  <c r="V120" i="4"/>
  <c r="AS129" i="4"/>
  <c r="V53" i="4"/>
  <c r="AS43" i="4"/>
  <c r="U13" i="4"/>
  <c r="V13" i="4"/>
  <c r="AS13" i="4"/>
  <c r="AJ447" i="5"/>
  <c r="AJ479" i="5"/>
  <c r="AJ231" i="5"/>
  <c r="AI135" i="5"/>
  <c r="AJ199" i="5"/>
  <c r="U71" i="5"/>
  <c r="V71" i="5"/>
  <c r="V153" i="5"/>
  <c r="U153" i="5"/>
  <c r="U132" i="5"/>
  <c r="V132" i="5"/>
  <c r="V308" i="5"/>
  <c r="U308" i="5"/>
  <c r="V165" i="5"/>
  <c r="U165" i="5"/>
  <c r="U42" i="5"/>
  <c r="V42" i="5"/>
  <c r="V189" i="5"/>
  <c r="U189" i="5"/>
  <c r="U90" i="5"/>
  <c r="V90" i="5"/>
  <c r="AJ512" i="5"/>
  <c r="AJ384" i="5"/>
  <c r="AJ256" i="5"/>
  <c r="AH128" i="5"/>
  <c r="U184" i="5"/>
  <c r="V184" i="5"/>
  <c r="U216" i="5"/>
  <c r="V216" i="5"/>
  <c r="U96" i="5"/>
  <c r="V96" i="5"/>
  <c r="AN519" i="5"/>
  <c r="AN281" i="5"/>
  <c r="AO281" i="5"/>
  <c r="AH291" i="5"/>
  <c r="AI291"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H337" i="5"/>
  <c r="AJ233" i="5"/>
  <c r="AJ507" i="5"/>
  <c r="AJ201" i="5"/>
  <c r="AJ435" i="5"/>
  <c r="AJ163" i="5"/>
  <c r="B47" i="2"/>
  <c r="B28" i="2" s="1"/>
  <c r="AI552" i="5"/>
  <c r="AH552" i="5"/>
  <c r="AH404" i="5"/>
  <c r="AI404" i="5"/>
  <c r="AH558" i="5"/>
  <c r="AI558" i="5"/>
  <c r="AI182" i="5"/>
  <c r="AH182" i="5"/>
  <c r="AI522" i="5"/>
  <c r="AH522" i="5"/>
  <c r="AH394" i="5"/>
  <c r="AH258" i="5"/>
  <c r="AI258" i="5"/>
  <c r="AI370" i="5"/>
  <c r="AH370" i="5"/>
  <c r="AH378" i="5"/>
  <c r="AI378" i="5"/>
  <c r="AI93" i="5"/>
  <c r="AH93" i="5"/>
  <c r="AN362" i="5"/>
  <c r="AO362" i="5"/>
  <c r="AN69" i="5"/>
  <c r="AO69" i="5"/>
  <c r="AO486" i="5"/>
  <c r="AN486" i="5"/>
  <c r="AN365" i="5"/>
  <c r="AO365" i="5"/>
  <c r="AO510" i="5"/>
  <c r="AN490" i="5"/>
  <c r="AN178" i="5"/>
  <c r="V151" i="4"/>
  <c r="AS151" i="4"/>
  <c r="U151" i="4"/>
  <c r="U36" i="4"/>
  <c r="U144" i="4"/>
  <c r="V153" i="4"/>
  <c r="AS153" i="4"/>
  <c r="U153" i="4"/>
  <c r="AS138" i="4"/>
  <c r="U138" i="4"/>
  <c r="V138" i="4"/>
  <c r="U41" i="4"/>
  <c r="AJ553" i="5"/>
  <c r="AO487" i="5"/>
  <c r="AN487" i="5"/>
  <c r="AJ359" i="5"/>
  <c r="AJ271" i="5"/>
  <c r="AI219" i="5"/>
  <c r="AH219" i="5"/>
  <c r="AJ135" i="5"/>
  <c r="AJ167" i="5"/>
  <c r="U31" i="5"/>
  <c r="V31" i="5"/>
  <c r="U217" i="5"/>
  <c r="V217" i="5"/>
  <c r="U110" i="5"/>
  <c r="V110" i="5"/>
  <c r="U124" i="5"/>
  <c r="V124" i="5"/>
  <c r="U158" i="5"/>
  <c r="V158" i="5"/>
  <c r="AI464" i="5"/>
  <c r="AH464" i="5"/>
  <c r="AI304" i="5"/>
  <c r="AH304" i="5"/>
  <c r="AJ160" i="5"/>
  <c r="AJ216" i="5"/>
  <c r="AH96" i="5"/>
  <c r="AI96" i="5"/>
  <c r="AJ449" i="5"/>
  <c r="AJ81" i="5"/>
  <c r="AI113" i="5"/>
  <c r="AH113" i="5"/>
  <c r="AJ515" i="5"/>
  <c r="AI476" i="5"/>
  <c r="AH476" i="5"/>
  <c r="AH202" i="5"/>
  <c r="AI202" i="5"/>
  <c r="AH146" i="5"/>
  <c r="AI146" i="5"/>
  <c r="AI454" i="5"/>
  <c r="AH454" i="5"/>
  <c r="AI356" i="5"/>
  <c r="AH356" i="5"/>
  <c r="AI493" i="5"/>
  <c r="AH493" i="5"/>
  <c r="AI101" i="5"/>
  <c r="AH101" i="5"/>
  <c r="AH165" i="5"/>
  <c r="AI165" i="5"/>
  <c r="AN540" i="5"/>
  <c r="AO540" i="5"/>
  <c r="AN498" i="5"/>
  <c r="AO498" i="5"/>
  <c r="AN258" i="5"/>
  <c r="AO258" i="5"/>
  <c r="AN133" i="5"/>
  <c r="AO133" i="5"/>
  <c r="AN482" i="5"/>
  <c r="AO482" i="5"/>
  <c r="AO348" i="5"/>
  <c r="AN348" i="5"/>
  <c r="AN253" i="5"/>
  <c r="AO253" i="5"/>
  <c r="AN93" i="5"/>
  <c r="AO93" i="5"/>
  <c r="AN374" i="5"/>
  <c r="U56" i="4"/>
  <c r="V65" i="4"/>
  <c r="AS65" i="4"/>
  <c r="U65" i="4"/>
  <c r="AS119" i="4"/>
  <c r="AS112" i="4"/>
  <c r="U121" i="4"/>
  <c r="AJ423" i="5"/>
  <c r="AI447" i="5"/>
  <c r="AH447" i="5"/>
  <c r="AJ487" i="5"/>
  <c r="AJ327" i="5"/>
  <c r="AJ399" i="5"/>
  <c r="AH239" i="5"/>
  <c r="AI239" i="5"/>
  <c r="AJ31" i="5"/>
  <c r="AJ71" i="5"/>
  <c r="V220" i="5"/>
  <c r="V213" i="5"/>
  <c r="V108" i="5"/>
  <c r="U163" i="5"/>
  <c r="V163" i="5"/>
  <c r="V81" i="5"/>
  <c r="U81" i="5"/>
  <c r="AJ534" i="5"/>
  <c r="AJ464" i="5"/>
  <c r="AI360" i="5"/>
  <c r="AH360" i="5"/>
  <c r="U240" i="5"/>
  <c r="V240" i="5"/>
  <c r="V128" i="5"/>
  <c r="U128" i="5"/>
  <c r="AH24" i="5"/>
  <c r="AI24" i="5"/>
  <c r="U72" i="5"/>
  <c r="V72" i="5"/>
  <c r="AJ473" i="5"/>
  <c r="AJ121" i="5"/>
  <c r="AJ89" i="5"/>
  <c r="AH131" i="5"/>
  <c r="AI131" i="5"/>
  <c r="AJ347" i="5"/>
  <c r="U75" i="5"/>
  <c r="V75" i="5"/>
  <c r="AJ265" i="5"/>
  <c r="AJ411" i="5"/>
  <c r="AJ291" i="5"/>
  <c r="AH398" i="5"/>
  <c r="AI398" i="5"/>
  <c r="AI222" i="5"/>
  <c r="AH222" i="5"/>
  <c r="AH261" i="5"/>
  <c r="AI261" i="5"/>
  <c r="AI520" i="5"/>
  <c r="AH520" i="5"/>
  <c r="AI181" i="5"/>
  <c r="AH181" i="5"/>
  <c r="AH21" i="5"/>
  <c r="AI21" i="5"/>
  <c r="AI153" i="5"/>
  <c r="AH153" i="5"/>
  <c r="AN426" i="5"/>
  <c r="AO426" i="5"/>
  <c r="AO341" i="5"/>
  <c r="AN341" i="5"/>
  <c r="V154" i="4"/>
  <c r="AS154" i="4"/>
  <c r="U154" i="4"/>
  <c r="U15" i="4"/>
  <c r="B223" i="2"/>
  <c r="B200" i="2"/>
  <c r="B212" i="2" s="1"/>
  <c r="H65" i="1" s="1"/>
  <c r="AJ455" i="5"/>
  <c r="AI327" i="5"/>
  <c r="AH327" i="5"/>
  <c r="AO359" i="5"/>
  <c r="AN359" i="5"/>
  <c r="AJ239" i="5"/>
  <c r="V127" i="5"/>
  <c r="U127" i="5"/>
  <c r="AJ207" i="5"/>
  <c r="AJ47" i="5"/>
  <c r="V111" i="5"/>
  <c r="U111" i="5"/>
  <c r="U202" i="5"/>
  <c r="V202" i="5"/>
  <c r="U78" i="5"/>
  <c r="V78" i="5"/>
  <c r="V157" i="5"/>
  <c r="U157" i="5"/>
  <c r="V238" i="5"/>
  <c r="AN534" i="5"/>
  <c r="AO534" i="5"/>
  <c r="AJ488" i="5"/>
  <c r="AJ320" i="5"/>
  <c r="AN392" i="5"/>
  <c r="AI240" i="5"/>
  <c r="AJ264" i="5"/>
  <c r="AH312" i="5"/>
  <c r="AI312" i="5"/>
  <c r="U144" i="5"/>
  <c r="V144" i="5"/>
  <c r="U168" i="5"/>
  <c r="V168" i="5"/>
  <c r="AH192" i="5"/>
  <c r="AI192" i="5"/>
  <c r="AJ48" i="5"/>
  <c r="AJ72" i="5"/>
  <c r="AJ96" i="5"/>
  <c r="AJ489" i="5"/>
  <c r="AJ113" i="5"/>
  <c r="AJ83" i="5"/>
  <c r="AJ313" i="5"/>
  <c r="AI535" i="5"/>
  <c r="AH535" i="5"/>
  <c r="AJ353" i="5"/>
  <c r="B174" i="2"/>
  <c r="B175" i="2"/>
  <c r="H54" i="1"/>
  <c r="AJ299" i="5"/>
  <c r="AJ211" i="5"/>
  <c r="AI364" i="5"/>
  <c r="AH364" i="5"/>
  <c r="AI528" i="5"/>
  <c r="AH528" i="5"/>
  <c r="AH386" i="5"/>
  <c r="AI386" i="5"/>
  <c r="AH551" i="5"/>
  <c r="AI551" i="5"/>
  <c r="AI270" i="5"/>
  <c r="AH270" i="5"/>
  <c r="AI350" i="5"/>
  <c r="AH350" i="5"/>
  <c r="AH290" i="5"/>
  <c r="AI290" i="5"/>
  <c r="AH26" i="5"/>
  <c r="AI492" i="5"/>
  <c r="AH492" i="5"/>
  <c r="AI313" i="5"/>
  <c r="AH313" i="5"/>
  <c r="AN410" i="5"/>
  <c r="AO410" i="5"/>
  <c r="AN508" i="5"/>
  <c r="U33" i="4"/>
  <c r="AJ525" i="5"/>
  <c r="AJ431" i="5"/>
  <c r="AH455" i="5"/>
  <c r="AI455" i="5"/>
  <c r="AJ335" i="5"/>
  <c r="AN367" i="5"/>
  <c r="AO367" i="5"/>
  <c r="AJ295" i="5"/>
  <c r="AJ127" i="5"/>
  <c r="AJ143" i="5"/>
  <c r="V175" i="5"/>
  <c r="U175" i="5"/>
  <c r="AJ79" i="5"/>
  <c r="U198" i="5"/>
  <c r="V198" i="5"/>
  <c r="U65" i="5"/>
  <c r="V65" i="5"/>
  <c r="U218" i="5"/>
  <c r="V218" i="5"/>
  <c r="V73" i="5"/>
  <c r="U73" i="5"/>
  <c r="U193" i="5"/>
  <c r="V193" i="5"/>
  <c r="U58" i="5"/>
  <c r="AH488" i="5"/>
  <c r="AI488" i="5"/>
  <c r="AJ360" i="5"/>
  <c r="AJ272" i="5"/>
  <c r="AJ312" i="5"/>
  <c r="AI379" i="5"/>
  <c r="AH379" i="5"/>
  <c r="AH51" i="5"/>
  <c r="AI51" i="5"/>
  <c r="AO115" i="5"/>
  <c r="AN115" i="5"/>
  <c r="AJ107" i="5"/>
  <c r="AJ403" i="5"/>
  <c r="AH355" i="5"/>
  <c r="AI355" i="5"/>
  <c r="AJ467" i="5"/>
  <c r="AJ339" i="5"/>
  <c r="AJ119" i="5"/>
  <c r="AF539" i="5"/>
  <c r="AF448" i="5"/>
  <c r="AF467" i="5"/>
  <c r="AF256" i="5"/>
  <c r="AF511" i="5"/>
  <c r="AF248" i="5"/>
  <c r="AF298" i="5"/>
  <c r="AF444" i="5"/>
  <c r="AF281" i="5"/>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F320" i="5"/>
  <c r="AF265" i="5"/>
  <c r="AF304" i="5"/>
  <c r="AF173" i="5"/>
  <c r="AF64" i="5"/>
  <c r="AF46" i="5"/>
  <c r="AF93" i="5"/>
  <c r="AF167" i="5"/>
  <c r="AF213" i="5"/>
  <c r="AF266" i="5"/>
  <c r="AF288" i="5"/>
  <c r="AF331" i="5"/>
  <c r="AF393" i="5"/>
  <c r="AF383" i="5"/>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F235" i="5"/>
  <c r="AF510" i="5"/>
  <c r="AF483" i="5"/>
  <c r="AF146" i="5"/>
  <c r="AF559" i="5"/>
  <c r="AF446" i="5"/>
  <c r="AF412" i="5"/>
  <c r="AF285" i="5"/>
  <c r="AF91" i="5"/>
  <c r="AF560" i="5"/>
  <c r="AF468" i="5"/>
  <c r="AF332" i="5"/>
  <c r="AF226" i="5"/>
  <c r="AF55" i="5"/>
  <c r="AF541" i="5"/>
  <c r="AF545" i="5"/>
  <c r="AF432" i="5"/>
  <c r="AF536" i="5"/>
  <c r="AF389" i="5"/>
  <c r="AF372" i="5"/>
  <c r="AF261" i="5"/>
  <c r="AF187" i="5"/>
  <c r="AF109" i="5"/>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F99" i="5"/>
  <c r="AF53" i="5"/>
  <c r="AF36" i="5"/>
  <c r="AF13" i="5"/>
  <c r="AF537" i="5"/>
  <c r="AF540" i="5"/>
  <c r="AF415" i="5"/>
  <c r="AF151" i="5"/>
  <c r="AF501" i="5"/>
  <c r="AF180" i="5"/>
  <c r="AF547" i="5"/>
  <c r="AF408" i="5"/>
  <c r="AF24" i="5"/>
  <c r="AF548" i="5"/>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F325" i="5"/>
  <c r="AF267" i="5"/>
  <c r="AF301" i="5"/>
  <c r="AF283" i="5"/>
  <c r="AF346" i="5"/>
  <c r="AF425" i="5"/>
  <c r="AF60" i="5"/>
  <c r="AF148" i="5"/>
  <c r="AF137" i="5"/>
  <c r="AF195" i="5"/>
  <c r="AF246" i="5"/>
  <c r="AF271" i="5"/>
  <c r="AF326" i="5"/>
  <c r="AF386" i="5"/>
  <c r="AF369" i="5"/>
  <c r="AF399" i="5"/>
  <c r="AF475" i="5"/>
  <c r="AF115" i="5"/>
  <c r="AF104" i="5"/>
  <c r="AF47" i="5"/>
  <c r="AF189" i="5"/>
  <c r="AF184" i="5"/>
  <c r="AF133" i="5"/>
  <c r="AF100" i="5"/>
  <c r="AF30" i="5"/>
  <c r="AF45" i="5"/>
  <c r="AF11" i="5"/>
  <c r="AF534" i="5"/>
  <c r="AF531" i="5"/>
  <c r="AF337" i="5"/>
  <c r="AF494" i="5"/>
  <c r="AF382" i="5"/>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F111" i="5"/>
  <c r="AF34" i="5"/>
  <c r="AF84" i="5"/>
  <c r="AF145" i="5"/>
  <c r="AF229" i="5"/>
  <c r="AF214" i="5"/>
  <c r="AF171" i="5"/>
  <c r="AF284" i="5"/>
  <c r="AF349" i="5"/>
  <c r="AF312" i="5"/>
  <c r="AF370" i="5"/>
  <c r="AF436" i="5"/>
  <c r="AF49" i="5"/>
  <c r="AF102" i="5"/>
  <c r="AF175" i="5"/>
  <c r="AF217" i="5"/>
  <c r="AF270" i="5"/>
  <c r="AF291" i="5"/>
  <c r="AF341" i="5"/>
  <c r="AF396" i="5"/>
  <c r="AF385" i="5"/>
  <c r="AF416" i="5"/>
  <c r="AF174" i="5"/>
  <c r="AF88" i="5"/>
  <c r="AF95" i="5"/>
  <c r="AF65" i="5"/>
  <c r="AF158" i="5"/>
  <c r="AF169" i="5"/>
  <c r="AF125" i="5"/>
  <c r="AF83" i="5"/>
  <c r="AF58" i="5"/>
  <c r="AF482" i="5"/>
  <c r="AF487" i="5"/>
  <c r="AF90" i="5"/>
  <c r="AF481" i="5"/>
  <c r="AF280" i="5"/>
  <c r="AF19" i="5"/>
  <c r="AF294" i="5"/>
  <c r="AF356" i="5"/>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F85" i="5"/>
  <c r="AF445" i="5"/>
  <c r="AF505" i="5"/>
  <c r="AF495" i="5"/>
  <c r="AF469" i="5"/>
  <c r="AF262" i="5"/>
  <c r="AF479" i="5"/>
  <c r="AF176" i="5"/>
  <c r="AF322" i="5"/>
  <c r="AF460" i="5"/>
  <c r="AF276" i="5"/>
  <c r="AF493" i="5"/>
  <c r="AF420" i="5"/>
  <c r="AF376" i="5"/>
  <c r="AF108" i="5"/>
  <c r="AF126" i="5"/>
  <c r="AF231" i="5"/>
  <c r="AF252" i="5"/>
  <c r="AF395" i="5"/>
  <c r="AF123" i="5"/>
  <c r="AF219" i="5"/>
  <c r="AF255" i="5"/>
  <c r="AF348" i="5"/>
  <c r="AF156" i="5"/>
  <c r="AF168" i="5"/>
  <c r="AF97" i="5"/>
  <c r="AF10" i="5"/>
  <c r="AF521" i="5"/>
  <c r="AF417" i="5"/>
  <c r="AF366" i="5"/>
  <c r="AF556" i="5"/>
  <c r="AF197" i="5"/>
  <c r="AF504" i="5"/>
  <c r="AF161" i="5"/>
  <c r="AF503" i="5"/>
  <c r="AF419" i="5"/>
  <c r="AF241" i="5"/>
  <c r="AF542" i="5"/>
  <c r="AF477" i="5"/>
  <c r="AF342" i="5"/>
  <c r="AF101" i="5"/>
  <c r="AF135" i="5"/>
  <c r="AF201" i="5"/>
  <c r="AF367" i="5"/>
  <c r="AF388" i="5"/>
  <c r="AF140" i="5"/>
  <c r="AF282" i="5"/>
  <c r="AF354" i="5"/>
  <c r="AF394" i="5"/>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F119" i="5"/>
  <c r="AF253" i="5"/>
  <c r="AF441" i="5"/>
  <c r="AF472" i="5"/>
  <c r="AF166" i="5"/>
  <c r="AF183" i="5"/>
  <c r="AF193" i="5"/>
  <c r="AF118" i="5"/>
  <c r="AF69" i="5"/>
  <c r="AF141" i="5"/>
  <c r="AF72" i="5"/>
  <c r="AF522" i="5"/>
  <c r="AF287" i="5"/>
  <c r="AF379" i="5"/>
  <c r="AF206" i="5"/>
  <c r="AF378" i="5"/>
  <c r="AF165" i="5"/>
  <c r="AF414" i="5"/>
  <c r="AF489" i="5"/>
  <c r="AF486" i="5"/>
  <c r="AF405" i="5"/>
  <c r="AF188" i="5"/>
  <c r="AF554" i="5"/>
  <c r="AF464" i="5"/>
  <c r="AF333" i="5"/>
  <c r="AF26" i="5"/>
  <c r="AF200" i="5"/>
  <c r="AF269" i="5"/>
  <c r="AF343" i="5"/>
  <c r="AF43" i="5"/>
  <c r="AF204" i="5"/>
  <c r="AF307" i="5"/>
  <c r="AF315" i="5"/>
  <c r="AF162" i="5"/>
  <c r="AF52" i="5"/>
  <c r="AF154" i="5"/>
  <c r="AF62" i="5"/>
  <c r="AF466" i="5"/>
  <c r="AF196" i="5"/>
  <c r="AF339" i="5"/>
  <c r="AF450" i="5"/>
  <c r="AF422" i="5"/>
  <c r="AF129" i="5"/>
  <c r="AF360" i="5"/>
  <c r="AF401" i="5"/>
  <c r="AF474" i="5"/>
  <c r="AF344" i="5"/>
  <c r="AF110" i="5"/>
  <c r="AF529" i="5"/>
  <c r="AF392" i="5"/>
  <c r="AF244" i="5"/>
  <c r="AF56" i="5"/>
  <c r="AF251" i="5"/>
  <c r="AF323" i="5"/>
  <c r="AF361" i="5"/>
  <c r="AF38" i="5"/>
  <c r="AF232" i="5"/>
  <c r="AF198" i="5"/>
  <c r="AF411" i="5"/>
  <c r="AF163" i="5"/>
  <c r="AF25" i="5"/>
  <c r="AF112" i="5"/>
  <c r="AF22" i="5"/>
  <c r="AI338" i="5"/>
  <c r="AH338" i="5"/>
  <c r="AH245" i="5"/>
  <c r="AI245" i="5"/>
  <c r="AI340" i="5"/>
  <c r="AH340" i="5"/>
  <c r="AH78" i="5"/>
  <c r="AI78" i="5"/>
  <c r="AI524" i="5"/>
  <c r="AH524" i="5"/>
  <c r="AH138" i="5"/>
  <c r="AI138" i="5"/>
  <c r="AI418" i="5"/>
  <c r="AH418" i="5"/>
  <c r="AI348" i="5"/>
  <c r="AH348" i="5"/>
  <c r="AI45" i="5"/>
  <c r="AH45" i="5"/>
  <c r="AI380" i="5"/>
  <c r="AH380" i="5"/>
  <c r="AH281" i="5"/>
  <c r="AI281" i="5"/>
  <c r="AH233" i="5"/>
  <c r="AI233" i="5"/>
  <c r="AN298" i="5"/>
  <c r="AO298" i="5"/>
  <c r="AO358" i="5"/>
  <c r="AN358" i="5"/>
  <c r="AN161" i="5"/>
  <c r="AS83" i="4"/>
  <c r="AS17" i="4"/>
  <c r="U17" i="4"/>
  <c r="V17" i="4"/>
  <c r="V149" i="4"/>
  <c r="AS156" i="4"/>
  <c r="U156" i="4"/>
  <c r="U139" i="4"/>
  <c r="AS139" i="4"/>
  <c r="V139" i="4"/>
  <c r="U146" i="4"/>
  <c r="AN431" i="5"/>
  <c r="AJ367" i="5"/>
  <c r="AJ223" i="5"/>
  <c r="U255" i="5"/>
  <c r="V255" i="5"/>
  <c r="AJ303" i="5"/>
  <c r="AI175" i="5"/>
  <c r="AJ111" i="5"/>
  <c r="V179" i="5"/>
  <c r="U179" i="5"/>
  <c r="U49" i="5"/>
  <c r="V49" i="5"/>
  <c r="U197" i="5"/>
  <c r="V197" i="5"/>
  <c r="U148" i="5"/>
  <c r="V148" i="5"/>
  <c r="AJ7" i="5"/>
  <c r="AG7" i="5"/>
  <c r="AM7" i="5"/>
  <c r="T7" i="5"/>
  <c r="Q7" i="5"/>
  <c r="W7" i="5"/>
  <c r="AI432" i="5"/>
  <c r="AJ368" i="5"/>
  <c r="AJ416" i="5"/>
  <c r="AJ240" i="5"/>
  <c r="AJ144" i="5"/>
  <c r="U200" i="5"/>
  <c r="V200" i="5"/>
  <c r="AJ32" i="5"/>
  <c r="AJ56" i="5"/>
  <c r="AI104" i="5"/>
  <c r="AH104" i="5"/>
  <c r="AH129" i="5"/>
  <c r="AI129" i="5"/>
  <c r="AO235" i="5"/>
  <c r="AI283" i="5"/>
  <c r="AH283" i="5"/>
  <c r="AH387" i="5"/>
  <c r="AI387" i="5"/>
  <c r="AJ97" i="5"/>
  <c r="AJ459" i="5"/>
  <c r="AJ541" i="5"/>
  <c r="AJ35" i="5"/>
  <c r="AJ99" i="5"/>
  <c r="AJ8" i="5"/>
  <c r="AI560" i="5"/>
  <c r="AH560" i="5"/>
  <c r="AH300" i="5"/>
  <c r="AI300" i="5"/>
  <c r="AH262" i="5"/>
  <c r="AI262" i="5"/>
  <c r="AI238" i="5"/>
  <c r="AH238" i="5"/>
  <c r="AN26" i="5"/>
  <c r="AO26" i="5"/>
  <c r="AO206" i="5"/>
  <c r="AN149" i="5"/>
  <c r="AO149" i="5"/>
  <c r="AO105" i="5"/>
  <c r="U58" i="4"/>
  <c r="V124" i="4"/>
  <c r="AS124" i="4"/>
  <c r="U124" i="4"/>
  <c r="AS107" i="4"/>
  <c r="U107" i="4"/>
  <c r="V107" i="4"/>
  <c r="V104" i="4"/>
  <c r="AS104" i="4"/>
  <c r="U104" i="4"/>
  <c r="AO525" i="5"/>
  <c r="AN525" i="5"/>
  <c r="AJ439" i="5"/>
  <c r="AI223" i="5"/>
  <c r="AH223" i="5"/>
  <c r="AI255" i="5"/>
  <c r="AH255" i="5"/>
  <c r="AJ311" i="5"/>
  <c r="AJ183" i="5"/>
  <c r="AJ55" i="5"/>
  <c r="V278" i="5"/>
  <c r="U62" i="5"/>
  <c r="U209" i="5"/>
  <c r="V209" i="5"/>
  <c r="U116" i="5"/>
  <c r="V116" i="5"/>
  <c r="U29" i="5"/>
  <c r="V29" i="5"/>
  <c r="AJ432" i="5"/>
  <c r="AO496" i="5"/>
  <c r="AJ328" i="5"/>
  <c r="AJ224" i="5"/>
  <c r="AJ280" i="5"/>
  <c r="U120" i="5"/>
  <c r="V120" i="5"/>
  <c r="AJ152" i="5"/>
  <c r="AJ200" i="5"/>
  <c r="AJ40" i="5"/>
  <c r="AJ88" i="5"/>
  <c r="AJ217" i="5"/>
  <c r="AN179" i="5" l="1"/>
  <c r="AH495" i="5"/>
  <c r="AN476" i="5"/>
  <c r="AI405" i="5"/>
  <c r="AH58" i="5"/>
  <c r="AI91" i="5"/>
  <c r="AH368" i="5"/>
  <c r="AN423" i="5"/>
  <c r="AN485" i="5"/>
  <c r="AN537" i="5"/>
  <c r="AI134" i="5"/>
  <c r="AI333" i="5"/>
  <c r="AI148" i="5"/>
  <c r="AN437" i="5"/>
  <c r="AI42" i="5"/>
  <c r="AH485" i="5"/>
  <c r="AI284" i="5"/>
  <c r="AH533" i="5"/>
  <c r="AH452" i="5"/>
  <c r="AO41" i="5"/>
  <c r="AH149" i="5"/>
  <c r="AI324" i="5"/>
  <c r="AI229" i="5"/>
  <c r="AN435" i="5"/>
  <c r="AI548" i="5"/>
  <c r="AO45" i="5"/>
  <c r="AI332" i="5"/>
  <c r="AO543" i="5"/>
  <c r="AO395" i="5"/>
  <c r="AO320" i="5"/>
  <c r="AH267" i="5"/>
  <c r="AN122" i="5"/>
  <c r="AI301" i="5"/>
  <c r="AH55" i="5"/>
  <c r="AN332" i="5"/>
  <c r="AI69" i="5"/>
  <c r="AH118" i="5"/>
  <c r="AO71" i="5"/>
  <c r="AH295" i="5"/>
  <c r="AI287" i="5"/>
  <c r="AI512" i="5"/>
  <c r="AI237" i="5"/>
  <c r="AO50" i="5"/>
  <c r="AI516" i="5"/>
  <c r="AN156" i="5"/>
  <c r="AO394" i="5"/>
  <c r="AN500" i="5"/>
  <c r="AH56" i="5"/>
  <c r="AN346" i="5"/>
  <c r="AI119" i="5"/>
  <c r="AH109" i="5"/>
  <c r="AN157" i="5"/>
  <c r="AN48" i="5"/>
  <c r="AN142" i="5"/>
  <c r="AH305" i="5"/>
  <c r="AH177" i="5"/>
  <c r="AH97" i="5"/>
  <c r="AH441" i="5"/>
  <c r="AO551" i="5"/>
  <c r="AO335" i="5"/>
  <c r="AO354" i="5"/>
  <c r="AN442" i="5"/>
  <c r="AO492" i="5"/>
  <c r="AO128" i="5"/>
  <c r="AO159" i="5"/>
  <c r="AN302" i="5"/>
  <c r="AO82" i="5"/>
  <c r="AN32" i="5"/>
  <c r="AN259" i="5"/>
  <c r="AO282" i="5"/>
  <c r="AO481" i="5"/>
  <c r="AO31" i="5"/>
  <c r="AO458" i="5"/>
  <c r="AO287" i="5"/>
  <c r="AN325" i="5"/>
  <c r="AI161" i="5"/>
  <c r="AH396" i="5"/>
  <c r="AI105" i="5"/>
  <c r="AH116" i="5"/>
  <c r="AH397" i="5"/>
  <c r="AH89" i="5"/>
  <c r="AI395" i="5"/>
  <c r="AI166" i="5"/>
  <c r="AI509" i="5"/>
  <c r="AI527" i="5"/>
  <c r="AI65" i="5"/>
  <c r="AI62" i="5"/>
  <c r="AI176" i="5"/>
  <c r="AH504" i="5"/>
  <c r="AI99" i="5"/>
  <c r="AI84" i="5"/>
  <c r="AH110" i="5"/>
  <c r="AI515" i="5"/>
  <c r="AH526" i="5"/>
  <c r="AH184" i="5"/>
  <c r="AH167" i="5"/>
  <c r="AH444" i="5"/>
  <c r="AI30" i="5"/>
  <c r="AH480" i="5"/>
  <c r="AH323" i="5"/>
  <c r="AI140" i="5"/>
  <c r="AI513" i="5"/>
  <c r="AI199" i="5"/>
  <c r="AH155" i="5"/>
  <c r="AI8" i="5"/>
  <c r="AN39" i="5"/>
  <c r="AN162" i="5"/>
  <c r="AH213" i="5"/>
  <c r="AH308" i="5"/>
  <c r="AI534" i="5"/>
  <c r="AH519" i="5"/>
  <c r="AI537" i="5"/>
  <c r="AI39" i="5"/>
  <c r="AI363" i="5"/>
  <c r="AH98" i="5"/>
  <c r="AI484" i="5"/>
  <c r="AI163" i="5"/>
  <c r="AH549" i="5"/>
  <c r="AH393" i="5"/>
  <c r="AI168" i="5"/>
  <c r="AH64" i="5"/>
  <c r="AH343" i="5"/>
  <c r="AI197" i="5"/>
  <c r="AI94" i="5"/>
  <c r="AI77" i="5"/>
  <c r="AH440" i="5"/>
  <c r="AH59" i="5"/>
  <c r="AH328" i="5"/>
  <c r="AH216" i="5"/>
  <c r="AI137" i="5"/>
  <c r="AH334" i="5"/>
  <c r="AH66" i="5"/>
  <c r="AH23" i="5"/>
  <c r="AH194" i="5"/>
  <c r="AI22" i="5"/>
  <c r="AH183" i="5"/>
  <c r="AI196" i="5"/>
  <c r="AI249" i="5"/>
  <c r="AH422" i="5"/>
  <c r="AH530" i="5"/>
  <c r="AI507" i="5"/>
  <c r="AI335" i="5"/>
  <c r="AH352" i="5"/>
  <c r="AH107" i="5"/>
  <c r="AH47" i="5"/>
  <c r="AH486" i="5"/>
  <c r="AH144" i="5"/>
  <c r="AH31" i="5"/>
  <c r="AI310" i="5"/>
  <c r="AI68" i="5"/>
  <c r="AI124" i="5"/>
  <c r="AH257" i="5"/>
  <c r="AI510" i="5"/>
  <c r="AI244" i="5"/>
  <c r="AH461" i="5"/>
  <c r="AH19" i="5"/>
  <c r="AI415" i="5"/>
  <c r="AN296" i="5"/>
  <c r="AO284" i="5"/>
  <c r="AN449" i="5"/>
  <c r="AO520" i="5"/>
  <c r="AN40" i="5"/>
  <c r="AO174" i="5"/>
  <c r="AO87" i="5"/>
  <c r="AO85" i="5"/>
  <c r="AI330" i="5"/>
  <c r="AH354" i="5"/>
  <c r="AI438" i="5"/>
  <c r="AI247" i="5"/>
  <c r="AH282" i="5"/>
  <c r="AI41" i="5"/>
  <c r="AH127" i="5"/>
  <c r="AH173" i="5"/>
  <c r="AH358" i="5"/>
  <c r="AH211" i="5"/>
  <c r="AH321" i="5"/>
  <c r="AH205" i="5"/>
  <c r="AH347" i="5"/>
  <c r="AI50" i="5"/>
  <c r="AI322" i="5"/>
  <c r="AI448" i="5"/>
  <c r="AH517" i="5"/>
  <c r="AH341" i="5"/>
  <c r="AH339" i="5"/>
  <c r="AH289" i="5"/>
  <c r="AI445" i="5"/>
  <c r="AI248" i="5"/>
  <c r="AI450" i="5"/>
  <c r="AH130" i="5"/>
  <c r="AH246" i="5"/>
  <c r="V122" i="5"/>
  <c r="U277" i="5"/>
  <c r="V68" i="5"/>
  <c r="U178" i="5"/>
  <c r="AH48" i="5"/>
  <c r="AI296" i="5"/>
  <c r="AI141" i="5"/>
  <c r="AI320" i="5"/>
  <c r="AH302" i="5"/>
  <c r="AH297" i="5"/>
  <c r="AI100" i="5"/>
  <c r="AI318" i="5"/>
  <c r="AI25" i="5"/>
  <c r="AH344" i="5"/>
  <c r="AI54" i="5"/>
  <c r="AI79" i="5"/>
  <c r="AI265" i="5"/>
  <c r="AI460" i="5"/>
  <c r="AI286" i="5"/>
  <c r="AH83" i="5"/>
  <c r="AI132" i="5"/>
  <c r="AO328" i="5"/>
  <c r="AN130" i="5"/>
  <c r="AO538" i="5"/>
  <c r="AN306" i="5"/>
  <c r="AO360" i="5"/>
  <c r="AO66" i="5"/>
  <c r="AN265" i="5"/>
  <c r="AN547" i="5"/>
  <c r="AN251" i="5"/>
  <c r="AO457" i="5"/>
  <c r="AO169" i="5"/>
  <c r="AO404" i="5"/>
  <c r="AO261" i="5"/>
  <c r="AH362" i="5"/>
  <c r="AH200" i="5"/>
  <c r="AI487" i="5"/>
  <c r="AH316" i="5"/>
  <c r="AH33" i="5"/>
  <c r="AH276" i="5"/>
  <c r="AH353" i="5"/>
  <c r="AI429" i="5"/>
  <c r="AH406" i="5"/>
  <c r="AI306" i="5"/>
  <c r="AH490" i="5"/>
  <c r="AI226" i="5"/>
  <c r="AI456" i="5"/>
  <c r="AH501" i="5"/>
  <c r="AH108" i="5"/>
  <c r="AI273" i="5"/>
  <c r="AI20" i="5"/>
  <c r="AH426" i="5"/>
  <c r="AL379" i="5"/>
  <c r="AI170" i="5"/>
  <c r="AH546" i="5"/>
  <c r="AH193" i="5"/>
  <c r="AH27" i="5"/>
  <c r="AH498" i="5"/>
  <c r="AH419" i="5"/>
  <c r="AI427" i="5"/>
  <c r="AI274" i="5"/>
  <c r="AI169" i="5"/>
  <c r="AI90" i="5"/>
  <c r="AI151" i="5"/>
  <c r="AH417" i="5"/>
  <c r="AI259" i="5"/>
  <c r="AH372" i="5"/>
  <c r="AI49" i="5"/>
  <c r="AI303" i="5"/>
  <c r="AI102" i="5"/>
  <c r="AH442" i="5"/>
  <c r="AH400" i="5"/>
  <c r="AI178" i="5"/>
  <c r="AI82" i="5"/>
  <c r="AH491" i="5"/>
  <c r="AH260" i="5"/>
  <c r="AH473" i="5"/>
  <c r="AI34" i="5"/>
  <c r="AH217" i="5"/>
  <c r="AH326" i="5"/>
  <c r="AI288" i="5"/>
  <c r="AI278" i="5"/>
  <c r="AH142" i="5"/>
  <c r="AH365" i="5"/>
  <c r="AI542" i="5"/>
  <c r="AI410" i="5"/>
  <c r="AH376" i="5"/>
  <c r="AH228" i="5"/>
  <c r="AH174" i="5"/>
  <c r="AI336" i="5"/>
  <c r="AH345" i="5"/>
  <c r="AK187" i="5"/>
  <c r="AH225" i="5"/>
  <c r="AI508" i="5"/>
  <c r="AH266" i="5"/>
  <c r="AH377" i="5"/>
  <c r="AI264" i="5"/>
  <c r="AI294" i="5"/>
  <c r="AI36" i="5"/>
  <c r="AI203" i="5"/>
  <c r="AI35" i="5"/>
  <c r="AH470" i="5"/>
  <c r="AI210" i="5"/>
  <c r="AI382" i="5"/>
  <c r="AH214" i="5"/>
  <c r="AH465" i="5"/>
  <c r="AI531" i="5"/>
  <c r="AH384" i="5"/>
  <c r="AI29" i="5"/>
  <c r="AH451" i="5"/>
  <c r="AH547" i="5"/>
  <c r="AI357" i="5"/>
  <c r="AH280" i="5"/>
  <c r="AI72" i="5"/>
  <c r="AH425" i="5"/>
  <c r="AH28" i="5"/>
  <c r="AI180" i="5"/>
  <c r="AH317" i="5"/>
  <c r="AH474" i="5"/>
  <c r="AI554" i="5"/>
  <c r="AI385" i="5"/>
  <c r="AH235" i="5"/>
  <c r="AH366" i="5"/>
  <c r="AH76" i="5"/>
  <c r="AI391" i="5"/>
  <c r="AH209" i="5"/>
  <c r="AH159" i="5"/>
  <c r="AH232" i="5"/>
  <c r="AH71" i="5"/>
  <c r="AI88" i="5"/>
  <c r="AI511" i="5"/>
  <c r="AI103" i="5"/>
  <c r="AI160" i="5"/>
  <c r="AH449" i="5"/>
  <c r="AI253" i="5"/>
  <c r="AH361" i="5"/>
  <c r="AI63" i="5"/>
  <c r="AH489" i="5"/>
  <c r="AH236" i="5"/>
  <c r="AH157" i="5"/>
  <c r="AH544" i="5"/>
  <c r="AI252" i="5"/>
  <c r="AH114" i="5"/>
  <c r="AH529" i="5"/>
  <c r="AI198" i="5"/>
  <c r="AH408" i="5"/>
  <c r="AH373" i="5"/>
  <c r="AI550" i="5"/>
  <c r="AH434" i="5"/>
  <c r="AI189" i="5"/>
  <c r="AH285" i="5"/>
  <c r="AH424" i="5"/>
  <c r="AI220" i="5"/>
  <c r="AI60" i="5"/>
  <c r="AI437" i="5"/>
  <c r="AP187" i="5"/>
  <c r="AR187" i="5" s="1"/>
  <c r="AH539" i="5"/>
  <c r="AI525" i="5"/>
  <c r="AI392" i="5"/>
  <c r="AH557" i="5"/>
  <c r="AH359" i="5"/>
  <c r="AH250" i="5"/>
  <c r="AI556" i="5"/>
  <c r="AI383" i="5"/>
  <c r="AI126" i="5"/>
  <c r="AI478" i="5"/>
  <c r="AI125" i="5"/>
  <c r="AI204" i="5"/>
  <c r="AH536" i="5"/>
  <c r="AH402" i="5"/>
  <c r="AH351" i="5"/>
  <c r="AH315" i="5"/>
  <c r="AH346" i="5"/>
  <c r="AP234" i="5"/>
  <c r="AR234" i="5" s="1"/>
  <c r="AH154" i="5"/>
  <c r="AH234" i="5"/>
  <c r="AH46" i="5"/>
  <c r="AH201" i="5"/>
  <c r="AH32" i="5"/>
  <c r="AH268" i="5"/>
  <c r="AH133" i="5"/>
  <c r="AH87" i="5"/>
  <c r="AI428" i="5"/>
  <c r="AI38" i="5"/>
  <c r="AH381" i="5"/>
  <c r="AI482" i="5"/>
  <c r="AI545" i="5"/>
  <c r="AI227" i="5"/>
  <c r="AH443" i="5"/>
  <c r="AH411" i="5"/>
  <c r="AI92" i="5"/>
  <c r="AI496" i="5"/>
  <c r="AH412" i="5"/>
  <c r="AI553" i="5"/>
  <c r="AH164" i="5"/>
  <c r="AH371" i="5"/>
  <c r="AH500" i="5"/>
  <c r="AI271" i="5"/>
  <c r="AH271" i="5"/>
  <c r="AH367" i="5"/>
  <c r="AH207" i="5"/>
  <c r="AI207" i="5"/>
  <c r="AH514" i="5"/>
  <c r="AI475" i="5"/>
  <c r="AH475" i="5"/>
  <c r="AH538" i="5"/>
  <c r="AI279" i="5"/>
  <c r="AH61" i="5"/>
  <c r="AI61" i="5"/>
  <c r="AH414" i="5"/>
  <c r="AI414" i="5"/>
  <c r="AH314" i="5"/>
  <c r="AH143" i="5"/>
  <c r="AI230" i="5"/>
  <c r="AH230" i="5"/>
  <c r="AI44" i="5"/>
  <c r="AH309" i="5"/>
  <c r="AI311" i="5"/>
  <c r="AH311" i="5"/>
  <c r="AH457" i="5"/>
  <c r="AI139" i="5"/>
  <c r="AH243" i="5"/>
  <c r="AI468" i="5"/>
  <c r="AH433" i="5"/>
  <c r="AH215" i="5"/>
  <c r="AH212" i="5"/>
  <c r="AH523" i="5"/>
  <c r="AH494" i="5"/>
  <c r="AI269" i="5"/>
  <c r="AH224" i="5"/>
  <c r="AI224" i="5"/>
  <c r="AH421" i="5"/>
  <c r="AI254" i="5"/>
  <c r="AI481" i="5"/>
  <c r="AH481" i="5"/>
  <c r="AI292" i="5"/>
  <c r="AH292" i="5"/>
  <c r="AI307" i="5"/>
  <c r="AH374" i="5"/>
  <c r="AI497" i="5"/>
  <c r="AK307" i="5"/>
  <c r="AI172" i="5"/>
  <c r="AI67" i="5"/>
  <c r="AH70" i="5"/>
  <c r="AI521" i="5"/>
  <c r="AH469" i="5"/>
  <c r="AH540" i="5"/>
  <c r="AH162" i="5"/>
  <c r="AI555" i="5"/>
  <c r="AH293" i="5"/>
  <c r="AI293" i="5"/>
  <c r="AH106" i="5"/>
  <c r="AI117" i="5"/>
  <c r="AH115" i="5"/>
  <c r="AH407" i="5"/>
  <c r="AH462" i="5"/>
  <c r="AI413" i="5"/>
  <c r="AI453" i="5"/>
  <c r="AI503" i="5"/>
  <c r="AH390" i="5"/>
  <c r="AI112" i="5"/>
  <c r="AI401" i="5"/>
  <c r="AI86" i="5"/>
  <c r="AH185" i="5"/>
  <c r="AL283" i="5"/>
  <c r="AN42" i="5"/>
  <c r="AO243" i="5"/>
  <c r="AO89" i="5"/>
  <c r="AI298" i="5"/>
  <c r="AH298" i="5"/>
  <c r="AH251" i="5"/>
  <c r="AI251" i="5"/>
  <c r="AN220" i="5"/>
  <c r="AN546" i="5"/>
  <c r="AN189" i="5"/>
  <c r="AI272" i="5"/>
  <c r="AH272" i="5"/>
  <c r="AN249" i="5"/>
  <c r="AO283" i="5"/>
  <c r="AN472" i="5"/>
  <c r="AN139" i="5"/>
  <c r="AI275" i="5"/>
  <c r="AP510" i="5"/>
  <c r="AQ510" i="5" s="1"/>
  <c r="AO228" i="5"/>
  <c r="AN356" i="5"/>
  <c r="AN369" i="5"/>
  <c r="AH57" i="5"/>
  <c r="AI532" i="5"/>
  <c r="AI435" i="5"/>
  <c r="AH435" i="5"/>
  <c r="AN312" i="5"/>
  <c r="AP552" i="5"/>
  <c r="AR552" i="5" s="1"/>
  <c r="AO527" i="5"/>
  <c r="AH277" i="5"/>
  <c r="AN285" i="5"/>
  <c r="AN92" i="5"/>
  <c r="AH446" i="5"/>
  <c r="AN176" i="5"/>
  <c r="AP270" i="5"/>
  <c r="AQ270" i="5" s="1"/>
  <c r="AO274" i="5"/>
  <c r="AO260" i="5"/>
  <c r="AP176" i="5"/>
  <c r="AQ176" i="5" s="1"/>
  <c r="AN27" i="5"/>
  <c r="AP356" i="5"/>
  <c r="AR356" i="5" s="1"/>
  <c r="AN131" i="5"/>
  <c r="AP465" i="5"/>
  <c r="AQ465" i="5" s="1"/>
  <c r="AP109" i="5"/>
  <c r="AR109" i="5" s="1"/>
  <c r="AN474" i="5"/>
  <c r="AO167" i="5"/>
  <c r="AN103" i="5"/>
  <c r="AK539" i="5"/>
  <c r="AG12" i="5"/>
  <c r="AN47" i="5"/>
  <c r="AN219" i="5"/>
  <c r="AO343" i="5"/>
  <c r="AN194" i="5"/>
  <c r="AO372" i="5"/>
  <c r="AO430" i="5"/>
  <c r="AN512" i="5"/>
  <c r="AN370" i="5"/>
  <c r="AO172" i="5"/>
  <c r="AN445" i="5"/>
  <c r="AN533" i="5"/>
  <c r="AO422" i="5"/>
  <c r="AK273" i="5"/>
  <c r="AO278" i="5"/>
  <c r="AO301" i="5"/>
  <c r="AN231" i="5"/>
  <c r="AN530" i="5"/>
  <c r="AN270" i="5"/>
  <c r="AO334" i="5"/>
  <c r="AN222" i="5"/>
  <c r="AO536" i="5"/>
  <c r="AP283" i="5"/>
  <c r="AQ283" i="5" s="1"/>
  <c r="AO238" i="5"/>
  <c r="AP147" i="5"/>
  <c r="AR147" i="5" s="1"/>
  <c r="AN109" i="5"/>
  <c r="AK483" i="5"/>
  <c r="AP394" i="5"/>
  <c r="AQ394" i="5" s="1"/>
  <c r="AO495" i="5"/>
  <c r="AO147" i="5"/>
  <c r="AP516" i="5"/>
  <c r="AQ516" i="5" s="1"/>
  <c r="AN459" i="5"/>
  <c r="AN455" i="5"/>
  <c r="AN338" i="5"/>
  <c r="AO294" i="5"/>
  <c r="AO505" i="5"/>
  <c r="AO514" i="5"/>
  <c r="AP51" i="5"/>
  <c r="AQ51" i="5" s="1"/>
  <c r="AO113" i="5"/>
  <c r="AO488" i="5"/>
  <c r="AN355" i="5"/>
  <c r="AN68" i="5"/>
  <c r="AL465" i="5"/>
  <c r="AL51" i="5"/>
  <c r="AO326" i="5"/>
  <c r="AO164" i="5"/>
  <c r="AN211" i="5"/>
  <c r="AN112" i="5"/>
  <c r="AL147" i="5"/>
  <c r="AO173" i="5"/>
  <c r="AP129" i="5"/>
  <c r="AR129" i="5" s="1"/>
  <c r="AP222" i="5"/>
  <c r="AQ222" i="5" s="1"/>
  <c r="AP539" i="5"/>
  <c r="AQ539" i="5" s="1"/>
  <c r="AO446" i="5"/>
  <c r="AN160" i="5"/>
  <c r="AO477" i="5"/>
  <c r="AN129" i="5"/>
  <c r="AP386" i="5"/>
  <c r="AR386" i="5" s="1"/>
  <c r="AP437" i="5"/>
  <c r="AQ437" i="5" s="1"/>
  <c r="AN233" i="5"/>
  <c r="AN385" i="5"/>
  <c r="AO127" i="5"/>
  <c r="AO141" i="5"/>
  <c r="AN421" i="5"/>
  <c r="AK153" i="5"/>
  <c r="AO168" i="5"/>
  <c r="AO96" i="5"/>
  <c r="AP382" i="5"/>
  <c r="AR382" i="5" s="1"/>
  <c r="AP540" i="5"/>
  <c r="AR540" i="5" s="1"/>
  <c r="AO186" i="5"/>
  <c r="AN560" i="5"/>
  <c r="AN532" i="5"/>
  <c r="AN497" i="5"/>
  <c r="AN276" i="5"/>
  <c r="AO97" i="5"/>
  <c r="AM12" i="5"/>
  <c r="AN12" i="5" s="1"/>
  <c r="AO438" i="5"/>
  <c r="AP379" i="5"/>
  <c r="AR379" i="5" s="1"/>
  <c r="AO324" i="5"/>
  <c r="AN43" i="5"/>
  <c r="AN493" i="5"/>
  <c r="AN556" i="5"/>
  <c r="AN289" i="5"/>
  <c r="AO521" i="5"/>
  <c r="T12" i="5"/>
  <c r="U12" i="5" s="1"/>
  <c r="AN137" i="5"/>
  <c r="AN434" i="5"/>
  <c r="AL521" i="5"/>
  <c r="AP141" i="5"/>
  <c r="AQ141" i="5" s="1"/>
  <c r="AN286" i="5"/>
  <c r="AO528" i="5"/>
  <c r="AN554" i="5"/>
  <c r="AN28" i="5"/>
  <c r="AN198" i="5"/>
  <c r="AN232" i="5"/>
  <c r="AO210" i="5"/>
  <c r="AO80" i="5"/>
  <c r="AJ12" i="5"/>
  <c r="AK12" i="5" s="1"/>
  <c r="Q12" i="5"/>
  <c r="S12" i="5" s="1"/>
  <c r="AN62" i="5"/>
  <c r="AN25" i="5"/>
  <c r="AP307" i="5"/>
  <c r="AR307" i="5" s="1"/>
  <c r="AN207" i="5"/>
  <c r="AN454" i="5"/>
  <c r="AO299" i="5"/>
  <c r="AL169" i="5"/>
  <c r="AO155" i="5"/>
  <c r="AN352" i="5"/>
  <c r="AN475" i="5"/>
  <c r="AP383" i="5"/>
  <c r="AQ383" i="5" s="1"/>
  <c r="AO413" i="5"/>
  <c r="AN8" i="5"/>
  <c r="AO390" i="5"/>
  <c r="AN204" i="5"/>
  <c r="AP43" i="5"/>
  <c r="AR43" i="5" s="1"/>
  <c r="AN53" i="5"/>
  <c r="AN192" i="5"/>
  <c r="AO83" i="5"/>
  <c r="AO197" i="5"/>
  <c r="AN526" i="5"/>
  <c r="AO383" i="5"/>
  <c r="AO518" i="5"/>
  <c r="AO262" i="5"/>
  <c r="AO436" i="5"/>
  <c r="AN72" i="5"/>
  <c r="AN389" i="5"/>
  <c r="AP202" i="5"/>
  <c r="AQ202" i="5" s="1"/>
  <c r="AO322" i="5"/>
  <c r="AN135" i="5"/>
  <c r="AP133" i="5"/>
  <c r="AQ133" i="5" s="1"/>
  <c r="AK43" i="5"/>
  <c r="AN98" i="5"/>
  <c r="AP521" i="5"/>
  <c r="AQ521" i="5" s="1"/>
  <c r="AP192" i="5"/>
  <c r="AR192" i="5" s="1"/>
  <c r="AO484" i="5"/>
  <c r="AP26" i="5"/>
  <c r="AR26" i="5" s="1"/>
  <c r="AO419" i="5"/>
  <c r="AN380" i="5"/>
  <c r="AO340" i="5"/>
  <c r="AN224" i="5"/>
  <c r="AN311" i="5"/>
  <c r="AN418" i="5"/>
  <c r="AO175" i="5"/>
  <c r="AN304" i="5"/>
  <c r="AN318" i="5"/>
  <c r="AO29" i="5"/>
  <c r="AN223" i="5"/>
  <c r="AN163" i="5"/>
  <c r="AP548" i="5"/>
  <c r="AR548" i="5" s="1"/>
  <c r="AO110" i="5"/>
  <c r="AO38" i="5"/>
  <c r="AO205" i="5"/>
  <c r="AP169" i="5"/>
  <c r="AR169" i="5" s="1"/>
  <c r="AO79" i="5"/>
  <c r="AN506" i="5"/>
  <c r="AO549" i="5"/>
  <c r="AO473" i="5"/>
  <c r="AO263" i="5"/>
  <c r="AN152" i="5"/>
  <c r="AN347" i="5"/>
  <c r="AN200" i="5"/>
  <c r="AP148" i="5"/>
  <c r="AQ148" i="5" s="1"/>
  <c r="AP313" i="5"/>
  <c r="AQ313" i="5" s="1"/>
  <c r="AN388" i="5"/>
  <c r="AO463" i="5"/>
  <c r="AN136" i="5"/>
  <c r="AN195" i="5"/>
  <c r="AP227" i="5"/>
  <c r="AR227" i="5" s="1"/>
  <c r="AO23" i="5"/>
  <c r="AN111" i="5"/>
  <c r="AO70" i="5"/>
  <c r="AO33" i="5"/>
  <c r="AN221" i="5"/>
  <c r="AP281" i="5"/>
  <c r="AQ281" i="5" s="1"/>
  <c r="AO256" i="5"/>
  <c r="AO293" i="5"/>
  <c r="AO118" i="5"/>
  <c r="U85" i="4"/>
  <c r="AH85" i="4" s="1"/>
  <c r="V85" i="4"/>
  <c r="AM85" i="4" s="1"/>
  <c r="AN85" i="4" s="1"/>
  <c r="AS85" i="4"/>
  <c r="U11" i="4"/>
  <c r="AH11" i="4" s="1"/>
  <c r="V44" i="4"/>
  <c r="AM44" i="4" s="1"/>
  <c r="AN44" i="4" s="1"/>
  <c r="V78" i="4"/>
  <c r="AM78" i="4" s="1"/>
  <c r="AN78" i="4" s="1"/>
  <c r="AS78" i="4"/>
  <c r="V42" i="4"/>
  <c r="AM42" i="4" s="1"/>
  <c r="AN42" i="4" s="1"/>
  <c r="AS44" i="4"/>
  <c r="AS108" i="4"/>
  <c r="U27" i="4"/>
  <c r="AH27" i="4" s="1"/>
  <c r="AS148" i="4"/>
  <c r="AS27" i="4"/>
  <c r="U78" i="4"/>
  <c r="AH78" i="4" s="1"/>
  <c r="V27" i="4"/>
  <c r="AM27" i="4" s="1"/>
  <c r="AN27" i="4" s="1"/>
  <c r="AS122" i="4"/>
  <c r="AS99" i="4"/>
  <c r="V99" i="4"/>
  <c r="AM99" i="4" s="1"/>
  <c r="AN99" i="4" s="1"/>
  <c r="V45" i="4"/>
  <c r="W45" i="4" s="1"/>
  <c r="AS45" i="4"/>
  <c r="U82" i="4"/>
  <c r="AH82" i="4" s="1"/>
  <c r="AS82" i="4"/>
  <c r="AS86" i="4"/>
  <c r="V82" i="4"/>
  <c r="AM82" i="4" s="1"/>
  <c r="AN82" i="4" s="1"/>
  <c r="U80" i="4"/>
  <c r="AH80" i="4" s="1"/>
  <c r="U47" i="4"/>
  <c r="AH47" i="4" s="1"/>
  <c r="V122" i="4"/>
  <c r="W122" i="4" s="1"/>
  <c r="Y122" i="4" s="1"/>
  <c r="AS80" i="4"/>
  <c r="V136" i="4"/>
  <c r="AM136" i="4" s="1"/>
  <c r="AN136" i="4" s="1"/>
  <c r="V80" i="4"/>
  <c r="AM80" i="4" s="1"/>
  <c r="AN80" i="4" s="1"/>
  <c r="AS128" i="4"/>
  <c r="V28" i="4"/>
  <c r="AM28" i="4" s="1"/>
  <c r="AN28" i="4" s="1"/>
  <c r="U131" i="4"/>
  <c r="AH131" i="4" s="1"/>
  <c r="U28" i="4"/>
  <c r="AH28" i="4" s="1"/>
  <c r="V103" i="4"/>
  <c r="AM103" i="4" s="1"/>
  <c r="AN103" i="4" s="1"/>
  <c r="V150" i="4"/>
  <c r="AM150" i="4" s="1"/>
  <c r="AN150" i="4" s="1"/>
  <c r="AS136" i="4"/>
  <c r="V87" i="4"/>
  <c r="W87" i="4" s="1"/>
  <c r="Y87" i="4" s="1"/>
  <c r="AS30" i="4"/>
  <c r="V131" i="4"/>
  <c r="W131" i="4" s="1"/>
  <c r="Y131" i="4" s="1"/>
  <c r="AS28" i="4"/>
  <c r="U152" i="4"/>
  <c r="AH152" i="4" s="1"/>
  <c r="U103" i="4"/>
  <c r="AH103" i="4" s="1"/>
  <c r="AS150" i="4"/>
  <c r="V54" i="4"/>
  <c r="AM54" i="4" s="1"/>
  <c r="AN54" i="4" s="1"/>
  <c r="AS54" i="4"/>
  <c r="U54" i="4"/>
  <c r="AH54" i="4" s="1"/>
  <c r="U45" i="4"/>
  <c r="AH45" i="4" s="1"/>
  <c r="U136" i="4"/>
  <c r="AH136" i="4" s="1"/>
  <c r="U122" i="4"/>
  <c r="AH122" i="4" s="1"/>
  <c r="U99" i="4"/>
  <c r="AH99" i="4" s="1"/>
  <c r="AS24" i="4"/>
  <c r="V108" i="4"/>
  <c r="W108" i="4" s="1"/>
  <c r="Y108" i="4" s="1"/>
  <c r="U108" i="4"/>
  <c r="AH108" i="4" s="1"/>
  <c r="U120" i="4"/>
  <c r="AH120" i="4" s="1"/>
  <c r="U72" i="4"/>
  <c r="AH72" i="4" s="1"/>
  <c r="U26" i="4"/>
  <c r="AH26" i="4" s="1"/>
  <c r="AS16" i="4"/>
  <c r="AS117" i="4"/>
  <c r="AS134" i="4"/>
  <c r="AS66" i="4"/>
  <c r="AS113" i="4"/>
  <c r="V113" i="4"/>
  <c r="AM113" i="4" s="1"/>
  <c r="AN113" i="4" s="1"/>
  <c r="U51" i="4"/>
  <c r="AH51" i="4" s="1"/>
  <c r="AS51" i="4"/>
  <c r="AS68" i="4"/>
  <c r="U90" i="4"/>
  <c r="AH90" i="4" s="1"/>
  <c r="V71" i="4"/>
  <c r="W71" i="4" s="1"/>
  <c r="Y71" i="4" s="1"/>
  <c r="U113" i="4"/>
  <c r="AH113" i="4" s="1"/>
  <c r="U83" i="4"/>
  <c r="AH83" i="4" s="1"/>
  <c r="V32" i="4"/>
  <c r="AM32" i="4" s="1"/>
  <c r="AN32" i="4" s="1"/>
  <c r="AS64" i="4"/>
  <c r="AS50" i="4"/>
  <c r="AS127" i="4"/>
  <c r="U50" i="4"/>
  <c r="AH50" i="4" s="1"/>
  <c r="U126" i="4"/>
  <c r="AH126" i="4" s="1"/>
  <c r="V98" i="4"/>
  <c r="W98" i="4" s="1"/>
  <c r="Y98" i="4" s="1"/>
  <c r="V51" i="4"/>
  <c r="W51" i="4" s="1"/>
  <c r="Y51" i="4" s="1"/>
  <c r="V68" i="4"/>
  <c r="AM68" i="4" s="1"/>
  <c r="AN68" i="4" s="1"/>
  <c r="V50" i="4"/>
  <c r="W50" i="4" s="1"/>
  <c r="Y50" i="4" s="1"/>
  <c r="V90" i="4"/>
  <c r="AM90" i="4" s="1"/>
  <c r="AN90" i="4" s="1"/>
  <c r="U32" i="4"/>
  <c r="AH32" i="4" s="1"/>
  <c r="AS90" i="4"/>
  <c r="AS32" i="4"/>
  <c r="V64" i="4"/>
  <c r="AM64" i="4" s="1"/>
  <c r="AN64" i="4" s="1"/>
  <c r="V147" i="4"/>
  <c r="AM147" i="4" s="1"/>
  <c r="AN147" i="4" s="1"/>
  <c r="U119" i="4"/>
  <c r="AH119" i="4" s="1"/>
  <c r="AS41" i="4"/>
  <c r="V36" i="4"/>
  <c r="W36" i="4" s="1"/>
  <c r="Y36" i="4" s="1"/>
  <c r="Z36" i="4" s="1"/>
  <c r="AF36" i="4" s="1"/>
  <c r="AS23" i="4"/>
  <c r="V114" i="4"/>
  <c r="AM114" i="4" s="1"/>
  <c r="AN114" i="4" s="1"/>
  <c r="AS147" i="4"/>
  <c r="V88" i="4"/>
  <c r="AM88" i="4" s="1"/>
  <c r="AN88" i="4" s="1"/>
  <c r="U60" i="4"/>
  <c r="AH60" i="4" s="1"/>
  <c r="U69" i="4"/>
  <c r="AH69" i="4" s="1"/>
  <c r="U114" i="4"/>
  <c r="AH114" i="4" s="1"/>
  <c r="AS114" i="4"/>
  <c r="V156" i="4"/>
  <c r="AM156" i="4" s="1"/>
  <c r="AN156" i="4" s="1"/>
  <c r="AS88" i="4"/>
  <c r="AS53" i="4"/>
  <c r="U19" i="4"/>
  <c r="AH19" i="4" s="1"/>
  <c r="U88" i="4"/>
  <c r="AH88" i="4" s="1"/>
  <c r="U53" i="4"/>
  <c r="AH53" i="4" s="1"/>
  <c r="AS19" i="4"/>
  <c r="U112" i="4"/>
  <c r="AH112" i="4" s="1"/>
  <c r="V69" i="4"/>
  <c r="AM69" i="4" s="1"/>
  <c r="AN69" i="4" s="1"/>
  <c r="V19" i="4"/>
  <c r="AM19" i="4" s="1"/>
  <c r="AN19" i="4" s="1"/>
  <c r="AS102" i="4"/>
  <c r="AS89" i="4"/>
  <c r="V112" i="4"/>
  <c r="AM112" i="4" s="1"/>
  <c r="AN112" i="4" s="1"/>
  <c r="AS144" i="4"/>
  <c r="V137" i="4"/>
  <c r="AM137" i="4" s="1"/>
  <c r="AN137" i="4" s="1"/>
  <c r="AS91" i="4"/>
  <c r="AS40" i="4"/>
  <c r="V89" i="4"/>
  <c r="AM89" i="4" s="1"/>
  <c r="AN89" i="4" s="1"/>
  <c r="U137" i="4"/>
  <c r="AH137" i="4" s="1"/>
  <c r="V23" i="4"/>
  <c r="W23" i="4" s="1"/>
  <c r="U89" i="4"/>
  <c r="AH89" i="4" s="1"/>
  <c r="V119" i="4"/>
  <c r="AM119" i="4" s="1"/>
  <c r="AN119" i="4" s="1"/>
  <c r="V41" i="4"/>
  <c r="AM41" i="4" s="1"/>
  <c r="AN41" i="4" s="1"/>
  <c r="AS36" i="4"/>
  <c r="U23" i="4"/>
  <c r="AH23" i="4" s="1"/>
  <c r="V143" i="4"/>
  <c r="AM143" i="4" s="1"/>
  <c r="V40" i="4"/>
  <c r="AM40" i="4" s="1"/>
  <c r="AN40" i="4" s="1"/>
  <c r="U147" i="4"/>
  <c r="AH147" i="4" s="1"/>
  <c r="U40" i="4"/>
  <c r="AH40" i="4" s="1"/>
  <c r="AH206" i="5"/>
  <c r="AI206" i="5"/>
  <c r="AI479" i="5"/>
  <c r="AH479" i="5"/>
  <c r="AH471" i="5"/>
  <c r="AI471" i="5"/>
  <c r="S526" i="5"/>
  <c r="AO209" i="5"/>
  <c r="AN462" i="5"/>
  <c r="AP371" i="5"/>
  <c r="AQ371" i="5" s="1"/>
  <c r="AN240" i="5"/>
  <c r="V219" i="5"/>
  <c r="AN467" i="5"/>
  <c r="AS126" i="4"/>
  <c r="U38" i="4"/>
  <c r="AH38" i="4" s="1"/>
  <c r="V102" i="4"/>
  <c r="W102" i="4" s="1"/>
  <c r="Y102" i="4" s="1"/>
  <c r="AO58" i="5"/>
  <c r="AN61" i="5"/>
  <c r="U77" i="5"/>
  <c r="AO132" i="5"/>
  <c r="AO114" i="5"/>
  <c r="AO106" i="5"/>
  <c r="V49" i="4"/>
  <c r="AM49" i="4" s="1"/>
  <c r="AN49" i="4" s="1"/>
  <c r="V47" i="4"/>
  <c r="AM47" i="4" s="1"/>
  <c r="AN47" i="4" s="1"/>
  <c r="AO433" i="5"/>
  <c r="U71" i="4"/>
  <c r="AH71" i="4" s="1"/>
  <c r="V91" i="4"/>
  <c r="AM91" i="4" s="1"/>
  <c r="AN91" i="4" s="1"/>
  <c r="V127" i="4"/>
  <c r="AM127" i="4" s="1"/>
  <c r="AN127" i="4" s="1"/>
  <c r="AS38" i="4"/>
  <c r="U141" i="4"/>
  <c r="AH141" i="4" s="1"/>
  <c r="U73" i="4"/>
  <c r="AH73" i="4" s="1"/>
  <c r="V29" i="4"/>
  <c r="W29" i="4" s="1"/>
  <c r="Y29" i="4" s="1"/>
  <c r="AL371" i="5"/>
  <c r="AN81" i="5"/>
  <c r="AS97" i="4"/>
  <c r="U49" i="4"/>
  <c r="AH49" i="4" s="1"/>
  <c r="U86" i="5"/>
  <c r="AS47" i="4"/>
  <c r="AS71" i="4"/>
  <c r="AS111" i="4"/>
  <c r="U70" i="4"/>
  <c r="AH70" i="4" s="1"/>
  <c r="U127" i="4"/>
  <c r="AH127" i="4" s="1"/>
  <c r="V38" i="4"/>
  <c r="AM38" i="4" s="1"/>
  <c r="AN38" i="4" s="1"/>
  <c r="V136" i="5"/>
  <c r="AO491" i="5"/>
  <c r="AS11" i="4"/>
  <c r="V182" i="5"/>
  <c r="U29" i="4"/>
  <c r="AH29" i="4" s="1"/>
  <c r="AO24" i="5"/>
  <c r="AN384" i="5"/>
  <c r="AN444" i="5"/>
  <c r="AO447" i="5"/>
  <c r="AS49" i="4"/>
  <c r="V116" i="4"/>
  <c r="W116" i="4" s="1"/>
  <c r="V111" i="4"/>
  <c r="AM111" i="4" s="1"/>
  <c r="AN111" i="4" s="1"/>
  <c r="AN140" i="5"/>
  <c r="U100" i="4"/>
  <c r="AH100" i="4" s="1"/>
  <c r="AN267" i="5"/>
  <c r="AO555" i="5"/>
  <c r="V18" i="4"/>
  <c r="AM18" i="4" s="1"/>
  <c r="AN18" i="4" s="1"/>
  <c r="V97" i="4"/>
  <c r="W97" i="4" s="1"/>
  <c r="Y97" i="4" s="1"/>
  <c r="AS29" i="4"/>
  <c r="AO550" i="5"/>
  <c r="AP166" i="5"/>
  <c r="AR166" i="5" s="1"/>
  <c r="AP65" i="5"/>
  <c r="AQ65" i="5" s="1"/>
  <c r="U55" i="4"/>
  <c r="AH55" i="4" s="1"/>
  <c r="AN396" i="5"/>
  <c r="U97" i="4"/>
  <c r="AH97" i="4" s="1"/>
  <c r="V167" i="5"/>
  <c r="AN412" i="5"/>
  <c r="AO450" i="5"/>
  <c r="U116" i="4"/>
  <c r="AH116" i="4" s="1"/>
  <c r="U30" i="4"/>
  <c r="AH30" i="4" s="1"/>
  <c r="U111" i="4"/>
  <c r="AH111" i="4" s="1"/>
  <c r="AS100" i="4"/>
  <c r="AO504" i="5"/>
  <c r="AN65" i="5"/>
  <c r="AO49" i="5"/>
  <c r="AN557" i="5"/>
  <c r="Y365" i="5"/>
  <c r="U76" i="4"/>
  <c r="AH76" i="4" s="1"/>
  <c r="AP491" i="5"/>
  <c r="AR491" i="5" s="1"/>
  <c r="AS55" i="4"/>
  <c r="AO116" i="5"/>
  <c r="V103" i="5"/>
  <c r="AS60" i="4"/>
  <c r="AN397" i="5"/>
  <c r="AS116" i="4"/>
  <c r="V86" i="4"/>
  <c r="AM86" i="4" s="1"/>
  <c r="AN86" i="4" s="1"/>
  <c r="V100" i="4"/>
  <c r="AM100" i="4" s="1"/>
  <c r="AN100" i="4" s="1"/>
  <c r="AS70" i="4"/>
  <c r="U10" i="4"/>
  <c r="AH10" i="4" s="1"/>
  <c r="AS76" i="4"/>
  <c r="V55" i="4"/>
  <c r="AM55" i="4" s="1"/>
  <c r="AN55" i="4" s="1"/>
  <c r="V11" i="4"/>
  <c r="AM11" i="4" s="1"/>
  <c r="AN11" i="4" s="1"/>
  <c r="V60" i="4"/>
  <c r="AM60" i="4" s="1"/>
  <c r="AN60" i="4" s="1"/>
  <c r="U68" i="4"/>
  <c r="AH68" i="4" s="1"/>
  <c r="V126" i="4"/>
  <c r="W126" i="4" s="1"/>
  <c r="X126" i="4" s="1"/>
  <c r="U86" i="4"/>
  <c r="AH86" i="4" s="1"/>
  <c r="V30" i="4"/>
  <c r="AM30" i="4" s="1"/>
  <c r="AN30" i="4" s="1"/>
  <c r="V70" i="4"/>
  <c r="W70" i="4" s="1"/>
  <c r="Y70" i="4" s="1"/>
  <c r="U102" i="4"/>
  <c r="AH102" i="4" s="1"/>
  <c r="AO225" i="5"/>
  <c r="AP273" i="5"/>
  <c r="AR273" i="5" s="1"/>
  <c r="V23" i="5"/>
  <c r="AS25" i="4"/>
  <c r="V104" i="5"/>
  <c r="AO432" i="5"/>
  <c r="U48" i="4"/>
  <c r="AH48" i="4" s="1"/>
  <c r="AO252" i="5"/>
  <c r="AO264" i="5"/>
  <c r="V106" i="4"/>
  <c r="AM106" i="4" s="1"/>
  <c r="AN106" i="4" s="1"/>
  <c r="V46" i="5"/>
  <c r="AN199" i="5"/>
  <c r="AO56" i="5"/>
  <c r="AN406" i="5"/>
  <c r="AS52" i="4"/>
  <c r="AO212" i="5"/>
  <c r="AO88" i="5"/>
  <c r="V146" i="4"/>
  <c r="AM146" i="4" s="1"/>
  <c r="AN146" i="4" s="1"/>
  <c r="AP25" i="5"/>
  <c r="AQ25" i="5" s="1"/>
  <c r="AP287" i="5"/>
  <c r="AR287" i="5" s="1"/>
  <c r="AP410" i="5"/>
  <c r="AR410" i="5" s="1"/>
  <c r="AP135" i="5"/>
  <c r="AR135" i="5" s="1"/>
  <c r="AP380" i="5"/>
  <c r="AQ380" i="5" s="1"/>
  <c r="AP153" i="5"/>
  <c r="AQ153" i="5" s="1"/>
  <c r="AS48" i="4"/>
  <c r="U106" i="4"/>
  <c r="AH106" i="4" s="1"/>
  <c r="AS31" i="4"/>
  <c r="AO371" i="5"/>
  <c r="AN363" i="5"/>
  <c r="AP225" i="5"/>
  <c r="AQ225" i="5" s="1"/>
  <c r="AO239" i="5"/>
  <c r="AN420" i="5"/>
  <c r="V60" i="5"/>
  <c r="V48" i="5"/>
  <c r="V147" i="5"/>
  <c r="V75" i="4"/>
  <c r="AM75" i="4" s="1"/>
  <c r="AN75" i="4" s="1"/>
  <c r="U95" i="4"/>
  <c r="AH95" i="4" s="1"/>
  <c r="AS146" i="4"/>
  <c r="AP105" i="5"/>
  <c r="AQ105" i="5" s="1"/>
  <c r="V234" i="5"/>
  <c r="AP214" i="5"/>
  <c r="AQ214" i="5" s="1"/>
  <c r="AP527" i="5"/>
  <c r="AQ527" i="5" s="1"/>
  <c r="AP199" i="5"/>
  <c r="AR199" i="5" s="1"/>
  <c r="AP250" i="5"/>
  <c r="AR250" i="5" s="1"/>
  <c r="AS110" i="4"/>
  <c r="U75" i="4"/>
  <c r="AH75" i="4" s="1"/>
  <c r="AS95" i="4"/>
  <c r="AO415" i="5"/>
  <c r="AN415" i="5"/>
  <c r="V74" i="4"/>
  <c r="AM74" i="4" s="1"/>
  <c r="AN74" i="4" s="1"/>
  <c r="U25" i="4"/>
  <c r="AH25" i="4" s="1"/>
  <c r="V110" i="4"/>
  <c r="W110" i="4" s="1"/>
  <c r="Y110" i="4" s="1"/>
  <c r="AL225" i="5"/>
  <c r="AO451" i="5"/>
  <c r="AN451" i="5"/>
  <c r="AS7" i="4"/>
  <c r="V118" i="4"/>
  <c r="AM118" i="4" s="1"/>
  <c r="AO331" i="5"/>
  <c r="AN331" i="5"/>
  <c r="AI388" i="5"/>
  <c r="AH388" i="5"/>
  <c r="AH331" i="5"/>
  <c r="AI331" i="5"/>
  <c r="AH52" i="5"/>
  <c r="AI52" i="5"/>
  <c r="AH263" i="5"/>
  <c r="AI263" i="5"/>
  <c r="AN51" i="5"/>
  <c r="AO51" i="5"/>
  <c r="AP556" i="5"/>
  <c r="AQ556" i="5" s="1"/>
  <c r="AP58" i="5"/>
  <c r="AR58" i="5" s="1"/>
  <c r="AP175" i="5"/>
  <c r="AQ175" i="5" s="1"/>
  <c r="AP130" i="5"/>
  <c r="AR130" i="5" s="1"/>
  <c r="V25" i="4"/>
  <c r="AM25" i="4" s="1"/>
  <c r="AN25" i="4" s="1"/>
  <c r="U257" i="5"/>
  <c r="AS75" i="4"/>
  <c r="V63" i="4"/>
  <c r="AM63" i="4" s="1"/>
  <c r="AN63" i="4" s="1"/>
  <c r="S480" i="5"/>
  <c r="V35" i="4"/>
  <c r="AM35" i="4" s="1"/>
  <c r="AN35" i="4" s="1"/>
  <c r="V76" i="4"/>
  <c r="AM76" i="4" s="1"/>
  <c r="AN76" i="4" s="1"/>
  <c r="AI399" i="5"/>
  <c r="AH399" i="5"/>
  <c r="AH329" i="5"/>
  <c r="AI329" i="5"/>
  <c r="AO499" i="5"/>
  <c r="AN499" i="5"/>
  <c r="AP333" i="5"/>
  <c r="AR333" i="5" s="1"/>
  <c r="U63" i="4"/>
  <c r="AH63" i="4" s="1"/>
  <c r="AS35" i="4"/>
  <c r="V9" i="4"/>
  <c r="AM9" i="4" s="1"/>
  <c r="AN9" i="4" s="1"/>
  <c r="AI369" i="5"/>
  <c r="AH369" i="5"/>
  <c r="AI241" i="5"/>
  <c r="AH241" i="5"/>
  <c r="AH431" i="5"/>
  <c r="AI431" i="5"/>
  <c r="AN427" i="5"/>
  <c r="AO427" i="5"/>
  <c r="AN539" i="5"/>
  <c r="AO539" i="5"/>
  <c r="AP354" i="5"/>
  <c r="AQ354" i="5" s="1"/>
  <c r="AP450" i="5"/>
  <c r="AQ450" i="5" s="1"/>
  <c r="AP324" i="5"/>
  <c r="AR324" i="5" s="1"/>
  <c r="U35" i="4"/>
  <c r="AH35" i="4" s="1"/>
  <c r="AS63" i="4"/>
  <c r="U12" i="4"/>
  <c r="AH12" i="4" s="1"/>
  <c r="U9" i="4"/>
  <c r="AH9" i="4" s="1"/>
  <c r="AO305" i="5"/>
  <c r="AH53" i="5"/>
  <c r="AI53" i="5"/>
  <c r="AI95" i="5"/>
  <c r="AH95" i="5"/>
  <c r="AI191" i="5"/>
  <c r="AH191" i="5"/>
  <c r="AN73" i="5"/>
  <c r="AO73" i="5"/>
  <c r="AP432" i="5"/>
  <c r="AQ432" i="5" s="1"/>
  <c r="AP69" i="5"/>
  <c r="AQ69" i="5" s="1"/>
  <c r="AP390" i="5"/>
  <c r="AR390" i="5" s="1"/>
  <c r="AP178" i="5"/>
  <c r="AR178" i="5" s="1"/>
  <c r="AP355" i="5"/>
  <c r="AR355" i="5" s="1"/>
  <c r="AP217" i="5"/>
  <c r="AQ217" i="5" s="1"/>
  <c r="AP290" i="5"/>
  <c r="AQ290" i="5" s="1"/>
  <c r="AP365" i="5"/>
  <c r="AQ365" i="5" s="1"/>
  <c r="AP396" i="5"/>
  <c r="AR396" i="5" s="1"/>
  <c r="AP314" i="5"/>
  <c r="AQ314" i="5" s="1"/>
  <c r="AP301" i="5"/>
  <c r="AR301" i="5" s="1"/>
  <c r="AP528" i="5"/>
  <c r="AR528" i="5" s="1"/>
  <c r="AP173" i="5"/>
  <c r="AR173" i="5" s="1"/>
  <c r="U74" i="4"/>
  <c r="AH74" i="4" s="1"/>
  <c r="AS106" i="4"/>
  <c r="V31" i="4"/>
  <c r="AM31" i="4" s="1"/>
  <c r="AN31" i="4" s="1"/>
  <c r="U110" i="4"/>
  <c r="AH110" i="4" s="1"/>
  <c r="AP348" i="5"/>
  <c r="AQ348" i="5" s="1"/>
  <c r="AP387" i="5"/>
  <c r="AR387" i="5" s="1"/>
  <c r="AK105" i="5"/>
  <c r="V123" i="4"/>
  <c r="AM123" i="4" s="1"/>
  <c r="AN123" i="4" s="1"/>
  <c r="R554" i="5"/>
  <c r="AS12" i="4"/>
  <c r="AS9" i="4"/>
  <c r="U84" i="4"/>
  <c r="AH84" i="4" s="1"/>
  <c r="AI543" i="5"/>
  <c r="AH543" i="5"/>
  <c r="AH150" i="5"/>
  <c r="AI150" i="5"/>
  <c r="AI43" i="5"/>
  <c r="AH43" i="5"/>
  <c r="AN313" i="5"/>
  <c r="AO313" i="5"/>
  <c r="AO108" i="5"/>
  <c r="AN108" i="5"/>
  <c r="AP494" i="5"/>
  <c r="AQ494" i="5" s="1"/>
  <c r="AP520" i="5"/>
  <c r="AQ520" i="5" s="1"/>
  <c r="AP48" i="5"/>
  <c r="AR48" i="5" s="1"/>
  <c r="AP267" i="5"/>
  <c r="AR267" i="5" s="1"/>
  <c r="AP338" i="5"/>
  <c r="AQ338" i="5" s="1"/>
  <c r="AP332" i="5"/>
  <c r="AQ332" i="5" s="1"/>
  <c r="AP157" i="5"/>
  <c r="AR157" i="5" s="1"/>
  <c r="AP304" i="5"/>
  <c r="AQ304" i="5" s="1"/>
  <c r="V48" i="4"/>
  <c r="AM48" i="4" s="1"/>
  <c r="AN48" i="4" s="1"/>
  <c r="AS74" i="4"/>
  <c r="U31" i="4"/>
  <c r="AH31" i="4" s="1"/>
  <c r="AP434" i="5"/>
  <c r="AQ434" i="5" s="1"/>
  <c r="U7" i="4"/>
  <c r="AH7" i="4" s="1"/>
  <c r="U123" i="4"/>
  <c r="AH123" i="4" s="1"/>
  <c r="V52" i="4"/>
  <c r="W52" i="4" s="1"/>
  <c r="AN273" i="5"/>
  <c r="AO416" i="5"/>
  <c r="AH325" i="5"/>
  <c r="AI325" i="5"/>
  <c r="AI541" i="5"/>
  <c r="AH541" i="5"/>
  <c r="AP405" i="5"/>
  <c r="AR405" i="5" s="1"/>
  <c r="AP212" i="5"/>
  <c r="AR212" i="5" s="1"/>
  <c r="AP461" i="5"/>
  <c r="AR461" i="5" s="1"/>
  <c r="V7" i="4"/>
  <c r="AM7" i="4" s="1"/>
  <c r="AN7" i="4" s="1"/>
  <c r="AS123" i="4"/>
  <c r="U52" i="4"/>
  <c r="AH52" i="4" s="1"/>
  <c r="V95" i="4"/>
  <c r="AM95" i="4" s="1"/>
  <c r="AN95" i="4" s="1"/>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AB334" i="5" s="1"/>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Q38" i="5" s="1"/>
  <c r="AP110" i="5"/>
  <c r="AR110" i="5" s="1"/>
  <c r="AP47" i="5"/>
  <c r="AR47" i="5" s="1"/>
  <c r="AP92" i="5"/>
  <c r="AQ92" i="5" s="1"/>
  <c r="AP64" i="5"/>
  <c r="AQ64" i="5" s="1"/>
  <c r="V97" i="5"/>
  <c r="AP340" i="5"/>
  <c r="AR340" i="5" s="1"/>
  <c r="R472" i="5"/>
  <c r="V534" i="5"/>
  <c r="Y184" i="5"/>
  <c r="AP189" i="5"/>
  <c r="AQ189" i="5" s="1"/>
  <c r="V145" i="5"/>
  <c r="V54" i="5"/>
  <c r="AP238" i="5"/>
  <c r="AQ238" i="5" s="1"/>
  <c r="AP42" i="5"/>
  <c r="AR42" i="5" s="1"/>
  <c r="AP506" i="5"/>
  <c r="AQ506" i="5" s="1"/>
  <c r="U143" i="5"/>
  <c r="S224" i="5"/>
  <c r="Y179" i="5"/>
  <c r="Y326" i="5"/>
  <c r="AP112" i="5"/>
  <c r="AR112" i="5" s="1"/>
  <c r="AP497" i="5"/>
  <c r="AR497" i="5" s="1"/>
  <c r="AP276" i="5"/>
  <c r="AR276" i="5" s="1"/>
  <c r="AP146" i="5"/>
  <c r="AQ146" i="5" s="1"/>
  <c r="V99" i="5"/>
  <c r="AL227" i="5"/>
  <c r="S136" i="5"/>
  <c r="R216" i="5"/>
  <c r="R232" i="5"/>
  <c r="Y289" i="5"/>
  <c r="Y51" i="5"/>
  <c r="AP252" i="5"/>
  <c r="AR252" i="5" s="1"/>
  <c r="AP159" i="5"/>
  <c r="AR159" i="5" s="1"/>
  <c r="AP406" i="5"/>
  <c r="AQ406" i="5" s="1"/>
  <c r="V21" i="5"/>
  <c r="X553" i="5"/>
  <c r="Y554" i="5"/>
  <c r="X465" i="5"/>
  <c r="AN64" i="5"/>
  <c r="Y260" i="5"/>
  <c r="X274" i="5"/>
  <c r="AP119" i="5"/>
  <c r="AQ119" i="5" s="1"/>
  <c r="AP346" i="5"/>
  <c r="AR346" i="5" s="1"/>
  <c r="AP182" i="5"/>
  <c r="AR182" i="5" s="1"/>
  <c r="V102" i="5"/>
  <c r="AP72" i="5"/>
  <c r="AQ72" i="5" s="1"/>
  <c r="AP54" i="5"/>
  <c r="AR54" i="5" s="1"/>
  <c r="Y448" i="5"/>
  <c r="R280" i="5"/>
  <c r="R152" i="5"/>
  <c r="Y301" i="5"/>
  <c r="Y458" i="5"/>
  <c r="P487" i="5"/>
  <c r="S112" i="5"/>
  <c r="S208" i="5"/>
  <c r="S64" i="5"/>
  <c r="K28" i="2"/>
  <c r="K27" i="2"/>
  <c r="AP486" i="5"/>
  <c r="AQ486" i="5" s="1"/>
  <c r="AP359" i="5"/>
  <c r="AR359" i="5" s="1"/>
  <c r="AP470" i="5"/>
  <c r="AR470" i="5" s="1"/>
  <c r="AP245" i="5"/>
  <c r="AQ245" i="5" s="1"/>
  <c r="AP418" i="5"/>
  <c r="AQ418" i="5" s="1"/>
  <c r="AP258" i="5"/>
  <c r="AQ258" i="5" s="1"/>
  <c r="AP233" i="5"/>
  <c r="AQ233" i="5" s="1"/>
  <c r="AP476" i="5"/>
  <c r="AR476" i="5" s="1"/>
  <c r="AP536" i="5"/>
  <c r="AR536" i="5" s="1"/>
  <c r="AP560" i="5"/>
  <c r="AQ560" i="5" s="1"/>
  <c r="AP485" i="5"/>
  <c r="AQ485" i="5" s="1"/>
  <c r="AP335" i="5"/>
  <c r="AR335" i="5" s="1"/>
  <c r="AP398" i="5"/>
  <c r="AQ398" i="5" s="1"/>
  <c r="N31" i="2"/>
  <c r="AP284" i="5"/>
  <c r="AQ284" i="5" s="1"/>
  <c r="AP24" i="5"/>
  <c r="AR24" i="5" s="1"/>
  <c r="AP306" i="5"/>
  <c r="AR306" i="5" s="1"/>
  <c r="B50" i="5"/>
  <c r="M31" i="2"/>
  <c r="AP512" i="5"/>
  <c r="AQ512" i="5" s="1"/>
  <c r="B153" i="2"/>
  <c r="H39" i="1" s="1"/>
  <c r="L31" i="2"/>
  <c r="AP364" i="5"/>
  <c r="AQ364" i="5" s="1"/>
  <c r="AK451" i="5"/>
  <c r="AP300" i="5"/>
  <c r="AQ300" i="5" s="1"/>
  <c r="M35" i="2"/>
  <c r="N35" i="2" s="1"/>
  <c r="AP492" i="5"/>
  <c r="AR492" i="5" s="1"/>
  <c r="AP557" i="5"/>
  <c r="AQ557" i="5" s="1"/>
  <c r="AP451" i="5"/>
  <c r="AQ451" i="5" s="1"/>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Z96" i="4" s="1"/>
  <c r="AF96" i="4" s="1"/>
  <c r="AO96" i="4" s="1"/>
  <c r="Y529" i="5"/>
  <c r="Y425" i="5"/>
  <c r="X498" i="5"/>
  <c r="Y131" i="5"/>
  <c r="W73" i="4"/>
  <c r="X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Z33" i="4" s="1"/>
  <c r="AS67" i="4"/>
  <c r="AS15" i="4"/>
  <c r="V121" i="4"/>
  <c r="W121" i="4" s="1"/>
  <c r="Y121" i="4" s="1"/>
  <c r="Z121" i="4" s="1"/>
  <c r="U43" i="4"/>
  <c r="AH43" i="4" s="1"/>
  <c r="U129" i="4"/>
  <c r="AH129" i="4" s="1"/>
  <c r="AM9" i="5"/>
  <c r="AN9" i="5" s="1"/>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V56" i="4"/>
  <c r="W56" i="4" s="1"/>
  <c r="Y56" i="4" s="1"/>
  <c r="Z56" i="4" s="1"/>
  <c r="AH138" i="4"/>
  <c r="U149" i="4"/>
  <c r="AH149" i="4" s="1"/>
  <c r="AS56" i="4"/>
  <c r="V72" i="4"/>
  <c r="AM72" i="4" s="1"/>
  <c r="AN72" i="4" s="1"/>
  <c r="AS152" i="4"/>
  <c r="U148" i="4"/>
  <c r="AH148" i="4" s="1"/>
  <c r="U22" i="4"/>
  <c r="AH22" i="4" s="1"/>
  <c r="Y384" i="5"/>
  <c r="X340" i="5"/>
  <c r="X114" i="5"/>
  <c r="AH96" i="4"/>
  <c r="AL34" i="4"/>
  <c r="AS34" i="4"/>
  <c r="V34" i="4"/>
  <c r="U34" i="4"/>
  <c r="AH34" i="4" s="1"/>
  <c r="AL140" i="4"/>
  <c r="U140" i="4"/>
  <c r="AH140" i="4" s="1"/>
  <c r="AS140" i="4"/>
  <c r="AL143" i="4"/>
  <c r="AS143" i="4"/>
  <c r="AL105" i="4"/>
  <c r="AS105" i="4"/>
  <c r="U105" i="4"/>
  <c r="AL21" i="4"/>
  <c r="V21" i="4"/>
  <c r="U21" i="4"/>
  <c r="AH21" i="4" s="1"/>
  <c r="AS21" i="4"/>
  <c r="AS132" i="4"/>
  <c r="V144" i="4"/>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Y502" i="5"/>
  <c r="Y450" i="5"/>
  <c r="X309" i="5"/>
  <c r="X146" i="5"/>
  <c r="X166" i="5"/>
  <c r="Y109" i="5"/>
  <c r="Y230" i="5"/>
  <c r="X230" i="5"/>
  <c r="X171" i="5"/>
  <c r="Y171" i="5"/>
  <c r="Y113" i="5"/>
  <c r="X113" i="5"/>
  <c r="Y377" i="5"/>
  <c r="X377" i="5"/>
  <c r="Y193" i="5"/>
  <c r="X193" i="5"/>
  <c r="Y285" i="5"/>
  <c r="X285" i="5"/>
  <c r="X235" i="5"/>
  <c r="Y235" i="5"/>
  <c r="X94" i="5"/>
  <c r="Y370" i="5"/>
  <c r="X370" i="5"/>
  <c r="Y397" i="5"/>
  <c r="X111" i="5"/>
  <c r="X495" i="5"/>
  <c r="Y105" i="5"/>
  <c r="Y396" i="5"/>
  <c r="X367" i="5"/>
  <c r="X414" i="5"/>
  <c r="X462" i="5"/>
  <c r="Y209" i="5"/>
  <c r="X459" i="5"/>
  <c r="Y459" i="5"/>
  <c r="X307" i="5"/>
  <c r="Y307" i="5"/>
  <c r="Y527" i="5"/>
  <c r="AH15" i="4"/>
  <c r="X534" i="5"/>
  <c r="X227" i="5"/>
  <c r="Y116" i="5"/>
  <c r="Y250" i="5"/>
  <c r="Y107" i="5"/>
  <c r="Y162" i="5"/>
  <c r="X295" i="5"/>
  <c r="Y49" i="5"/>
  <c r="X49" i="5"/>
  <c r="X413" i="5"/>
  <c r="X398" i="5"/>
  <c r="Y419" i="5"/>
  <c r="Y558" i="5"/>
  <c r="Y452" i="5"/>
  <c r="X452" i="5"/>
  <c r="X147" i="5"/>
  <c r="Y147" i="5"/>
  <c r="X47" i="5"/>
  <c r="Y47" i="5"/>
  <c r="Y446" i="5"/>
  <c r="X292" i="5"/>
  <c r="Y336" i="5"/>
  <c r="Y41" i="5"/>
  <c r="X347" i="5"/>
  <c r="Y364" i="5"/>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Q118" i="5" s="1"/>
  <c r="AP219" i="5"/>
  <c r="AR219" i="5" s="1"/>
  <c r="AP345" i="5"/>
  <c r="AR345" i="5" s="1"/>
  <c r="AP498" i="5"/>
  <c r="AQ498" i="5" s="1"/>
  <c r="AP496" i="5"/>
  <c r="AQ496" i="5" s="1"/>
  <c r="AP392" i="5"/>
  <c r="AR392" i="5" s="1"/>
  <c r="AP428" i="5"/>
  <c r="AQ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Q205" i="5" s="1"/>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N257" i="5"/>
  <c r="AO257" i="5"/>
  <c r="AN376" i="5"/>
  <c r="AO376" i="5"/>
  <c r="AM93" i="4"/>
  <c r="AN93" i="4" s="1"/>
  <c r="W93" i="4"/>
  <c r="U88" i="5"/>
  <c r="V88" i="5"/>
  <c r="AN248" i="5"/>
  <c r="AO248" i="5"/>
  <c r="AO57" i="5"/>
  <c r="AN57" i="5"/>
  <c r="U24" i="5"/>
  <c r="V24" i="5"/>
  <c r="AO280" i="5"/>
  <c r="AN280" i="5"/>
  <c r="U376" i="5"/>
  <c r="V376" i="5"/>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Q134" i="5" s="1"/>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U504" i="5"/>
  <c r="V504" i="5"/>
  <c r="AN337" i="5"/>
  <c r="AO337" i="5"/>
  <c r="V336" i="5"/>
  <c r="U336" i="5"/>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P78" i="5"/>
  <c r="AQ78" i="5" s="1"/>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N148" i="5"/>
  <c r="AO148" i="5"/>
  <c r="U56" i="5"/>
  <c r="V56" i="5"/>
  <c r="AN424" i="5"/>
  <c r="AO424" i="5"/>
  <c r="U496" i="5"/>
  <c r="V496" i="5"/>
  <c r="V344" i="5"/>
  <c r="U344" i="5"/>
  <c r="AO448" i="5"/>
  <c r="AN448" i="5"/>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N216" i="5"/>
  <c r="AO216" i="5"/>
  <c r="AN151" i="5"/>
  <c r="AO151" i="5"/>
  <c r="AO84" i="5"/>
  <c r="AN84" i="5"/>
  <c r="AN101" i="5"/>
  <c r="AO101" i="5"/>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AN236" i="5"/>
  <c r="AO236" i="5"/>
  <c r="AO208" i="5"/>
  <c r="AN208" i="5"/>
  <c r="U400" i="5"/>
  <c r="V400" i="5"/>
  <c r="V112" i="5"/>
  <c r="U112" i="5"/>
  <c r="AO144" i="5"/>
  <c r="AN144" i="5"/>
  <c r="U526" i="5"/>
  <c r="V526" i="5"/>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N203" i="5"/>
  <c r="AO203" i="5"/>
  <c r="U272" i="5"/>
  <c r="V272" i="5"/>
  <c r="U424" i="5"/>
  <c r="V424" i="5"/>
  <c r="AM77" i="4"/>
  <c r="W77" i="4"/>
  <c r="X77" i="4" s="1"/>
  <c r="V304" i="5"/>
  <c r="U304" i="5"/>
  <c r="V208" i="5"/>
  <c r="U208" i="5"/>
  <c r="AN464" i="5"/>
  <c r="AO464" i="5"/>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Q216" i="5" s="1"/>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W157" i="4"/>
  <c r="X157" i="4" s="1"/>
  <c r="U192" i="5"/>
  <c r="V192" i="5"/>
  <c r="U232" i="5"/>
  <c r="V232" i="5"/>
  <c r="AN336" i="5"/>
  <c r="AO336" i="5"/>
  <c r="AN227" i="5"/>
  <c r="AO227" i="5"/>
  <c r="AN121" i="5"/>
  <c r="AO121" i="5"/>
  <c r="AN184" i="5"/>
  <c r="AO184" i="5"/>
  <c r="AN123" i="5"/>
  <c r="AO123" i="5"/>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V416" i="5"/>
  <c r="U416" i="5"/>
  <c r="AN153" i="5"/>
  <c r="AO153" i="5"/>
  <c r="V32" i="5"/>
  <c r="U32" i="5"/>
  <c r="U360" i="5"/>
  <c r="V360" i="5"/>
  <c r="AO387" i="5"/>
  <c r="AN387" i="5"/>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AO193" i="5"/>
  <c r="AN193" i="5"/>
  <c r="B102" i="2"/>
  <c r="B103" i="2" s="1"/>
  <c r="B73" i="2"/>
  <c r="B157" i="2"/>
  <c r="B92" i="2"/>
  <c r="B142" i="2"/>
  <c r="AH139" i="4"/>
  <c r="AH130" i="4"/>
  <c r="AH118" i="4"/>
  <c r="AH44" i="4"/>
  <c r="AH81" i="4"/>
  <c r="AH17" i="4"/>
  <c r="AH41" i="4"/>
  <c r="AH13" i="4"/>
  <c r="AH62" i="4"/>
  <c r="AH124" i="4"/>
  <c r="AH58" i="4"/>
  <c r="AH146" i="4"/>
  <c r="AH156" i="4"/>
  <c r="AH33" i="4"/>
  <c r="AH154" i="4"/>
  <c r="AH150" i="4"/>
  <c r="AH121" i="4"/>
  <c r="AH151" i="4"/>
  <c r="AH64" i="4"/>
  <c r="AH135" i="4"/>
  <c r="AH104" i="4"/>
  <c r="AH98" i="4"/>
  <c r="AH56" i="4"/>
  <c r="AH143" i="4"/>
  <c r="AH93" i="4"/>
  <c r="AH92" i="4"/>
  <c r="AR133" i="5"/>
  <c r="AR153" i="5"/>
  <c r="AK55" i="5"/>
  <c r="AL55" i="5"/>
  <c r="AL99" i="5"/>
  <c r="AK99" i="5"/>
  <c r="V7" i="5"/>
  <c r="U7" i="5"/>
  <c r="AK240" i="5"/>
  <c r="AL240" i="5"/>
  <c r="AK455" i="5"/>
  <c r="AL45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AM53" i="4"/>
  <c r="AN53" i="4" s="1"/>
  <c r="W53" i="4"/>
  <c r="Y53" i="4" s="1"/>
  <c r="W120" i="4"/>
  <c r="Y120" i="4" s="1"/>
  <c r="AM120" i="4"/>
  <c r="AN120" i="4" s="1"/>
  <c r="AL369" i="5"/>
  <c r="AK369" i="5"/>
  <c r="AP369" i="5"/>
  <c r="AK376" i="5"/>
  <c r="AP376" i="5"/>
  <c r="AL376" i="5"/>
  <c r="AL95" i="5"/>
  <c r="AK95" i="5"/>
  <c r="AP95" i="5"/>
  <c r="AK351" i="5"/>
  <c r="AL351" i="5"/>
  <c r="Y12" i="5"/>
  <c r="X12" i="5"/>
  <c r="AK152" i="5"/>
  <c r="AP152" i="5"/>
  <c r="AL152" i="5"/>
  <c r="AN7" i="5"/>
  <c r="AO7" i="5"/>
  <c r="AK416" i="5"/>
  <c r="AL416" i="5"/>
  <c r="AP416" i="5"/>
  <c r="AI7" i="5"/>
  <c r="AH7" i="5"/>
  <c r="AP7" i="5"/>
  <c r="AP431" i="5"/>
  <c r="AL431" i="5"/>
  <c r="AK431" i="5"/>
  <c r="AL353" i="5"/>
  <c r="AK353" i="5"/>
  <c r="AP353" i="5"/>
  <c r="AK113" i="5"/>
  <c r="AL113" i="5"/>
  <c r="AK534" i="5"/>
  <c r="AL534" i="5"/>
  <c r="AP534" i="5"/>
  <c r="AL31" i="5"/>
  <c r="AK31" i="5"/>
  <c r="AH65" i="4"/>
  <c r="AL81" i="5"/>
  <c r="AK81" i="5"/>
  <c r="AK160" i="5"/>
  <c r="AL160" i="5"/>
  <c r="AK135" i="5"/>
  <c r="AL135" i="5"/>
  <c r="AH153" i="4"/>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AL112" i="5"/>
  <c r="AK112" i="5"/>
  <c r="AM92" i="4"/>
  <c r="AN92" i="4" s="1"/>
  <c r="W92" i="4"/>
  <c r="Y92" i="4" s="1"/>
  <c r="Z92" i="4" s="1"/>
  <c r="AP164" i="5"/>
  <c r="AP305" i="5"/>
  <c r="AK459" i="5"/>
  <c r="AL459" i="5"/>
  <c r="AP459" i="5"/>
  <c r="AK88" i="5"/>
  <c r="AL88" i="5"/>
  <c r="AP88" i="5"/>
  <c r="AL541" i="5"/>
  <c r="AK541" i="5"/>
  <c r="AP541" i="5"/>
  <c r="AL56" i="5"/>
  <c r="AK56" i="5"/>
  <c r="AL144" i="5"/>
  <c r="AK144" i="5"/>
  <c r="AK368" i="5"/>
  <c r="AL368" i="5"/>
  <c r="AK7" i="5"/>
  <c r="AL7" i="5"/>
  <c r="AK525" i="5"/>
  <c r="AL525" i="5"/>
  <c r="AK489" i="5"/>
  <c r="AL489" i="5"/>
  <c r="AP489" i="5"/>
  <c r="AK89" i="5"/>
  <c r="AL89" i="5"/>
  <c r="AP399" i="5"/>
  <c r="AK399" i="5"/>
  <c r="AL399" i="5"/>
  <c r="AK449" i="5"/>
  <c r="AL449" i="5"/>
  <c r="AK359" i="5"/>
  <c r="AL359" i="5"/>
  <c r="AM138" i="4"/>
  <c r="AN138" i="4" s="1"/>
  <c r="W138" i="4"/>
  <c r="Y138" i="4" s="1"/>
  <c r="Z138" i="4" s="1"/>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M13" i="4"/>
  <c r="AN13" i="4" s="1"/>
  <c r="W13" i="4"/>
  <c r="Y13" i="4" s="1"/>
  <c r="Z13" i="4" s="1"/>
  <c r="AP286" i="5"/>
  <c r="AP523" i="5"/>
  <c r="AK155" i="5"/>
  <c r="AL155" i="5"/>
  <c r="AP155" i="5"/>
  <c r="B80" i="2"/>
  <c r="B143" i="2"/>
  <c r="B75" i="2"/>
  <c r="B108" i="2"/>
  <c r="B109" i="2" s="1"/>
  <c r="B98" i="2"/>
  <c r="AP55" i="5"/>
  <c r="AP221" i="5"/>
  <c r="AK224" i="5"/>
  <c r="AL224" i="5"/>
  <c r="AP224" i="5"/>
  <c r="AK223" i="5"/>
  <c r="AL223" i="5"/>
  <c r="AL35" i="5"/>
  <c r="AK35" i="5"/>
  <c r="AP35" i="5"/>
  <c r="AK97" i="5"/>
  <c r="AL97" i="5"/>
  <c r="AK367" i="5"/>
  <c r="AL367" i="5"/>
  <c r="AP367" i="5"/>
  <c r="AM149" i="4"/>
  <c r="AN149" i="4" s="1"/>
  <c r="W149" i="4"/>
  <c r="Y149" i="4" s="1"/>
  <c r="AL107" i="5"/>
  <c r="AK107" i="5"/>
  <c r="AP107" i="5"/>
  <c r="AL328" i="5"/>
  <c r="AK328" i="5"/>
  <c r="AK183" i="5"/>
  <c r="AP183" i="5"/>
  <c r="AL183" i="5"/>
  <c r="AK439" i="5"/>
  <c r="AL439" i="5"/>
  <c r="AL32" i="5"/>
  <c r="AK32" i="5"/>
  <c r="AP32" i="5"/>
  <c r="AL303" i="5"/>
  <c r="AP303" i="5"/>
  <c r="AK303" i="5"/>
  <c r="W17" i="4"/>
  <c r="Y17" i="4" s="1"/>
  <c r="Z17" i="4" s="1"/>
  <c r="AM17" i="4"/>
  <c r="AN17" i="4" s="1"/>
  <c r="AK335" i="5"/>
  <c r="AL335" i="5"/>
  <c r="AL96" i="5"/>
  <c r="AK96" i="5"/>
  <c r="AL47" i="5"/>
  <c r="AK47" i="5"/>
  <c r="AM154" i="4"/>
  <c r="AN154" i="4" s="1"/>
  <c r="W154" i="4"/>
  <c r="Y154" i="4" s="1"/>
  <c r="Z154" i="4" s="1"/>
  <c r="AL265" i="5"/>
  <c r="AK265" i="5"/>
  <c r="AP265" i="5"/>
  <c r="AL121" i="5"/>
  <c r="AK121" i="5"/>
  <c r="AP423" i="5"/>
  <c r="AK423" i="5"/>
  <c r="AL423" i="5"/>
  <c r="AM65" i="4"/>
  <c r="AN65" i="4" s="1"/>
  <c r="W65" i="4"/>
  <c r="Y65" i="4" s="1"/>
  <c r="Z65" i="4" s="1"/>
  <c r="AM153" i="4"/>
  <c r="AN153" i="4" s="1"/>
  <c r="W153" i="4"/>
  <c r="Y153" i="4" s="1"/>
  <c r="Z153" i="4" s="1"/>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AK311" i="5"/>
  <c r="AP311" i="5"/>
  <c r="AL311" i="5"/>
  <c r="AK111" i="5"/>
  <c r="AL111" i="5"/>
  <c r="AP111" i="5"/>
  <c r="AL40" i="5"/>
  <c r="AK40" i="5"/>
  <c r="AP40" i="5"/>
  <c r="AL280" i="5"/>
  <c r="AK280" i="5"/>
  <c r="AM124" i="4"/>
  <c r="AN124" i="4" s="1"/>
  <c r="W124" i="4"/>
  <c r="Y124" i="4" s="1"/>
  <c r="Z124" i="4" s="1"/>
  <c r="AP328" i="5"/>
  <c r="X7" i="5"/>
  <c r="Y7" i="5"/>
  <c r="AL119" i="5"/>
  <c r="AK119" i="5"/>
  <c r="AK79" i="5"/>
  <c r="AL79" i="5"/>
  <c r="AL143" i="5"/>
  <c r="AK143" i="5"/>
  <c r="AK313" i="5"/>
  <c r="AL313" i="5"/>
  <c r="AK72" i="5"/>
  <c r="AL72" i="5"/>
  <c r="AL264" i="5"/>
  <c r="AK264" i="5"/>
  <c r="AK320" i="5"/>
  <c r="AP320" i="5"/>
  <c r="AL320" i="5"/>
  <c r="AL207" i="5"/>
  <c r="AK207" i="5"/>
  <c r="AP207" i="5"/>
  <c r="AL473" i="5"/>
  <c r="AK473" i="5"/>
  <c r="AP464" i="5"/>
  <c r="AL553" i="5"/>
  <c r="AK553" i="5"/>
  <c r="AH144" i="4"/>
  <c r="B105" i="2"/>
  <c r="B106" i="2" s="1"/>
  <c r="B74" i="2"/>
  <c r="B95" i="2"/>
  <c r="AL546" i="5"/>
  <c r="AK546" i="5"/>
  <c r="AP546" i="5"/>
  <c r="AK175" i="5"/>
  <c r="AL175"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L339" i="5"/>
  <c r="AP339" i="5"/>
  <c r="AK339" i="5"/>
  <c r="AL360" i="5"/>
  <c r="AK360" i="5"/>
  <c r="AK127" i="5"/>
  <c r="AL127" i="5"/>
  <c r="AK83" i="5"/>
  <c r="AL83" i="5"/>
  <c r="AP83" i="5"/>
  <c r="AK48" i="5"/>
  <c r="AL48" i="5"/>
  <c r="AP240" i="5"/>
  <c r="AK488" i="5"/>
  <c r="AL488" i="5"/>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P473" i="5"/>
  <c r="AP439" i="5"/>
  <c r="AP89" i="5"/>
  <c r="AP449" i="5"/>
  <c r="AP458" i="5"/>
  <c r="AL59" i="5"/>
  <c r="AK59" i="5"/>
  <c r="AP59" i="5"/>
  <c r="AK457" i="5"/>
  <c r="AL457" i="5"/>
  <c r="AL519" i="5"/>
  <c r="AK519" i="5"/>
  <c r="AP519" i="5"/>
  <c r="AK217" i="5"/>
  <c r="AL217" i="5"/>
  <c r="AK200" i="5"/>
  <c r="AL200" i="5"/>
  <c r="AP200" i="5"/>
  <c r="AM104" i="4"/>
  <c r="AN104" i="4" s="1"/>
  <c r="W104" i="4"/>
  <c r="Y104" i="4" s="1"/>
  <c r="Z104" i="4" s="1"/>
  <c r="AH107" i="4"/>
  <c r="AK432" i="5"/>
  <c r="AL432" i="5"/>
  <c r="AP223" i="5"/>
  <c r="W107" i="4"/>
  <c r="Y107" i="4" s="1"/>
  <c r="Z107" i="4" s="1"/>
  <c r="AM107" i="4"/>
  <c r="AN107" i="4" s="1"/>
  <c r="AL8" i="5"/>
  <c r="AK8" i="5"/>
  <c r="AP280" i="5"/>
  <c r="S7" i="5"/>
  <c r="R7" i="5"/>
  <c r="W139" i="4"/>
  <c r="Y139" i="4" s="1"/>
  <c r="Z139" i="4" s="1"/>
  <c r="AM139" i="4"/>
  <c r="AN139" i="4" s="1"/>
  <c r="AL312" i="5"/>
  <c r="AK312" i="5"/>
  <c r="AK295" i="5"/>
  <c r="AL295" i="5"/>
  <c r="AP295" i="5"/>
  <c r="AP455" i="5"/>
  <c r="AL211" i="5"/>
  <c r="AK211" i="5"/>
  <c r="AL347" i="5"/>
  <c r="AK347" i="5"/>
  <c r="AP347" i="5"/>
  <c r="AP8" i="5"/>
  <c r="AK327" i="5"/>
  <c r="AL327" i="5"/>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L291" i="5"/>
  <c r="AK291" i="5"/>
  <c r="AK487" i="5"/>
  <c r="AL487" i="5"/>
  <c r="AK515" i="5"/>
  <c r="AL515" i="5"/>
  <c r="AP515" i="5"/>
  <c r="AP264" i="5"/>
  <c r="AH36" i="4"/>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P499" i="5"/>
  <c r="AK281" i="5"/>
  <c r="AL281" i="5"/>
  <c r="AK120" i="5"/>
  <c r="AL120" i="5"/>
  <c r="AP120" i="5"/>
  <c r="AK159" i="5"/>
  <c r="AL159" i="5"/>
  <c r="AK383" i="5"/>
  <c r="AL383" i="5"/>
  <c r="AK533" i="5"/>
  <c r="AL533" i="5"/>
  <c r="AM81" i="4"/>
  <c r="AN81" i="4" s="1"/>
  <c r="W81" i="4"/>
  <c r="Y81" i="4" s="1"/>
  <c r="Z81" i="4" s="1"/>
  <c r="AP299" i="5"/>
  <c r="AM108" i="4" l="1"/>
  <c r="AN108" i="4" s="1"/>
  <c r="W42" i="4"/>
  <c r="Y42" i="4" s="1"/>
  <c r="Z108" i="4"/>
  <c r="W80" i="4"/>
  <c r="Y80" i="4" s="1"/>
  <c r="Z80" i="4" s="1"/>
  <c r="AF80" i="4" s="1"/>
  <c r="W78" i="4"/>
  <c r="Y78" i="4" s="1"/>
  <c r="Z78" i="4" s="1"/>
  <c r="AF78" i="4" s="1"/>
  <c r="R12" i="5"/>
  <c r="AQ227" i="5"/>
  <c r="AQ460" i="5"/>
  <c r="AR270" i="5"/>
  <c r="AQ333" i="5"/>
  <c r="AQ528" i="5"/>
  <c r="W48" i="4"/>
  <c r="Y48" i="4" s="1"/>
  <c r="Z48" i="4" s="1"/>
  <c r="AF48" i="4" s="1"/>
  <c r="W40" i="4"/>
  <c r="Y40" i="4" s="1"/>
  <c r="Z40" i="4" s="1"/>
  <c r="AF40" i="4" s="1"/>
  <c r="AG40" i="4" s="1"/>
  <c r="AI40" i="4" s="1"/>
  <c r="AM110" i="4"/>
  <c r="AN110" i="4" s="1"/>
  <c r="W55" i="4"/>
  <c r="Y55" i="4" s="1"/>
  <c r="Z55" i="4" s="1"/>
  <c r="AF55" i="4" s="1"/>
  <c r="AR383" i="5"/>
  <c r="AQ382" i="5"/>
  <c r="AR506" i="5"/>
  <c r="AR380" i="5"/>
  <c r="AQ109" i="5"/>
  <c r="AQ58" i="5"/>
  <c r="AR510" i="5"/>
  <c r="AR119" i="5"/>
  <c r="AQ386" i="5"/>
  <c r="W90" i="4"/>
  <c r="Y90" i="4" s="1"/>
  <c r="Z90" i="4" s="1"/>
  <c r="AF90" i="4" s="1"/>
  <c r="W44" i="4"/>
  <c r="Y44" i="4" s="1"/>
  <c r="Z44" i="4" s="1"/>
  <c r="AF44" i="4" s="1"/>
  <c r="W136" i="4"/>
  <c r="Y136" i="4" s="1"/>
  <c r="Z136" i="4" s="1"/>
  <c r="AF136" i="4" s="1"/>
  <c r="W85" i="4"/>
  <c r="Y85" i="4" s="1"/>
  <c r="Z85" i="4" s="1"/>
  <c r="AQ540" i="5"/>
  <c r="AQ544" i="5"/>
  <c r="AQ169" i="5"/>
  <c r="AQ178" i="5"/>
  <c r="AQ390" i="5"/>
  <c r="AQ372" i="5"/>
  <c r="AR175" i="5"/>
  <c r="AR38" i="5"/>
  <c r="AR539" i="5"/>
  <c r="AQ552" i="5"/>
  <c r="AQ548" i="5"/>
  <c r="AQ404" i="5"/>
  <c r="AQ192" i="5"/>
  <c r="AQ187" i="5"/>
  <c r="AQ159" i="5"/>
  <c r="AR437" i="5"/>
  <c r="AR51" i="5"/>
  <c r="AQ234" i="5"/>
  <c r="AR512" i="5"/>
  <c r="AR176" i="5"/>
  <c r="AR225" i="5"/>
  <c r="AR245" i="5"/>
  <c r="AQ410" i="5"/>
  <c r="AR146" i="5"/>
  <c r="AP12" i="5"/>
  <c r="AQ12" i="5" s="1"/>
  <c r="AQ135" i="5"/>
  <c r="AR313" i="5"/>
  <c r="AR432" i="5"/>
  <c r="AQ356" i="5"/>
  <c r="AQ301" i="5"/>
  <c r="AR418" i="5"/>
  <c r="AR465" i="5"/>
  <c r="AR281" i="5"/>
  <c r="AR238" i="5"/>
  <c r="AR222" i="5"/>
  <c r="AR524" i="5"/>
  <c r="AR516" i="5"/>
  <c r="AR148" i="5"/>
  <c r="AQ405" i="5"/>
  <c r="AQ396" i="5"/>
  <c r="AH12" i="5"/>
  <c r="AR354" i="5"/>
  <c r="AI12" i="5"/>
  <c r="AR365" i="5"/>
  <c r="AQ491" i="5"/>
  <c r="AL12" i="5"/>
  <c r="AR371" i="5"/>
  <c r="AR283" i="5"/>
  <c r="AQ346" i="5"/>
  <c r="AQ147" i="5"/>
  <c r="AQ112" i="5"/>
  <c r="AR72" i="5"/>
  <c r="AR485" i="5"/>
  <c r="AR141" i="5"/>
  <c r="AQ252" i="5"/>
  <c r="AQ287" i="5"/>
  <c r="AR521" i="5"/>
  <c r="AR527" i="5"/>
  <c r="AR25" i="5"/>
  <c r="AQ129" i="5"/>
  <c r="AQ250" i="5"/>
  <c r="AR428" i="5"/>
  <c r="AR558" i="5"/>
  <c r="AR477" i="5"/>
  <c r="AR394" i="5"/>
  <c r="AR290" i="5"/>
  <c r="AQ26" i="5"/>
  <c r="AR304" i="5"/>
  <c r="AR78" i="5"/>
  <c r="AR434" i="5"/>
  <c r="AQ470" i="5"/>
  <c r="AQ359" i="5"/>
  <c r="AO12" i="5"/>
  <c r="AR300" i="5"/>
  <c r="V12" i="5"/>
  <c r="AQ387" i="5"/>
  <c r="AR486" i="5"/>
  <c r="AR105" i="5"/>
  <c r="AQ182" i="5"/>
  <c r="AR189" i="5"/>
  <c r="AQ492" i="5"/>
  <c r="AQ324" i="5"/>
  <c r="AR450" i="5"/>
  <c r="AQ461" i="5"/>
  <c r="AQ199" i="5"/>
  <c r="AQ345" i="5"/>
  <c r="AR560" i="5"/>
  <c r="AR214" i="5"/>
  <c r="AQ306" i="5"/>
  <c r="AQ536" i="5"/>
  <c r="AR451" i="5"/>
  <c r="AQ355" i="5"/>
  <c r="AQ157" i="5"/>
  <c r="AQ307" i="5"/>
  <c r="AQ47" i="5"/>
  <c r="AR202" i="5"/>
  <c r="AR332" i="5"/>
  <c r="AQ166" i="5"/>
  <c r="AQ379" i="5"/>
  <c r="AR217" i="5"/>
  <c r="AR69" i="5"/>
  <c r="AQ43" i="5"/>
  <c r="AR348" i="5"/>
  <c r="AQ130" i="5"/>
  <c r="AR118" i="5"/>
  <c r="AQ212" i="5"/>
  <c r="AR556" i="5"/>
  <c r="AQ340" i="5"/>
  <c r="AQ273" i="5"/>
  <c r="AQ326" i="5"/>
  <c r="AQ110" i="5"/>
  <c r="AR262" i="5"/>
  <c r="AQ127" i="5"/>
  <c r="AR520" i="5"/>
  <c r="AQ173" i="5"/>
  <c r="AR205" i="5"/>
  <c r="AR494" i="5"/>
  <c r="AR557" i="5"/>
  <c r="AR398" i="5"/>
  <c r="AR314" i="5"/>
  <c r="AR338" i="5"/>
  <c r="AR237" i="5"/>
  <c r="AQ267" i="5"/>
  <c r="AR496" i="5"/>
  <c r="AQ454" i="5"/>
  <c r="AQ402" i="5"/>
  <c r="AR65" i="5"/>
  <c r="AQ497" i="5"/>
  <c r="AQ93" i="5"/>
  <c r="AQ335" i="5"/>
  <c r="AR522" i="5"/>
  <c r="AR64" i="5"/>
  <c r="AR483" i="5"/>
  <c r="AR312" i="5"/>
  <c r="AQ350" i="5"/>
  <c r="AQ24" i="5"/>
  <c r="AR92" i="5"/>
  <c r="AR216" i="5"/>
  <c r="AQ48" i="5"/>
  <c r="AM131" i="4"/>
  <c r="AN131" i="4" s="1"/>
  <c r="W137" i="4"/>
  <c r="X137" i="4" s="1"/>
  <c r="AJ137" i="4" s="1"/>
  <c r="AM45" i="4"/>
  <c r="AN45" i="4" s="1"/>
  <c r="W99" i="4"/>
  <c r="Y99" i="4" s="1"/>
  <c r="Z99" i="4" s="1"/>
  <c r="AF99" i="4" s="1"/>
  <c r="W103" i="4"/>
  <c r="Y103" i="4" s="1"/>
  <c r="Z103" i="4" s="1"/>
  <c r="AF103" i="4" s="1"/>
  <c r="AO103" i="4" s="1"/>
  <c r="W27" i="4"/>
  <c r="Y27" i="4" s="1"/>
  <c r="Z27" i="4" s="1"/>
  <c r="AF27" i="4" s="1"/>
  <c r="AO27" i="4" s="1"/>
  <c r="W82" i="4"/>
  <c r="Y82" i="4" s="1"/>
  <c r="Z82" i="4" s="1"/>
  <c r="AF82" i="4" s="1"/>
  <c r="AO82" i="4" s="1"/>
  <c r="Z122" i="4"/>
  <c r="AF122" i="4" s="1"/>
  <c r="W54" i="4"/>
  <c r="X54" i="4" s="1"/>
  <c r="AJ54" i="4" s="1"/>
  <c r="AN157" i="4"/>
  <c r="AM122" i="4"/>
  <c r="AN122" i="4" s="1"/>
  <c r="W28" i="4"/>
  <c r="Y28" i="4" s="1"/>
  <c r="Z28" i="4" s="1"/>
  <c r="AF28" i="4" s="1"/>
  <c r="AM87" i="4"/>
  <c r="AN87" i="4" s="1"/>
  <c r="W150" i="4"/>
  <c r="X150" i="4" s="1"/>
  <c r="AJ150" i="4" s="1"/>
  <c r="Z70" i="4"/>
  <c r="AF70" i="4" s="1"/>
  <c r="Z110" i="4"/>
  <c r="AF110" i="4" s="1"/>
  <c r="W118" i="4"/>
  <c r="Y118" i="4" s="1"/>
  <c r="Z118" i="4" s="1"/>
  <c r="AM23" i="4"/>
  <c r="AN23" i="4" s="1"/>
  <c r="W88" i="4"/>
  <c r="Y88" i="4" s="1"/>
  <c r="Z88" i="4" s="1"/>
  <c r="W64" i="4"/>
  <c r="X64" i="4" s="1"/>
  <c r="AJ64" i="4" s="1"/>
  <c r="W111" i="4"/>
  <c r="Y111" i="4" s="1"/>
  <c r="Z111" i="4" s="1"/>
  <c r="AF111" i="4" s="1"/>
  <c r="AJ73" i="4"/>
  <c r="W38" i="4"/>
  <c r="AE38" i="4" s="1"/>
  <c r="AP10" i="5"/>
  <c r="AQ10" i="5" s="1"/>
  <c r="AM29" i="4"/>
  <c r="AN29" i="4" s="1"/>
  <c r="W156" i="4"/>
  <c r="Y156" i="4" s="1"/>
  <c r="Z156" i="4" s="1"/>
  <c r="W147" i="4"/>
  <c r="Y147" i="4" s="1"/>
  <c r="Z147" i="4" s="1"/>
  <c r="AF147" i="4" s="1"/>
  <c r="W112" i="4"/>
  <c r="Y112" i="4" s="1"/>
  <c r="Z112" i="4" s="1"/>
  <c r="AF112" i="4" s="1"/>
  <c r="AO112" i="4" s="1"/>
  <c r="W113" i="4"/>
  <c r="Y113" i="4" s="1"/>
  <c r="Z113" i="4" s="1"/>
  <c r="AF113" i="4" s="1"/>
  <c r="W143" i="4"/>
  <c r="Y143" i="4" s="1"/>
  <c r="Z143" i="4" s="1"/>
  <c r="W114" i="4"/>
  <c r="Y114" i="4" s="1"/>
  <c r="Z114" i="4" s="1"/>
  <c r="AF114" i="4" s="1"/>
  <c r="AO114" i="4" s="1"/>
  <c r="W89" i="4"/>
  <c r="Y89" i="4" s="1"/>
  <c r="Z89" i="4" s="1"/>
  <c r="AF89" i="4" s="1"/>
  <c r="AO89" i="4" s="1"/>
  <c r="Z29" i="4"/>
  <c r="AF29" i="4" s="1"/>
  <c r="W68" i="4"/>
  <c r="Y68" i="4" s="1"/>
  <c r="Z68" i="4" s="1"/>
  <c r="AF68" i="4" s="1"/>
  <c r="AG68" i="4" s="1"/>
  <c r="AI68" i="4" s="1"/>
  <c r="Z53" i="4"/>
  <c r="AF53" i="4" s="1"/>
  <c r="AO53" i="4" s="1"/>
  <c r="AM97" i="4"/>
  <c r="AN97" i="4" s="1"/>
  <c r="W25" i="4"/>
  <c r="Y25" i="4" s="1"/>
  <c r="Z25" i="4" s="1"/>
  <c r="AF25" i="4" s="1"/>
  <c r="AG25" i="4" s="1"/>
  <c r="AI25" i="4" s="1"/>
  <c r="W74" i="4"/>
  <c r="Y74" i="4" s="1"/>
  <c r="Z74" i="4" s="1"/>
  <c r="AF74" i="4" s="1"/>
  <c r="Z51" i="4"/>
  <c r="AF51" i="4" s="1"/>
  <c r="W86" i="4"/>
  <c r="Y86" i="4" s="1"/>
  <c r="Z86" i="4" s="1"/>
  <c r="Z50" i="4"/>
  <c r="AF50" i="4" s="1"/>
  <c r="AM50" i="4"/>
  <c r="AN50" i="4" s="1"/>
  <c r="W119" i="4"/>
  <c r="Y119" i="4" s="1"/>
  <c r="Z119" i="4" s="1"/>
  <c r="Z71" i="4"/>
  <c r="AF71" i="4" s="1"/>
  <c r="AO71" i="4" s="1"/>
  <c r="W32" i="4"/>
  <c r="Y32" i="4" s="1"/>
  <c r="Z32" i="4" s="1"/>
  <c r="W95" i="4"/>
  <c r="Y95" i="4" s="1"/>
  <c r="Z95" i="4" s="1"/>
  <c r="W19" i="4"/>
  <c r="Y19" i="4" s="1"/>
  <c r="Z19" i="4" s="1"/>
  <c r="AF19" i="4" s="1"/>
  <c r="AG19" i="4" s="1"/>
  <c r="AI19" i="4" s="1"/>
  <c r="AM126" i="4"/>
  <c r="AN126" i="4" s="1"/>
  <c r="AJ126" i="4"/>
  <c r="AM71" i="4"/>
  <c r="AN71" i="4" s="1"/>
  <c r="W41" i="4"/>
  <c r="Y41" i="4" s="1"/>
  <c r="Z41" i="4" s="1"/>
  <c r="AF41" i="4" s="1"/>
  <c r="AG41" i="4" s="1"/>
  <c r="AI41" i="4" s="1"/>
  <c r="W75" i="4"/>
  <c r="Y75" i="4" s="1"/>
  <c r="Z75" i="4" s="1"/>
  <c r="AF75" i="4" s="1"/>
  <c r="AO75" i="4" s="1"/>
  <c r="W31" i="4"/>
  <c r="Y31" i="4" s="1"/>
  <c r="Z31" i="4" s="1"/>
  <c r="AF31" i="4" s="1"/>
  <c r="AO31" i="4" s="1"/>
  <c r="AN77" i="4"/>
  <c r="AE98" i="4"/>
  <c r="W9" i="4"/>
  <c r="Y9" i="4" s="1"/>
  <c r="Z9" i="4" s="1"/>
  <c r="AF9" i="4" s="1"/>
  <c r="AO9" i="4" s="1"/>
  <c r="W60" i="4"/>
  <c r="Y60" i="4" s="1"/>
  <c r="Z60" i="4" s="1"/>
  <c r="AF60" i="4" s="1"/>
  <c r="W47" i="4"/>
  <c r="Y47" i="4" s="1"/>
  <c r="Z47" i="4" s="1"/>
  <c r="AM98" i="4"/>
  <c r="AN98" i="4" s="1"/>
  <c r="W146" i="4"/>
  <c r="Y146" i="4" s="1"/>
  <c r="Z146" i="4" s="1"/>
  <c r="AF146" i="4" s="1"/>
  <c r="AM36" i="4"/>
  <c r="AN36" i="4" s="1"/>
  <c r="AM51" i="4"/>
  <c r="AN51" i="4" s="1"/>
  <c r="Z98" i="4"/>
  <c r="AF98" i="4" s="1"/>
  <c r="AG98" i="4" s="1"/>
  <c r="AI98" i="4" s="1"/>
  <c r="X98" i="4"/>
  <c r="AJ98" i="4" s="1"/>
  <c r="AM102" i="4"/>
  <c r="AN102" i="4" s="1"/>
  <c r="W69" i="4"/>
  <c r="Y69" i="4" s="1"/>
  <c r="Z69" i="4" s="1"/>
  <c r="AN118" i="4"/>
  <c r="AM116" i="4"/>
  <c r="AN116" i="4" s="1"/>
  <c r="W100" i="4"/>
  <c r="X100" i="4" s="1"/>
  <c r="AJ100" i="4" s="1"/>
  <c r="W106" i="4"/>
  <c r="Y106" i="4" s="1"/>
  <c r="Z106" i="4" s="1"/>
  <c r="AF106" i="4" s="1"/>
  <c r="AG106" i="4" s="1"/>
  <c r="AI106" i="4" s="1"/>
  <c r="W30" i="4"/>
  <c r="Y30" i="4" s="1"/>
  <c r="Z30" i="4" s="1"/>
  <c r="AF30" i="4" s="1"/>
  <c r="AG30" i="4" s="1"/>
  <c r="AI30" i="4" s="1"/>
  <c r="W91" i="4"/>
  <c r="X91" i="4" s="1"/>
  <c r="AJ91" i="4" s="1"/>
  <c r="W49" i="4"/>
  <c r="Y49" i="4" s="1"/>
  <c r="Z49" i="4" s="1"/>
  <c r="AF49" i="4" s="1"/>
  <c r="AO49" i="4" s="1"/>
  <c r="W11" i="4"/>
  <c r="Y11" i="4" s="1"/>
  <c r="Z11" i="4" s="1"/>
  <c r="AF11" i="4" s="1"/>
  <c r="W123" i="4"/>
  <c r="Y123" i="4" s="1"/>
  <c r="Z123" i="4" s="1"/>
  <c r="AF123" i="4" s="1"/>
  <c r="W63" i="4"/>
  <c r="AE63" i="4" s="1"/>
  <c r="AQ218" i="5"/>
  <c r="AR81" i="5"/>
  <c r="AR134" i="5"/>
  <c r="AR244" i="5"/>
  <c r="Z16" i="4"/>
  <c r="AF16" i="4" s="1"/>
  <c r="Z102" i="4"/>
  <c r="AF102" i="4" s="1"/>
  <c r="AG102" i="4" s="1"/>
  <c r="AI102" i="4" s="1"/>
  <c r="W7" i="4"/>
  <c r="AE7" i="4" s="1"/>
  <c r="W76" i="4"/>
  <c r="X76" i="4" s="1"/>
  <c r="AJ76" i="4" s="1"/>
  <c r="W127" i="4"/>
  <c r="AE127" i="4" s="1"/>
  <c r="AM52" i="4"/>
  <c r="AN52" i="4" s="1"/>
  <c r="W18" i="4"/>
  <c r="Y18" i="4" s="1"/>
  <c r="Z18" i="4" s="1"/>
  <c r="AF18" i="4" s="1"/>
  <c r="Z97" i="4"/>
  <c r="AF97" i="4" s="1"/>
  <c r="AO97" i="4" s="1"/>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S459" i="5" s="1"/>
  <c r="AC206" i="5"/>
  <c r="AS206" i="5" s="1"/>
  <c r="AL9" i="5"/>
  <c r="Z87" i="4"/>
  <c r="AF87" i="4" s="1"/>
  <c r="AO87" i="4" s="1"/>
  <c r="AC379" i="5"/>
  <c r="AE379" i="5" s="1"/>
  <c r="AC392" i="5"/>
  <c r="AS392" i="5" s="1"/>
  <c r="AC371" i="5"/>
  <c r="AE371" i="5" s="1"/>
  <c r="AC522" i="5"/>
  <c r="AD522" i="5" s="1"/>
  <c r="AC512" i="5"/>
  <c r="AS512" i="5" s="1"/>
  <c r="AC429" i="5"/>
  <c r="AS429" i="5" s="1"/>
  <c r="Z117" i="4"/>
  <c r="AF117" i="4" s="1"/>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B532" i="5"/>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L11" i="5"/>
  <c r="AE96" i="4"/>
  <c r="X96" i="4"/>
  <c r="AJ96" i="4" s="1"/>
  <c r="AJ77" i="4"/>
  <c r="AO9" i="5"/>
  <c r="W39" i="4"/>
  <c r="X39" i="4" s="1"/>
  <c r="AJ39" i="4" s="1"/>
  <c r="W72" i="4"/>
  <c r="Y72" i="4" s="1"/>
  <c r="Z72" i="4" s="1"/>
  <c r="AF72" i="4" s="1"/>
  <c r="AG72" i="4" s="1"/>
  <c r="AI72" i="4" s="1"/>
  <c r="AG96" i="4"/>
  <c r="AI96" i="4" s="1"/>
  <c r="Z149" i="4"/>
  <c r="AF149" i="4" s="1"/>
  <c r="AO149" i="4" s="1"/>
  <c r="W22" i="4"/>
  <c r="X22" i="4" s="1"/>
  <c r="AJ22" i="4" s="1"/>
  <c r="AE140" i="4"/>
  <c r="X140" i="4"/>
  <c r="AJ140" i="4" s="1"/>
  <c r="W109" i="4"/>
  <c r="X109" i="4" s="1"/>
  <c r="AJ109" i="4" s="1"/>
  <c r="Z42" i="4"/>
  <c r="AF42"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R9" i="5"/>
  <c r="S9" i="5"/>
  <c r="X84" i="4"/>
  <c r="AJ84" i="4" s="1"/>
  <c r="AE84" i="4"/>
  <c r="Y84" i="4"/>
  <c r="Z84" i="4" s="1"/>
  <c r="AI9" i="5"/>
  <c r="AH9" i="5"/>
  <c r="V9" i="5"/>
  <c r="U9" i="5"/>
  <c r="Y9" i="5"/>
  <c r="X9" i="5"/>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F108" i="4"/>
  <c r="AG108" i="4" s="1"/>
  <c r="AI108" i="4" s="1"/>
  <c r="AA300" i="5"/>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AB302" i="5"/>
  <c r="AA310" i="5"/>
  <c r="AB307" i="5"/>
  <c r="AB30" i="5"/>
  <c r="AC187" i="5"/>
  <c r="AS187" i="5" s="1"/>
  <c r="AC167" i="5"/>
  <c r="AS167" i="5" s="1"/>
  <c r="AB508" i="5"/>
  <c r="AC449" i="5"/>
  <c r="AS449" i="5" s="1"/>
  <c r="AB44" i="5"/>
  <c r="AB449" i="5"/>
  <c r="AE71" i="4"/>
  <c r="AB210" i="5"/>
  <c r="AB73" i="5"/>
  <c r="AB279" i="5"/>
  <c r="AB159" i="5"/>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X102" i="4"/>
  <c r="AJ102" i="4" s="1"/>
  <c r="AC288" i="5"/>
  <c r="AS288" i="5" s="1"/>
  <c r="AB413" i="5"/>
  <c r="AC488" i="5"/>
  <c r="AS488" i="5" s="1"/>
  <c r="AB526" i="5"/>
  <c r="AB113" i="5"/>
  <c r="AB500" i="5"/>
  <c r="AA134" i="5"/>
  <c r="AC457" i="5"/>
  <c r="AD457" i="5" s="1"/>
  <c r="AC71" i="5"/>
  <c r="AE71" i="5" s="1"/>
  <c r="AB541" i="5"/>
  <c r="AE51" i="4"/>
  <c r="AA273" i="5"/>
  <c r="AB344" i="5"/>
  <c r="AC258" i="5"/>
  <c r="AS258" i="5" s="1"/>
  <c r="AC319" i="5"/>
  <c r="AS319" i="5" s="1"/>
  <c r="AB39" i="5"/>
  <c r="AA534" i="5"/>
  <c r="AA198" i="5"/>
  <c r="AB139" i="5"/>
  <c r="AA170" i="5"/>
  <c r="AA345" i="5"/>
  <c r="AC370" i="5"/>
  <c r="AS370" i="5" s="1"/>
  <c r="AB71" i="5"/>
  <c r="AC39" i="5"/>
  <c r="AE39" i="5" s="1"/>
  <c r="AA519" i="5"/>
  <c r="AB134" i="5"/>
  <c r="AB432" i="5"/>
  <c r="AC100" i="5"/>
  <c r="AS100" i="5" s="1"/>
  <c r="AA238" i="5"/>
  <c r="AA22" i="5"/>
  <c r="AC85" i="5"/>
  <c r="AS85" i="5" s="1"/>
  <c r="AC235" i="5"/>
  <c r="AE235" i="5" s="1"/>
  <c r="AA444" i="5"/>
  <c r="AC92" i="5"/>
  <c r="AE92" i="5" s="1"/>
  <c r="AC185" i="5"/>
  <c r="AD185" i="5" s="1"/>
  <c r="AA517" i="5"/>
  <c r="AA258" i="5"/>
  <c r="AB370" i="5"/>
  <c r="AC161" i="5"/>
  <c r="AS161" i="5" s="1"/>
  <c r="AA432" i="5"/>
  <c r="AB299" i="5"/>
  <c r="AB22" i="5"/>
  <c r="AB85" i="5"/>
  <c r="AA185" i="5"/>
  <c r="AB238" i="5"/>
  <c r="AA277" i="5"/>
  <c r="AB481" i="5"/>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X23" i="4"/>
  <c r="AJ23" i="4" s="1"/>
  <c r="Y23" i="4"/>
  <c r="Z23" i="4" s="1"/>
  <c r="AE23" i="4"/>
  <c r="AN10" i="5"/>
  <c r="AO10" i="5"/>
  <c r="AE52" i="4"/>
  <c r="X52" i="4"/>
  <c r="AJ52" i="4" s="1"/>
  <c r="Y52" i="4"/>
  <c r="Z52" i="4" s="1"/>
  <c r="AA466" i="5"/>
  <c r="AA483" i="5"/>
  <c r="AB483" i="5"/>
  <c r="AC84" i="5"/>
  <c r="AD84" i="5" s="1"/>
  <c r="AB412" i="5"/>
  <c r="AC252" i="5"/>
  <c r="AS252" i="5" s="1"/>
  <c r="AB349" i="5"/>
  <c r="AA555" i="5"/>
  <c r="AB505" i="5"/>
  <c r="AB512" i="5"/>
  <c r="AA490" i="5"/>
  <c r="AA451" i="5"/>
  <c r="AA232" i="5"/>
  <c r="AB46" i="5"/>
  <c r="AA520" i="5"/>
  <c r="AA536" i="5"/>
  <c r="U10" i="5"/>
  <c r="V10" i="5"/>
  <c r="AE126" i="4"/>
  <c r="Y126" i="4"/>
  <c r="Z126" i="4" s="1"/>
  <c r="X128" i="4"/>
  <c r="AJ128" i="4" s="1"/>
  <c r="Y128" i="4"/>
  <c r="Z128" i="4" s="1"/>
  <c r="AE128" i="4"/>
  <c r="X93" i="4"/>
  <c r="AJ93" i="4" s="1"/>
  <c r="AE93" i="4"/>
  <c r="Y93" i="4"/>
  <c r="Z93" i="4" s="1"/>
  <c r="X45" i="4"/>
  <c r="AJ45" i="4" s="1"/>
  <c r="Y45" i="4"/>
  <c r="Z45" i="4" s="1"/>
  <c r="AF45" i="4" s="1"/>
  <c r="AG45" i="4" s="1"/>
  <c r="AI45" i="4" s="1"/>
  <c r="AE45" i="4"/>
  <c r="AH10" i="5"/>
  <c r="AI10" i="5"/>
  <c r="AA89" i="5"/>
  <c r="AA308" i="5"/>
  <c r="AA58" i="5"/>
  <c r="AB493" i="5"/>
  <c r="AA423" i="5"/>
  <c r="AA454" i="5"/>
  <c r="AC358" i="5"/>
  <c r="AE358" i="5" s="1"/>
  <c r="AA418" i="5"/>
  <c r="AA395" i="5"/>
  <c r="AB474" i="5"/>
  <c r="AB524" i="5"/>
  <c r="AC527" i="5"/>
  <c r="AE527" i="5" s="1"/>
  <c r="AA489" i="5"/>
  <c r="AA193" i="5"/>
  <c r="AQ181" i="5"/>
  <c r="X134" i="4"/>
  <c r="AJ134" i="4" s="1"/>
  <c r="Y134" i="4"/>
  <c r="Z134" i="4" s="1"/>
  <c r="AE134" i="4"/>
  <c r="R10" i="5"/>
  <c r="S10" i="5"/>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X108" i="4"/>
  <c r="Y8" i="4"/>
  <c r="Z8" i="4" s="1"/>
  <c r="AE8" i="4"/>
  <c r="X8" i="4"/>
  <c r="AJ8" i="4" s="1"/>
  <c r="X70" i="4"/>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AE102" i="4"/>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B184" i="5"/>
  <c r="AB81" i="5"/>
  <c r="X10" i="5"/>
  <c r="Y10" i="5"/>
  <c r="Y116" i="4"/>
  <c r="Z116" i="4" s="1"/>
  <c r="AE116" i="4"/>
  <c r="X71" i="4"/>
  <c r="AJ71" i="4" s="1"/>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X151" i="4"/>
  <c r="AJ151" i="4" s="1"/>
  <c r="AE53" i="4"/>
  <c r="B115" i="2"/>
  <c r="B96" i="2" s="1"/>
  <c r="B116" i="2" s="1"/>
  <c r="X81" i="4"/>
  <c r="AJ81" i="4" s="1"/>
  <c r="AE87" i="4"/>
  <c r="X117" i="4"/>
  <c r="AJ117" i="4" s="1"/>
  <c r="X80" i="4"/>
  <c r="AJ80" i="4" s="1"/>
  <c r="X124" i="4"/>
  <c r="AJ124" i="4" s="1"/>
  <c r="X122" i="4"/>
  <c r="AJ122" i="4" s="1"/>
  <c r="AF85" i="4"/>
  <c r="AG85" i="4" s="1"/>
  <c r="AI85" i="4" s="1"/>
  <c r="AE50" i="4"/>
  <c r="AE13" i="4"/>
  <c r="X65" i="4"/>
  <c r="AJ65" i="4" s="1"/>
  <c r="X13" i="4"/>
  <c r="AJ13" i="4" s="1"/>
  <c r="AE36" i="4"/>
  <c r="X85" i="4"/>
  <c r="AJ85" i="4" s="1"/>
  <c r="AE120" i="4"/>
  <c r="X51" i="4"/>
  <c r="AJ51" i="4" s="1"/>
  <c r="AF17" i="4"/>
  <c r="AG17" i="4" s="1"/>
  <c r="AI17" i="4" s="1"/>
  <c r="AF139" i="4"/>
  <c r="AO139" i="4" s="1"/>
  <c r="AF81" i="4"/>
  <c r="AG81" i="4" s="1"/>
  <c r="AI81" i="4" s="1"/>
  <c r="AE97" i="4"/>
  <c r="X153" i="4"/>
  <c r="AJ153" i="4" s="1"/>
  <c r="X92" i="4"/>
  <c r="AJ92" i="4" s="1"/>
  <c r="AE117" i="4"/>
  <c r="AE17" i="4"/>
  <c r="AE33" i="4"/>
  <c r="X104" i="4"/>
  <c r="AK104" i="4" s="1"/>
  <c r="X138" i="4"/>
  <c r="AJ138" i="4" s="1"/>
  <c r="AE80" i="4"/>
  <c r="X97" i="4"/>
  <c r="AJ97" i="4" s="1"/>
  <c r="X120" i="4"/>
  <c r="AJ120" i="4" s="1"/>
  <c r="AE151" i="4"/>
  <c r="X136" i="4"/>
  <c r="AJ136" i="4" s="1"/>
  <c r="Z120" i="4"/>
  <c r="X17" i="4"/>
  <c r="AJ17" i="4" s="1"/>
  <c r="B76" i="2"/>
  <c r="AG151" i="4"/>
  <c r="AI151" i="4" s="1"/>
  <c r="AO151" i="4"/>
  <c r="AQ484" i="5"/>
  <c r="AR484" i="5"/>
  <c r="AQ500" i="5"/>
  <c r="AR500" i="5"/>
  <c r="AR347" i="5"/>
  <c r="AQ347" i="5"/>
  <c r="AQ341" i="5"/>
  <c r="AR341" i="5"/>
  <c r="AQ409" i="5"/>
  <c r="AR409" i="5"/>
  <c r="AR61" i="5"/>
  <c r="AQ61" i="5"/>
  <c r="B81" i="2"/>
  <c r="B82" i="2" s="1"/>
  <c r="H22" i="1" s="1"/>
  <c r="AR102" i="5"/>
  <c r="AQ102" i="5"/>
  <c r="AR120" i="5"/>
  <c r="AQ120" i="5"/>
  <c r="AQ53" i="5"/>
  <c r="AR53" i="5"/>
  <c r="AR515" i="5"/>
  <c r="AQ515" i="5"/>
  <c r="AQ293" i="5"/>
  <c r="AR293" i="5"/>
  <c r="AR559" i="5"/>
  <c r="AQ559" i="5"/>
  <c r="AE131" i="4"/>
  <c r="AR8" i="5"/>
  <c r="AQ8" i="5"/>
  <c r="AQ223" i="5"/>
  <c r="AR223" i="5"/>
  <c r="AQ200" i="5"/>
  <c r="AR200" i="5"/>
  <c r="AQ519" i="5"/>
  <c r="AR519" i="5"/>
  <c r="AQ106" i="5"/>
  <c r="AR106" i="5"/>
  <c r="AQ289" i="5"/>
  <c r="AR289" i="5"/>
  <c r="AR235" i="5"/>
  <c r="AQ235" i="5"/>
  <c r="AQ343" i="5"/>
  <c r="AR343" i="5"/>
  <c r="AR456" i="5"/>
  <c r="AQ456" i="5"/>
  <c r="AQ96" i="5"/>
  <c r="AR96" i="5"/>
  <c r="AE85" i="4"/>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R303" i="5"/>
  <c r="AQ303" i="5"/>
  <c r="AQ32" i="5"/>
  <c r="AR32" i="5"/>
  <c r="AR523" i="5"/>
  <c r="AQ523" i="5"/>
  <c r="AF13" i="4"/>
  <c r="AR242" i="5"/>
  <c r="AQ242" i="5"/>
  <c r="AQ538" i="5"/>
  <c r="AR538" i="5"/>
  <c r="AQ505" i="5"/>
  <c r="AR505" i="5"/>
  <c r="AQ408" i="5"/>
  <c r="AR408" i="5"/>
  <c r="AQ468" i="5"/>
  <c r="AR468" i="5"/>
  <c r="AQ208" i="5"/>
  <c r="AR208" i="5"/>
  <c r="AR508" i="5"/>
  <c r="AQ508" i="5"/>
  <c r="AR532" i="5"/>
  <c r="AQ532" i="5"/>
  <c r="AR443" i="5"/>
  <c r="AQ443" i="5"/>
  <c r="AE153" i="4"/>
  <c r="AF33" i="4"/>
  <c r="AQ480" i="5"/>
  <c r="AR480" i="5"/>
  <c r="AR111" i="5"/>
  <c r="AQ111" i="5"/>
  <c r="AQ180" i="5"/>
  <c r="AR180" i="5"/>
  <c r="AR503" i="5"/>
  <c r="AQ503" i="5"/>
  <c r="AQ156" i="5"/>
  <c r="AR156" i="5"/>
  <c r="AR99" i="5"/>
  <c r="AQ99" i="5"/>
  <c r="AQ358" i="5"/>
  <c r="AR358" i="5"/>
  <c r="AQ439" i="5"/>
  <c r="AR439" i="5"/>
  <c r="AQ509" i="5"/>
  <c r="AR509" i="5"/>
  <c r="AQ230" i="5"/>
  <c r="AR230" i="5"/>
  <c r="AR115" i="5"/>
  <c r="AQ115" i="5"/>
  <c r="AQ256" i="5"/>
  <c r="AR256" i="5"/>
  <c r="AR546" i="5"/>
  <c r="AQ546" i="5"/>
  <c r="AQ207" i="5"/>
  <c r="AR207" i="5"/>
  <c r="AQ466" i="5"/>
  <c r="AR466" i="5"/>
  <c r="Y13" i="5"/>
  <c r="X13" i="5"/>
  <c r="AR265" i="5"/>
  <c r="AQ265" i="5"/>
  <c r="AR107" i="5"/>
  <c r="AQ107" i="5"/>
  <c r="AQ367" i="5"/>
  <c r="AR367" i="5"/>
  <c r="AR286" i="5"/>
  <c r="AQ286" i="5"/>
  <c r="AQ228" i="5"/>
  <c r="AR228" i="5"/>
  <c r="AR266" i="5"/>
  <c r="AQ266" i="5"/>
  <c r="AR248" i="5"/>
  <c r="AQ248" i="5"/>
  <c r="AR168" i="5"/>
  <c r="AQ168" i="5"/>
  <c r="AR427" i="5"/>
  <c r="AQ427" i="5"/>
  <c r="AG36" i="4"/>
  <c r="AI36" i="4" s="1"/>
  <c r="AO36" i="4"/>
  <c r="AQ399" i="5"/>
  <c r="AR399" i="5"/>
  <c r="AR164" i="5"/>
  <c r="AQ164" i="5"/>
  <c r="AQ329" i="5"/>
  <c r="AR329" i="5"/>
  <c r="AR63" i="5"/>
  <c r="AQ63" i="5"/>
  <c r="AR123" i="5"/>
  <c r="AQ123" i="5"/>
  <c r="AQ534" i="5"/>
  <c r="AR534" i="5"/>
  <c r="AR376" i="5"/>
  <c r="AQ376" i="5"/>
  <c r="AR28" i="5"/>
  <c r="AQ28" i="5"/>
  <c r="AQ526" i="5"/>
  <c r="AR526" i="5"/>
  <c r="AQ472" i="5"/>
  <c r="AR472" i="5"/>
  <c r="AR275" i="5"/>
  <c r="AQ275" i="5"/>
  <c r="AR198" i="5"/>
  <c r="AQ198" i="5"/>
  <c r="AQ482" i="5"/>
  <c r="AR482" i="5"/>
  <c r="AQ75" i="5"/>
  <c r="AR75" i="5"/>
  <c r="AQ170" i="5"/>
  <c r="AR170" i="5"/>
  <c r="AQ139" i="5"/>
  <c r="AR139" i="5"/>
  <c r="AQ529" i="5"/>
  <c r="AR529" i="5"/>
  <c r="AE115" i="4"/>
  <c r="AQ403" i="5"/>
  <c r="AR403" i="5"/>
  <c r="AR389" i="5"/>
  <c r="AQ389" i="5"/>
  <c r="AR352" i="5"/>
  <c r="AQ352" i="5"/>
  <c r="AR555" i="5"/>
  <c r="AQ555" i="5"/>
  <c r="AR366" i="5"/>
  <c r="AQ366" i="5"/>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E29" i="4"/>
  <c r="AR253" i="5"/>
  <c r="AQ253" i="5"/>
  <c r="AR100" i="5"/>
  <c r="AQ100" i="5"/>
  <c r="AL13" i="5"/>
  <c r="AK13" i="5"/>
  <c r="AQ76" i="5"/>
  <c r="AR76" i="5"/>
  <c r="AF153" i="4"/>
  <c r="AR224" i="5"/>
  <c r="AQ224" i="5"/>
  <c r="AQ55" i="5"/>
  <c r="AR55" i="5"/>
  <c r="AQ336" i="5"/>
  <c r="AR336" i="5"/>
  <c r="AR288" i="5"/>
  <c r="AQ288" i="5"/>
  <c r="AE107" i="4"/>
  <c r="AR85" i="5"/>
  <c r="AQ85" i="5"/>
  <c r="AR501" i="5"/>
  <c r="AQ501" i="5"/>
  <c r="X53" i="4"/>
  <c r="AQ251" i="5"/>
  <c r="AR251" i="5"/>
  <c r="AQ236" i="5"/>
  <c r="AR236" i="5"/>
  <c r="AR243" i="5"/>
  <c r="AQ243" i="5"/>
  <c r="AR471" i="5"/>
  <c r="AQ471" i="5"/>
  <c r="AQ435" i="5"/>
  <c r="AR435" i="5"/>
  <c r="AQ213" i="5"/>
  <c r="AR213" i="5"/>
  <c r="AQ513" i="5"/>
  <c r="AR513" i="5"/>
  <c r="AR334" i="5"/>
  <c r="AQ334" i="5"/>
  <c r="AQ395" i="5"/>
  <c r="AR395" i="5"/>
  <c r="AO13" i="5"/>
  <c r="AN13" i="5"/>
  <c r="AQ323" i="5"/>
  <c r="AR323" i="5"/>
  <c r="AR292" i="5"/>
  <c r="AQ292" i="5"/>
  <c r="AQ499" i="5"/>
  <c r="AR499" i="5"/>
  <c r="AQ33" i="5"/>
  <c r="AR33" i="5"/>
  <c r="AR331" i="5"/>
  <c r="AQ331" i="5"/>
  <c r="AQ537" i="5"/>
  <c r="AR537" i="5"/>
  <c r="AQ91" i="5"/>
  <c r="AR91" i="5"/>
  <c r="AQ161" i="5"/>
  <c r="AR161" i="5"/>
  <c r="AQ163" i="5"/>
  <c r="AR163" i="5"/>
  <c r="AQ272" i="5"/>
  <c r="AR272" i="5"/>
  <c r="AR31" i="5"/>
  <c r="AQ31" i="5"/>
  <c r="AQ349" i="5"/>
  <c r="AR349" i="5"/>
  <c r="AQ206" i="5"/>
  <c r="AR206" i="5"/>
  <c r="AR425" i="5"/>
  <c r="AQ425" i="5"/>
  <c r="AQ195" i="5"/>
  <c r="AR195" i="5"/>
  <c r="AQ29" i="5"/>
  <c r="AR29" i="5"/>
  <c r="AR108" i="5"/>
  <c r="AQ108" i="5"/>
  <c r="AR41" i="5"/>
  <c r="AQ41" i="5"/>
  <c r="AF56" i="4"/>
  <c r="X110" i="4"/>
  <c r="X121" i="4"/>
  <c r="AA121" i="4" s="1"/>
  <c r="AC121" i="4" s="1"/>
  <c r="AD121" i="4" s="1"/>
  <c r="X115" i="4"/>
  <c r="AF107"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AR40" i="5"/>
  <c r="AQ40" i="5"/>
  <c r="Z131" i="4"/>
  <c r="AF131" i="4" s="1"/>
  <c r="AR363" i="5"/>
  <c r="AQ363" i="5"/>
  <c r="AB13" i="5"/>
  <c r="AA13" i="5"/>
  <c r="AQ549" i="5"/>
  <c r="AR549" i="5"/>
  <c r="AE104" i="4"/>
  <c r="AQ446" i="5"/>
  <c r="AR446" i="5"/>
  <c r="AR543" i="5"/>
  <c r="AQ543" i="5"/>
  <c r="AF138" i="4"/>
  <c r="AE124" i="4"/>
  <c r="AQ414" i="5"/>
  <c r="AR414" i="5"/>
  <c r="AQ407" i="5"/>
  <c r="AR407" i="5"/>
  <c r="AR215" i="5"/>
  <c r="AQ215" i="5"/>
  <c r="AE154" i="4"/>
  <c r="AQ431" i="5"/>
  <c r="AR431" i="5"/>
  <c r="AR7" i="5"/>
  <c r="AQ7" i="5"/>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X42" i="4"/>
  <c r="AQ311" i="5"/>
  <c r="AR311" i="5"/>
  <c r="AR193" i="5"/>
  <c r="AQ193" i="5"/>
  <c r="AQ445" i="5"/>
  <c r="AR445" i="5"/>
  <c r="S13" i="5"/>
  <c r="R13" i="5"/>
  <c r="AQ269" i="5"/>
  <c r="AR269" i="5"/>
  <c r="AQ209" i="5"/>
  <c r="AR209" i="5"/>
  <c r="AQ433" i="5"/>
  <c r="AR433" i="5"/>
  <c r="AQ412" i="5"/>
  <c r="AR412" i="5"/>
  <c r="AQ322" i="5"/>
  <c r="AR322" i="5"/>
  <c r="AR514" i="5"/>
  <c r="AQ514" i="5"/>
  <c r="AE78" i="4"/>
  <c r="AR152" i="5"/>
  <c r="AQ152" i="5"/>
  <c r="AQ95" i="5"/>
  <c r="AR95" i="5"/>
  <c r="AR479" i="5"/>
  <c r="AQ479" i="5"/>
  <c r="AQ502" i="5"/>
  <c r="AR502" i="5"/>
  <c r="AQ518" i="5"/>
  <c r="AR518" i="5"/>
  <c r="AQ167" i="5"/>
  <c r="AR167" i="5"/>
  <c r="AE42" i="4"/>
  <c r="AQ442" i="5"/>
  <c r="AR442" i="5"/>
  <c r="AQ59" i="5"/>
  <c r="AR59" i="5"/>
  <c r="AR277" i="5"/>
  <c r="AQ277"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Q264" i="5"/>
  <c r="AR264" i="5"/>
  <c r="AQ467" i="5"/>
  <c r="AR467" i="5"/>
  <c r="AR162" i="5"/>
  <c r="AQ162" i="5"/>
  <c r="AQ419" i="5"/>
  <c r="AR419" i="5"/>
  <c r="AF121" i="4"/>
  <c r="AE16" i="4"/>
  <c r="AR295" i="5"/>
  <c r="AQ295" i="5"/>
  <c r="X139" i="4"/>
  <c r="AA139" i="4" s="1"/>
  <c r="AC139" i="4" s="1"/>
  <c r="AD139" i="4" s="1"/>
  <c r="X107" i="4"/>
  <c r="AA107" i="4" s="1"/>
  <c r="AC107" i="4" s="1"/>
  <c r="AD107" i="4" s="1"/>
  <c r="X29" i="4"/>
  <c r="AR116" i="5"/>
  <c r="AQ116" i="5"/>
  <c r="AR145" i="5"/>
  <c r="AQ145" i="5"/>
  <c r="AQ453" i="5"/>
  <c r="AR453" i="5"/>
  <c r="AQ220" i="5"/>
  <c r="AR220" i="5"/>
  <c r="AQ279" i="5"/>
  <c r="AR279" i="5"/>
  <c r="AR128" i="5"/>
  <c r="AQ128" i="5"/>
  <c r="AQ415" i="5"/>
  <c r="AR415" i="5"/>
  <c r="X87" i="4"/>
  <c r="AQ328" i="5"/>
  <c r="AR328" i="5"/>
  <c r="AQ160" i="5"/>
  <c r="AR160" i="5"/>
  <c r="AH13" i="5"/>
  <c r="AP13" i="5"/>
  <c r="AI13" i="5"/>
  <c r="AQ475" i="5"/>
  <c r="AR475" i="5"/>
  <c r="AQ423" i="5"/>
  <c r="AR423" i="5"/>
  <c r="X154" i="4"/>
  <c r="AA154" i="4" s="1"/>
  <c r="AC154" i="4" s="1"/>
  <c r="AD154" i="4" s="1"/>
  <c r="X149" i="4"/>
  <c r="AQ35" i="5"/>
  <c r="AR35" i="5"/>
  <c r="AR155" i="5"/>
  <c r="AQ155" i="5"/>
  <c r="AQ351" i="5"/>
  <c r="AR351" i="5"/>
  <c r="AR114" i="5"/>
  <c r="AQ114" i="5"/>
  <c r="AR179" i="5"/>
  <c r="AQ179" i="5"/>
  <c r="AQ344" i="5"/>
  <c r="AR344" i="5"/>
  <c r="X78" i="4"/>
  <c r="AA78" i="4" s="1"/>
  <c r="AC78" i="4" s="1"/>
  <c r="AD78" i="4" s="1"/>
  <c r="X50" i="4"/>
  <c r="AE149" i="4"/>
  <c r="AQ459" i="5"/>
  <c r="AR459" i="5"/>
  <c r="AR172" i="5"/>
  <c r="AQ172" i="5"/>
  <c r="AR315" i="5"/>
  <c r="AQ315" i="5"/>
  <c r="AR196" i="5"/>
  <c r="AQ196" i="5"/>
  <c r="AQ325" i="5"/>
  <c r="AR325" i="5"/>
  <c r="AQ452" i="5"/>
  <c r="AR452" i="5"/>
  <c r="AR353" i="5"/>
  <c r="AQ353" i="5"/>
  <c r="AE139" i="4"/>
  <c r="AR68" i="5"/>
  <c r="AQ68" i="5"/>
  <c r="AQ62" i="5"/>
  <c r="AR62" i="5"/>
  <c r="X33" i="4"/>
  <c r="AA33" i="4" s="1"/>
  <c r="AC33" i="4" s="1"/>
  <c r="AD33" i="4" s="1"/>
  <c r="AQ299" i="5"/>
  <c r="AR299" i="5"/>
  <c r="AQ171" i="5"/>
  <c r="AR171" i="5"/>
  <c r="AR246" i="5"/>
  <c r="AQ246" i="5"/>
  <c r="AQ183" i="5"/>
  <c r="AR183" i="5"/>
  <c r="AR125" i="5"/>
  <c r="AQ125" i="5"/>
  <c r="AQ50" i="5"/>
  <c r="AR50" i="5"/>
  <c r="AQ67" i="5"/>
  <c r="AR67" i="5"/>
  <c r="AQ74" i="5"/>
  <c r="AR74" i="5"/>
  <c r="AQ132" i="5"/>
  <c r="AR132" i="5"/>
  <c r="AQ455" i="5"/>
  <c r="AR455" i="5"/>
  <c r="AR83" i="5"/>
  <c r="AQ83" i="5"/>
  <c r="AQ316" i="5"/>
  <c r="AR316" i="5"/>
  <c r="AQ490" i="5"/>
  <c r="AR490" i="5"/>
  <c r="AE121" i="4"/>
  <c r="AR421" i="5"/>
  <c r="AQ421" i="5"/>
  <c r="AQ231" i="5"/>
  <c r="AR231" i="5"/>
  <c r="AR317" i="5"/>
  <c r="AQ317" i="5"/>
  <c r="AR319" i="5"/>
  <c r="AQ319" i="5"/>
  <c r="X56" i="4"/>
  <c r="AA56" i="4" s="1"/>
  <c r="AC56" i="4" s="1"/>
  <c r="AD56" i="4" s="1"/>
  <c r="AQ280" i="5"/>
  <c r="AR280" i="5"/>
  <c r="AF104" i="4"/>
  <c r="AQ36" i="5"/>
  <c r="AR36" i="5"/>
  <c r="AR550" i="5"/>
  <c r="AQ550" i="5"/>
  <c r="AQ401" i="5"/>
  <c r="AR401" i="5"/>
  <c r="AR150" i="5"/>
  <c r="AQ150" i="5"/>
  <c r="AQ122" i="5"/>
  <c r="AR122" i="5"/>
  <c r="AQ339" i="5"/>
  <c r="AR339" i="5"/>
  <c r="AQ254" i="5"/>
  <c r="AR254" i="5"/>
  <c r="AR547" i="5"/>
  <c r="AQ547" i="5"/>
  <c r="AR413" i="5"/>
  <c r="AQ413" i="5"/>
  <c r="AQ511" i="5"/>
  <c r="AR511" i="5"/>
  <c r="AF124" i="4"/>
  <c r="X131" i="4"/>
  <c r="AQ481" i="5"/>
  <c r="AR481" i="5"/>
  <c r="U13" i="5"/>
  <c r="V13" i="5"/>
  <c r="AC13" i="5"/>
  <c r="AR247" i="5"/>
  <c r="AQ247" i="5"/>
  <c r="AR86" i="5"/>
  <c r="AQ86" i="5"/>
  <c r="AR98" i="5"/>
  <c r="AQ98" i="5"/>
  <c r="AQ201" i="5"/>
  <c r="AR201" i="5"/>
  <c r="AE138" i="4"/>
  <c r="AF65" i="4"/>
  <c r="H34" i="1"/>
  <c r="B145" i="2"/>
  <c r="H35" i="1" s="1"/>
  <c r="AQ60" i="5"/>
  <c r="AR60" i="5"/>
  <c r="AQ429" i="5"/>
  <c r="AR429" i="5"/>
  <c r="AR377" i="5"/>
  <c r="AQ377" i="5"/>
  <c r="AQ554" i="5"/>
  <c r="AR554" i="5"/>
  <c r="X36" i="4"/>
  <c r="AA36" i="4" s="1"/>
  <c r="AC36" i="4" s="1"/>
  <c r="AD36" i="4" s="1"/>
  <c r="AQ489" i="5"/>
  <c r="AR489" i="5"/>
  <c r="AQ541" i="5"/>
  <c r="AR541" i="5"/>
  <c r="AR88" i="5"/>
  <c r="AQ88" i="5"/>
  <c r="AQ305" i="5"/>
  <c r="AR305" i="5"/>
  <c r="AF92" i="4"/>
  <c r="AR44" i="5"/>
  <c r="AQ44" i="5"/>
  <c r="AR39" i="5"/>
  <c r="AQ39" i="5"/>
  <c r="AQ73" i="5"/>
  <c r="AR73" i="5"/>
  <c r="AQ374" i="5"/>
  <c r="AR374" i="5"/>
  <c r="AQ416" i="5"/>
  <c r="AR416" i="5"/>
  <c r="X43" i="4"/>
  <c r="AQ388" i="5"/>
  <c r="AR388" i="5"/>
  <c r="AR185" i="5"/>
  <c r="AQ185" i="5"/>
  <c r="AR49" i="5"/>
  <c r="AQ49" i="5"/>
  <c r="AR71" i="5"/>
  <c r="AQ71" i="5"/>
  <c r="AE48" i="4" l="1"/>
  <c r="AO40" i="4"/>
  <c r="X48" i="4"/>
  <c r="AK48" i="4" s="1"/>
  <c r="AE40" i="4"/>
  <c r="X40" i="4"/>
  <c r="AJ40" i="4" s="1"/>
  <c r="AE90" i="4"/>
  <c r="X90" i="4"/>
  <c r="AG78" i="4"/>
  <c r="AI78" i="4" s="1"/>
  <c r="AO78" i="4"/>
  <c r="AE136" i="4"/>
  <c r="AE137" i="4"/>
  <c r="Y137" i="4"/>
  <c r="Z137" i="4" s="1"/>
  <c r="AK137" i="4" s="1"/>
  <c r="X55" i="4"/>
  <c r="AJ55" i="4" s="1"/>
  <c r="AE55" i="4"/>
  <c r="Y54" i="4"/>
  <c r="Z54" i="4" s="1"/>
  <c r="AK54" i="4" s="1"/>
  <c r="X44" i="4"/>
  <c r="AK44" i="4" s="1"/>
  <c r="AE44" i="4"/>
  <c r="AR10" i="5"/>
  <c r="AG82" i="4"/>
  <c r="AI82" i="4" s="1"/>
  <c r="AE82" i="4"/>
  <c r="X82" i="4"/>
  <c r="AJ82" i="4" s="1"/>
  <c r="AG136" i="4"/>
  <c r="AI136" i="4" s="1"/>
  <c r="AO136" i="4"/>
  <c r="AG27" i="4"/>
  <c r="AI27" i="4" s="1"/>
  <c r="AK70" i="4"/>
  <c r="X99" i="4"/>
  <c r="AJ99" i="4" s="1"/>
  <c r="AE99" i="4"/>
  <c r="X103" i="4"/>
  <c r="AJ103" i="4" s="1"/>
  <c r="AE103" i="4"/>
  <c r="AA110" i="4"/>
  <c r="AC110" i="4" s="1"/>
  <c r="AD110" i="4" s="1"/>
  <c r="AR12" i="5"/>
  <c r="X28" i="4"/>
  <c r="AA28" i="4" s="1"/>
  <c r="AC28" i="4" s="1"/>
  <c r="AD28" i="4" s="1"/>
  <c r="X27" i="4"/>
  <c r="AJ27" i="4" s="1"/>
  <c r="AE27" i="4"/>
  <c r="AE54" i="4"/>
  <c r="AE28" i="4"/>
  <c r="AF88" i="4"/>
  <c r="AO88" i="4" s="1"/>
  <c r="Y150" i="4"/>
  <c r="Z150" i="4" s="1"/>
  <c r="AA150" i="4" s="1"/>
  <c r="AC150" i="4" s="1"/>
  <c r="AD150" i="4" s="1"/>
  <c r="AE150" i="4"/>
  <c r="AE118" i="4"/>
  <c r="X88" i="4"/>
  <c r="AJ88" i="4" s="1"/>
  <c r="Y38" i="4"/>
  <c r="Z38" i="4" s="1"/>
  <c r="AF38" i="4" s="1"/>
  <c r="X38" i="4"/>
  <c r="AJ38" i="4" s="1"/>
  <c r="AE88" i="4"/>
  <c r="Y64" i="4"/>
  <c r="Z64" i="4" s="1"/>
  <c r="AF64" i="4" s="1"/>
  <c r="AF118" i="4"/>
  <c r="AG118" i="4" s="1"/>
  <c r="AI118" i="4" s="1"/>
  <c r="AE64" i="4"/>
  <c r="X112" i="4"/>
  <c r="AA112" i="4" s="1"/>
  <c r="AC112" i="4" s="1"/>
  <c r="AD112" i="4" s="1"/>
  <c r="X111" i="4"/>
  <c r="AJ111" i="4" s="1"/>
  <c r="AE111" i="4"/>
  <c r="X118" i="4"/>
  <c r="AA118" i="4" s="1"/>
  <c r="AC118" i="4" s="1"/>
  <c r="AD118" i="4" s="1"/>
  <c r="AE113" i="4"/>
  <c r="X113" i="4"/>
  <c r="AJ113" i="4" s="1"/>
  <c r="AE147" i="4"/>
  <c r="X147" i="4"/>
  <c r="AA147" i="4" s="1"/>
  <c r="AC147" i="4" s="1"/>
  <c r="AD147" i="4" s="1"/>
  <c r="AE86" i="4"/>
  <c r="X86" i="4"/>
  <c r="AJ86" i="4" s="1"/>
  <c r="AE25" i="4"/>
  <c r="AO25" i="4"/>
  <c r="AE156" i="4"/>
  <c r="X156" i="4"/>
  <c r="AA156" i="4" s="1"/>
  <c r="AC156" i="4" s="1"/>
  <c r="AD156" i="4" s="1"/>
  <c r="AF156" i="4"/>
  <c r="AG156" i="4" s="1"/>
  <c r="AI156" i="4" s="1"/>
  <c r="X143" i="4"/>
  <c r="AJ143" i="4" s="1"/>
  <c r="AF143" i="4"/>
  <c r="AO143" i="4" s="1"/>
  <c r="AE143" i="4"/>
  <c r="X74" i="4"/>
  <c r="AJ74" i="4" s="1"/>
  <c r="AG112" i="4"/>
  <c r="AI112" i="4" s="1"/>
  <c r="AE74" i="4"/>
  <c r="AE112" i="4"/>
  <c r="AE114" i="4"/>
  <c r="AE119" i="4"/>
  <c r="X119" i="4"/>
  <c r="AA119" i="4" s="1"/>
  <c r="AC119" i="4" s="1"/>
  <c r="AD119" i="4" s="1"/>
  <c r="AG71" i="4"/>
  <c r="AI71" i="4" s="1"/>
  <c r="AF119" i="4"/>
  <c r="AG119" i="4" s="1"/>
  <c r="AI119" i="4" s="1"/>
  <c r="AE69" i="4"/>
  <c r="X69" i="4"/>
  <c r="AJ69" i="4" s="1"/>
  <c r="X114" i="4"/>
  <c r="AJ114" i="4" s="1"/>
  <c r="X68" i="4"/>
  <c r="AJ68" i="4" s="1"/>
  <c r="AE68" i="4"/>
  <c r="AA29" i="4"/>
  <c r="AC29" i="4" s="1"/>
  <c r="AD29" i="4" s="1"/>
  <c r="AG9" i="4"/>
  <c r="AI9" i="4" s="1"/>
  <c r="AG53" i="4"/>
  <c r="AI53" i="4" s="1"/>
  <c r="AA53" i="4"/>
  <c r="AC53" i="4" s="1"/>
  <c r="AD53" i="4" s="1"/>
  <c r="AO19" i="4"/>
  <c r="X25" i="4"/>
  <c r="AK25" i="4" s="1"/>
  <c r="AA87" i="4"/>
  <c r="AC87" i="4" s="1"/>
  <c r="AD87" i="4" s="1"/>
  <c r="AE89" i="4"/>
  <c r="X89" i="4"/>
  <c r="AJ89" i="4" s="1"/>
  <c r="AE75" i="4"/>
  <c r="X75" i="4"/>
  <c r="AJ75" i="4" s="1"/>
  <c r="AA50" i="4"/>
  <c r="AC50" i="4" s="1"/>
  <c r="AD50" i="4" s="1"/>
  <c r="AG31" i="4"/>
  <c r="AI31" i="4" s="1"/>
  <c r="AE31" i="4"/>
  <c r="X31" i="4"/>
  <c r="AA31" i="4" s="1"/>
  <c r="AC31" i="4" s="1"/>
  <c r="AD31" i="4" s="1"/>
  <c r="AG74" i="4"/>
  <c r="AI74" i="4" s="1"/>
  <c r="AO74" i="4"/>
  <c r="AE60" i="4"/>
  <c r="AE32" i="4"/>
  <c r="AE95" i="4"/>
  <c r="X32" i="4"/>
  <c r="AA32" i="4" s="1"/>
  <c r="AC32" i="4" s="1"/>
  <c r="AD32" i="4" s="1"/>
  <c r="X60" i="4"/>
  <c r="AJ60" i="4" s="1"/>
  <c r="X19" i="4"/>
  <c r="AJ19" i="4" s="1"/>
  <c r="AE19" i="4"/>
  <c r="X95" i="4"/>
  <c r="AJ95" i="4" s="1"/>
  <c r="X106" i="4"/>
  <c r="AA106" i="4" s="1"/>
  <c r="AC106" i="4" s="1"/>
  <c r="AD106" i="4" s="1"/>
  <c r="AO102" i="4"/>
  <c r="AE106" i="4"/>
  <c r="AO106" i="4"/>
  <c r="X146" i="4"/>
  <c r="AA146" i="4" s="1"/>
  <c r="AC146" i="4" s="1"/>
  <c r="AD146" i="4" s="1"/>
  <c r="AO41" i="4"/>
  <c r="AE49" i="4"/>
  <c r="AE41" i="4"/>
  <c r="AO98" i="4"/>
  <c r="X41" i="4"/>
  <c r="AK41" i="4" s="1"/>
  <c r="AE146" i="4"/>
  <c r="AE9" i="4"/>
  <c r="X9" i="4"/>
  <c r="AJ9" i="4" s="1"/>
  <c r="Y100" i="4"/>
  <c r="Z100" i="4" s="1"/>
  <c r="AF100" i="4" s="1"/>
  <c r="AE100" i="4"/>
  <c r="AE522" i="5"/>
  <c r="X47" i="4"/>
  <c r="AJ47" i="4" s="1"/>
  <c r="AS522" i="5"/>
  <c r="AU522" i="5" s="1"/>
  <c r="AE47" i="4"/>
  <c r="AO30" i="4"/>
  <c r="X30" i="4"/>
  <c r="AJ30" i="4" s="1"/>
  <c r="AE459" i="5"/>
  <c r="AD459" i="5"/>
  <c r="AD265" i="5"/>
  <c r="AK98" i="4"/>
  <c r="X49" i="4"/>
  <c r="AA49" i="4" s="1"/>
  <c r="AC49" i="4" s="1"/>
  <c r="AD49" i="4" s="1"/>
  <c r="AE11" i="4"/>
  <c r="AE91" i="4"/>
  <c r="X11" i="4"/>
  <c r="AJ11" i="4" s="1"/>
  <c r="AA98" i="4"/>
  <c r="AC98" i="4" s="1"/>
  <c r="AD98" i="4" s="1"/>
  <c r="Y76" i="4"/>
  <c r="Z76" i="4" s="1"/>
  <c r="AF76" i="4" s="1"/>
  <c r="AE30" i="4"/>
  <c r="AE76" i="4"/>
  <c r="Y91" i="4"/>
  <c r="Z91" i="4" s="1"/>
  <c r="AA91" i="4" s="1"/>
  <c r="AC91" i="4" s="1"/>
  <c r="AD91" i="4" s="1"/>
  <c r="AG89" i="4"/>
  <c r="AI89" i="4" s="1"/>
  <c r="AE206" i="5"/>
  <c r="X123" i="4"/>
  <c r="AJ123" i="4" s="1"/>
  <c r="AE123" i="4"/>
  <c r="X127" i="4"/>
  <c r="AJ127" i="4" s="1"/>
  <c r="AD523" i="5"/>
  <c r="Y127" i="4"/>
  <c r="Z127" i="4" s="1"/>
  <c r="AF127" i="4" s="1"/>
  <c r="Y35" i="4"/>
  <c r="Z35" i="4" s="1"/>
  <c r="AF35" i="4" s="1"/>
  <c r="AE35" i="4"/>
  <c r="AG87" i="4"/>
  <c r="AI87" i="4" s="1"/>
  <c r="AS525" i="5"/>
  <c r="AT525" i="5" s="1"/>
  <c r="AS264" i="5"/>
  <c r="AU264" i="5" s="1"/>
  <c r="X63" i="4"/>
  <c r="AJ63" i="4" s="1"/>
  <c r="Y63" i="4"/>
  <c r="Z63" i="4" s="1"/>
  <c r="AF63" i="4" s="1"/>
  <c r="AD371" i="5"/>
  <c r="AS371" i="5"/>
  <c r="AU371" i="5" s="1"/>
  <c r="AD221" i="5"/>
  <c r="AE221" i="5"/>
  <c r="AE512" i="5"/>
  <c r="AD512" i="5"/>
  <c r="Y7" i="4"/>
  <c r="Z7" i="4" s="1"/>
  <c r="X7" i="4"/>
  <c r="AJ7" i="4" s="1"/>
  <c r="AD206" i="5"/>
  <c r="X18" i="4"/>
  <c r="AJ18" i="4" s="1"/>
  <c r="AE18" i="4"/>
  <c r="AG18" i="4"/>
  <c r="AI18" i="4" s="1"/>
  <c r="AO18" i="4"/>
  <c r="AS523" i="5"/>
  <c r="AU523" i="5" s="1"/>
  <c r="AD80" i="5"/>
  <c r="AD525" i="5"/>
  <c r="AE80" i="5"/>
  <c r="AD105" i="5"/>
  <c r="AE546" i="5"/>
  <c r="AS546" i="5"/>
  <c r="AT546" i="5" s="1"/>
  <c r="AD537" i="5"/>
  <c r="AS379" i="5"/>
  <c r="AU379" i="5" s="1"/>
  <c r="AS537" i="5"/>
  <c r="AT537" i="5" s="1"/>
  <c r="AD379" i="5"/>
  <c r="AE117" i="5"/>
  <c r="AE234" i="5"/>
  <c r="AS234" i="5"/>
  <c r="AU234" i="5" s="1"/>
  <c r="AD392" i="5"/>
  <c r="AS446" i="5"/>
  <c r="AU446" i="5" s="1"/>
  <c r="AD26" i="5"/>
  <c r="AD121" i="5"/>
  <c r="AD254" i="5"/>
  <c r="AD160" i="5"/>
  <c r="AE121" i="5"/>
  <c r="AE446" i="5"/>
  <c r="AE392" i="5"/>
  <c r="AE160" i="5"/>
  <c r="AS376" i="5"/>
  <c r="AT376" i="5" s="1"/>
  <c r="AD429" i="5"/>
  <c r="AE432" i="5"/>
  <c r="AE429" i="5"/>
  <c r="AD432" i="5"/>
  <c r="AE426" i="5"/>
  <c r="AS23" i="5"/>
  <c r="AT23" i="5" s="1"/>
  <c r="AS426" i="5"/>
  <c r="AT426" i="5" s="1"/>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U508" i="5" s="1"/>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A115" i="4"/>
  <c r="AC115" i="4" s="1"/>
  <c r="AD115" i="4" s="1"/>
  <c r="AE61" i="4"/>
  <c r="AE40" i="5"/>
  <c r="AE237" i="5"/>
  <c r="AE42" i="5"/>
  <c r="AD386" i="5"/>
  <c r="AE261" i="5"/>
  <c r="AS188" i="5"/>
  <c r="AT188" i="5"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R96" i="4" s="1"/>
  <c r="AT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E544" i="5"/>
  <c r="AD450" i="5"/>
  <c r="AS115" i="5"/>
  <c r="AT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T72" i="5"/>
  <c r="AE413" i="5"/>
  <c r="AD182" i="5"/>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A143" i="4"/>
  <c r="AC143" i="4" s="1"/>
  <c r="AD143" i="4" s="1"/>
  <c r="AT127" i="5"/>
  <c r="AS287" i="5"/>
  <c r="AT287" i="5" s="1"/>
  <c r="AA42" i="4"/>
  <c r="AC42" i="4" s="1"/>
  <c r="AD42" i="4"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E449" i="5"/>
  <c r="AE292" i="5"/>
  <c r="AS393" i="5"/>
  <c r="AT393" i="5" s="1"/>
  <c r="AS292" i="5"/>
  <c r="AU292" i="5" s="1"/>
  <c r="AS391" i="5"/>
  <c r="AT391" i="5" s="1"/>
  <c r="AD393" i="5"/>
  <c r="AE391" i="5"/>
  <c r="AA84" i="4"/>
  <c r="AC84" i="4" s="1"/>
  <c r="AD84" i="4" s="1"/>
  <c r="AK84" i="4"/>
  <c r="AF84" i="4"/>
  <c r="AE286" i="5"/>
  <c r="AD286" i="5"/>
  <c r="AS162" i="5"/>
  <c r="AT162" i="5" s="1"/>
  <c r="AD123" i="5"/>
  <c r="AD74" i="5"/>
  <c r="AD11" i="5"/>
  <c r="AG75" i="4"/>
  <c r="AI75" i="4" s="1"/>
  <c r="AE11" i="5"/>
  <c r="AS235" i="5"/>
  <c r="AU235" i="5" s="1"/>
  <c r="AE10" i="5"/>
  <c r="AS10" i="5"/>
  <c r="AU10" i="5" s="1"/>
  <c r="AD235" i="5"/>
  <c r="AE123" i="5"/>
  <c r="AE74" i="5"/>
  <c r="AE162" i="5"/>
  <c r="AS299" i="5"/>
  <c r="AU299" i="5" s="1"/>
  <c r="AO108" i="4"/>
  <c r="AD557" i="5"/>
  <c r="AE549" i="5"/>
  <c r="AE271" i="5"/>
  <c r="AD311" i="5"/>
  <c r="AS8" i="5"/>
  <c r="AT8" i="5" s="1"/>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O68" i="4"/>
  <c r="AD489" i="5"/>
  <c r="AS224" i="5"/>
  <c r="AT224" i="5" s="1"/>
  <c r="AE61" i="5"/>
  <c r="AE355" i="5"/>
  <c r="AE430" i="5"/>
  <c r="AS61" i="5"/>
  <c r="AU61" i="5" s="1"/>
  <c r="AE177" i="5"/>
  <c r="AS28" i="5"/>
  <c r="AU28" i="5" s="1"/>
  <c r="AS355" i="5"/>
  <c r="AT355" i="5" s="1"/>
  <c r="AS430" i="5"/>
  <c r="AU430" i="5" s="1"/>
  <c r="AD256" i="5"/>
  <c r="AE337" i="5"/>
  <c r="AD389" i="5"/>
  <c r="AD56" i="5"/>
  <c r="AD307" i="5"/>
  <c r="AD211" i="5"/>
  <c r="AG103" i="4"/>
  <c r="AI103" i="4" s="1"/>
  <c r="AD87" i="5"/>
  <c r="AE493" i="5"/>
  <c r="AS493" i="5"/>
  <c r="AT493" i="5" s="1"/>
  <c r="AS195" i="5"/>
  <c r="AT195" i="5" s="1"/>
  <c r="AS92" i="5"/>
  <c r="AT92" i="5" s="1"/>
  <c r="AS190" i="5"/>
  <c r="AU190" i="5" s="1"/>
  <c r="AS30" i="5"/>
  <c r="AU30" i="5" s="1"/>
  <c r="AD195" i="5"/>
  <c r="AE190" i="5"/>
  <c r="AE30" i="5"/>
  <c r="AS41" i="5"/>
  <c r="AU41" i="5" s="1"/>
  <c r="AD439" i="5"/>
  <c r="AK85" i="4"/>
  <c r="AD192" i="5"/>
  <c r="AS86" i="5"/>
  <c r="AT86" i="5" s="1"/>
  <c r="AS177" i="5"/>
  <c r="AT177" i="5" s="1"/>
  <c r="AS164" i="5"/>
  <c r="AU164" i="5" s="1"/>
  <c r="AD164" i="5"/>
  <c r="AE461" i="5"/>
  <c r="AE192" i="5"/>
  <c r="AE347" i="5"/>
  <c r="AE146" i="5"/>
  <c r="AE41" i="5"/>
  <c r="AD51" i="5"/>
  <c r="AS527" i="5"/>
  <c r="AU527" i="5" s="1"/>
  <c r="AD337" i="5"/>
  <c r="AE87" i="5"/>
  <c r="AD461" i="5"/>
  <c r="AS367" i="5"/>
  <c r="AU367" i="5" s="1"/>
  <c r="AS51" i="5"/>
  <c r="AU51" i="5" s="1"/>
  <c r="AA120" i="4"/>
  <c r="AC120" i="4" s="1"/>
  <c r="AD120" i="4" s="1"/>
  <c r="AD527" i="5"/>
  <c r="AK153" i="4"/>
  <c r="AD408" i="5"/>
  <c r="AS389" i="5"/>
  <c r="AT389" i="5" s="1"/>
  <c r="AK102" i="4"/>
  <c r="AS368" i="5"/>
  <c r="AT368" i="5" s="1"/>
  <c r="AE368" i="5"/>
  <c r="AE63" i="5"/>
  <c r="AE131" i="5"/>
  <c r="AS131" i="5"/>
  <c r="AT131" i="5" s="1"/>
  <c r="AE167" i="5"/>
  <c r="AK81" i="4"/>
  <c r="AD347" i="5"/>
  <c r="AD146" i="5"/>
  <c r="AD63" i="5"/>
  <c r="AS439" i="5"/>
  <c r="AT439" i="5" s="1"/>
  <c r="AG97" i="4"/>
  <c r="AI97" i="4" s="1"/>
  <c r="AA45" i="4"/>
  <c r="AC45" i="4" s="1"/>
  <c r="AD45" i="4" s="1"/>
  <c r="AA102" i="4"/>
  <c r="AC102" i="4" s="1"/>
  <c r="AD102" i="4" s="1"/>
  <c r="AS156" i="5"/>
  <c r="AU156" i="5" s="1"/>
  <c r="AS71" i="5"/>
  <c r="AT71" i="5" s="1"/>
  <c r="AD170" i="5"/>
  <c r="AE170" i="5"/>
  <c r="AS250" i="5"/>
  <c r="AT250" i="5" s="1"/>
  <c r="AF32" i="4"/>
  <c r="AG32" i="4" s="1"/>
  <c r="AI32" i="4" s="1"/>
  <c r="AA122" i="4"/>
  <c r="AC122" i="4" s="1"/>
  <c r="AD122" i="4" s="1"/>
  <c r="AK45" i="4"/>
  <c r="AS415" i="5"/>
  <c r="AU415" i="5" s="1"/>
  <c r="AD415" i="5"/>
  <c r="AO45" i="4"/>
  <c r="AD516" i="5"/>
  <c r="AS516" i="5"/>
  <c r="AU516" i="5" s="1"/>
  <c r="AS152" i="5"/>
  <c r="AU152" i="5" s="1"/>
  <c r="AE152" i="5"/>
  <c r="AD288" i="5"/>
  <c r="AK71" i="4"/>
  <c r="AE149" i="5"/>
  <c r="AF120" i="4"/>
  <c r="AO120" i="4" s="1"/>
  <c r="AS531" i="5"/>
  <c r="AU531" i="5" s="1"/>
  <c r="AE554" i="5"/>
  <c r="AS334" i="5"/>
  <c r="AU334" i="5" s="1"/>
  <c r="AE256" i="5"/>
  <c r="AD554" i="5"/>
  <c r="AK120"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O70" i="4"/>
  <c r="AG70" i="4"/>
  <c r="AI70" i="4" s="1"/>
  <c r="AS431" i="5"/>
  <c r="AU431" i="5" s="1"/>
  <c r="AE89" i="5"/>
  <c r="AS474" i="5"/>
  <c r="AT474" i="5" s="1"/>
  <c r="B93" i="2"/>
  <c r="B113" i="2" s="1"/>
  <c r="H25" i="1" s="1"/>
  <c r="AG44" i="4"/>
  <c r="AI44" i="4" s="1"/>
  <c r="AO44" i="4"/>
  <c r="AA137" i="4"/>
  <c r="AC137" i="4" s="1"/>
  <c r="AD137" i="4" s="1"/>
  <c r="AA126" i="4"/>
  <c r="AC126" i="4" s="1"/>
  <c r="AD126" i="4" s="1"/>
  <c r="AF126" i="4"/>
  <c r="AK126" i="4"/>
  <c r="AF95" i="4"/>
  <c r="AS545" i="5"/>
  <c r="AU545" i="5" s="1"/>
  <c r="AD109" i="5"/>
  <c r="AA117" i="4"/>
  <c r="AC117" i="4" s="1"/>
  <c r="AD117" i="4" s="1"/>
  <c r="AF86" i="4"/>
  <c r="AF69" i="4"/>
  <c r="AE545" i="5"/>
  <c r="AE109" i="5"/>
  <c r="AD324" i="5"/>
  <c r="AA157" i="4"/>
  <c r="AC157" i="4" s="1"/>
  <c r="AD157" i="4" s="1"/>
  <c r="AF157" i="4"/>
  <c r="AK157" i="4"/>
  <c r="AF14" i="4"/>
  <c r="AS84" i="5"/>
  <c r="AT84" i="5" s="1"/>
  <c r="AE454" i="5"/>
  <c r="AA116" i="4"/>
  <c r="AC116" i="4" s="1"/>
  <c r="AD116" i="4" s="1"/>
  <c r="AJ116" i="4"/>
  <c r="AA71" i="4"/>
  <c r="AC71" i="4" s="1"/>
  <c r="AD71" i="4" s="1"/>
  <c r="AA54" i="4"/>
  <c r="AC54" i="4" s="1"/>
  <c r="AD54" i="4" s="1"/>
  <c r="AA44" i="4"/>
  <c r="AC44" i="4" s="1"/>
  <c r="AD44" i="4" s="1"/>
  <c r="AJ44" i="4"/>
  <c r="AK128" i="4"/>
  <c r="AF128" i="4"/>
  <c r="AA128" i="4"/>
  <c r="AC128" i="4" s="1"/>
  <c r="AD128" i="4" s="1"/>
  <c r="AF77" i="4"/>
  <c r="AA77" i="4"/>
  <c r="AC77" i="4" s="1"/>
  <c r="AD77" i="4" s="1"/>
  <c r="AK77" i="4"/>
  <c r="AE324" i="5"/>
  <c r="AE84" i="5"/>
  <c r="AD372" i="5"/>
  <c r="AK122" i="4"/>
  <c r="AD454" i="5"/>
  <c r="AO123" i="4"/>
  <c r="AG123" i="4"/>
  <c r="AI123" i="4" s="1"/>
  <c r="AA108" i="4"/>
  <c r="AC108" i="4" s="1"/>
  <c r="AD108" i="4" s="1"/>
  <c r="AA8" i="4"/>
  <c r="AC8" i="4" s="1"/>
  <c r="AD8" i="4" s="1"/>
  <c r="AF8" i="4"/>
  <c r="AK8" i="4"/>
  <c r="AA134" i="4"/>
  <c r="AC134" i="4" s="1"/>
  <c r="AD134" i="4" s="1"/>
  <c r="AF134" i="4"/>
  <c r="AK134" i="4"/>
  <c r="AA93" i="4"/>
  <c r="AC93" i="4" s="1"/>
  <c r="AD93" i="4" s="1"/>
  <c r="AF93" i="4"/>
  <c r="AK93" i="4"/>
  <c r="AO111" i="4"/>
  <c r="AG111" i="4"/>
  <c r="AI111" i="4" s="1"/>
  <c r="AK52" i="4"/>
  <c r="AA80" i="4"/>
  <c r="AC80" i="4" s="1"/>
  <c r="AD80" i="4" s="1"/>
  <c r="AF47" i="4"/>
  <c r="AF135" i="4"/>
  <c r="AJ70" i="4"/>
  <c r="AA70" i="4"/>
  <c r="AC70" i="4" s="1"/>
  <c r="AD70" i="4" s="1"/>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65" i="4"/>
  <c r="AO81" i="4"/>
  <c r="AA151" i="4"/>
  <c r="AC151" i="4" s="1"/>
  <c r="AD151" i="4" s="1"/>
  <c r="AR151" i="4" s="1"/>
  <c r="AT151" i="4" s="1"/>
  <c r="AG49" i="4"/>
  <c r="AI49" i="4" s="1"/>
  <c r="AA153" i="4"/>
  <c r="AC153" i="4" s="1"/>
  <c r="AD153" i="4" s="1"/>
  <c r="AK117" i="4"/>
  <c r="AK151" i="4"/>
  <c r="AG114" i="4"/>
  <c r="AI114" i="4" s="1"/>
  <c r="AK124" i="4"/>
  <c r="AK13" i="4"/>
  <c r="AG43" i="4"/>
  <c r="AI43" i="4" s="1"/>
  <c r="AA13" i="4"/>
  <c r="AC13" i="4" s="1"/>
  <c r="AD13" i="4" s="1"/>
  <c r="AO17" i="4"/>
  <c r="AK92" i="4"/>
  <c r="AA65" i="4"/>
  <c r="AC65" i="4" s="1"/>
  <c r="AD65" i="4" s="1"/>
  <c r="AG149" i="4"/>
  <c r="AI149" i="4" s="1"/>
  <c r="AK51" i="4"/>
  <c r="AA17" i="4"/>
  <c r="AC17" i="4" s="1"/>
  <c r="AD17" i="4" s="1"/>
  <c r="AK136" i="4"/>
  <c r="AG139" i="4"/>
  <c r="AI139" i="4" s="1"/>
  <c r="AR139" i="4" s="1"/>
  <c r="AT139" i="4" s="1"/>
  <c r="AA92" i="4"/>
  <c r="AC92" i="4" s="1"/>
  <c r="AD92" i="4" s="1"/>
  <c r="AK97" i="4"/>
  <c r="AK17" i="4"/>
  <c r="AA48" i="4"/>
  <c r="AC48" i="4" s="1"/>
  <c r="AD48" i="4" s="1"/>
  <c r="AA51" i="4"/>
  <c r="AC51" i="4" s="1"/>
  <c r="AD51" i="4" s="1"/>
  <c r="AA97" i="4"/>
  <c r="AC97" i="4" s="1"/>
  <c r="AD97" i="4" s="1"/>
  <c r="AA136" i="4"/>
  <c r="AC136" i="4" s="1"/>
  <c r="AD136" i="4" s="1"/>
  <c r="AA85" i="4"/>
  <c r="AC85" i="4" s="1"/>
  <c r="AD85" i="4" s="1"/>
  <c r="AA90" i="4"/>
  <c r="AC90" i="4" s="1"/>
  <c r="AD90" i="4" s="1"/>
  <c r="AK138" i="4"/>
  <c r="AA113" i="4"/>
  <c r="AC113" i="4" s="1"/>
  <c r="AD113" i="4" s="1"/>
  <c r="AA138" i="4"/>
  <c r="AC138" i="4" s="1"/>
  <c r="AD138" i="4" s="1"/>
  <c r="AJ104" i="4"/>
  <c r="AA104" i="4"/>
  <c r="AC104" i="4" s="1"/>
  <c r="AD104" i="4" s="1"/>
  <c r="AK16" i="4"/>
  <c r="AA55" i="4"/>
  <c r="AC55" i="4" s="1"/>
  <c r="AD55" i="4" s="1"/>
  <c r="AA131" i="4"/>
  <c r="AC131" i="4" s="1"/>
  <c r="AD131" i="4" s="1"/>
  <c r="AR36" i="4"/>
  <c r="AT36" i="4" s="1"/>
  <c r="AO48" i="4"/>
  <c r="AG48" i="4"/>
  <c r="AI48" i="4" s="1"/>
  <c r="AG131" i="4"/>
  <c r="AI131" i="4" s="1"/>
  <c r="AO131" i="4"/>
  <c r="AG90" i="4"/>
  <c r="AI90" i="4" s="1"/>
  <c r="AO90" i="4"/>
  <c r="AG117" i="4"/>
  <c r="AI117" i="4" s="1"/>
  <c r="AO117" i="4"/>
  <c r="AT7" i="5"/>
  <c r="AU7" i="5"/>
  <c r="AT83" i="5"/>
  <c r="AU83" i="5"/>
  <c r="AT146" i="5"/>
  <c r="AU146" i="5"/>
  <c r="AO57" i="4"/>
  <c r="AG57" i="4"/>
  <c r="AI57" i="4" s="1"/>
  <c r="AU500" i="5"/>
  <c r="AT500" i="5"/>
  <c r="AU294" i="5"/>
  <c r="AT294" i="5"/>
  <c r="AF73" i="4"/>
  <c r="AK73" i="4"/>
  <c r="AJ36" i="4"/>
  <c r="AK36" i="4"/>
  <c r="AT109" i="5"/>
  <c r="AU109" i="5"/>
  <c r="AT337" i="5"/>
  <c r="AU337" i="5"/>
  <c r="AG104" i="4"/>
  <c r="AI104" i="4" s="1"/>
  <c r="AO104" i="4"/>
  <c r="AT434" i="5"/>
  <c r="AU434" i="5"/>
  <c r="AU424" i="5"/>
  <c r="AT424" i="5"/>
  <c r="AU171" i="5"/>
  <c r="AT171" i="5"/>
  <c r="AJ154" i="4"/>
  <c r="AK154" i="4"/>
  <c r="AT208" i="5"/>
  <c r="AU208" i="5"/>
  <c r="AU118" i="5"/>
  <c r="AT118"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T544" i="5"/>
  <c r="AU544" i="5"/>
  <c r="AT33" i="5"/>
  <c r="AU33" i="5"/>
  <c r="AU413" i="5"/>
  <c r="AT413" i="5"/>
  <c r="AU279" i="5"/>
  <c r="AT279" i="5"/>
  <c r="AA16" i="4"/>
  <c r="AC16" i="4" s="1"/>
  <c r="AD16" i="4" s="1"/>
  <c r="AG51" i="4"/>
  <c r="AI51" i="4" s="1"/>
  <c r="AO51" i="4"/>
  <c r="AU135" i="5"/>
  <c r="AT135" i="5"/>
  <c r="AU251" i="5"/>
  <c r="AT251" i="5"/>
  <c r="AT180" i="5"/>
  <c r="AU180" i="5"/>
  <c r="AE13" i="5"/>
  <c r="AD13" i="5"/>
  <c r="AS13" i="5"/>
  <c r="AJ131" i="4"/>
  <c r="AK131" i="4"/>
  <c r="AO147" i="4"/>
  <c r="AG147" i="4"/>
  <c r="AI147" i="4" s="1"/>
  <c r="AO60" i="4"/>
  <c r="AG60" i="4"/>
  <c r="AI60" i="4" s="1"/>
  <c r="AU173" i="5"/>
  <c r="AT173" i="5"/>
  <c r="AJ78" i="4"/>
  <c r="AK78" i="4"/>
  <c r="AU183" i="5"/>
  <c r="AT183" i="5"/>
  <c r="AX182" i="5" s="1"/>
  <c r="AY182" i="5" s="1"/>
  <c r="AT392" i="5"/>
  <c r="AU392" i="5"/>
  <c r="AT464" i="5"/>
  <c r="AU464" i="5"/>
  <c r="AJ139" i="4"/>
  <c r="AK139" i="4"/>
  <c r="AG121" i="4"/>
  <c r="AI121" i="4" s="1"/>
  <c r="AO121" i="4"/>
  <c r="AU100" i="5"/>
  <c r="AT100" i="5"/>
  <c r="AT160" i="5"/>
  <c r="AU160" i="5"/>
  <c r="AU167" i="5"/>
  <c r="AT167" i="5"/>
  <c r="AT286" i="5"/>
  <c r="AU286" i="5"/>
  <c r="AU362" i="5"/>
  <c r="AT362" i="5"/>
  <c r="AO107" i="4"/>
  <c r="AG107" i="4"/>
  <c r="AI107" i="4" s="1"/>
  <c r="AJ121" i="4"/>
  <c r="AK121" i="4"/>
  <c r="AJ53" i="4"/>
  <c r="AK53" i="4"/>
  <c r="AT479" i="5"/>
  <c r="AU479" i="5"/>
  <c r="AG153" i="4"/>
  <c r="AI153" i="4" s="1"/>
  <c r="AO153" i="4"/>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258" i="5"/>
  <c r="AT258" i="5"/>
  <c r="AX257" i="5" s="1"/>
  <c r="AY257" i="5" s="1"/>
  <c r="AT397" i="5"/>
  <c r="AU397" i="5"/>
  <c r="AU252" i="5"/>
  <c r="AT252" i="5"/>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U142" i="5"/>
  <c r="AT142" i="5"/>
  <c r="AU333" i="5"/>
  <c r="AT333" i="5"/>
  <c r="AT221" i="5"/>
  <c r="AU221" i="5"/>
  <c r="AT170" i="5"/>
  <c r="AU170" i="5"/>
  <c r="AU460" i="5"/>
  <c r="AT460" i="5"/>
  <c r="AU253" i="5"/>
  <c r="AT253" i="5"/>
  <c r="AT298" i="5"/>
  <c r="AU298" i="5"/>
  <c r="AG99" i="4"/>
  <c r="AI99" i="4" s="1"/>
  <c r="AO99" i="4"/>
  <c r="AO124" i="4"/>
  <c r="AG124" i="4"/>
  <c r="AI124" i="4" s="1"/>
  <c r="AT554" i="5"/>
  <c r="AU554" i="5"/>
  <c r="AG145" i="4"/>
  <c r="AI145" i="4" s="1"/>
  <c r="AO145" i="4"/>
  <c r="AJ56" i="4"/>
  <c r="AK56" i="4"/>
  <c r="AT491" i="5"/>
  <c r="AU491" i="5"/>
  <c r="AJ149" i="4"/>
  <c r="AK149" i="4"/>
  <c r="AU348" i="5"/>
  <c r="AT348" i="5"/>
  <c r="AT485" i="5"/>
  <c r="AU485" i="5"/>
  <c r="AU87" i="5"/>
  <c r="AT87" i="5"/>
  <c r="AU432" i="5"/>
  <c r="AT432" i="5"/>
  <c r="AG56" i="4"/>
  <c r="AI56" i="4" s="1"/>
  <c r="AO56" i="4"/>
  <c r="AU467" i="5"/>
  <c r="AT467" i="5"/>
  <c r="AT269" i="5"/>
  <c r="AU269" i="5"/>
  <c r="AU121" i="5"/>
  <c r="AT121" i="5"/>
  <c r="AU288" i="5"/>
  <c r="AT288" i="5"/>
  <c r="AU203" i="5"/>
  <c r="AT203" i="5"/>
  <c r="AU488" i="5"/>
  <c r="AT488" i="5"/>
  <c r="AU429" i="5"/>
  <c r="AT429" i="5"/>
  <c r="AU260" i="5"/>
  <c r="AT260" i="5"/>
  <c r="AT290" i="5"/>
  <c r="AU290" i="5"/>
  <c r="AT37" i="5"/>
  <c r="AU37" i="5"/>
  <c r="AU40" i="5"/>
  <c r="AT40" i="5"/>
  <c r="AU144" i="5"/>
  <c r="AT144" i="5"/>
  <c r="AT557" i="5"/>
  <c r="AU557" i="5"/>
  <c r="AU482" i="5"/>
  <c r="AT482" i="5"/>
  <c r="AT176" i="5"/>
  <c r="AX175" i="5" s="1"/>
  <c r="AY175" i="5" s="1"/>
  <c r="AU176" i="5"/>
  <c r="AU311" i="5"/>
  <c r="AT311" i="5"/>
  <c r="AT149" i="5"/>
  <c r="AU149" i="5"/>
  <c r="AJ33" i="4"/>
  <c r="AK33" i="4"/>
  <c r="AU471" i="5"/>
  <c r="AT471" i="5"/>
  <c r="AG146" i="4"/>
  <c r="AI146" i="4" s="1"/>
  <c r="AO146" i="4"/>
  <c r="AU341" i="5"/>
  <c r="AT341" i="5"/>
  <c r="AO42" i="4"/>
  <c r="AG42" i="4"/>
  <c r="AI42" i="4" s="1"/>
  <c r="AU338" i="5"/>
  <c r="AT338" i="5"/>
  <c r="AU498" i="5"/>
  <c r="AT498" i="5"/>
  <c r="AU417" i="5"/>
  <c r="AT417" i="5"/>
  <c r="AG28" i="4"/>
  <c r="AI28" i="4" s="1"/>
  <c r="AO28" i="4"/>
  <c r="AT275" i="5"/>
  <c r="AU275" i="5"/>
  <c r="AU422" i="5"/>
  <c r="AT422" i="5"/>
  <c r="AT343" i="5"/>
  <c r="AU343" i="5"/>
  <c r="AU280" i="5"/>
  <c r="AT280" i="5"/>
  <c r="AU319" i="5"/>
  <c r="AT319" i="5"/>
  <c r="AT74" i="5"/>
  <c r="AU74" i="5"/>
  <c r="AT465" i="5"/>
  <c r="AU465" i="5"/>
  <c r="AG29" i="4"/>
  <c r="AI29" i="4" s="1"/>
  <c r="AO29" i="4"/>
  <c r="AU427" i="5"/>
  <c r="AT427" i="5"/>
  <c r="AU268" i="5"/>
  <c r="AT268" i="5"/>
  <c r="AT304" i="5"/>
  <c r="AU304" i="5"/>
  <c r="AU386" i="5"/>
  <c r="AT386" i="5"/>
  <c r="AJ48" i="4"/>
  <c r="AT459" i="5"/>
  <c r="AU459" i="5"/>
  <c r="AG154" i="4"/>
  <c r="AI154" i="4" s="1"/>
  <c r="AO154" i="4"/>
  <c r="AT70" i="5"/>
  <c r="AU70" i="5"/>
  <c r="AT339" i="5"/>
  <c r="AU339" i="5"/>
  <c r="AU342" i="5"/>
  <c r="AT342" i="5"/>
  <c r="AU256" i="5"/>
  <c r="AT256" i="5"/>
  <c r="AG15" i="4"/>
  <c r="AI15" i="4" s="1"/>
  <c r="AO15" i="4"/>
  <c r="AT296" i="5"/>
  <c r="AU296" i="5"/>
  <c r="AU489" i="5"/>
  <c r="AT489" i="5"/>
  <c r="AU232" i="5"/>
  <c r="AT232" i="5"/>
  <c r="AU262" i="5"/>
  <c r="AT262" i="5"/>
  <c r="AU499" i="5"/>
  <c r="AT499" i="5"/>
  <c r="AJ90" i="4"/>
  <c r="AK90" i="4"/>
  <c r="AU216" i="5"/>
  <c r="AT216" i="5"/>
  <c r="AU130" i="5"/>
  <c r="AT130" i="5"/>
  <c r="AO115" i="4"/>
  <c r="AG115" i="4"/>
  <c r="AI115" i="4" s="1"/>
  <c r="AT69" i="5"/>
  <c r="AU69" i="5"/>
  <c r="AU189" i="5"/>
  <c r="AT189" i="5"/>
  <c r="AJ43" i="4"/>
  <c r="AK43" i="4"/>
  <c r="AG92" i="4"/>
  <c r="AI92" i="4" s="1"/>
  <c r="AO92" i="4"/>
  <c r="AG65" i="4"/>
  <c r="AI65" i="4" s="1"/>
  <c r="AO65" i="4"/>
  <c r="AG110" i="4"/>
  <c r="AI110" i="4" s="1"/>
  <c r="AO110" i="4"/>
  <c r="AJ50" i="4"/>
  <c r="AK50" i="4"/>
  <c r="AJ87" i="4"/>
  <c r="AK87" i="4"/>
  <c r="AU433" i="5"/>
  <c r="AT433" i="5"/>
  <c r="AJ29" i="4"/>
  <c r="AK29" i="4"/>
  <c r="AT356" i="5"/>
  <c r="AU356" i="5"/>
  <c r="AU123" i="5"/>
  <c r="AT123" i="5"/>
  <c r="AT506" i="5"/>
  <c r="AU506" i="5"/>
  <c r="AO55" i="4"/>
  <c r="AG55" i="4"/>
  <c r="AI55" i="4" s="1"/>
  <c r="AU373" i="5"/>
  <c r="AT373" i="5"/>
  <c r="AJ42" i="4"/>
  <c r="AK42" i="4"/>
  <c r="AU215" i="5"/>
  <c r="AT215" i="5"/>
  <c r="AT484" i="5"/>
  <c r="AU484" i="5"/>
  <c r="AT332" i="5"/>
  <c r="AU332" i="5"/>
  <c r="AU151" i="5"/>
  <c r="AT151" i="5"/>
  <c r="AT436" i="5"/>
  <c r="AU436" i="5"/>
  <c r="AU399" i="5"/>
  <c r="AT399" i="5"/>
  <c r="AT553" i="5"/>
  <c r="AU553" i="5"/>
  <c r="AT63" i="5"/>
  <c r="AU63" i="5"/>
  <c r="AT450" i="5"/>
  <c r="AU450" i="5"/>
  <c r="AU524" i="5"/>
  <c r="AT524" i="5"/>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512" i="5"/>
  <c r="AU512" i="5"/>
  <c r="AT445" i="5"/>
  <c r="AU445" i="5"/>
  <c r="AT112" i="5"/>
  <c r="AU112" i="5"/>
  <c r="AU370" i="5"/>
  <c r="AT370" i="5"/>
  <c r="AU133" i="5"/>
  <c r="AT133" i="5"/>
  <c r="AT266" i="5"/>
  <c r="AU266" i="5"/>
  <c r="AO16" i="4"/>
  <c r="AG16" i="4"/>
  <c r="AI16" i="4" s="1"/>
  <c r="AF137" i="4" l="1"/>
  <c r="AK40" i="4"/>
  <c r="AF54" i="4"/>
  <c r="AA82" i="4"/>
  <c r="AC82" i="4" s="1"/>
  <c r="AD82" i="4" s="1"/>
  <c r="AR82" i="4" s="1"/>
  <c r="AT82" i="4" s="1"/>
  <c r="AR78" i="4"/>
  <c r="AT78" i="4" s="1"/>
  <c r="AK55" i="4"/>
  <c r="AK82" i="4"/>
  <c r="AA40" i="4"/>
  <c r="AC40" i="4" s="1"/>
  <c r="AD40" i="4" s="1"/>
  <c r="AR40" i="4" s="1"/>
  <c r="AT40" i="4" s="1"/>
  <c r="AR136" i="4"/>
  <c r="AT136" i="4" s="1"/>
  <c r="AA103" i="4"/>
  <c r="AC103" i="4" s="1"/>
  <c r="AD103" i="4" s="1"/>
  <c r="AR103" i="4" s="1"/>
  <c r="AT103" i="4" s="1"/>
  <c r="AK38" i="4"/>
  <c r="AA99" i="4"/>
  <c r="AC99" i="4" s="1"/>
  <c r="AD99" i="4" s="1"/>
  <c r="AR99" i="4" s="1"/>
  <c r="AT99" i="4" s="1"/>
  <c r="AK99" i="4"/>
  <c r="AK88" i="4"/>
  <c r="AK103" i="4"/>
  <c r="AA111" i="4"/>
  <c r="AC111" i="4" s="1"/>
  <c r="AD111" i="4" s="1"/>
  <c r="AR111" i="4" s="1"/>
  <c r="AT111" i="4" s="1"/>
  <c r="AG88" i="4"/>
  <c r="AI88" i="4" s="1"/>
  <c r="AK28" i="4"/>
  <c r="AJ28" i="4"/>
  <c r="AK27" i="4"/>
  <c r="AA27" i="4"/>
  <c r="AC27" i="4" s="1"/>
  <c r="AD27" i="4" s="1"/>
  <c r="AR27" i="4" s="1"/>
  <c r="AT27" i="4" s="1"/>
  <c r="AA86" i="4"/>
  <c r="AC86" i="4" s="1"/>
  <c r="AD86" i="4" s="1"/>
  <c r="AK112" i="4"/>
  <c r="AJ112" i="4"/>
  <c r="AK119" i="4"/>
  <c r="AF150" i="4"/>
  <c r="AO150" i="4" s="1"/>
  <c r="AK150" i="4"/>
  <c r="AK111" i="4"/>
  <c r="AK64" i="4"/>
  <c r="AJ147" i="4"/>
  <c r="AA38" i="4"/>
  <c r="AC38" i="4" s="1"/>
  <c r="AD38" i="4" s="1"/>
  <c r="AA88" i="4"/>
  <c r="AC88" i="4" s="1"/>
  <c r="AD88" i="4" s="1"/>
  <c r="AK113" i="4"/>
  <c r="AK114" i="4"/>
  <c r="AO118" i="4"/>
  <c r="AR118" i="4" s="1"/>
  <c r="AT118" i="4" s="1"/>
  <c r="AR112" i="4"/>
  <c r="AT112" i="4" s="1"/>
  <c r="AA64" i="4"/>
  <c r="AC64" i="4" s="1"/>
  <c r="AD64" i="4" s="1"/>
  <c r="AK118" i="4"/>
  <c r="AK147" i="4"/>
  <c r="AK143" i="4"/>
  <c r="AJ118" i="4"/>
  <c r="AK74" i="4"/>
  <c r="AG143" i="4"/>
  <c r="AI143" i="4" s="1"/>
  <c r="AR143" i="4" s="1"/>
  <c r="AT143" i="4" s="1"/>
  <c r="AK12" i="4"/>
  <c r="AK156" i="4"/>
  <c r="AK86" i="4"/>
  <c r="AJ119" i="4"/>
  <c r="AO156" i="4"/>
  <c r="AR156" i="4" s="1"/>
  <c r="AT156" i="4" s="1"/>
  <c r="AJ156" i="4"/>
  <c r="AK68" i="4"/>
  <c r="AA68" i="4"/>
  <c r="AC68" i="4" s="1"/>
  <c r="AD68" i="4" s="1"/>
  <c r="AR53" i="4"/>
  <c r="AT53" i="4" s="1"/>
  <c r="AA114" i="4"/>
  <c r="AC114" i="4" s="1"/>
  <c r="AD114" i="4" s="1"/>
  <c r="AR114" i="4" s="1"/>
  <c r="AT114" i="4" s="1"/>
  <c r="AA74" i="4"/>
  <c r="AC74" i="4" s="1"/>
  <c r="AD74" i="4" s="1"/>
  <c r="AR74" i="4" s="1"/>
  <c r="AT74" i="4" s="1"/>
  <c r="AO119" i="4"/>
  <c r="AR119" i="4" s="1"/>
  <c r="AT119" i="4" s="1"/>
  <c r="AA25" i="4"/>
  <c r="AC25" i="4" s="1"/>
  <c r="AD25" i="4" s="1"/>
  <c r="AR25" i="4" s="1"/>
  <c r="AT25" i="4" s="1"/>
  <c r="AJ25" i="4"/>
  <c r="AR71" i="4"/>
  <c r="AT71" i="4" s="1"/>
  <c r="AA69" i="4"/>
  <c r="AC69" i="4" s="1"/>
  <c r="AD69" i="4" s="1"/>
  <c r="AK69" i="4"/>
  <c r="AA60" i="4"/>
  <c r="AC60" i="4" s="1"/>
  <c r="AD60" i="4" s="1"/>
  <c r="AR60" i="4" s="1"/>
  <c r="AT60" i="4" s="1"/>
  <c r="AK60" i="4"/>
  <c r="AK32" i="4"/>
  <c r="AK89" i="4"/>
  <c r="AA89" i="4"/>
  <c r="AC89" i="4" s="1"/>
  <c r="AD89" i="4" s="1"/>
  <c r="AR89" i="4" s="1"/>
  <c r="AT89" i="4" s="1"/>
  <c r="AA95" i="4"/>
  <c r="AC95" i="4" s="1"/>
  <c r="AD95" i="4" s="1"/>
  <c r="AA75" i="4"/>
  <c r="AC75" i="4" s="1"/>
  <c r="AD75" i="4" s="1"/>
  <c r="AR75" i="4" s="1"/>
  <c r="AT75" i="4" s="1"/>
  <c r="AK75" i="4"/>
  <c r="AK95" i="4"/>
  <c r="AA19" i="4"/>
  <c r="AC19" i="4" s="1"/>
  <c r="AD19" i="4" s="1"/>
  <c r="AR19" i="4" s="1"/>
  <c r="AT19" i="4" s="1"/>
  <c r="AR31" i="4"/>
  <c r="AT31" i="4" s="1"/>
  <c r="AK31" i="4"/>
  <c r="AJ31" i="4"/>
  <c r="AR102" i="4"/>
  <c r="AT102" i="4" s="1"/>
  <c r="AR87" i="4"/>
  <c r="AT87" i="4" s="1"/>
  <c r="AJ32" i="4"/>
  <c r="AK19" i="4"/>
  <c r="AT508" i="5"/>
  <c r="AX507" i="5" s="1"/>
  <c r="AY507" i="5" s="1"/>
  <c r="AK123" i="4"/>
  <c r="AK146" i="4"/>
  <c r="AJ146" i="4"/>
  <c r="AA30" i="4"/>
  <c r="AC30" i="4" s="1"/>
  <c r="AD30" i="4" s="1"/>
  <c r="AR30" i="4" s="1"/>
  <c r="AT30" i="4" s="1"/>
  <c r="AF91" i="4"/>
  <c r="AG91" i="4" s="1"/>
  <c r="AI91" i="4" s="1"/>
  <c r="AU525" i="5"/>
  <c r="AK30" i="4"/>
  <c r="AU426" i="5"/>
  <c r="AA41" i="4"/>
  <c r="AC41" i="4" s="1"/>
  <c r="AD41" i="4" s="1"/>
  <c r="AR41" i="4" s="1"/>
  <c r="AT41" i="4" s="1"/>
  <c r="AJ41" i="4"/>
  <c r="AR106" i="4"/>
  <c r="AT106" i="4" s="1"/>
  <c r="AK91" i="4"/>
  <c r="AA9" i="4"/>
  <c r="AC9" i="4" s="1"/>
  <c r="AD9" i="4" s="1"/>
  <c r="AR9" i="4" s="1"/>
  <c r="AT9" i="4" s="1"/>
  <c r="AK9" i="4"/>
  <c r="AA123" i="4"/>
  <c r="AC123" i="4" s="1"/>
  <c r="AD123" i="4" s="1"/>
  <c r="AR123" i="4" s="1"/>
  <c r="AT123" i="4" s="1"/>
  <c r="AK106" i="4"/>
  <c r="AJ106" i="4"/>
  <c r="AA100" i="4"/>
  <c r="AC100" i="4" s="1"/>
  <c r="AD100" i="4" s="1"/>
  <c r="AK49" i="4"/>
  <c r="AT523" i="5"/>
  <c r="AX523" i="5" s="1"/>
  <c r="AY523" i="5" s="1"/>
  <c r="AK100" i="4"/>
  <c r="AU376" i="5"/>
  <c r="AT371" i="5"/>
  <c r="AX370" i="5" s="1"/>
  <c r="AY370" i="5" s="1"/>
  <c r="AJ49" i="4"/>
  <c r="AR49" i="4"/>
  <c r="AT49" i="4" s="1"/>
  <c r="AA47" i="4"/>
  <c r="AC47" i="4" s="1"/>
  <c r="AD47" i="4" s="1"/>
  <c r="AK47" i="4"/>
  <c r="AR98" i="4"/>
  <c r="AT98" i="4" s="1"/>
  <c r="AT522" i="5"/>
  <c r="AX521" i="5" s="1"/>
  <c r="AY521" i="5" s="1"/>
  <c r="AT446" i="5"/>
  <c r="AX445" i="5" s="1"/>
  <c r="AY445" i="5" s="1"/>
  <c r="AA11" i="4"/>
  <c r="AC11" i="4" s="1"/>
  <c r="AD11" i="4" s="1"/>
  <c r="AR11" i="4" s="1"/>
  <c r="AT11" i="4" s="1"/>
  <c r="AK35" i="4"/>
  <c r="AA35" i="4"/>
  <c r="AC35" i="4" s="1"/>
  <c r="AD35" i="4" s="1"/>
  <c r="AK11" i="4"/>
  <c r="AU546" i="5"/>
  <c r="AK76" i="4"/>
  <c r="AA76" i="4"/>
  <c r="AC76" i="4" s="1"/>
  <c r="AD76" i="4" s="1"/>
  <c r="AU49" i="5"/>
  <c r="AK127" i="4"/>
  <c r="AA127" i="4"/>
  <c r="AC127" i="4" s="1"/>
  <c r="AD127" i="4" s="1"/>
  <c r="AT264" i="5"/>
  <c r="AX264" i="5" s="1"/>
  <c r="AY264" i="5" s="1"/>
  <c r="AA66" i="4"/>
  <c r="AC66" i="4" s="1"/>
  <c r="AD66" i="4" s="1"/>
  <c r="AT379" i="5"/>
  <c r="AX379" i="5" s="1"/>
  <c r="AY379" i="5" s="1"/>
  <c r="AK63" i="4"/>
  <c r="AA63" i="4"/>
  <c r="AC63" i="4" s="1"/>
  <c r="AD63" i="4" s="1"/>
  <c r="AA7" i="4"/>
  <c r="AC7" i="4" s="1"/>
  <c r="AD7" i="4" s="1"/>
  <c r="AK7" i="4"/>
  <c r="AF7" i="4"/>
  <c r="AO7" i="4" s="1"/>
  <c r="AU537" i="5"/>
  <c r="AK18" i="4"/>
  <c r="AT234" i="5"/>
  <c r="AX45" i="5"/>
  <c r="AY45" i="5" s="1"/>
  <c r="AA18" i="4"/>
  <c r="AC18" i="4" s="1"/>
  <c r="AD18" i="4" s="1"/>
  <c r="AR18" i="4" s="1"/>
  <c r="AT18" i="4" s="1"/>
  <c r="AF12" i="4"/>
  <c r="AG12" i="4" s="1"/>
  <c r="AI12" i="4" s="1"/>
  <c r="AX115" i="5"/>
  <c r="AY115" i="5" s="1"/>
  <c r="AU200" i="5"/>
  <c r="AU26" i="5"/>
  <c r="AA145" i="4"/>
  <c r="AC145" i="4" s="1"/>
  <c r="AD145" i="4" s="1"/>
  <c r="AR145" i="4" s="1"/>
  <c r="AT145" i="4" s="1"/>
  <c r="AU345" i="5"/>
  <c r="AT483" i="5"/>
  <c r="AX483" i="5" s="1"/>
  <c r="AY483" i="5" s="1"/>
  <c r="AK145" i="4"/>
  <c r="AX23" i="5"/>
  <c r="AY23" i="5" s="1"/>
  <c r="AU23" i="5"/>
  <c r="AK66" i="4"/>
  <c r="AF37" i="4"/>
  <c r="AO37" i="4" s="1"/>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K20" i="4"/>
  <c r="AU327" i="5"/>
  <c r="AU297" i="5"/>
  <c r="AT466" i="5"/>
  <c r="AX466" i="5" s="1"/>
  <c r="AY466" i="5" s="1"/>
  <c r="AU188" i="5"/>
  <c r="AU166" i="5"/>
  <c r="AU477" i="5"/>
  <c r="AT518" i="5"/>
  <c r="AX517" i="5" s="1"/>
  <c r="AY517" i="5" s="1"/>
  <c r="AU514" i="5"/>
  <c r="AU22" i="5"/>
  <c r="AU511" i="5"/>
  <c r="AR43" i="4"/>
  <c r="AT43" i="4" s="1"/>
  <c r="AU62" i="5"/>
  <c r="AX49" i="5"/>
  <c r="AY49" i="5"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Y247" i="5" s="1"/>
  <c r="AU205" i="5"/>
  <c r="AT478" i="5"/>
  <c r="AX477" i="5" s="1"/>
  <c r="AY477" i="5" s="1"/>
  <c r="AK15" i="4"/>
  <c r="AU31" i="5"/>
  <c r="AU283" i="5"/>
  <c r="AO142" i="4"/>
  <c r="AT390" i="5"/>
  <c r="AX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U309" i="5"/>
  <c r="AU336" i="5"/>
  <c r="AU416" i="5"/>
  <c r="AT140" i="5"/>
  <c r="AX139" i="5" s="1"/>
  <c r="AY139" i="5" s="1"/>
  <c r="AT295" i="5"/>
  <c r="AX294" i="5" s="1"/>
  <c r="AY294" i="5" s="1"/>
  <c r="AT302" i="5"/>
  <c r="AX302" i="5" s="1"/>
  <c r="AY302" i="5" s="1"/>
  <c r="AT90" i="5"/>
  <c r="AX90" i="5" s="1"/>
  <c r="AY90" i="5" s="1"/>
  <c r="AU353" i="5"/>
  <c r="AT178" i="5"/>
  <c r="AX177" i="5" s="1"/>
  <c r="AY177" i="5" s="1"/>
  <c r="AT378" i="5"/>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376" i="5" s="1"/>
  <c r="AY376" i="5" s="1"/>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R68" i="4"/>
  <c r="AT68" i="4"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Y128" i="5" s="1"/>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T292" i="5"/>
  <c r="AU391" i="5"/>
  <c r="AT235" i="5"/>
  <c r="AG76" i="4"/>
  <c r="AI76" i="4" s="1"/>
  <c r="AO76" i="4"/>
  <c r="AU162" i="5"/>
  <c r="AG84" i="4"/>
  <c r="AI84" i="4" s="1"/>
  <c r="AO84" i="4"/>
  <c r="AU169" i="5"/>
  <c r="AT487" i="5"/>
  <c r="AX487" i="5" s="1"/>
  <c r="AY487" i="5" s="1"/>
  <c r="AR85" i="4"/>
  <c r="AT85" i="4" s="1"/>
  <c r="AU412" i="5"/>
  <c r="AT458" i="5"/>
  <c r="AX458" i="5" s="1"/>
  <c r="AY458" i="5" s="1"/>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X525" i="5" s="1"/>
  <c r="AY525" i="5" s="1"/>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U507" i="5"/>
  <c r="AU474" i="5"/>
  <c r="AX449" i="5"/>
  <c r="AY449" i="5" s="1"/>
  <c r="AO32" i="4"/>
  <c r="AR32" i="4" s="1"/>
  <c r="AT32" i="4" s="1"/>
  <c r="AR17" i="4"/>
  <c r="AT17" i="4" s="1"/>
  <c r="AX350" i="5"/>
  <c r="AY350" i="5" s="1"/>
  <c r="AX392" i="5"/>
  <c r="AY392" i="5" s="1"/>
  <c r="AX34" i="5"/>
  <c r="AY34" i="5" s="1"/>
  <c r="AX180" i="5"/>
  <c r="AY180" i="5" s="1"/>
  <c r="AX287" i="5"/>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27" i="4"/>
  <c r="AI127" i="4" s="1"/>
  <c r="AO127" i="4"/>
  <c r="AG109" i="4"/>
  <c r="AI109" i="4" s="1"/>
  <c r="AO109" i="4"/>
  <c r="AO100" i="4"/>
  <c r="AG100" i="4"/>
  <c r="AI100" i="4" s="1"/>
  <c r="AO64" i="4"/>
  <c r="AG64" i="4"/>
  <c r="AI64" i="4" s="1"/>
  <c r="AR44" i="4"/>
  <c r="AT44" i="4" s="1"/>
  <c r="AG8" i="4"/>
  <c r="AI8" i="4" s="1"/>
  <c r="AO8" i="4"/>
  <c r="AO128" i="4"/>
  <c r="AG128" i="4"/>
  <c r="AI128" i="4" s="1"/>
  <c r="AG86" i="4"/>
  <c r="AI86" i="4" s="1"/>
  <c r="AO86" i="4"/>
  <c r="AG77" i="4"/>
  <c r="AI77" i="4" s="1"/>
  <c r="AO77" i="4"/>
  <c r="AO47" i="4"/>
  <c r="AG47" i="4"/>
  <c r="AI47" i="4" s="1"/>
  <c r="AG93" i="4"/>
  <c r="AI93" i="4" s="1"/>
  <c r="AO93" i="4"/>
  <c r="AG148" i="4"/>
  <c r="AI148" i="4" s="1"/>
  <c r="AO148" i="4"/>
  <c r="AX338" i="5"/>
  <c r="AY338" i="5" s="1"/>
  <c r="AO135" i="4"/>
  <c r="AG135" i="4"/>
  <c r="AI135" i="4" s="1"/>
  <c r="AO14" i="4"/>
  <c r="AG14" i="4"/>
  <c r="AI14" i="4" s="1"/>
  <c r="AO157" i="4"/>
  <c r="AG157" i="4"/>
  <c r="AI157" i="4" s="1"/>
  <c r="AO137" i="4"/>
  <c r="AG137" i="4"/>
  <c r="AI137" i="4" s="1"/>
  <c r="AO63" i="4"/>
  <c r="AG63" i="4"/>
  <c r="AI63" i="4" s="1"/>
  <c r="AO39" i="4"/>
  <c r="AG39" i="4"/>
  <c r="AI39" i="4" s="1"/>
  <c r="AO52" i="4"/>
  <c r="AG52" i="4"/>
  <c r="AI52" i="4" s="1"/>
  <c r="AT9" i="5"/>
  <c r="AU9" i="5"/>
  <c r="AX341" i="5"/>
  <c r="AY341" i="5" s="1"/>
  <c r="AX86" i="5"/>
  <c r="AY86" i="5" s="1"/>
  <c r="AX498" i="5"/>
  <c r="AY498" i="5" s="1"/>
  <c r="AX314" i="5"/>
  <c r="AY314" i="5" s="1"/>
  <c r="AX224" i="5"/>
  <c r="AY224" i="5" s="1"/>
  <c r="AX183" i="5"/>
  <c r="AY183" i="5" s="1"/>
  <c r="AX464" i="5"/>
  <c r="AY464" i="5" s="1"/>
  <c r="AX84" i="5"/>
  <c r="AY84" i="5" s="1"/>
  <c r="AX39" i="5"/>
  <c r="AY39" i="5" s="1"/>
  <c r="AX447" i="5"/>
  <c r="AY447" i="5" s="1"/>
  <c r="AX33" i="5"/>
  <c r="AY33" i="5" s="1"/>
  <c r="AX362" i="5"/>
  <c r="AY362" i="5"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X137" i="5"/>
  <c r="AY137" i="5" s="1"/>
  <c r="AX424" i="5"/>
  <c r="AY424" i="5" s="1"/>
  <c r="AX79" i="5"/>
  <c r="AY79" i="5" s="1"/>
  <c r="AX432" i="5"/>
  <c r="AY432" i="5" s="1"/>
  <c r="AX269" i="5"/>
  <c r="AY269" i="5" s="1"/>
  <c r="AX211" i="5"/>
  <c r="AY211" i="5" s="1"/>
  <c r="AX489" i="5"/>
  <c r="AY489" i="5" s="1"/>
  <c r="AX85" i="5"/>
  <c r="AY85" i="5" s="1"/>
  <c r="AX25" i="5"/>
  <c r="AY25" i="5" s="1"/>
  <c r="AX288" i="5"/>
  <c r="AY288" i="5" s="1"/>
  <c r="AX265" i="5"/>
  <c r="AY265" i="5" s="1"/>
  <c r="AX372" i="5"/>
  <c r="AY372"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X537" i="5"/>
  <c r="AY537" i="5" s="1"/>
  <c r="AX83" i="5"/>
  <c r="AY83" i="5" s="1"/>
  <c r="AR92" i="4"/>
  <c r="AT92" i="4" s="1"/>
  <c r="AR121" i="4"/>
  <c r="AT121" i="4" s="1"/>
  <c r="AR154" i="4"/>
  <c r="AT154" i="4" s="1"/>
  <c r="AR50" i="4"/>
  <c r="AT50" i="4" s="1"/>
  <c r="AR29" i="4"/>
  <c r="AT29" i="4" s="1"/>
  <c r="AR138" i="4"/>
  <c r="AT138" i="4" s="1"/>
  <c r="AR104" i="4"/>
  <c r="AT104" i="4" s="1"/>
  <c r="AR113" i="4"/>
  <c r="AT113" i="4" s="1"/>
  <c r="AR147" i="4"/>
  <c r="AT147" i="4" s="1"/>
  <c r="AR51" i="4"/>
  <c r="AT51" i="4" s="1"/>
  <c r="AR122" i="4"/>
  <c r="AT122" i="4" s="1"/>
  <c r="AR65" i="4"/>
  <c r="AT65" i="4" s="1"/>
  <c r="AR124" i="4"/>
  <c r="AT124" i="4" s="1"/>
  <c r="AR90" i="4"/>
  <c r="AT90" i="4" s="1"/>
  <c r="AR146" i="4"/>
  <c r="AT146" i="4" s="1"/>
  <c r="AR33" i="4"/>
  <c r="AT33" i="4" s="1"/>
  <c r="AR131" i="4"/>
  <c r="AT131" i="4" s="1"/>
  <c r="AX394" i="5"/>
  <c r="AY394" i="5" s="1"/>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Y385" i="5" s="1"/>
  <c r="AX506" i="5"/>
  <c r="AY506" i="5" s="1"/>
  <c r="AX417" i="5"/>
  <c r="AY417" i="5" s="1"/>
  <c r="AX70" i="5"/>
  <c r="AY70" i="5" s="1"/>
  <c r="AX538" i="5"/>
  <c r="AY538" i="5" s="1"/>
  <c r="AX22" i="5"/>
  <c r="AY22" i="5" s="1"/>
  <c r="AX396" i="5"/>
  <c r="AY396" i="5" s="1"/>
  <c r="AX348" i="5"/>
  <c r="AY348" i="5" s="1"/>
  <c r="AX420" i="5"/>
  <c r="AY420" i="5" s="1"/>
  <c r="AX117" i="5"/>
  <c r="AY117" i="5" s="1"/>
  <c r="AX433" i="5"/>
  <c r="AY433" i="5" s="1"/>
  <c r="AX484" i="5"/>
  <c r="AY484" i="5" s="1"/>
  <c r="AX553" i="5"/>
  <c r="AY553" i="5" s="1"/>
  <c r="AX471" i="5"/>
  <c r="AY471" i="5" s="1"/>
  <c r="AX203" i="5"/>
  <c r="AY203" i="5" s="1"/>
  <c r="AX204" i="5"/>
  <c r="AY204" i="5" s="1"/>
  <c r="AX480" i="5"/>
  <c r="AY480" i="5" s="1"/>
  <c r="AX453" i="5"/>
  <c r="AY453" i="5" s="1"/>
  <c r="AR107" i="4"/>
  <c r="AT107" i="4" s="1"/>
  <c r="AX138" i="5"/>
  <c r="AY138" i="5" s="1"/>
  <c r="AX439" i="5"/>
  <c r="AY439" i="5" s="1"/>
  <c r="AX108" i="5"/>
  <c r="AY108" i="5" s="1"/>
  <c r="AR16" i="4"/>
  <c r="AT16" i="4" s="1"/>
  <c r="AX304" i="5"/>
  <c r="AY304" i="5" s="1"/>
  <c r="AX532" i="5"/>
  <c r="AY532" i="5" s="1"/>
  <c r="AR55" i="4"/>
  <c r="AT55" i="4" s="1"/>
  <c r="AR115" i="4"/>
  <c r="AT115" i="4" s="1"/>
  <c r="AR42" i="4"/>
  <c r="AT42" i="4" s="1"/>
  <c r="AX121" i="5"/>
  <c r="AY121" i="5" s="1"/>
  <c r="AX289" i="5"/>
  <c r="AY289" i="5" s="1"/>
  <c r="AX490" i="5"/>
  <c r="AY490" i="5" s="1"/>
  <c r="AX297" i="5"/>
  <c r="AY297" i="5" s="1"/>
  <c r="AX459" i="5"/>
  <c r="AY459" i="5" s="1"/>
  <c r="AX514" i="5"/>
  <c r="AY514" i="5" s="1"/>
  <c r="AX136" i="5"/>
  <c r="AY136" i="5" s="1"/>
  <c r="AX397" i="5"/>
  <c r="AY397" i="5" s="1"/>
  <c r="AX543" i="5"/>
  <c r="AY543" i="5" s="1"/>
  <c r="AX100" i="5"/>
  <c r="AY100" i="5" s="1"/>
  <c r="AX346" i="5"/>
  <c r="AY346" i="5" s="1"/>
  <c r="AX460" i="5"/>
  <c r="AY460" i="5" s="1"/>
  <c r="AO73" i="4"/>
  <c r="AG73" i="4"/>
  <c r="AI73" i="4" s="1"/>
  <c r="AX69" i="5"/>
  <c r="AY69" i="5" s="1"/>
  <c r="AX416" i="5"/>
  <c r="AY416" i="5" s="1"/>
  <c r="AX268" i="5"/>
  <c r="AY268" i="5" s="1"/>
  <c r="AX399" i="5"/>
  <c r="AY399" i="5" s="1"/>
  <c r="AX281" i="5"/>
  <c r="AY281" i="5" s="1"/>
  <c r="AX330" i="5"/>
  <c r="AY330" i="5" s="1"/>
  <c r="AX375" i="5"/>
  <c r="AY375" i="5" s="1"/>
  <c r="AX192" i="5"/>
  <c r="AY192" i="5" s="1"/>
  <c r="AX126" i="5"/>
  <c r="AY126" i="5" s="1"/>
  <c r="AX162" i="5"/>
  <c r="AY162" i="5" s="1"/>
  <c r="AX170" i="5"/>
  <c r="AY170" i="5" s="1"/>
  <c r="AX336" i="5"/>
  <c r="AY336" i="5" s="1"/>
  <c r="AX293" i="5"/>
  <c r="AY293" i="5" s="1"/>
  <c r="AR117" i="4"/>
  <c r="AT117" i="4" s="1"/>
  <c r="AX91" i="5"/>
  <c r="AY91" i="5" s="1"/>
  <c r="AX524" i="5"/>
  <c r="AY524" i="5" s="1"/>
  <c r="AX437" i="5"/>
  <c r="AY437" i="5" s="1"/>
  <c r="AR56" i="4"/>
  <c r="AT56" i="4" s="1"/>
  <c r="AX536" i="5"/>
  <c r="AY536" i="5" s="1"/>
  <c r="AX296" i="5"/>
  <c r="AY296" i="5" s="1"/>
  <c r="AX253" i="5"/>
  <c r="AY253" i="5" s="1"/>
  <c r="AX502" i="5"/>
  <c r="AY502" i="5" s="1"/>
  <c r="AX391" i="5"/>
  <c r="AY391" i="5" s="1"/>
  <c r="AX250" i="5"/>
  <c r="AY250" i="5" s="1"/>
  <c r="AX412" i="5"/>
  <c r="AY412" i="5" s="1"/>
  <c r="AX114" i="5"/>
  <c r="AY114" i="5" s="1"/>
  <c r="AR110" i="4"/>
  <c r="AT110" i="4" s="1"/>
  <c r="AX284" i="5"/>
  <c r="AY284" i="5" s="1"/>
  <c r="AX533" i="5"/>
  <c r="AY533" i="5" s="1"/>
  <c r="AX332" i="5"/>
  <c r="AY332" i="5" s="1"/>
  <c r="AX327" i="5"/>
  <c r="AY327" i="5" s="1"/>
  <c r="AR13" i="4"/>
  <c r="AT13" i="4" s="1"/>
  <c r="AX31" i="5"/>
  <c r="AY31" i="5" s="1"/>
  <c r="AR153" i="4"/>
  <c r="AT153" i="4" s="1"/>
  <c r="AX285" i="5"/>
  <c r="AY285" i="5" s="1"/>
  <c r="AX181" i="5"/>
  <c r="AY181" i="5" s="1"/>
  <c r="AX406" i="5"/>
  <c r="AY406" i="5" s="1"/>
  <c r="AX363" i="5"/>
  <c r="AY363" i="5" s="1"/>
  <c r="AX142" i="5"/>
  <c r="AY142" i="5" s="1"/>
  <c r="AX38" i="5"/>
  <c r="AY38" i="5" s="1"/>
  <c r="AX499" i="5"/>
  <c r="AY499" i="5" s="1"/>
  <c r="AR48" i="4"/>
  <c r="AT48" i="4" s="1"/>
  <c r="AY209" i="5" l="1"/>
  <c r="AY116" i="5"/>
  <c r="AY193" i="5"/>
  <c r="AY218" i="5"/>
  <c r="AR88" i="4"/>
  <c r="AT88" i="4" s="1"/>
  <c r="AY273" i="5"/>
  <c r="AY300" i="5"/>
  <c r="AG150" i="4"/>
  <c r="AI150" i="4" s="1"/>
  <c r="AR150" i="4" s="1"/>
  <c r="AT150" i="4" s="1"/>
  <c r="AY287" i="5"/>
  <c r="AY389" i="5"/>
  <c r="AO91" i="4"/>
  <c r="AR91" i="4" s="1"/>
  <c r="AT91" i="4" s="1"/>
  <c r="AY364" i="5"/>
  <c r="AX508" i="5"/>
  <c r="AY508" i="5" s="1"/>
  <c r="AX371" i="5"/>
  <c r="AY371" i="5" s="1"/>
  <c r="AX446" i="5"/>
  <c r="AY446" i="5" s="1"/>
  <c r="AY351" i="5"/>
  <c r="AX522" i="5"/>
  <c r="AY522" i="5" s="1"/>
  <c r="AY368" i="5"/>
  <c r="AG37" i="4"/>
  <c r="AI37" i="4" s="1"/>
  <c r="AR37" i="4" s="1"/>
  <c r="AT37" i="4" s="1"/>
  <c r="AX378" i="5"/>
  <c r="AY378" i="5" s="1"/>
  <c r="AG7" i="4"/>
  <c r="AI7" i="4" s="1"/>
  <c r="AR7" i="4" s="1"/>
  <c r="AT7" i="4" s="1"/>
  <c r="AX234" i="5"/>
  <c r="AY234" i="5" s="1"/>
  <c r="AR66" i="4"/>
  <c r="AT66" i="4" s="1"/>
  <c r="AO12" i="4"/>
  <c r="AR12" i="4" s="1"/>
  <c r="AT12" i="4" s="1"/>
  <c r="AX482" i="5"/>
  <c r="AY482" i="5" s="1"/>
  <c r="AX451" i="5"/>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R76" i="4"/>
  <c r="AT76" i="4"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127" i="4"/>
  <c r="AT127" i="4" s="1"/>
  <c r="AR38" i="4"/>
  <c r="AT38" i="4" s="1"/>
  <c r="AR35" i="4"/>
  <c r="AT35" i="4" s="1"/>
  <c r="AR39" i="4"/>
  <c r="AT39" i="4" s="1"/>
  <c r="AR100" i="4"/>
  <c r="AT100" i="4" s="1"/>
  <c r="AR95" i="4"/>
  <c r="AT95" i="4" s="1"/>
  <c r="AR52" i="4"/>
  <c r="AT52" i="4" s="1"/>
  <c r="AR157" i="4"/>
  <c r="AT157" i="4" s="1"/>
  <c r="AR47" i="4"/>
  <c r="AT47" i="4" s="1"/>
  <c r="AR64" i="4"/>
  <c r="AT64" i="4" s="1"/>
  <c r="AR116" i="4"/>
  <c r="AT116" i="4" s="1"/>
  <c r="AR128" i="4"/>
  <c r="AT128" i="4" s="1"/>
  <c r="AR14" i="4"/>
  <c r="AT14" i="4" s="1"/>
  <c r="AR148" i="4"/>
  <c r="AT148" i="4" s="1"/>
  <c r="AR63" i="4"/>
  <c r="AT63" i="4" s="1"/>
  <c r="AR77" i="4"/>
  <c r="AT77" i="4" s="1"/>
  <c r="AR126" i="4"/>
  <c r="AT126" i="4" s="1"/>
  <c r="AR69" i="4"/>
  <c r="AT69" i="4" s="1"/>
  <c r="AR137" i="4"/>
  <c r="AT137" i="4" s="1"/>
  <c r="AR93" i="4"/>
  <c r="AT93" i="4" s="1"/>
  <c r="AR134" i="4"/>
  <c r="AT134" i="4" s="1"/>
  <c r="AR73" i="4"/>
  <c r="AT73"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5"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<sst xmlns="http://schemas.openxmlformats.org/spreadsheetml/2006/main" count="987" uniqueCount="582">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</sst>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4"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35"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4" fontId="0" fillId="0" borderId="0" xfId="0" applyNumberFormat="1"/>
    <xf numFmtId="11" fontId="14" fillId="10" borderId="0" xfId="0" applyNumberFormat="1" applyFont="1" applyFill="1"/>
    <xf numFmtId="0" fontId="17" fillId="0" borderId="0" xfId="0" applyFont="1"/>
    <xf numFmtId="2" fontId="0" fillId="0" borderId="0" xfId="0" applyNumberFormat="1"/>
    <xf numFmtId="167" fontId="0" fillId="9" borderId="0" xfId="0" applyNumberFormat="1" applyFill="1"/>
    <xf numFmtId="11" fontId="0" fillId="9" borderId="0" xfId="0" applyNumberFormat="1" applyFill="1"/>
    <xf numFmtId="0" fontId="5" fillId="0" borderId="0" xfId="3" applyFont="1" applyAlignment="1">
      <alignment horizontal="left"/>
    </xf>
    <xf numFmtId="166"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8" fontId="0" fillId="0" borderId="0" xfId="0" applyNumberFormat="1"/>
    <xf numFmtId="169"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8"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6" fillId="0" borderId="0" xfId="0" applyFont="1"/>
    <xf numFmtId="0" fontId="37" fillId="0" borderId="0" xfId="0" applyFont="1" applyAlignment="1">
      <alignment horizontal="center"/>
    </xf>
    <xf numFmtId="0" fontId="37" fillId="0" borderId="0" xfId="0" applyFont="1" applyAlignment="1">
      <alignment horizontal="left"/>
    </xf>
    <xf numFmtId="0" fontId="38" fillId="0" borderId="0" xfId="0" applyFont="1"/>
    <xf numFmtId="0" fontId="39" fillId="0" borderId="0" xfId="8" applyFont="1" applyFill="1" applyBorder="1" applyAlignment="1">
      <alignment vertical="center"/>
    </xf>
    <xf numFmtId="0" fontId="39" fillId="0" borderId="0" xfId="8" applyFont="1" applyFill="1" applyBorder="1" applyAlignment="1">
      <alignment horizontal="right" vertical="center"/>
    </xf>
    <xf numFmtId="0" fontId="36" fillId="0" borderId="0" xfId="0" applyFont="1" applyAlignment="1">
      <alignment horizontal="center"/>
    </xf>
    <xf numFmtId="0" fontId="36" fillId="0" borderId="0" xfId="0" applyFont="1" applyAlignment="1">
      <alignment horizontal="left"/>
    </xf>
    <xf numFmtId="0" fontId="38" fillId="0" borderId="0" xfId="0" applyFont="1" applyAlignment="1">
      <alignment horizontal="center"/>
    </xf>
    <xf numFmtId="0" fontId="3" fillId="0" borderId="0" xfId="0" applyFont="1"/>
    <xf numFmtId="0" fontId="40" fillId="17" borderId="0" xfId="0" applyFont="1" applyFill="1" applyAlignment="1">
      <alignment horizontal="center"/>
    </xf>
    <xf numFmtId="0" fontId="41" fillId="0" borderId="0" xfId="8" applyFont="1" applyFill="1" applyBorder="1" applyAlignment="1">
      <alignment vertical="center"/>
    </xf>
    <xf numFmtId="49" fontId="38" fillId="0" borderId="0" xfId="0" applyNumberFormat="1" applyFont="1" applyAlignment="1">
      <alignment horizontal="center"/>
    </xf>
    <xf numFmtId="49" fontId="37"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4"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4"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4"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4"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4" fontId="4" fillId="0" borderId="0" xfId="3" applyNumberFormat="1" applyProtection="1">
      <protection hidden="1"/>
    </xf>
    <xf numFmtId="164"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4"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4"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4"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4" fontId="0" fillId="0" borderId="26" xfId="0" applyNumberFormat="1" applyBorder="1" applyAlignment="1" applyProtection="1">
      <alignment horizontal="right"/>
      <protection hidden="1"/>
    </xf>
    <xf numFmtId="168"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8" fillId="0" borderId="0" xfId="0" applyFont="1" applyAlignment="1">
      <alignment wrapText="1"/>
    </xf>
    <xf numFmtId="48" fontId="0" fillId="9" borderId="0" xfId="0" applyNumberFormat="1" applyFill="1"/>
    <xf numFmtId="0" fontId="35"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4" fillId="0" borderId="0" xfId="3" applyAlignment="1" applyProtection="1">
      <alignment horizontal="center"/>
      <protection hidden="1"/>
    </xf>
    <xf numFmtId="0" fontId="0" fillId="0" borderId="0" xfId="0"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22" fillId="0" borderId="10" xfId="0" applyFont="1" applyBorder="1" applyAlignment="1" applyProtection="1">
      <alignment horizontal="center"/>
      <protection hidden="1"/>
    </xf>
    <xf numFmtId="0" fontId="0" fillId="0" borderId="5" xfId="0" applyBorder="1" applyAlignment="1" applyProtection="1">
      <alignment horizontal="center"/>
      <protection hidden="1"/>
    </xf>
    <xf numFmtId="0" fontId="0" fillId="0" borderId="6" xfId="0" applyBorder="1" applyAlignment="1" applyProtection="1">
      <alignment horizontal="center"/>
      <protection hidden="1"/>
    </xf>
    <xf numFmtId="0" fontId="36" fillId="0" borderId="0" xfId="0" applyFont="1" applyAlignment="1">
      <alignment horizontal="center"/>
    </xf>
    <xf numFmtId="0" fontId="36" fillId="18" borderId="0" xfId="0" applyFont="1" applyFill="1" applyAlignment="1">
      <alignment horizontal="center"/>
    </xf>
    <xf numFmtId="0" fontId="40" fillId="17" borderId="0" xfId="0" applyFont="1" applyFill="1" applyAlignment="1">
      <alignment horizontal="left"/>
    </xf>
    <xf numFmtId="0" fontId="38" fillId="0" borderId="0" xfId="0" applyFont="1" applyAlignment="1">
      <alignment horizontal="left"/>
    </xf>
    <xf numFmtId="0" fontId="38" fillId="0" borderId="0" xfId="0" applyFont="1" applyAlignment="1">
      <alignment wrapText="1"/>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1">
    <dxf>
      <fill>
        <patternFill>
          <bgColor rgb="FFFF0000"/>
        </patternFill>
      </fill>
    </dxf>
    <dxf>
      <fill>
        <patternFill>
          <bgColor rgb="FFFF0000"/>
        </patternFill>
      </fill>
    </dxf>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38.924667961817704</c:v>
                </c:pt>
                <c:pt idx="1">
                  <c:v>38.623103383796483</c:v>
                </c:pt>
                <c:pt idx="2">
                  <c:v>38.322055667032537</c:v>
                </c:pt>
                <c:pt idx="3">
                  <c:v>38.021600018489465</c:v>
                </c:pt>
                <c:pt idx="4">
                  <c:v>37.721810152048235</c:v>
                </c:pt>
                <c:pt idx="5">
                  <c:v>37.422758108581704</c:v>
                </c:pt>
                <c:pt idx="6">
                  <c:v>37.124514082523142</c:v>
                </c:pt>
                <c:pt idx="7">
                  <c:v>36.82714625565675</c:v>
                </c:pt>
                <c:pt idx="8">
                  <c:v>36.530720638836506</c:v>
                </c:pt>
                <c:pt idx="9">
                  <c:v>36.235300922317926</c:v>
                </c:pt>
                <c:pt idx="10">
                  <c:v>35.940948335360829</c:v>
                </c:pt>
                <c:pt idx="11">
                  <c:v>35.647721515723184</c:v>
                </c:pt>
                <c:pt idx="12">
                  <c:v>35.355676389628236</c:v>
                </c:pt>
                <c:pt idx="13">
                  <c:v>35.064866062739611</c:v>
                </c:pt>
                <c:pt idx="14">
                  <c:v>34.775340722624215</c:v>
                </c:pt>
                <c:pt idx="15">
                  <c:v>34.487147553122909</c:v>
                </c:pt>
                <c:pt idx="16">
                  <c:v>34.200330660984264</c:v>
                </c:pt>
                <c:pt idx="17">
                  <c:v>33.91493101504124</c:v>
                </c:pt>
                <c:pt idx="18">
                  <c:v>33.630986398138418</c:v>
                </c:pt>
                <c:pt idx="19">
                  <c:v>33.34853137192961</c:v>
                </c:pt>
                <c:pt idx="20">
                  <c:v>33.067597254588676</c:v>
                </c:pt>
                <c:pt idx="21">
                  <c:v>32.788212111382606</c:v>
                </c:pt>
                <c:pt idx="22">
                  <c:v>32.510400757972484</c:v>
                </c:pt>
                <c:pt idx="23">
                  <c:v>32.234184776217518</c:v>
                </c:pt>
                <c:pt idx="24">
                  <c:v>31.959582542172726</c:v>
                </c:pt>
                <c:pt idx="25">
                  <c:v>31.686609265885433</c:v>
                </c:pt>
                <c:pt idx="26">
                  <c:v>31.415277042516344</c:v>
                </c:pt>
                <c:pt idx="27">
                  <c:v>31.145594914236444</c:v>
                </c:pt>
                <c:pt idx="28">
                  <c:v>30.877568942281478</c:v>
                </c:pt>
                <c:pt idx="29">
                  <c:v>30.611202288483248</c:v>
                </c:pt>
                <c:pt idx="30">
                  <c:v>30.346495305544956</c:v>
                </c:pt>
                <c:pt idx="31">
                  <c:v>30.083445635279777</c:v>
                </c:pt>
                <c:pt idx="32">
                  <c:v>29.822048313997445</c:v>
                </c:pt>
                <c:pt idx="33">
                  <c:v>29.562295884194462</c:v>
                </c:pt>
                <c:pt idx="34">
                  <c:v>29.304178511687574</c:v>
                </c:pt>
                <c:pt idx="35">
                  <c:v>29.047684107320016</c:v>
                </c:pt>
                <c:pt idx="36">
                  <c:v>28.792798452371365</c:v>
                </c:pt>
                <c:pt idx="37">
                  <c:v>28.539505326812211</c:v>
                </c:pt>
                <c:pt idx="38">
                  <c:v>28.287786639560561</c:v>
                </c:pt>
                <c:pt idx="39">
                  <c:v>28.037622559924785</c:v>
                </c:pt>
                <c:pt idx="40">
                  <c:v>27.788991649447215</c:v>
                </c:pt>
                <c:pt idx="41">
                  <c:v>27.541870993405123</c:v>
                </c:pt>
                <c:pt idx="42">
                  <c:v>27.296236331264787</c:v>
                </c:pt>
                <c:pt idx="43">
                  <c:v>27.052062185437464</c:v>
                </c:pt>
                <c:pt idx="44">
                  <c:v>26.809321987732481</c:v>
                </c:pt>
                <c:pt idx="45">
                  <c:v>26.567988202961914</c:v>
                </c:pt>
                <c:pt idx="46">
                  <c:v>26.328032449203921</c:v>
                </c:pt>
                <c:pt idx="47">
                  <c:v>26.089425614289475</c:v>
                </c:pt>
                <c:pt idx="48">
                  <c:v>25.85213796813521</c:v>
                </c:pt>
                <c:pt idx="49">
                  <c:v>25.616139270599145</c:v>
                </c:pt>
                <c:pt idx="50">
                  <c:v>25.381398874593636</c:v>
                </c:pt>
                <c:pt idx="51">
                  <c:v>25.147885824242021</c:v>
                </c:pt>
                <c:pt idx="52">
                  <c:v>24.915568947915109</c:v>
                </c:pt>
                <c:pt idx="53">
                  <c:v>24.684416946033593</c:v>
                </c:pt>
                <c:pt idx="54">
                  <c:v>24.454398473568272</c:v>
                </c:pt>
                <c:pt idx="55">
                  <c:v>24.225482217209198</c:v>
                </c:pt>
                <c:pt idx="56">
                  <c:v>23.997636967215279</c:v>
                </c:pt>
                <c:pt idx="57">
                  <c:v>23.770831683990576</c:v>
                </c:pt>
                <c:pt idx="58">
                  <c:v>23.54503555946501</c:v>
                </c:pt>
                <c:pt idx="59">
                  <c:v>23.32021807338322</c:v>
                </c:pt>
                <c:pt idx="60">
                  <c:v>23.096349044632802</c:v>
                </c:pt>
                <c:pt idx="61">
                  <c:v>22.873398677759987</c:v>
                </c:pt>
                <c:pt idx="62">
                  <c:v>22.651337604841206</c:v>
                </c:pt>
                <c:pt idx="63">
                  <c:v>22.430136922892828</c:v>
                </c:pt>
                <c:pt idx="64">
                  <c:v>22.209768227012088</c:v>
                </c:pt>
                <c:pt idx="65">
                  <c:v>21.990203639450307</c:v>
                </c:pt>
                <c:pt idx="66">
                  <c:v>21.771415834828673</c:v>
                </c:pt>
                <c:pt idx="67">
                  <c:v>21.553378061706965</c:v>
                </c:pt>
                <c:pt idx="68">
                  <c:v>21.336064160720216</c:v>
                </c:pt>
                <c:pt idx="69">
                  <c:v>21.119448579496453</c:v>
                </c:pt>
                <c:pt idx="70">
                  <c:v>20.903506384569368</c:v>
                </c:pt>
                <c:pt idx="71">
                  <c:v>20.688213270493762</c:v>
                </c:pt>
                <c:pt idx="72">
                  <c:v>20.473545566368323</c:v>
                </c:pt>
                <c:pt idx="73">
                  <c:v>20.259480239967594</c:v>
                </c:pt>
                <c:pt idx="74">
                  <c:v>20.04599489967373</c:v>
                </c:pt>
                <c:pt idx="75">
                  <c:v>19.833067794396211</c:v>
                </c:pt>
                <c:pt idx="76">
                  <c:v>19.620677811657565</c:v>
                </c:pt>
                <c:pt idx="77">
                  <c:v>19.408804474016037</c:v>
                </c:pt>
                <c:pt idx="78">
                  <c:v>19.197427933988198</c:v>
                </c:pt>
                <c:pt idx="79">
                  <c:v>18.986528967625478</c:v>
                </c:pt>
                <c:pt idx="80">
                  <c:v>18.776088966890615</c:v>
                </c:pt>
                <c:pt idx="81">
                  <c:v>18.566089930969433</c:v>
                </c:pt>
                <c:pt idx="82">
                  <c:v>18.356514456650569</c:v>
                </c:pt>
                <c:pt idx="83">
                  <c:v>18.147345727887991</c:v>
                </c:pt>
                <c:pt idx="84">
                  <c:v>17.93856750466318</c:v>
                </c:pt>
                <c:pt idx="85">
                  <c:v>17.730164111247984</c:v>
                </c:pt>
                <c:pt idx="86">
                  <c:v>17.52212042396625</c:v>
                </c:pt>
                <c:pt idx="87">
                  <c:v>17.314421858541738</c:v>
                </c:pt>
                <c:pt idx="88">
                  <c:v>17.107054357115267</c:v>
                </c:pt>
                <c:pt idx="89">
                  <c:v>16.900004375005516</c:v>
                </c:pt>
                <c:pt idx="90">
                  <c:v>16.693258867281642</c:v>
                </c:pt>
                <c:pt idx="91">
                  <c:v>16.486805275211289</c:v>
                </c:pt>
                <c:pt idx="92">
                  <c:v>16.280631512637914</c:v>
                </c:pt>
                <c:pt idx="93">
                  <c:v>16.074725952342661</c:v>
                </c:pt>
                <c:pt idx="94">
                  <c:v>15.869077412431647</c:v>
                </c:pt>
                <c:pt idx="95">
                  <c:v>15.663675142794579</c:v>
                </c:pt>
                <c:pt idx="96">
                  <c:v>15.458508811667681</c:v>
                </c:pt>
                <c:pt idx="97">
                  <c:v>15.253568492335884</c:v>
                </c:pt>
                <c:pt idx="98">
                  <c:v>15.048844650001422</c:v>
                </c:pt>
                <c:pt idx="99">
                  <c:v>14.844328128844753</c:v>
                </c:pt>
                <c:pt idx="100">
                  <c:v>14.640010139298701</c:v>
                </c:pt>
                <c:pt idx="101">
                  <c:v>14.43588224555622</c:v>
                </c:pt>
                <c:pt idx="102">
                  <c:v>14.231936353324951</c:v>
                </c:pt>
                <c:pt idx="103">
                  <c:v>14.028164697845382</c:v>
                </c:pt>
                <c:pt idx="104">
                  <c:v>13.824559832179986</c:v>
                </c:pt>
                <c:pt idx="105">
                  <c:v>13.621114615785903</c:v>
                </c:pt>
                <c:pt idx="106">
                  <c:v>13.417822203375124</c:v>
                </c:pt>
                <c:pt idx="107">
                  <c:v>13.214676034069647</c:v>
                </c:pt>
                <c:pt idx="108">
                  <c:v>13.011669820853509</c:v>
                </c:pt>
                <c:pt idx="109">
                  <c:v>12.808797540325852</c:v>
                </c:pt>
                <c:pt idx="110">
                  <c:v>12.606053422754401</c:v>
                </c:pt>
                <c:pt idx="111">
                  <c:v>12.403431942430181</c:v>
                </c:pt>
                <c:pt idx="112">
                  <c:v>12.200927808322309</c:v>
                </c:pt>
                <c:pt idx="113">
                  <c:v>11.998535955030299</c:v>
                </c:pt>
                <c:pt idx="114">
                  <c:v>11.796251534031901</c:v>
                </c:pt>
                <c:pt idx="115">
                  <c:v>11.594069905222486</c:v>
                </c:pt>
                <c:pt idx="116">
                  <c:v>11.391986628742304</c:v>
                </c:pt>
                <c:pt idx="117">
                  <c:v>11.189997457086744</c:v>
                </c:pt>
                <c:pt idx="118">
                  <c:v>10.988098327494971</c:v>
                </c:pt>
                <c:pt idx="119">
                  <c:v>10.786285354611209</c:v>
                </c:pt>
                <c:pt idx="120">
                  <c:v>10.584554823413905</c:v>
                </c:pt>
                <c:pt idx="121">
                  <c:v>10.382903182405467</c:v>
                </c:pt>
                <c:pt idx="122">
                  <c:v>10.181327037058152</c:v>
                </c:pt>
                <c:pt idx="123">
                  <c:v>9.9798231435084954</c:v>
                </c:pt>
                <c:pt idx="124">
                  <c:v>9.7783884024952243</c:v>
                </c:pt>
                <c:pt idx="125">
                  <c:v>9.5770198535328888</c:v>
                </c:pt>
                <c:pt idx="126">
                  <c:v>9.3757146693160553</c:v>
                </c:pt>
                <c:pt idx="127">
                  <c:v>9.1744701503472079</c:v>
                </c:pt>
                <c:pt idx="128">
                  <c:v>8.973283719781703</c:v>
                </c:pt>
                <c:pt idx="129">
                  <c:v>8.7721529184829539</c:v>
                </c:pt>
                <c:pt idx="130">
                  <c:v>8.5710754002835579</c:v>
                </c:pt>
                <c:pt idx="131">
                  <c:v>8.37004892744363</c:v>
                </c:pt>
                <c:pt idx="132">
                  <c:v>8.1690713663018002</c:v>
                </c:pt>
                <c:pt idx="133">
                  <c:v>7.9681406831127362</c:v>
                </c:pt>
                <c:pt idx="134">
                  <c:v>7.7672549400639586</c:v>
                </c:pt>
                <c:pt idx="135">
                  <c:v>7.5664122914687564</c:v>
                </c:pt>
                <c:pt idx="136">
                  <c:v>7.3656109801266858</c:v>
                </c:pt>
                <c:pt idx="137">
                  <c:v>7.1648493338485686</c:v>
                </c:pt>
                <c:pt idx="138">
                  <c:v>6.9641257621391901</c:v>
                </c:pt>
                <c:pt idx="139">
                  <c:v>6.7634387530330802</c:v>
                </c:pt>
                <c:pt idx="140">
                  <c:v>6.5627868700783019</c:v>
                </c:pt>
                <c:pt idx="141">
                  <c:v>6.3621687494636694</c:v>
                </c:pt>
                <c:pt idx="142">
                  <c:v>6.161583097284467</c:v>
                </c:pt>
                <c:pt idx="143">
                  <c:v>5.9610286869421083</c:v>
                </c:pt>
                <c:pt idx="144">
                  <c:v>5.7605043566733949</c:v>
                </c:pt>
                <c:pt idx="145">
                  <c:v>5.5600090072058217</c:v>
                </c:pt>
                <c:pt idx="146">
                  <c:v>5.3595415995338556</c:v>
                </c:pt>
                <c:pt idx="147">
                  <c:v>5.1591011528135873</c:v>
                </c:pt>
                <c:pt idx="148">
                  <c:v>4.9586867423710252</c:v>
                </c:pt>
                <c:pt idx="149">
                  <c:v>4.7582974978212969</c:v>
                </c:pt>
                <c:pt idx="150">
                  <c:v>4.5579326012949259</c:v>
                </c:pt>
                <c:pt idx="151">
                  <c:v>4.3575912857684242</c:v>
                </c:pt>
                <c:pt idx="152">
                  <c:v>4.1572728334961866</c:v>
                </c:pt>
                <c:pt idx="153">
                  <c:v>3.9569765745400303</c:v>
                </c:pt>
                <c:pt idx="154">
                  <c:v>3.7567018853954623</c:v>
                </c:pt>
                <c:pt idx="155">
                  <c:v>3.5564481877098419</c:v>
                </c:pt>
                <c:pt idx="156">
                  <c:v>3.3562149470921261</c:v>
                </c:pt>
                <c:pt idx="157">
                  <c:v>3.1560016720106958</c:v>
                </c:pt>
                <c:pt idx="158">
                  <c:v>2.9558079127781705</c:v>
                </c:pt>
                <c:pt idx="159">
                  <c:v>2.7556332606192906</c:v>
                </c:pt>
                <c:pt idx="160">
                  <c:v>2.5554773468239835</c:v>
                </c:pt>
                <c:pt idx="161">
                  <c:v>2.3553398419787728</c:v>
                </c:pt>
                <c:pt idx="162">
                  <c:v>2.1552204552796592</c:v>
                </c:pt>
                <c:pt idx="163">
                  <c:v>1.9551189339224191</c:v>
                </c:pt>
                <c:pt idx="164">
                  <c:v>1.7550350625701068</c:v>
                </c:pt>
                <c:pt idx="165">
                  <c:v>1.5549686628961172</c:v>
                </c:pt>
                <c:pt idx="166">
                  <c:v>1.3549195932028004</c:v>
                </c:pt>
                <c:pt idx="167">
                  <c:v>1.154887748113371</c:v>
                </c:pt>
                <c:pt idx="168">
                  <c:v>0.95487305833753933</c:v>
                </c:pt>
                <c:pt idx="169">
                  <c:v>0.75487549051033487</c:v>
                </c:pt>
                <c:pt idx="170">
                  <c:v>0.55489504710199533</c:v>
                </c:pt>
                <c:pt idx="171">
                  <c:v>0.35493176640144075</c:v>
                </c:pt>
                <c:pt idx="172">
                  <c:v>0.1549857225701024</c:v>
                </c:pt>
                <c:pt idx="173">
                  <c:v>-4.4942974231850515E-2</c:v>
                </c:pt>
                <c:pt idx="174">
                  <c:v>-0.24485417764783829</c:v>
                </c:pt>
                <c:pt idx="175">
                  <c:v>-0.44474770485564064</c:v>
                </c:pt>
                <c:pt idx="176">
                  <c:v>-0.64462333622578594</c:v>
                </c:pt>
                <c:pt idx="177">
                  <c:v>-0.84448081490831095</c:v>
                </c:pt>
                <c:pt idx="178">
                  <c:v>-1.0443198463456884</c:v>
                </c:pt>
                <c:pt idx="179">
                  <c:v>-1.2441400977132411</c:v>
                </c:pt>
                <c:pt idx="180">
                  <c:v>-1.4439411972855352</c:v>
                </c:pt>
                <c:pt idx="181">
                  <c:v>-1.6437227337280738</c:v>
                </c:pt>
                <c:pt idx="182">
                  <c:v>-1.84348425531238</c:v>
                </c:pt>
                <c:pt idx="183">
                  <c:v>-2.0432252690565371</c:v>
                </c:pt>
                <c:pt idx="184">
                  <c:v>-2.2429452397862102</c:v>
                </c:pt>
                <c:pt idx="185">
                  <c:v>-2.4426435891184415</c:v>
                </c:pt>
                <c:pt idx="186">
                  <c:v>-2.6423196943652965</c:v>
                </c:pt>
                <c:pt idx="187">
                  <c:v>-2.841972887355543</c:v>
                </c:pt>
                <c:pt idx="188">
                  <c:v>-3.0416024531754826</c:v>
                </c:pt>
                <c:pt idx="189">
                  <c:v>-3.2412076288245686</c:v>
                </c:pt>
                <c:pt idx="190">
                  <c:v>-3.4407876017869272</c:v>
                </c:pt>
                <c:pt idx="191">
                  <c:v>-3.6403415085149997</c:v>
                </c:pt>
                <c:pt idx="192">
                  <c:v>-3.8398684328261927</c:v>
                </c:pt>
                <c:pt idx="193">
                  <c:v>-4.0393674042086296</c:v>
                </c:pt>
                <c:pt idx="194">
                  <c:v>-4.2388373960362706</c:v>
                </c:pt>
                <c:pt idx="195">
                  <c:v>-4.4382773236906328</c:v>
                </c:pt>
                <c:pt idx="196">
                  <c:v>-4.6376860425879283</c:v>
                </c:pt>
                <c:pt idx="197">
                  <c:v>-4.8370623461105877</c:v>
                </c:pt>
                <c:pt idx="198">
                  <c:v>-5.0364049634405763</c:v>
                </c:pt>
                <c:pt idx="199">
                  <c:v>-5.2357125572942751</c:v>
                </c:pt>
                <c:pt idx="200">
                  <c:v>-5.4349837215558372</c:v>
                </c:pt>
                <c:pt idx="201">
                  <c:v>-5.6342169788102057</c:v>
                </c:pt>
                <c:pt idx="202">
                  <c:v>-5.8334107777722277</c:v>
                </c:pt>
                <c:pt idx="203">
                  <c:v>-6.0325634906117278</c:v>
                </c:pt>
                <c:pt idx="204">
                  <c:v>-6.2316734101748938</c:v>
                </c:pt>
                <c:pt idx="205">
                  <c:v>-6.4307387470987045</c:v>
                </c:pt>
                <c:pt idx="206">
                  <c:v>-6.6297576268210747</c:v>
                </c:pt>
                <c:pt idx="207">
                  <c:v>-6.8287280864840465</c:v>
                </c:pt>
                <c:pt idx="208">
                  <c:v>-7.0276480717317522</c:v>
                </c:pt>
                <c:pt idx="209">
                  <c:v>-7.2265154334032999</c:v>
                </c:pt>
                <c:pt idx="210">
                  <c:v>-7.425327924121305</c:v>
                </c:pt>
                <c:pt idx="211">
                  <c:v>-7.6240831947782395</c:v>
                </c:pt>
                <c:pt idx="212">
                  <c:v>-7.8227787909217792</c:v>
                </c:pt>
                <c:pt idx="213">
                  <c:v>-8.0214121490430905</c:v>
                </c:pt>
                <c:pt idx="214">
                  <c:v>-8.219980592768982</c:v>
                </c:pt>
                <c:pt idx="215">
                  <c:v>-8.4184813289652194</c:v>
                </c:pt>
                <c:pt idx="216">
                  <c:v>-8.6169114437527359</c:v>
                </c:pt>
                <c:pt idx="217">
                  <c:v>-8.8152678984447981</c:v>
                </c:pt>
                <c:pt idx="218">
                  <c:v>-9.0135475254106385</c:v>
                </c:pt>
                <c:pt idx="219">
                  <c:v>-9.2117470238738992</c:v>
                </c:pt>
                <c:pt idx="220">
                  <c:v>-9.4098629556551519</c:v>
                </c:pt>
                <c:pt idx="221">
                  <c:v>-9.607891740868526</c:v>
                </c:pt>
                <c:pt idx="222">
                  <c:v>-9.8058296535852048</c:v>
                </c:pt>
                <c:pt idx="223">
                  <c:v>-10.003672817475646</c:v>
                </c:pt>
                <c:pt idx="224">
                  <c:v>-10.201417201448466</c:v>
                </c:pt>
                <c:pt idx="225">
                  <c:v>-10.399058615299621</c:v>
                </c:pt>
                <c:pt idx="226">
                  <c:v>-10.596592705395231</c:v>
                </c:pt>
                <c:pt idx="227">
                  <c:v>-10.794014950404868</c:v>
                </c:pt>
                <c:pt idx="228">
                  <c:v>-10.991320657113008</c:v>
                </c:pt>
                <c:pt idx="229">
                  <c:v>-11.188504956332787</c:v>
                </c:pt>
                <c:pt idx="230">
                  <c:v>-11.385562798951206</c:v>
                </c:pt>
                <c:pt idx="231">
                  <c:v>-11.582488952139267</c:v>
                </c:pt>
                <c:pt idx="232">
                  <c:v>-11.779277995759799</c:v>
                </c:pt>
                <c:pt idx="233">
                  <c:v>-11.975924319013558</c:v>
                </c:pt>
                <c:pt idx="234">
                  <c:v>-12.1724221173651</c:v>
                </c:pt>
                <c:pt idx="235">
                  <c:v>-12.368765389792788</c:v>
                </c:pt>
                <c:pt idx="236">
                  <c:v>-12.564947936414582</c:v>
                </c:pt>
                <c:pt idx="237">
                  <c:v>-12.760963356542636</c:v>
                </c:pt>
                <c:pt idx="238">
                  <c:v>-12.956805047224208</c:v>
                </c:pt>
                <c:pt idx="239">
                  <c:v>-13.15246620233351</c:v>
                </c:pt>
                <c:pt idx="240">
                  <c:v>-13.347939812280353</c:v>
                </c:pt>
                <c:pt idx="241">
                  <c:v>-13.543218664408577</c:v>
                </c:pt>
                <c:pt idx="242">
                  <c:v>-13.738295344162058</c:v>
                </c:pt>
                <c:pt idx="243">
                  <c:v>-13.933162237100948</c:v>
                </c:pt>
                <c:pt idx="244">
                  <c:v>-14.127811531854855</c:v>
                </c:pt>
                <c:pt idx="245">
                  <c:v>-14.32223522410842</c:v>
                </c:pt>
                <c:pt idx="246">
                  <c:v>-14.516425121715166</c:v>
                </c:pt>
                <c:pt idx="247">
                  <c:v>-14.710372851045088</c:v>
                </c:pt>
                <c:pt idx="248">
                  <c:v>-14.904069864674664</c:v>
                </c:pt>
                <c:pt idx="249">
                  <c:v>-15.097507450531591</c:v>
                </c:pt>
                <c:pt idx="250">
                  <c:v>-15.290676742615538</c:v>
                </c:pt>
                <c:pt idx="251">
                  <c:v>-15.483568733414337</c:v>
                </c:pt>
                <c:pt idx="252">
                  <c:v>-15.676174288145502</c:v>
                </c:pt>
                <c:pt idx="253">
                  <c:v>-15.868484160951313</c:v>
                </c:pt>
                <c:pt idx="254">
                  <c:v>-16.060489013180938</c:v>
                </c:pt>
                <c:pt idx="255">
                  <c:v>-16.252179433894277</c:v>
                </c:pt>
                <c:pt idx="256">
                  <c:v>-16.443545962722602</c:v>
                </c:pt>
                <c:pt idx="257">
                  <c:v>-16.63457911522341</c:v>
                </c:pt>
                <c:pt idx="258">
                  <c:v>-16.825269410861136</c:v>
                </c:pt>
                <c:pt idx="259">
                  <c:v>-17.015607403746277</c:v>
                </c:pt>
                <c:pt idx="260">
                  <c:v>-17.205583716261554</c:v>
                </c:pt>
                <c:pt idx="261">
                  <c:v>-17.39518907569267</c:v>
                </c:pt>
                <c:pt idx="262">
                  <c:v>-17.584414353980257</c:v>
                </c:pt>
                <c:pt idx="263">
                  <c:v>-17.773250610692884</c:v>
                </c:pt>
                <c:pt idx="264">
                  <c:v>-17.961689139313911</c:v>
                </c:pt>
                <c:pt idx="265">
                  <c:v>-18.149721516915957</c:v>
                </c:pt>
                <c:pt idx="266">
                  <c:v>-18.337339657283575</c:v>
                </c:pt>
                <c:pt idx="267">
                  <c:v>-18.524535867520193</c:v>
                </c:pt>
                <c:pt idx="268">
                  <c:v>-18.711302908156693</c:v>
                </c:pt>
                <c:pt idx="269">
                  <c:v>-18.897634056751492</c:v>
                </c:pt>
                <c:pt idx="270">
                  <c:v>-19.083523174943146</c:v>
                </c:pt>
                <c:pt idx="271">
                  <c:v>-19.268964778886456</c:v>
                </c:pt>
                <c:pt idx="272">
                  <c:v>-19.453954112968599</c:v>
                </c:pt>
                <c:pt idx="273">
                  <c:v>-19.638487226665276</c:v>
                </c:pt>
                <c:pt idx="274">
                  <c:v>-19.822561054356566</c:v>
                </c:pt>
                <c:pt idx="275">
                  <c:v>-20.006173497885129</c:v>
                </c:pt>
                <c:pt idx="276">
                  <c:v>-20.189323511590224</c:v>
                </c:pt>
                <c:pt idx="277">
                  <c:v>-20.372011189512516</c:v>
                </c:pt>
                <c:pt idx="278">
                  <c:v>-20.554237854416687</c:v>
                </c:pt>
                <c:pt idx="279">
                  <c:v>-20.736006148234107</c:v>
                </c:pt>
                <c:pt idx="280">
                  <c:v>-20.917320123482476</c:v>
                </c:pt>
                <c:pt idx="281">
                  <c:v>-21.098185335177149</c:v>
                </c:pt>
                <c:pt idx="282">
                  <c:v>-21.278608932706415</c:v>
                </c:pt>
                <c:pt idx="283">
                  <c:v>-21.458599751102501</c:v>
                </c:pt>
                <c:pt idx="284">
                  <c:v>-21.638168401110352</c:v>
                </c:pt>
                <c:pt idx="285">
                  <c:v>-21.817327357420456</c:v>
                </c:pt>
                <c:pt idx="286">
                  <c:v>-21.996091044411934</c:v>
                </c:pt>
                <c:pt idx="287">
                  <c:v>-22.174475918734036</c:v>
                </c:pt>
                <c:pt idx="288">
                  <c:v>-22.352500548043935</c:v>
                </c:pt>
                <c:pt idx="289">
                  <c:v>-22.5301856852203</c:v>
                </c:pt>
                <c:pt idx="290">
                  <c:v>-22.707554337378092</c:v>
                </c:pt>
                <c:pt idx="291">
                  <c:v>-22.884631829032422</c:v>
                </c:pt>
                <c:pt idx="292">
                  <c:v>-23.06144585878728</c:v>
                </c:pt>
                <c:pt idx="293">
                  <c:v>-23.238026548967067</c:v>
                </c:pt>
                <c:pt idx="294">
                  <c:v>-23.414406487661346</c:v>
                </c:pt>
                <c:pt idx="295">
                  <c:v>-23.590620762716846</c:v>
                </c:pt>
                <c:pt idx="296">
                  <c:v>-23.766706987286931</c:v>
                </c:pt>
                <c:pt idx="297">
                  <c:v>-23.942705316631553</c:v>
                </c:pt>
                <c:pt idx="298">
                  <c:v>-24.118658455960347</c:v>
                </c:pt>
                <c:pt idx="299">
                  <c:v>-24.29461165920991</c:v>
                </c:pt>
                <c:pt idx="300">
                  <c:v>-24.470612718761664</c:v>
                </c:pt>
                <c:pt idx="301">
                  <c:v>-24.646711946221075</c:v>
                </c:pt>
                <c:pt idx="302">
                  <c:v>-24.822962144499922</c:v>
                </c:pt>
                <c:pt idx="303">
                  <c:v>-24.999418571565378</c:v>
                </c:pt>
                <c:pt idx="304">
                  <c:v>-25.17613889634163</c:v>
                </c:pt>
                <c:pt idx="305">
                  <c:v>-25.353183147367886</c:v>
                </c:pt>
                <c:pt idx="306">
                  <c:v>-25.530613654931891</c:v>
                </c:pt>
                <c:pt idx="307">
                  <c:v>-25.708494987500721</c:v>
                </c:pt>
                <c:pt idx="308">
                  <c:v>-25.886893883371872</c:v>
                </c:pt>
                <c:pt idx="309">
                  <c:v>-26.065879178545302</c:v>
                </c:pt>
                <c:pt idx="310">
                  <c:v>-26.245521731891372</c:v>
                </c:pt>
                <c:pt idx="311">
                  <c:v>-26.425894348738094</c:v>
                </c:pt>
                <c:pt idx="312">
                  <c:v>-26.607071704038518</c:v>
                </c:pt>
                <c:pt idx="313">
                  <c:v>-26.789130266291188</c:v>
                </c:pt>
                <c:pt idx="314">
                  <c:v>-26.972148223381886</c:v>
                </c:pt>
                <c:pt idx="315">
                  <c:v>-27.156205411486198</c:v>
                </c:pt>
                <c:pt idx="316">
                  <c:v>-27.341383248121552</c:v>
                </c:pt>
                <c:pt idx="317">
                  <c:v>-27.527764670366039</c:v>
                </c:pt>
                <c:pt idx="318">
                  <c:v>-27.71543407916591</c:v>
                </c:pt>
                <c:pt idx="319">
                  <c:v>-27.904477290537951</c:v>
                </c:pt>
                <c:pt idx="320">
                  <c:v>-28.094981494336789</c:v>
                </c:pt>
                <c:pt idx="321">
                  <c:v>-28.28703522109975</c:v>
                </c:pt>
                <c:pt idx="322">
                  <c:v>-28.480728317312675</c:v>
                </c:pt>
                <c:pt idx="323">
                  <c:v>-28.676151929244988</c:v>
                </c:pt>
                <c:pt idx="324">
                  <c:v>-28.873398495303732</c:v>
                </c:pt>
                <c:pt idx="325">
                  <c:v>-29.072561746639693</c:v>
                </c:pt>
                <c:pt idx="326">
                  <c:v>-29.273736715512744</c:v>
                </c:pt>
                <c:pt idx="327">
                  <c:v>-29.477019750694652</c:v>
                </c:pt>
                <c:pt idx="328">
                  <c:v>-29.682508538948515</c:v>
                </c:pt>
                <c:pt idx="329">
                  <c:v>-29.890302131390889</c:v>
                </c:pt>
                <c:pt idx="330">
                  <c:v>-30.100500973299987</c:v>
                </c:pt>
                <c:pt idx="331">
                  <c:v>-30.313206935708152</c:v>
                </c:pt>
                <c:pt idx="332">
                  <c:v>-30.52852334688469</c:v>
                </c:pt>
                <c:pt idx="333">
                  <c:v>-30.746555021608785</c:v>
                </c:pt>
                <c:pt idx="334">
                  <c:v>-30.967408285923987</c:v>
                </c:pt>
                <c:pt idx="335">
                  <c:v>-31.191190994891222</c:v>
                </c:pt>
                <c:pt idx="336">
                  <c:v>-31.418012540693042</c:v>
                </c:pt>
                <c:pt idx="337">
                  <c:v>-31.64798384831052</c:v>
                </c:pt>
                <c:pt idx="338">
                  <c:v>-31.881217355894389</c:v>
                </c:pt>
                <c:pt idx="339">
                  <c:v>-32.117826976884565</c:v>
                </c:pt>
                <c:pt idx="340">
                  <c:v>-32.357928040911446</c:v>
                </c:pt>
                <c:pt idx="341">
                  <c:v>-32.601637210537703</c:v>
                </c:pt>
                <c:pt idx="342">
                  <c:v>-32.849072370975023</c:v>
                </c:pt>
                <c:pt idx="343">
                  <c:v>-33.100352490051769</c:v>
                </c:pt>
                <c:pt idx="344">
                  <c:v>-33.355597445904415</c:v>
                </c:pt>
                <c:pt idx="345">
                  <c:v>-33.614927820140736</c:v>
                </c:pt>
                <c:pt idx="346">
                  <c:v>-33.878464654563267</c:v>
                </c:pt>
                <c:pt idx="347">
                  <c:v>-34.146329169965519</c:v>
                </c:pt>
                <c:pt idx="348">
                  <c:v>-34.418642446007553</c:v>
                </c:pt>
                <c:pt idx="349">
                  <c:v>-34.695525061756591</c:v>
                </c:pt>
                <c:pt idx="350">
                  <c:v>-34.977096697122157</c:v>
                </c:pt>
                <c:pt idx="351">
                  <c:v>-35.263475696137021</c:v>
                </c:pt>
                <c:pt idx="352">
                  <c:v>-35.554778593809374</c:v>
                </c:pt>
                <c:pt idx="353">
                  <c:v>-35.851119609094305</c:v>
                </c:pt>
                <c:pt idx="354">
                  <c:v>-36.152610107393116</c:v>
                </c:pt>
                <c:pt idx="355">
                  <c:v>-36.459358036851619</c:v>
                </c:pt>
                <c:pt idx="356">
                  <c:v>-36.771467343595504</c:v>
                </c:pt>
                <c:pt idx="357">
                  <c:v>-37.089037371860726</c:v>
                </c:pt>
                <c:pt idx="358">
                  <c:v>-37.412162255749287</c:v>
                </c:pt>
                <c:pt idx="359">
                  <c:v>-37.740930310013844</c:v>
                </c:pt>
                <c:pt idx="360">
                  <c:v>-38.075423427838707</c:v>
                </c:pt>
                <c:pt idx="361">
                  <c:v>-38.415716494003398</c:v>
                </c:pt>
                <c:pt idx="362">
                  <c:v>-38.761876822065069</c:v>
                </c:pt>
                <c:pt idx="363">
                  <c:v>-39.113963624260755</c:v>
                </c:pt>
                <c:pt idx="364">
                  <c:v>-39.472027522690773</c:v>
                </c:pt>
                <c:pt idx="365">
                  <c:v>-39.83611010999207</c:v>
                </c:pt>
                <c:pt idx="366">
                  <c:v>-40.206243567149571</c:v>
                </c:pt>
                <c:pt idx="367">
                  <c:v>-40.582450345316985</c:v>
                </c:pt>
                <c:pt idx="368">
                  <c:v>-40.964742917563505</c:v>
                </c:pt>
                <c:pt idx="369">
                  <c:v>-41.353123605324107</c:v>
                </c:pt>
                <c:pt idx="370">
                  <c:v>-41.74758448306558</c:v>
                </c:pt>
                <c:pt idx="371">
                  <c:v>-42.14810736330422</c:v>
                </c:pt>
                <c:pt idx="372">
                  <c:v>-42.554663862675824</c:v>
                </c:pt>
                <c:pt idx="373">
                  <c:v>-42.967215548303919</c:v>
                </c:pt>
                <c:pt idx="374">
                  <c:v>-43.38571416228185</c:v>
                </c:pt>
                <c:pt idx="375">
                  <c:v>-43.810101920724989</c:v>
                </c:pt>
                <c:pt idx="376">
                  <c:v>-44.240311882594803</c:v>
                </c:pt>
                <c:pt idx="377">
                  <c:v>-44.676268382387867</c:v>
                </c:pt>
                <c:pt idx="378">
                  <c:v>-45.117887519844899</c:v>
                </c:pt>
                <c:pt idx="379">
                  <c:v>-45.56507769909053</c:v>
                </c:pt>
                <c:pt idx="380">
                  <c:v>-46.017740209073636</c:v>
                </c:pt>
                <c:pt idx="381">
                  <c:v>-46.475769836850056</c:v>
                </c:pt>
                <c:pt idx="382">
                  <c:v>-46.939055505128891</c:v>
                </c:pt>
                <c:pt idx="383">
                  <c:v>-47.407480925578909</c:v>
                </c:pt>
                <c:pt idx="384">
                  <c:v>-47.880925259648812</c:v>
                </c:pt>
                <c:pt idx="385">
                  <c:v>-48.359263779072599</c:v>
                </c:pt>
                <c:pt idx="386">
                  <c:v>-48.842368518782557</c:v>
                </c:pt>
                <c:pt idx="387">
                  <c:v>-49.330108915611596</c:v>
                </c:pt>
                <c:pt idx="388">
                  <c:v>-49.822352426906363</c:v>
                </c:pt>
                <c:pt idx="389">
                  <c:v>-50.318965123965285</c:v>
                </c:pt>
                <c:pt idx="390">
                  <c:v>-50.819812256028527</c:v>
                </c:pt>
                <c:pt idx="391">
                  <c:v>-51.324758781374989</c:v>
                </c:pt>
                <c:pt idx="392">
                  <c:v>-51.833669862874316</c:v>
                </c:pt>
                <c:pt idx="393">
                  <c:v>-52.346411326111912</c:v>
                </c:pt>
                <c:pt idx="394">
                  <c:v>-52.862850078918136</c:v>
                </c:pt>
                <c:pt idx="395">
                  <c:v>-53.382854491786105</c:v>
                </c:pt>
                <c:pt idx="396">
                  <c:v>-53.906294739244984</c:v>
                </c:pt>
                <c:pt idx="397">
                  <c:v>-54.433043102771521</c:v>
                </c:pt>
                <c:pt idx="398">
                  <c:v>-54.962974236254702</c:v>
                </c:pt>
                <c:pt idx="399">
                  <c:v>-55.495965395395494</c:v>
                </c:pt>
                <c:pt idx="400">
                  <c:v>-56.031896632713504</c:v>
                </c:pt>
                <c:pt idx="401">
                  <c:v>-56.570650960058941</c:v>
                </c:pt>
                <c:pt idx="402">
                  <c:v>-57.112114480690728</c:v>
                </c:pt>
                <c:pt idx="403">
                  <c:v>-57.656176493091287</c:v>
                </c:pt>
                <c:pt idx="404">
                  <c:v>-58.202729568745141</c:v>
                </c:pt>
                <c:pt idx="405">
                  <c:v>-58.75166960612453</c:v>
                </c:pt>
                <c:pt idx="406">
                  <c:v>-59.30289586310721</c:v>
                </c:pt>
                <c:pt idx="407">
                  <c:v>-59.856310969997693</c:v>
                </c:pt>
                <c:pt idx="408">
                  <c:v>-60.4118209252524</c:v>
                </c:pt>
                <c:pt idx="409">
                  <c:v>-60.969335075908901</c:v>
                </c:pt>
                <c:pt idx="410">
                  <c:v>-61.528766084622603</c:v>
                </c:pt>
                <c:pt idx="411">
                  <c:v>-62.09002988508292</c:v>
                </c:pt>
                <c:pt idx="412">
                  <c:v>-62.653045627470767</c:v>
                </c:pt>
                <c:pt idx="413">
                  <c:v>-63.217735615480784</c:v>
                </c:pt>
                <c:pt idx="414">
                  <c:v>-63.784025236313404</c:v>
                </c:pt>
                <c:pt idx="415">
                  <c:v>-64.351842884910809</c:v>
                </c:pt>
                <c:pt idx="416">
                  <c:v>-64.921119883591956</c:v>
                </c:pt>
                <c:pt idx="417">
                  <c:v>-65.49179039812357</c:v>
                </c:pt>
                <c:pt idx="418">
                  <c:v>-66.063791351151167</c:v>
                </c:pt>
                <c:pt idx="419">
                  <c:v>-66.637062333813134</c:v>
                </c:pt>
                <c:pt idx="420">
                  <c:v>-67.211545516260301</c:v>
                </c:pt>
                <c:pt idx="421">
                  <c:v>-67.787185557711169</c:v>
                </c:pt>
                <c:pt idx="422">
                  <c:v>-68.363929516593004</c:v>
                </c:pt>
                <c:pt idx="423">
                  <c:v>-68.941726761239806</c:v>
                </c:pt>
                <c:pt idx="424">
                  <c:v>-69.520528881550277</c:v>
                </c:pt>
                <c:pt idx="425">
                  <c:v>-70.10028960194343</c:v>
                </c:pt>
                <c:pt idx="426">
                  <c:v>-70.680964695897956</c:v>
                </c:pt>
                <c:pt idx="427">
                  <c:v>-71.262511902303601</c:v>
                </c:pt>
                <c:pt idx="428">
                  <c:v>-71.844890843813559</c:v>
                </c:pt>
                <c:pt idx="429">
                  <c:v>-72.428062947349844</c:v>
                </c:pt>
                <c:pt idx="430">
                  <c:v>-73.011991366864208</c:v>
                </c:pt>
                <c:pt idx="431">
                  <c:v>-73.596640908447299</c:v>
                </c:pt>
                <c:pt idx="432">
                  <c:v>-74.181977957832345</c:v>
                </c:pt>
                <c:pt idx="433">
                  <c:v>-74.767970410332978</c:v>
                </c:pt>
                <c:pt idx="434">
                  <c:v>-75.354587603220779</c:v>
                </c:pt>
                <c:pt idx="435">
                  <c:v>-75.941800250542087</c:v>
                </c:pt>
                <c:pt idx="436">
                  <c:v>-76.529580380354247</c:v>
                </c:pt>
                <c:pt idx="437">
                  <c:v>-77.117901274348469</c:v>
                </c:pt>
                <c:pt idx="438">
                  <c:v>-77.706737409821216</c:v>
                </c:pt>
                <c:pt idx="439">
                  <c:v>-78.296064403941457</c:v>
                </c:pt>
                <c:pt idx="440">
                  <c:v>-78.885858960261118</c:v>
                </c:pt>
                <c:pt idx="441">
                  <c:v>-79.476098817406211</c:v>
                </c:pt>
                <c:pt idx="442">
                  <c:v>-80.066762699882702</c:v>
                </c:pt>
                <c:pt idx="443">
                  <c:v>-80.657830270931299</c:v>
                </c:pt>
                <c:pt idx="444">
                  <c:v>-81.249282087358779</c:v>
                </c:pt>
                <c:pt idx="445">
                  <c:v>-81.84109955627612</c:v>
                </c:pt>
                <c:pt idx="446">
                  <c:v>-82.433264893669644</c:v>
                </c:pt>
                <c:pt idx="447">
                  <c:v>-83.025761084734739</c:v>
                </c:pt>
                <c:pt idx="448">
                  <c:v>-83.618571845897449</c:v>
                </c:pt>
                <c:pt idx="449">
                  <c:v>-84.211681588456344</c:v>
                </c:pt>
                <c:pt idx="450">
                  <c:v>-84.805075383770316</c:v>
                </c:pt>
                <c:pt idx="451">
                  <c:v>-85.398738929926239</c:v>
                </c:pt>
                <c:pt idx="452">
                  <c:v>-85.992658519817724</c:v>
                </c:pt>
                <c:pt idx="453">
                  <c:v>-86.586821010568897</c:v>
                </c:pt>
                <c:pt idx="454">
                  <c:v>-87.181213794239198</c:v>
                </c:pt>
                <c:pt idx="455">
                  <c:v>-87.775824769747572</c:v>
                </c:pt>
                <c:pt idx="456">
                  <c:v>-88.370642315952367</c:v>
                </c:pt>
                <c:pt idx="457">
                  <c:v>-88.965655265833846</c:v>
                </c:pt>
                <c:pt idx="458">
                  <c:v>-89.560852881716229</c:v>
                </c:pt>
                <c:pt idx="459">
                  <c:v>-90.156224831479733</c:v>
                </c:pt>
                <c:pt idx="460">
                  <c:v>-90.751761165706085</c:v>
                </c:pt>
                <c:pt idx="461">
                  <c:v>-91.34745229570828</c:v>
                </c:pt>
                <c:pt idx="462">
                  <c:v>-91.943288972394654</c:v>
                </c:pt>
                <c:pt idx="463">
                  <c:v>-92.53926226592003</c:v>
                </c:pt>
                <c:pt idx="464">
                  <c:v>-93.135363546078509</c:v>
                </c:pt>
                <c:pt idx="465">
                  <c:v>-93.731584463391883</c:v>
                </c:pt>
                <c:pt idx="466">
                  <c:v>-94.327916930855039</c:v>
                </c:pt>
                <c:pt idx="467">
                  <c:v>-94.924353106292543</c:v>
                </c:pt>
                <c:pt idx="468">
                  <c:v>-95.520885375291428</c:v>
                </c:pt>
                <c:pt idx="469">
                  <c:v>-96.117506334668576</c:v>
                </c:pt>
                <c:pt idx="470">
                  <c:v>-96.714208776438625</c:v>
                </c:pt>
                <c:pt idx="471">
                  <c:v>-97.310985672246147</c:v>
                </c:pt>
                <c:pt idx="472">
                  <c:v>-97.907830158225394</c:v>
                </c:pt>
                <c:pt idx="473">
                  <c:v>-98.504735520260297</c:v>
                </c:pt>
                <c:pt idx="474">
                  <c:v>-99.101695179606082</c:v>
                </c:pt>
                <c:pt idx="475">
                  <c:v>-99.698702678847226</c:v>
                </c:pt>
                <c:pt idx="476">
                  <c:v>-100.2957516681582</c:v>
                </c:pt>
                <c:pt idx="477">
                  <c:v>-100.89283589184021</c:v>
                </c:pt>
                <c:pt idx="478">
                  <c:v>-101.48994917510416</c:v>
                </c:pt>
                <c:pt idx="479">
                  <c:v>-102.0870854110744</c:v>
                </c:pt>
                <c:pt idx="480">
                  <c:v>-102.68423854798567</c:v>
                </c:pt>
                <c:pt idx="481">
                  <c:v>-103.28140257654761</c:v>
                </c:pt>
                <c:pt idx="482">
                  <c:v>-103.878571517453</c:v>
                </c:pt>
                <c:pt idx="483">
                  <c:v>-104.47573940900367</c:v>
                </c:pt>
                <c:pt idx="484">
                  <c:v>-105.07290029483231</c:v>
                </c:pt>
                <c:pt idx="485">
                  <c:v>-105.67004821169677</c:v>
                </c:pt>
                <c:pt idx="486">
                  <c:v>-106.26717717732245</c:v>
                </c:pt>
                <c:pt idx="487">
                  <c:v>-106.8642811782759</c:v>
                </c:pt>
                <c:pt idx="488">
                  <c:v>-107.46135415784178</c:v>
                </c:pt>
                <c:pt idx="489">
                  <c:v>-108.05839000388912</c:v>
                </c:pt>
                <c:pt idx="490">
                  <c:v>-108.65538253670221</c:v>
                </c:pt>
                <c:pt idx="491">
                  <c:v>-109.2523254967592</c:v>
                </c:pt>
                <c:pt idx="492">
                  <c:v>-109.84921253243805</c:v>
                </c:pt>
                <c:pt idx="493">
                  <c:v>-110.44603718763233</c:v>
                </c:pt>
                <c:pt idx="494">
                  <c:v>-111.0427928892593</c:v>
                </c:pt>
                <c:pt idx="495">
                  <c:v>-111.6394729346416</c:v>
                </c:pt>
                <c:pt idx="496">
                  <c:v>-112.2360704787489</c:v>
                </c:pt>
                <c:pt idx="497">
                  <c:v>-112.83257852128017</c:v>
                </c:pt>
                <c:pt idx="498">
                  <c:v>-113.42898989357482</c:v>
                </c:pt>
                <c:pt idx="499">
                  <c:v>-114.02529724533601</c:v>
                </c:pt>
                <c:pt idx="500">
                  <c:v>-114.62149303115412</c:v>
                </c:pt>
                <c:pt idx="501">
                  <c:v>-115.21756949681674</c:v>
                </c:pt>
                <c:pt idx="502">
                  <c:v>-115.81351866539462</c:v>
                </c:pt>
                <c:pt idx="503">
                  <c:v>-116.40933232309192</c:v>
                </c:pt>
                <c:pt idx="504">
                  <c:v>-117.00500200485237</c:v>
                </c:pt>
                <c:pt idx="505">
                  <c:v>-117.60051897971265</c:v>
                </c:pt>
                <c:pt idx="506">
                  <c:v>-118.19587423589611</c:v>
                </c:pt>
                <c:pt idx="507">
                  <c:v>-118.79105846564151</c:v>
                </c:pt>
                <c:pt idx="508">
                  <c:v>-119.38606204976445</c:v>
                </c:pt>
                <c:pt idx="509">
                  <c:v>-119.98087504194736</c:v>
                </c:pt>
                <c:pt idx="510">
                  <c:v>-120.5754871527602</c:v>
                </c:pt>
                <c:pt idx="511">
                  <c:v>-121.16988773341247</c:v>
                </c:pt>
                <c:pt idx="512">
                  <c:v>-121.76406575924312</c:v>
                </c:pt>
                <c:pt idx="513">
                  <c:v>-122.35800981295324</c:v>
                </c:pt>
                <c:pt idx="514">
                  <c:v>-122.95170806759285</c:v>
                </c:pt>
                <c:pt idx="515">
                  <c:v>-123.5451482693141</c:v>
                </c:pt>
                <c:pt idx="516">
                  <c:v>-124.13831771990688</c:v>
                </c:pt>
                <c:pt idx="517">
                  <c:v>-124.73120325913672</c:v>
                </c:pt>
                <c:pt idx="518">
                  <c:v>-125.32379124690821</c:v>
                </c:pt>
                <c:pt idx="519">
                  <c:v>-125.91606754528075</c:v>
                </c:pt>
                <c:pt idx="520">
                  <c:v>-126.50801750036912</c:v>
                </c:pt>
                <c:pt idx="521">
                  <c:v>-127.09962592416515</c:v>
                </c:pt>
                <c:pt idx="522">
                  <c:v>-127.69087707632139</c:v>
                </c:pt>
                <c:pt idx="523">
                  <c:v>-128.2817546459431</c:v>
                </c:pt>
                <c:pt idx="524">
                  <c:v>-128.87224173344319</c:v>
                </c:pt>
                <c:pt idx="525">
                  <c:v>-129.4623208325151</c:v>
                </c:pt>
                <c:pt idx="526">
                  <c:v>-130.05197381229036</c:v>
                </c:pt>
                <c:pt idx="527">
                  <c:v>-130.64118189975238</c:v>
                </c:pt>
                <c:pt idx="528">
                  <c:v>-131.22992566248161</c:v>
                </c:pt>
                <c:pt idx="529">
                  <c:v>-131.81818499182418</c:v>
                </c:pt>
                <c:pt idx="530">
                  <c:v>-132.40593908656771</c:v>
                </c:pt>
                <c:pt idx="531">
                  <c:v>-132.99316643723452</c:v>
                </c:pt>
                <c:pt idx="532">
                  <c:v>-133.57984481109315</c:v>
                </c:pt>
                <c:pt idx="533">
                  <c:v>-134.16595123801352</c:v>
                </c:pt>
                <c:pt idx="534">
                  <c:v>-134.7514619972834</c:v>
                </c:pt>
                <c:pt idx="535">
                  <c:v>-135.336352605526</c:v>
                </c:pt>
                <c:pt idx="536">
                  <c:v>-135.92059780585853</c:v>
                </c:pt>
                <c:pt idx="537">
                  <c:v>-136.50417155844377</c:v>
                </c:pt>
                <c:pt idx="538">
                  <c:v>-137.08704703259417</c:v>
                </c:pt>
                <c:pt idx="539">
                  <c:v>-137.66919660059531</c:v>
                </c:pt>
                <c:pt idx="540">
                  <c:v>-138.25059183342316</c:v>
                </c:pt>
                <c:pt idx="541">
                  <c:v>-138.8312034985409</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5.0929581789406511</c:v>
                </c:pt>
              </c:numCache>
            </c:numRef>
          </c:xVal>
          <c:yVal>
            <c:numRef>
              <c:f>Loop_Modeling!$AT$11</c:f>
              <c:numCache>
                <c:formatCode>0.000</c:formatCode>
                <c:ptCount val="1"/>
                <c:pt idx="0">
                  <c:v>47.917464839835489</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11002.913492885855</c:v>
                </c:pt>
              </c:numCache>
            </c:numRef>
          </c:xVal>
          <c:yVal>
            <c:numRef>
              <c:f>Loop_Modeling!$AT$9</c:f>
              <c:numCache>
                <c:formatCode>0.000</c:formatCode>
                <c:ptCount val="1"/>
                <c:pt idx="0">
                  <c:v>-25.026044325644964</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7957747.1545947678</c:v>
                </c:pt>
              </c:numCache>
            </c:numRef>
          </c:xVal>
          <c:yVal>
            <c:numRef>
              <c:f>Loop_Modeling!$AT$10</c:f>
              <c:numCache>
                <c:formatCode>0.000</c:formatCode>
                <c:ptCount val="1"/>
                <c:pt idx="0">
                  <c:v>-165.11682228717387</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15.915494309189532</c:v>
                </c:pt>
              </c:numCache>
            </c:numRef>
          </c:xVal>
          <c:yVal>
            <c:numRef>
              <c:f>Loop_Modeling!$AT$12</c:f>
              <c:numCache>
                <c:formatCode>0.000</c:formatCode>
                <c:ptCount val="1"/>
                <c:pt idx="0">
                  <c:v>33.297283577974504</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15931.409803498724</c:v>
                </c:pt>
              </c:numCache>
            </c:numRef>
          </c:xVal>
          <c:yVal>
            <c:numRef>
              <c:f>Loop_Modeling!$AT$13</c:f>
              <c:numCache>
                <c:formatCode>0.000</c:formatCode>
                <c:ptCount val="1"/>
                <c:pt idx="0">
                  <c:v>-27.947290236579917</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59.087749426331733</c:v>
                </c:pt>
                <c:pt idx="1">
                  <c:v>59.165551208013184</c:v>
                </c:pt>
                <c:pt idx="2">
                  <c:v>59.256188453662418</c:v>
                </c:pt>
                <c:pt idx="3">
                  <c:v>59.359493486789063</c:v>
                </c:pt>
                <c:pt idx="4">
                  <c:v>59.475276676944077</c:v>
                </c:pt>
                <c:pt idx="5">
                  <c:v>59.603327073571592</c:v>
                </c:pt>
                <c:pt idx="6">
                  <c:v>59.743413111201079</c:v>
                </c:pt>
                <c:pt idx="7">
                  <c:v>59.895283383262836</c:v>
                </c:pt>
                <c:pt idx="8">
                  <c:v>60.058667481437432</c:v>
                </c:pt>
                <c:pt idx="9">
                  <c:v>60.233276897099564</c:v>
                </c:pt>
                <c:pt idx="10">
                  <c:v>60.418805981028797</c:v>
                </c:pt>
                <c:pt idx="11">
                  <c:v>60.614932957202072</c:v>
                </c:pt>
                <c:pt idx="12">
                  <c:v>60.821320986109349</c:v>
                </c:pt>
                <c:pt idx="13">
                  <c:v>61.037619272692417</c:v>
                </c:pt>
                <c:pt idx="14">
                  <c:v>61.263464213661713</c:v>
                </c:pt>
                <c:pt idx="15">
                  <c:v>61.498480578654039</c:v>
                </c:pt>
                <c:pt idx="16">
                  <c:v>61.742282719404017</c:v>
                </c:pt>
                <c:pt idx="17">
                  <c:v>61.994475800881908</c:v>
                </c:pt>
                <c:pt idx="18">
                  <c:v>62.254657048141169</c:v>
                </c:pt>
                <c:pt idx="19">
                  <c:v>62.522417002499871</c:v>
                </c:pt>
                <c:pt idx="20">
                  <c:v>62.797340780571211</c:v>
                </c:pt>
                <c:pt idx="21">
                  <c:v>63.079009329649843</c:v>
                </c:pt>
                <c:pt idx="22">
                  <c:v>63.367000672983373</c:v>
                </c:pt>
                <c:pt idx="23">
                  <c:v>63.660891138560032</c:v>
                </c:pt>
                <c:pt idx="24">
                  <c:v>63.960256565201483</c:v>
                </c:pt>
                <c:pt idx="25">
                  <c:v>64.264673479971847</c:v>
                </c:pt>
                <c:pt idx="26">
                  <c:v>64.573720241194394</c:v>
                </c:pt>
                <c:pt idx="27">
                  <c:v>64.886978141706777</c:v>
                </c:pt>
                <c:pt idx="28">
                  <c:v>65.204032467371604</c:v>
                </c:pt>
                <c:pt idx="29">
                  <c:v>65.524473506295351</c:v>
                </c:pt>
                <c:pt idx="30">
                  <c:v>65.847897504683687</c:v>
                </c:pt>
                <c:pt idx="31">
                  <c:v>66.173907565764793</c:v>
                </c:pt>
                <c:pt idx="32">
                  <c:v>66.502114488744155</c:v>
                </c:pt>
                <c:pt idx="33">
                  <c:v>66.83213754530729</c:v>
                </c:pt>
                <c:pt idx="34">
                  <c:v>67.163605191732771</c:v>
                </c:pt>
                <c:pt idx="35">
                  <c:v>67.496155715245678</c:v>
                </c:pt>
                <c:pt idx="36">
                  <c:v>67.829437813788402</c:v>
                </c:pt>
                <c:pt idx="37">
                  <c:v>68.163111108920461</c:v>
                </c:pt>
                <c:pt idx="38">
                  <c:v>68.496846592077929</c:v>
                </c:pt>
                <c:pt idx="39">
                  <c:v>68.830327004914224</c:v>
                </c:pt>
                <c:pt idx="40">
                  <c:v>69.163247154895927</c:v>
                </c:pt>
                <c:pt idx="41">
                  <c:v>69.495314167757584</c:v>
                </c:pt>
                <c:pt idx="42">
                  <c:v>69.826247678792797</c:v>
                </c:pt>
                <c:pt idx="43">
                  <c:v>70.155779965307275</c:v>
                </c:pt>
                <c:pt idx="44">
                  <c:v>70.48365602285034</c:v>
                </c:pt>
                <c:pt idx="45">
                  <c:v>70.809633588093902</c:v>
                </c:pt>
                <c:pt idx="46">
                  <c:v>71.13348311143946</c:v>
                </c:pt>
                <c:pt idx="47">
                  <c:v>71.454987682588396</c:v>
                </c:pt>
                <c:pt idx="48">
                  <c:v>71.773942912437988</c:v>
                </c:pt>
                <c:pt idx="49">
                  <c:v>72.090156774741828</c:v>
                </c:pt>
                <c:pt idx="50">
                  <c:v>72.403449411013881</c:v>
                </c:pt>
                <c:pt idx="51">
                  <c:v>72.713652902159396</c:v>
                </c:pt>
                <c:pt idx="52">
                  <c:v>73.020611010289855</c:v>
                </c:pt>
                <c:pt idx="53">
                  <c:v>73.324178894121886</c:v>
                </c:pt>
                <c:pt idx="54">
                  <c:v>73.624222801271628</c:v>
                </c:pt>
                <c:pt idx="55">
                  <c:v>73.920619740656562</c:v>
                </c:pt>
                <c:pt idx="56">
                  <c:v>74.213257138085055</c:v>
                </c:pt>
                <c:pt idx="57">
                  <c:v>74.502032477975078</c:v>
                </c:pt>
                <c:pt idx="58">
                  <c:v>74.786852933989124</c:v>
                </c:pt>
                <c:pt idx="59">
                  <c:v>75.067634991203676</c:v>
                </c:pt>
                <c:pt idx="60">
                  <c:v>75.344304062266218</c:v>
                </c:pt>
                <c:pt idx="61">
                  <c:v>75.616794099811472</c:v>
                </c:pt>
                <c:pt idx="62">
                  <c:v>75.885047207233143</c:v>
                </c:pt>
                <c:pt idx="63">
                  <c:v>76.149013249729308</c:v>
                </c:pt>
                <c:pt idx="64">
                  <c:v>76.408649467362224</c:v>
                </c:pt>
                <c:pt idx="65">
                  <c:v>76.663920091702877</c:v>
                </c:pt>
                <c:pt idx="66">
                  <c:v>76.914795967462112</c:v>
                </c:pt>
                <c:pt idx="67">
                  <c:v>77.161254180347981</c:v>
                </c:pt>
                <c:pt idx="68">
                  <c:v>77.403277692236003</c:v>
                </c:pt>
                <c:pt idx="69">
                  <c:v>77.640854984592309</c:v>
                </c:pt>
                <c:pt idx="70">
                  <c:v>77.873979710949484</c:v>
                </c:pt>
                <c:pt idx="71">
                  <c:v>78.102650359109091</c:v>
                </c:pt>
                <c:pt idx="72">
                  <c:v>78.326869923617977</c:v>
                </c:pt>
                <c:pt idx="73">
                  <c:v>78.546645588960928</c:v>
                </c:pt>
                <c:pt idx="74">
                  <c:v>78.76198842380245</c:v>
                </c:pt>
                <c:pt idx="75">
                  <c:v>78.972913086522368</c:v>
                </c:pt>
                <c:pt idx="76">
                  <c:v>79.179437542198585</c:v>
                </c:pt>
                <c:pt idx="77">
                  <c:v>79.381582791118319</c:v>
                </c:pt>
                <c:pt idx="78">
                  <c:v>79.579372608826347</c:v>
                </c:pt>
                <c:pt idx="79">
                  <c:v>79.772833297659332</c:v>
                </c:pt>
                <c:pt idx="80">
                  <c:v>79.961993449658962</c:v>
                </c:pt>
                <c:pt idx="81">
                  <c:v>80.146883720710562</c:v>
                </c:pt>
                <c:pt idx="82">
                  <c:v>80.327536615712361</c:v>
                </c:pt>
                <c:pt idx="83">
                  <c:v>80.503986284543942</c:v>
                </c:pt>
                <c:pt idx="84">
                  <c:v>80.676268328573585</c:v>
                </c:pt>
                <c:pt idx="85">
                  <c:v>80.844419617418666</c:v>
                </c:pt>
                <c:pt idx="86">
                  <c:v>81.008478115654412</c:v>
                </c:pt>
                <c:pt idx="87">
                  <c:v>81.168482719145459</c:v>
                </c:pt>
                <c:pt idx="88">
                  <c:v>81.324473100670076</c:v>
                </c:pt>
                <c:pt idx="89">
                  <c:v>81.476489564488688</c:v>
                </c:pt>
                <c:pt idx="90">
                  <c:v>81.624572909510249</c:v>
                </c:pt>
                <c:pt idx="91">
                  <c:v>81.768764300701349</c:v>
                </c:pt>
                <c:pt idx="92">
                  <c:v>81.909105148383517</c:v>
                </c:pt>
                <c:pt idx="93">
                  <c:v>82.045636995068378</c:v>
                </c:pt>
                <c:pt idx="94">
                  <c:v>82.178401409476393</c:v>
                </c:pt>
                <c:pt idx="95">
                  <c:v>82.307439887396725</c:v>
                </c:pt>
                <c:pt idx="96">
                  <c:v>82.432793759047001</c:v>
                </c:pt>
                <c:pt idx="97">
                  <c:v>82.554504102600475</c:v>
                </c:pt>
                <c:pt idx="98">
                  <c:v>82.672611663554633</c:v>
                </c:pt>
                <c:pt idx="99">
                  <c:v>82.787156779626642</c:v>
                </c:pt>
                <c:pt idx="100">
                  <c:v>82.898179310866752</c:v>
                </c:pt>
                <c:pt idx="101">
                  <c:v>83.005718574693574</c:v>
                </c:pt>
                <c:pt idx="102">
                  <c:v>83.109813285564101</c:v>
                </c:pt>
                <c:pt idx="103">
                  <c:v>83.210501499000131</c:v>
                </c:pt>
                <c:pt idx="104">
                  <c:v>83.307820559707579</c:v>
                </c:pt>
                <c:pt idx="105">
                  <c:v>83.401807053529737</c:v>
                </c:pt>
                <c:pt idx="106">
                  <c:v>83.492496762992303</c:v>
                </c:pt>
                <c:pt idx="107">
                  <c:v>83.579924626203876</c:v>
                </c:pt>
                <c:pt idx="108">
                  <c:v>83.664124698888173</c:v>
                </c:pt>
                <c:pt idx="109">
                  <c:v>83.745130119334021</c:v>
                </c:pt>
                <c:pt idx="110">
                  <c:v>83.822973076059768</c:v>
                </c:pt>
                <c:pt idx="111">
                  <c:v>83.897684777996858</c:v>
                </c:pt>
                <c:pt idx="112">
                  <c:v>83.969295427008873</c:v>
                </c:pt>
                <c:pt idx="113">
                  <c:v>84.037834192570301</c:v>
                </c:pt>
                <c:pt idx="114">
                  <c:v>84.103329188439062</c:v>
                </c:pt>
                <c:pt idx="115">
                  <c:v>84.165807451163914</c:v>
                </c:pt>
                <c:pt idx="116">
                  <c:v>84.225294920278316</c:v>
                </c:pt>
                <c:pt idx="117">
                  <c:v>84.28181642003932</c:v>
                </c:pt>
                <c:pt idx="118">
                  <c:v>84.335395642576358</c:v>
                </c:pt>
                <c:pt idx="119">
                  <c:v>84.386055132324799</c:v>
                </c:pt>
                <c:pt idx="120">
                  <c:v>84.433816271624138</c:v>
                </c:pt>
                <c:pt idx="121">
                  <c:v>84.478699267367844</c:v>
                </c:pt>
                <c:pt idx="122">
                  <c:v>84.520723138598939</c:v>
                </c:pt>
                <c:pt idx="123">
                  <c:v>84.559905704950069</c:v>
                </c:pt>
                <c:pt idx="124">
                  <c:v>84.596263575834698</c:v>
                </c:pt>
                <c:pt idx="125">
                  <c:v>84.629812140298228</c:v>
                </c:pt>
                <c:pt idx="126">
                  <c:v>84.660565557447839</c:v>
                </c:pt>
                <c:pt idx="127">
                  <c:v>84.688536747378819</c:v>
                </c:pt>
                <c:pt idx="128">
                  <c:v>84.713737382525338</c:v>
                </c:pt>
                <c:pt idx="129">
                  <c:v>84.736177879364377</c:v>
                </c:pt>
                <c:pt idx="130">
                  <c:v>84.755867390407104</c:v>
                </c:pt>
                <c:pt idx="131">
                  <c:v>84.772813796415676</c:v>
                </c:pt>
                <c:pt idx="132">
                  <c:v>84.787023698787081</c:v>
                </c:pt>
                <c:pt idx="133">
                  <c:v>84.798502412049132</c:v>
                </c:pt>
                <c:pt idx="134">
                  <c:v>84.807253956416574</c:v>
                </c:pt>
                <c:pt idx="135">
                  <c:v>84.813281050359421</c:v>
                </c:pt>
                <c:pt idx="136">
                  <c:v>84.816585103136973</c:v>
                </c:pt>
                <c:pt idx="137">
                  <c:v>84.817166207255241</c:v>
                </c:pt>
                <c:pt idx="138">
                  <c:v>84.815023130806438</c:v>
                </c:pt>
                <c:pt idx="139">
                  <c:v>84.810153309653415</c:v>
                </c:pt>
                <c:pt idx="140">
                  <c:v>84.802552839422233</c:v>
                </c:pt>
                <c:pt idx="141">
                  <c:v>84.792216467269753</c:v>
                </c:pt>
                <c:pt idx="142">
                  <c:v>84.779137583393862</c:v>
                </c:pt>
                <c:pt idx="143">
                  <c:v>84.763308212256945</c:v>
                </c:pt>
                <c:pt idx="144">
                  <c:v>84.744719003493771</c:v>
                </c:pt>
                <c:pt idx="145">
                  <c:v>84.723359222477441</c:v>
                </c:pt>
                <c:pt idx="146">
                  <c:v>84.699216740518239</c:v>
                </c:pt>
                <c:pt idx="147">
                  <c:v>84.672278024671357</c:v>
                </c:pt>
                <c:pt idx="148">
                  <c:v>84.642528127131825</c:v>
                </c:pt>
                <c:pt idx="149">
                  <c:v>84.609950674194579</c:v>
                </c:pt>
                <c:pt idx="150">
                  <c:v>84.574527854760319</c:v>
                </c:pt>
                <c:pt idx="151">
                  <c:v>84.536240408368286</c:v>
                </c:pt>
                <c:pt idx="152">
                  <c:v>84.495067612737799</c:v>
                </c:pt>
                <c:pt idx="153">
                  <c:v>84.450987270802045</c:v>
                </c:pt>
                <c:pt idx="154">
                  <c:v>84.4039756972183</c:v>
                </c:pt>
                <c:pt idx="155">
                  <c:v>84.354007704339324</c:v>
                </c:pt>
                <c:pt idx="156">
                  <c:v>84.301056587631777</c:v>
                </c:pt>
                <c:pt idx="157">
                  <c:v>84.245094110529081</c:v>
                </c:pt>
                <c:pt idx="158">
                  <c:v>84.186090488705076</c:v>
                </c:pt>
                <c:pt idx="159">
                  <c:v>84.124014373757575</c:v>
                </c:pt>
                <c:pt idx="160">
                  <c:v>84.058832836290861</c:v>
                </c:pt>
                <c:pt idx="161">
                  <c:v>83.990511348385837</c:v>
                </c:pt>
                <c:pt idx="162">
                  <c:v>83.919013765449535</c:v>
                </c:pt>
                <c:pt idx="163">
                  <c:v>83.844302307434518</c:v>
                </c:pt>
                <c:pt idx="164">
                  <c:v>83.766337539419993</c:v>
                </c:pt>
                <c:pt idx="165">
                  <c:v>83.685078351547531</c:v>
                </c:pt>
                <c:pt idx="166">
                  <c:v>83.600481938304142</c:v>
                </c:pt>
                <c:pt idx="167">
                  <c:v>83.51250377714787</c:v>
                </c:pt>
                <c:pt idx="168">
                  <c:v>83.421097606469246</c:v>
                </c:pt>
                <c:pt idx="169">
                  <c:v>83.326215402885822</c:v>
                </c:pt>
                <c:pt idx="170">
                  <c:v>83.227807357864251</c:v>
                </c:pt>
                <c:pt idx="171">
                  <c:v>83.125821853669692</c:v>
                </c:pt>
                <c:pt idx="172">
                  <c:v>83.0202054386383</c:v>
                </c:pt>
                <c:pt idx="173">
                  <c:v>82.910902801773204</c:v>
                </c:pt>
                <c:pt idx="174">
                  <c:v>82.797856746664095</c:v>
                </c:pt>
                <c:pt idx="175">
                  <c:v>82.681008164730983</c:v>
                </c:pt>
                <c:pt idx="176">
                  <c:v>82.560296007794918</c:v>
                </c:pt>
                <c:pt idx="177">
                  <c:v>82.435657259978541</c:v>
                </c:pt>
                <c:pt idx="178">
                  <c:v>82.307026908942078</c:v>
                </c:pt>
                <c:pt idx="179">
                  <c:v>82.174337916460075</c:v>
                </c:pt>
                <c:pt idx="180">
                  <c:v>82.03752118834656</c:v>
                </c:pt>
                <c:pt idx="181">
                  <c:v>81.896505543737803</c:v>
                </c:pt>
                <c:pt idx="182">
                  <c:v>81.751217683743988</c:v>
                </c:pt>
                <c:pt idx="183">
                  <c:v>81.601582159480699</c:v>
                </c:pt>
                <c:pt idx="184">
                  <c:v>81.447521339496646</c:v>
                </c:pt>
                <c:pt idx="185">
                  <c:v>81.288955376612847</c:v>
                </c:pt>
                <c:pt idx="186">
                  <c:v>81.125802174191591</c:v>
                </c:pt>
                <c:pt idx="187">
                  <c:v>80.957977351857863</c:v>
                </c:pt>
                <c:pt idx="188">
                  <c:v>80.785394210695017</c:v>
                </c:pt>
                <c:pt idx="189">
                  <c:v>80.607963697941514</c:v>
                </c:pt>
                <c:pt idx="190">
                  <c:v>80.42559437121858</c:v>
                </c:pt>
                <c:pt idx="191">
                  <c:v>80.238192362319467</c:v>
                </c:pt>
                <c:pt idx="192">
                  <c:v>80.045661340597718</c:v>
                </c:pt>
                <c:pt idx="193">
                  <c:v>79.847902475991333</c:v>
                </c:pt>
                <c:pt idx="194">
                  <c:v>79.644814401728041</c:v>
                </c:pt>
                <c:pt idx="195">
                  <c:v>79.436293176756578</c:v>
                </c:pt>
                <c:pt idx="196">
                  <c:v>79.222232247956413</c:v>
                </c:pt>
                <c:pt idx="197">
                  <c:v>79.00252241218098</c:v>
                </c:pt>
                <c:pt idx="198">
                  <c:v>78.777051778196324</c:v>
                </c:pt>
                <c:pt idx="199">
                  <c:v>78.545705728579577</c:v>
                </c:pt>
                <c:pt idx="200">
                  <c:v>78.308366881650059</c:v>
                </c:pt>
                <c:pt idx="201">
                  <c:v>78.06491505351029</c:v>
                </c:pt>
                <c:pt idx="202">
                  <c:v>77.81522722028015</c:v>
                </c:pt>
                <c:pt idx="203">
                  <c:v>77.559177480616398</c:v>
                </c:pt>
                <c:pt idx="204">
                  <c:v>77.296637018611989</c:v>
                </c:pt>
                <c:pt idx="205">
                  <c:v>77.027474067184855</c:v>
                </c:pt>
                <c:pt idx="206">
                  <c:v>76.751553872065458</c:v>
                </c:pt>
                <c:pt idx="207">
                  <c:v>76.468738656506332</c:v>
                </c:pt>
                <c:pt idx="208">
                  <c:v>76.178887586846187</c:v>
                </c:pt>
                <c:pt idx="209">
                  <c:v>75.881856739063622</c:v>
                </c:pt>
                <c:pt idx="210">
                  <c:v>75.577499066477273</c:v>
                </c:pt>
                <c:pt idx="211">
                  <c:v>75.265664368746883</c:v>
                </c:pt>
                <c:pt idx="212">
                  <c:v>74.946199262350731</c:v>
                </c:pt>
                <c:pt idx="213">
                  <c:v>74.618947152720722</c:v>
                </c:pt>
                <c:pt idx="214">
                  <c:v>74.283748208232495</c:v>
                </c:pt>
                <c:pt idx="215">
                  <c:v>73.940439336256347</c:v>
                </c:pt>
                <c:pt idx="216">
                  <c:v>73.588854161493416</c:v>
                </c:pt>
                <c:pt idx="217">
                  <c:v>73.228823006829657</c:v>
                </c:pt>
                <c:pt idx="218">
                  <c:v>72.860172876959581</c:v>
                </c:pt>
                <c:pt idx="219">
                  <c:v>72.482727445046351</c:v>
                </c:pt>
                <c:pt idx="220">
                  <c:v>72.096307042694804</c:v>
                </c:pt>
                <c:pt idx="221">
                  <c:v>71.700728653539173</c:v>
                </c:pt>
                <c:pt idx="222">
                  <c:v>71.295805910757394</c:v>
                </c:pt>
                <c:pt idx="223">
                  <c:v>70.881349098842904</c:v>
                </c:pt>
                <c:pt idx="224">
                  <c:v>70.457165159984967</c:v>
                </c:pt>
                <c:pt idx="225">
                  <c:v>70.023057705421692</c:v>
                </c:pt>
                <c:pt idx="226">
                  <c:v>69.578827032155814</c:v>
                </c:pt>
                <c:pt idx="227">
                  <c:v>69.124270145434139</c:v>
                </c:pt>
                <c:pt idx="228">
                  <c:v>68.659180787416915</c:v>
                </c:pt>
                <c:pt idx="229">
                  <c:v>68.183349472478753</c:v>
                </c:pt>
                <c:pt idx="230">
                  <c:v>67.696563529605214</c:v>
                </c:pt>
                <c:pt idx="231">
                  <c:v>67.198607152362953</c:v>
                </c:pt>
                <c:pt idx="232">
                  <c:v>66.689261456948671</c:v>
                </c:pt>
                <c:pt idx="233">
                  <c:v>66.168304548829894</c:v>
                </c:pt>
                <c:pt idx="234">
                  <c:v>65.635511598518306</c:v>
                </c:pt>
                <c:pt idx="235">
                  <c:v>65.090654927027032</c:v>
                </c:pt>
                <c:pt idx="236">
                  <c:v>64.533504101580192</c:v>
                </c:pt>
                <c:pt idx="237">
                  <c:v>63.963826042161323</c:v>
                </c:pt>
                <c:pt idx="238">
                  <c:v>63.381385139492942</c:v>
                </c:pt>
                <c:pt idx="239">
                  <c:v>62.785943385061117</c:v>
                </c:pt>
                <c:pt idx="240">
                  <c:v>62.177260513795801</c:v>
                </c:pt>
                <c:pt idx="241">
                  <c:v>61.555094160030464</c:v>
                </c:pt>
                <c:pt idx="242">
                  <c:v>60.919200027372817</c:v>
                </c:pt>
                <c:pt idx="243">
                  <c:v>60.269332073101964</c:v>
                </c:pt>
                <c:pt idx="244">
                  <c:v>59.605242707723313</c:v>
                </c:pt>
                <c:pt idx="245">
                  <c:v>58.926683010284478</c:v>
                </c:pt>
                <c:pt idx="246">
                  <c:v>58.23340296005825</c:v>
                </c:pt>
                <c:pt idx="247">
                  <c:v>57.525151685165909</c:v>
                </c:pt>
                <c:pt idx="248">
                  <c:v>56.801677728700447</c:v>
                </c:pt>
                <c:pt idx="249">
                  <c:v>56.06272933286855</c:v>
                </c:pt>
                <c:pt idx="250">
                  <c:v>55.308054741633171</c:v>
                </c:pt>
                <c:pt idx="251">
                  <c:v>54.537402522298606</c:v>
                </c:pt>
                <c:pt idx="252">
                  <c:v>53.75052190641177</c:v>
                </c:pt>
                <c:pt idx="253">
                  <c:v>52.947163150299531</c:v>
                </c:pt>
                <c:pt idx="254">
                  <c:v>52.12707791548425</c:v>
                </c:pt>
                <c:pt idx="255">
                  <c:v>51.290019669130508</c:v>
                </c:pt>
                <c:pt idx="256">
                  <c:v>50.43574410459469</c:v>
                </c:pt>
                <c:pt idx="257">
                  <c:v>49.564009582019388</c:v>
                </c:pt>
                <c:pt idx="258">
                  <c:v>48.674577588823482</c:v>
                </c:pt>
                <c:pt idx="259">
                  <c:v>47.76721321979295</c:v>
                </c:pt>
                <c:pt idx="260">
                  <c:v>46.84168567633116</c:v>
                </c:pt>
                <c:pt idx="261">
                  <c:v>45.897768784295963</c:v>
                </c:pt>
                <c:pt idx="262">
                  <c:v>44.935241529656899</c:v>
                </c:pt>
                <c:pt idx="263">
                  <c:v>43.953888611052989</c:v>
                </c:pt>
                <c:pt idx="264">
                  <c:v>42.953501008123695</c:v>
                </c:pt>
                <c:pt idx="265">
                  <c:v>41.933876564304875</c:v>
                </c:pt>
                <c:pt idx="266">
                  <c:v>40.894820582547936</c:v>
                </c:pt>
                <c:pt idx="267">
                  <c:v>39.836146432235054</c:v>
                </c:pt>
                <c:pt idx="268">
                  <c:v>38.757676165303636</c:v>
                </c:pt>
                <c:pt idx="269">
                  <c:v>37.659241139392343</c:v>
                </c:pt>
                <c:pt idx="270">
                  <c:v>36.540682645566967</c:v>
                </c:pt>
                <c:pt idx="271">
                  <c:v>35.401852537960998</c:v>
                </c:pt>
                <c:pt idx="272">
                  <c:v>34.242613862427874</c:v>
                </c:pt>
                <c:pt idx="273">
                  <c:v>33.062841481066791</c:v>
                </c:pt>
                <c:pt idx="274">
                  <c:v>31.862422689274442</c:v>
                </c:pt>
                <c:pt idx="275">
                  <c:v>30.641257821747566</c:v>
                </c:pt>
                <c:pt idx="276">
                  <c:v>29.399260843673677</c:v>
                </c:pt>
                <c:pt idx="277">
                  <c:v>28.136359923164886</c:v>
                </c:pt>
                <c:pt idx="278">
                  <c:v>26.85249798082577</c:v>
                </c:pt>
                <c:pt idx="279">
                  <c:v>25.547633212220212</c:v>
                </c:pt>
                <c:pt idx="280">
                  <c:v>24.221739578892585</c:v>
                </c:pt>
                <c:pt idx="281">
                  <c:v>22.874807263535576</c:v>
                </c:pt>
                <c:pt idx="282">
                  <c:v>21.506843084851493</c:v>
                </c:pt>
                <c:pt idx="283">
                  <c:v>20.117870867676476</c:v>
                </c:pt>
                <c:pt idx="284">
                  <c:v>18.707931763976553</c:v>
                </c:pt>
                <c:pt idx="285">
                  <c:v>17.277084520425497</c:v>
                </c:pt>
                <c:pt idx="286">
                  <c:v>15.825405688427887</c:v>
                </c:pt>
                <c:pt idx="287">
                  <c:v>14.352989772635258</c:v>
                </c:pt>
                <c:pt idx="288">
                  <c:v>12.859949314268835</c:v>
                </c:pt>
                <c:pt idx="289">
                  <c:v>11.346414905853059</c:v>
                </c:pt>
                <c:pt idx="290">
                  <c:v>9.8125351343219371</c:v>
                </c:pt>
                <c:pt idx="291">
                  <c:v>8.2584764498729477</c:v>
                </c:pt>
                <c:pt idx="292">
                  <c:v>6.684422958389872</c:v>
                </c:pt>
                <c:pt idx="293">
                  <c:v>5.0905761357672601</c:v>
                </c:pt>
                <c:pt idx="294">
                  <c:v>3.4771544630106588</c:v>
                </c:pt>
                <c:pt idx="295">
                  <c:v>1.8443929815837918</c:v>
                </c:pt>
                <c:pt idx="296">
                  <c:v>0.19254276908211185</c:v>
                </c:pt>
                <c:pt idx="297">
                  <c:v>-1.478129664017084</c:v>
                </c:pt>
                <c:pt idx="298">
                  <c:v>-3.1673430551150412</c:v>
                </c:pt>
                <c:pt idx="299">
                  <c:v>-4.8748021456423709</c:v>
                </c:pt>
                <c:pt idx="300">
                  <c:v>-6.6001985097780924</c:v>
                </c:pt>
                <c:pt idx="301">
                  <c:v>-8.343211452201361</c:v>
                </c:pt>
                <c:pt idx="302">
                  <c:v>-10.103508970624645</c:v>
                </c:pt>
                <c:pt idx="303">
                  <c:v>-11.880748778158635</c:v>
                </c:pt>
                <c:pt idx="304">
                  <c:v>-13.674579379867447</c:v>
                </c:pt>
                <c:pt idx="305">
                  <c:v>-15.48464119721111</c:v>
                </c:pt>
                <c:pt idx="306">
                  <c:v>-17.310567733427149</c:v>
                </c:pt>
                <c:pt idx="307">
                  <c:v>-19.151986772302067</c:v>
                </c:pt>
                <c:pt idx="308">
                  <c:v>-21.008521602225084</c:v>
                </c:pt>
                <c:pt idx="309">
                  <c:v>-22.879792256872349</c:v>
                </c:pt>
                <c:pt idx="310">
                  <c:v>-24.765416763431237</c:v>
                </c:pt>
                <c:pt idx="311">
                  <c:v>-26.665012388824849</c:v>
                </c:pt>
                <c:pt idx="312">
                  <c:v>-28.578196874051535</c:v>
                </c:pt>
                <c:pt idx="313">
                  <c:v>-30.504589646446291</c:v>
                </c:pt>
                <c:pt idx="314">
                  <c:v>-32.443812999439501</c:v>
                </c:pt>
                <c:pt idx="315">
                  <c:v>-34.395493229197307</c:v>
                </c:pt>
                <c:pt idx="316">
                  <c:v>-36.359261717449186</c:v>
                </c:pt>
                <c:pt idx="317">
                  <c:v>-38.33475594974999</c:v>
                </c:pt>
                <c:pt idx="318">
                  <c:v>-40.321620458478122</c:v>
                </c:pt>
                <c:pt idx="319">
                  <c:v>-42.319507679963195</c:v>
                </c:pt>
                <c:pt idx="320">
                  <c:v>-44.328078715348582</c:v>
                </c:pt>
                <c:pt idx="321">
                  <c:v>-46.34700398503162</c:v>
                </c:pt>
                <c:pt idx="322">
                  <c:v>-48.375963766884531</c:v>
                </c:pt>
                <c:pt idx="323">
                  <c:v>-50.414648608869086</c:v>
                </c:pt>
                <c:pt idx="324">
                  <c:v>-52.462759607191686</c:v>
                </c:pt>
                <c:pt idx="325">
                  <c:v>-54.520008541692775</c:v>
                </c:pt>
                <c:pt idx="326">
                  <c:v>-56.586117860897218</c:v>
                </c:pt>
                <c:pt idx="327">
                  <c:v>-58.660820509906678</c:v>
                </c:pt>
                <c:pt idx="328">
                  <c:v>-60.743859595180105</c:v>
                </c:pt>
                <c:pt idx="329">
                  <c:v>-62.834987881265313</c:v>
                </c:pt>
                <c:pt idx="330">
                  <c:v>-64.933967115573139</c:v>
                </c:pt>
                <c:pt idx="331">
                  <c:v>-67.040567178562682</c:v>
                </c:pt>
                <c:pt idx="332">
                  <c:v>-69.154565057955836</c:v>
                </c:pt>
                <c:pt idx="333">
                  <c:v>-71.275743647115291</c:v>
                </c:pt>
                <c:pt idx="334">
                  <c:v>-73.403890369255976</c:v>
                </c:pt>
                <c:pt idx="335">
                  <c:v>-75.538795630918528</c:v>
                </c:pt>
                <c:pt idx="336">
                  <c:v>-77.680251109975089</c:v>
                </c:pt>
                <c:pt idx="337">
                  <c:v>-79.828047885472969</c:v>
                </c:pt>
                <c:pt idx="338">
                  <c:v>-81.981974418758384</c:v>
                </c:pt>
                <c:pt idx="339">
                  <c:v>-84.141814397615093</c:v>
                </c:pt>
                <c:pt idx="340">
                  <c:v>-86.307344457589949</c:v>
                </c:pt>
                <c:pt idx="341">
                  <c:v>-88.478331797202102</c:v>
                </c:pt>
                <c:pt idx="342">
                  <c:v>-90.654531706350554</c:v>
                </c:pt>
                <c:pt idx="343">
                  <c:v>-92.835685029932023</c:v>
                </c:pt>
                <c:pt idx="344">
                  <c:v>-95.021515591383519</c:v>
                </c:pt>
                <c:pt idx="345">
                  <c:v>-97.211727603533788</c:v>
                </c:pt>
                <c:pt idx="346">
                  <c:v>-99.406003096740662</c:v>
                </c:pt>
                <c:pt idx="347">
                  <c:v>-101.60399939671873</c:v>
                </c:pt>
                <c:pt idx="348">
                  <c:v>-103.80534668666623</c:v>
                </c:pt>
                <c:pt idx="349">
                  <c:v>-106.0096456901568</c:v>
                </c:pt>
                <c:pt idx="350">
                  <c:v>-108.21646551272539</c:v>
                </c:pt>
                <c:pt idx="351">
                  <c:v>-110.42534168101633</c:v>
                </c:pt>
                <c:pt idx="352">
                  <c:v>-112.63577441869307</c:v>
                </c:pt>
                <c:pt idx="353">
                  <c:v>-114.84722719791063</c:v>
                </c:pt>
                <c:pt idx="354">
                  <c:v>-117.05912560400711</c:v>
                </c:pt>
                <c:pt idx="355">
                  <c:v>-119.27085654898194</c:v>
                </c:pt>
                <c:pt idx="356">
                  <c:v>-121.48176786641118</c:v>
                </c:pt>
                <c:pt idx="357">
                  <c:v>-123.69116831648161</c:v>
                </c:pt>
                <c:pt idx="358">
                  <c:v>-125.89832802498739</c:v>
                </c:pt>
                <c:pt idx="359">
                  <c:v>-128.10247937431885</c:v>
                </c:pt>
                <c:pt idx="360">
                  <c:v>-130.30281835783808</c:v>
                </c:pt>
                <c:pt idx="361">
                  <c:v>-132.49850640165806</c:v>
                </c:pt>
                <c:pt idx="362">
                  <c:v>-134.68867264986963</c:v>
                </c:pt>
                <c:pt idx="363">
                  <c:v>-136.8724167008896</c:v>
                </c:pt>
                <c:pt idx="364">
                  <c:v>-139.04881177404576</c:v>
                </c:pt>
                <c:pt idx="365">
                  <c:v>-141.2169082770024</c:v>
                </c:pt>
                <c:pt idx="366">
                  <c:v>-143.37573773644488</c:v>
                </c:pt>
                <c:pt idx="367">
                  <c:v>-145.52431704679844</c:v>
                </c:pt>
                <c:pt idx="368">
                  <c:v>-147.6616529849812</c:v>
                </c:pt>
                <c:pt idx="369">
                  <c:v>-149.78674693341796</c:v>
                </c:pt>
                <c:pt idx="370">
                  <c:v>-151.89859974908373</c:v>
                </c:pt>
                <c:pt idx="371">
                  <c:v>-153.99621671326719</c:v>
                </c:pt>
                <c:pt idx="372">
                  <c:v>-156.07861249522216</c:v>
                </c:pt>
                <c:pt idx="373">
                  <c:v>-158.1448160629115</c:v>
                </c:pt>
                <c:pt idx="374">
                  <c:v>-160.19387547569568</c:v>
                </c:pt>
                <c:pt idx="375">
                  <c:v>-162.22486249693398</c:v>
                </c:pt>
                <c:pt idx="376">
                  <c:v>-164.23687696901078</c:v>
                </c:pt>
                <c:pt idx="377">
                  <c:v>-166.22905089903884</c:v>
                </c:pt>
                <c:pt idx="378">
                  <c:v>-168.20055221024398</c:v>
                </c:pt>
                <c:pt idx="379">
                  <c:v>-170.15058812157619</c:v>
                </c:pt>
                <c:pt idx="380">
                  <c:v>-172.07840812611005</c:v>
                </c:pt>
                <c:pt idx="381">
                  <c:v>-173.98330654711327</c:v>
                </c:pt>
                <c:pt idx="382">
                  <c:v>-175.86462465894411</c:v>
                </c:pt>
                <c:pt idx="383">
                  <c:v>-177.72175236799717</c:v>
                </c:pt>
                <c:pt idx="384">
                  <c:v>-179.55412945653279</c:v>
                </c:pt>
                <c:pt idx="385">
                  <c:v>178.63875360078708</c:v>
                </c:pt>
                <c:pt idx="386">
                  <c:v>176.85735523160713</c:v>
                </c:pt>
                <c:pt idx="387">
                  <c:v>175.10208275040881</c:v>
                </c:pt>
                <c:pt idx="388">
                  <c:v>173.37329270701079</c:v>
                </c:pt>
                <c:pt idx="389">
                  <c:v>171.67129156967906</c:v>
                </c:pt>
                <c:pt idx="390">
                  <c:v>169.99633671094296</c:v>
                </c:pt>
                <c:pt idx="391">
                  <c:v>168.34863766254418</c:v>
                </c:pt>
                <c:pt idx="392">
                  <c:v>166.7283576051322</c:v>
                </c:pt>
                <c:pt idx="393">
                  <c:v>165.13561505825851</c:v>
                </c:pt>
                <c:pt idx="394">
                  <c:v>163.57048573681917</c:v>
                </c:pt>
                <c:pt idx="395">
                  <c:v>162.03300454126568</c:v>
                </c:pt>
                <c:pt idx="396">
                  <c:v>160.5231676505355</c:v>
                </c:pt>
                <c:pt idx="397">
                  <c:v>159.04093468864164</c:v>
                </c:pt>
                <c:pt idx="398">
                  <c:v>157.58623093812488</c:v>
                </c:pt>
                <c:pt idx="399">
                  <c:v>156.15894957600514</c:v>
                </c:pt>
                <c:pt idx="400">
                  <c:v>154.75895391040771</c:v>
                </c:pt>
                <c:pt idx="401">
                  <c:v>153.38607959859553</c:v>
                </c:pt>
                <c:pt idx="402">
                  <c:v>152.04013682968682</c:v>
                </c:pt>
                <c:pt idx="403">
                  <c:v>150.72091245777827</c:v>
                </c:pt>
                <c:pt idx="404">
                  <c:v>149.42817207354258</c:v>
                </c:pt>
                <c:pt idx="405">
                  <c:v>148.16166200456195</c:v>
                </c:pt>
                <c:pt idx="406">
                  <c:v>146.92111123668323</c:v>
                </c:pt>
                <c:pt idx="407">
                  <c:v>145.70623325054089</c:v>
                </c:pt>
                <c:pt idx="408">
                  <c:v>144.51672776904684</c:v>
                </c:pt>
                <c:pt idx="409">
                  <c:v>143.35228241314229</c:v>
                </c:pt>
                <c:pt idx="410">
                  <c:v>142.21257426439652</c:v>
                </c:pt>
                <c:pt idx="411">
                  <c:v>141.09727133416717</c:v>
                </c:pt>
                <c:pt idx="412">
                  <c:v>140.00603393999779</c:v>
                </c:pt>
                <c:pt idx="413">
                  <c:v>138.93851599073184</c:v>
                </c:pt>
                <c:pt idx="414">
                  <c:v>137.89436618249158</c:v>
                </c:pt>
                <c:pt idx="415">
                  <c:v>136.87322910819998</c:v>
                </c:pt>
                <c:pt idx="416">
                  <c:v>135.87474628375801</c:v>
                </c:pt>
                <c:pt idx="417">
                  <c:v>134.89855709429193</c:v>
                </c:pt>
                <c:pt idx="418">
                  <c:v>133.94429966413239</c:v>
                </c:pt>
                <c:pt idx="419">
                  <c:v>133.01161165432362</c:v>
                </c:pt>
                <c:pt idx="420">
                  <c:v>132.10013099155969</c:v>
                </c:pt>
                <c:pt idx="421">
                  <c:v>131.20949653246061</c:v>
                </c:pt>
                <c:pt idx="422">
                  <c:v>130.33934866709731</c:v>
                </c:pt>
                <c:pt idx="423">
                  <c:v>129.48932986559998</c:v>
                </c:pt>
                <c:pt idx="424">
                  <c:v>128.65908517161475</c:v>
                </c:pt>
                <c:pt idx="425">
                  <c:v>127.84826264624364</c:v>
                </c:pt>
                <c:pt idx="426">
                  <c:v>127.05651376597962</c:v>
                </c:pt>
                <c:pt idx="427">
                  <c:v>126.28349377800576</c:v>
                </c:pt>
                <c:pt idx="428">
                  <c:v>125.52886201605988</c:v>
                </c:pt>
                <c:pt idx="429">
                  <c:v>124.79228217990934</c:v>
                </c:pt>
                <c:pt idx="430">
                  <c:v>124.07342258132536</c:v>
                </c:pt>
                <c:pt idx="431">
                  <c:v>123.37195635926165</c:v>
                </c:pt>
                <c:pt idx="432">
                  <c:v>122.68756166679215</c:v>
                </c:pt>
                <c:pt idx="433">
                  <c:v>122.0199218321923</c:v>
                </c:pt>
                <c:pt idx="434">
                  <c:v>121.36872549640088</c:v>
                </c:pt>
                <c:pt idx="435">
                  <c:v>120.73366672893307</c:v>
                </c:pt>
                <c:pt idx="436">
                  <c:v>120.11444512418555</c:v>
                </c:pt>
                <c:pt idx="437">
                  <c:v>119.51076587992172</c:v>
                </c:pt>
                <c:pt idx="438">
                  <c:v>118.92233985959942</c:v>
                </c:pt>
                <c:pt idx="439">
                  <c:v>118.34888364008073</c:v>
                </c:pt>
                <c:pt idx="440">
                  <c:v>117.79011954613593</c:v>
                </c:pt>
                <c:pt idx="441">
                  <c:v>117.24577567305037</c:v>
                </c:pt>
                <c:pt idx="442">
                  <c:v>116.71558589853859</c:v>
                </c:pt>
                <c:pt idx="443">
                  <c:v>116.19928988506706</c:v>
                </c:pt>
                <c:pt idx="444">
                  <c:v>115.69663307360233</c:v>
                </c:pt>
                <c:pt idx="445">
                  <c:v>115.2073666697132</c:v>
                </c:pt>
                <c:pt idx="446">
                  <c:v>114.73124762287739</c:v>
                </c:pt>
                <c:pt idx="447">
                  <c:v>114.26803859977522</c:v>
                </c:pt>
                <c:pt idx="448">
                  <c:v>113.81750795227504</c:v>
                </c:pt>
                <c:pt idx="449">
                  <c:v>113.37942968076759</c:v>
                </c:pt>
                <c:pt idx="450">
                  <c:v>112.95358339343235</c:v>
                </c:pt>
                <c:pt idx="451">
                  <c:v>112.53975426198312</c:v>
                </c:pt>
                <c:pt idx="452">
                  <c:v>112.13773297437683</c:v>
                </c:pt>
                <c:pt idx="453">
                  <c:v>111.74731568493281</c:v>
                </c:pt>
                <c:pt idx="454">
                  <c:v>111.36830396226674</c:v>
                </c:pt>
                <c:pt idx="455">
                  <c:v>111.00050473540506</c:v>
                </c:pt>
                <c:pt idx="456">
                  <c:v>110.64373023841119</c:v>
                </c:pt>
                <c:pt idx="457">
                  <c:v>110.29779795381967</c:v>
                </c:pt>
                <c:pt idx="458">
                  <c:v>109.96253055515302</c:v>
                </c:pt>
                <c:pt idx="459">
                  <c:v>109.63775584876016</c:v>
                </c:pt>
                <c:pt idx="460">
                  <c:v>109.32330671519371</c:v>
                </c:pt>
                <c:pt idx="461">
                  <c:v>109.01902105032565</c:v>
                </c:pt>
                <c:pt idx="462">
                  <c:v>108.72474170637028</c:v>
                </c:pt>
                <c:pt idx="463">
                  <c:v>108.44031643297198</c:v>
                </c:pt>
                <c:pt idx="464">
                  <c:v>108.16559781849571</c:v>
                </c:pt>
                <c:pt idx="465">
                  <c:v>107.90044323163964</c:v>
                </c:pt>
                <c:pt idx="466">
                  <c:v>107.64471476347613</c:v>
                </c:pt>
                <c:pt idx="467">
                  <c:v>107.39827917001362</c:v>
                </c:pt>
                <c:pt idx="468">
                  <c:v>107.16100781535911</c:v>
                </c:pt>
                <c:pt idx="469">
                  <c:v>106.9327766155466</c:v>
                </c:pt>
                <c:pt idx="470">
                  <c:v>106.71346598309029</c:v>
                </c:pt>
                <c:pt idx="471">
                  <c:v>106.50296077230684</c:v>
                </c:pt>
                <c:pt idx="472">
                  <c:v>106.3011502254447</c:v>
                </c:pt>
                <c:pt idx="473">
                  <c:v>106.10792791964519</c:v>
                </c:pt>
                <c:pt idx="474">
                  <c:v>105.92319171475766</c:v>
                </c:pt>
                <c:pt idx="475">
                  <c:v>105.74684370201729</c:v>
                </c:pt>
                <c:pt idx="476">
                  <c:v>105.57879015358991</c:v>
                </c:pt>
                <c:pt idx="477">
                  <c:v>105.41894147297926</c:v>
                </c:pt>
                <c:pt idx="478">
                  <c:v>105.26721214628621</c:v>
                </c:pt>
                <c:pt idx="479">
                  <c:v>105.12352069430231</c:v>
                </c:pt>
                <c:pt idx="480">
                  <c:v>104.98778962541293</c:v>
                </c:pt>
                <c:pt idx="481">
                  <c:v>104.85994538928009</c:v>
                </c:pt>
                <c:pt idx="482">
                  <c:v>104.73991833126766</c:v>
                </c:pt>
                <c:pt idx="483">
                  <c:v>104.62764264756623</c:v>
                </c:pt>
                <c:pt idx="484">
                  <c:v>104.52305634096811</c:v>
                </c:pt>
                <c:pt idx="485">
                  <c:v>104.42610117723781</c:v>
                </c:pt>
                <c:pt idx="486">
                  <c:v>104.33672264201563</c:v>
                </c:pt>
                <c:pt idx="487">
                  <c:v>104.25486989818745</c:v>
                </c:pt>
                <c:pt idx="488">
                  <c:v>104.18049574364677</c:v>
                </c:pt>
                <c:pt idx="489">
                  <c:v>104.11355656936757</c:v>
                </c:pt>
                <c:pt idx="490">
                  <c:v>104.05401231770207</c:v>
                </c:pt>
                <c:pt idx="491">
                  <c:v>104.00182644080982</c:v>
                </c:pt>
                <c:pt idx="492">
                  <c:v>103.95696585911686</c:v>
                </c:pt>
                <c:pt idx="493">
                  <c:v>103.9194009196971</c:v>
                </c:pt>
                <c:pt idx="494">
                  <c:v>103.88910535446261</c:v>
                </c:pt>
                <c:pt idx="495">
                  <c:v>103.86605623803824</c:v>
                </c:pt>
                <c:pt idx="496">
                  <c:v>103.8502339451915</c:v>
                </c:pt>
                <c:pt idx="497">
                  <c:v>103.84162210767904</c:v>
                </c:pt>
                <c:pt idx="498">
                  <c:v>103.84020757036221</c:v>
                </c:pt>
                <c:pt idx="499">
                  <c:v>103.84598034643828</c:v>
                </c:pt>
                <c:pt idx="500">
                  <c:v>103.85893357162006</c:v>
                </c:pt>
                <c:pt idx="501">
                  <c:v>103.87906345709271</c:v>
                </c:pt>
                <c:pt idx="502">
                  <c:v>103.9063692410639</c:v>
                </c:pt>
                <c:pt idx="503">
                  <c:v>103.94085313871291</c:v>
                </c:pt>
                <c:pt idx="504">
                  <c:v>103.9825202903385</c:v>
                </c:pt>
                <c:pt idx="505">
                  <c:v>104.03137870748873</c:v>
                </c:pt>
                <c:pt idx="506">
                  <c:v>104.08743921685108</c:v>
                </c:pt>
                <c:pt idx="507">
                  <c:v>104.15071540166689</c:v>
                </c:pt>
                <c:pt idx="508">
                  <c:v>104.22122354042348</c:v>
                </c:pt>
                <c:pt idx="509">
                  <c:v>104.29898254256798</c:v>
                </c:pt>
                <c:pt idx="510">
                  <c:v>104.3840138809722</c:v>
                </c:pt>
                <c:pt idx="511">
                  <c:v>104.4763415208712</c:v>
                </c:pt>
                <c:pt idx="512">
                  <c:v>104.57599184498058</c:v>
                </c:pt>
                <c:pt idx="513">
                  <c:v>104.68299357449303</c:v>
                </c:pt>
                <c:pt idx="514">
                  <c:v>104.79737768563736</c:v>
                </c:pt>
                <c:pt idx="515">
                  <c:v>104.91917732147661</c:v>
                </c:pt>
                <c:pt idx="516">
                  <c:v>105.04842769861027</c:v>
                </c:pt>
                <c:pt idx="517">
                  <c:v>105.18516600843212</c:v>
                </c:pt>
                <c:pt idx="518">
                  <c:v>105.32943131259233</c:v>
                </c:pt>
                <c:pt idx="519">
                  <c:v>105.48126443229901</c:v>
                </c:pt>
                <c:pt idx="520">
                  <c:v>105.64070783108686</c:v>
                </c:pt>
                <c:pt idx="521">
                  <c:v>105.80780549067691</c:v>
                </c:pt>
                <c:pt idx="522">
                  <c:v>105.98260277954395</c:v>
                </c:pt>
                <c:pt idx="523">
                  <c:v>106.1651463138072</c:v>
                </c:pt>
                <c:pt idx="524">
                  <c:v>106.35548381005394</c:v>
                </c:pt>
                <c:pt idx="525">
                  <c:v>106.55366392971129</c:v>
                </c:pt>
                <c:pt idx="526">
                  <c:v>106.75973611458255</c:v>
                </c:pt>
                <c:pt idx="527">
                  <c:v>106.97375041316904</c:v>
                </c:pt>
                <c:pt idx="528">
                  <c:v>107.19575729740842</c:v>
                </c:pt>
                <c:pt idx="529">
                  <c:v>107.42580746947513</c:v>
                </c:pt>
                <c:pt idx="530">
                  <c:v>107.66395165830038</c:v>
                </c:pt>
                <c:pt idx="531">
                  <c:v>107.91024040549496</c:v>
                </c:pt>
                <c:pt idx="532">
                  <c:v>108.16472384037706</c:v>
                </c:pt>
                <c:pt idx="533">
                  <c:v>108.4274514438476</c:v>
                </c:pt>
                <c:pt idx="534">
                  <c:v>108.69847180087808</c:v>
                </c:pt>
                <c:pt idx="535">
                  <c:v>108.97783234143255</c:v>
                </c:pt>
                <c:pt idx="536">
                  <c:v>109.26557906968075</c:v>
                </c:pt>
                <c:pt idx="537">
                  <c:v>109.56175628142439</c:v>
                </c:pt>
                <c:pt idx="538">
                  <c:v>109.86640626971538</c:v>
                </c:pt>
                <c:pt idx="539">
                  <c:v>110.17956901871626</c:v>
                </c:pt>
                <c:pt idx="540">
                  <c:v>110.50128188593152</c:v>
                </c:pt>
                <c:pt idx="541">
                  <c:v>110.83157927302744</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17.398585226764173</c:v>
                </c:pt>
                <c:pt idx="2">
                  <c:v>29.601873825817464</c:v>
                </c:pt>
                <c:pt idx="3">
                  <c:v>38.63171616885365</c:v>
                </c:pt>
                <c:pt idx="4">
                  <c:v>45.581882258838597</c:v>
                </c:pt>
                <c:pt idx="5">
                  <c:v>51.095514325161083</c:v>
                </c:pt>
                <c:pt idx="6">
                  <c:v>55.575459305439125</c:v>
                </c:pt>
                <c:pt idx="7">
                  <c:v>59.28687987671497</c:v>
                </c:pt>
                <c:pt idx="8">
                  <c:v>62.41143210413199</c:v>
                </c:pt>
                <c:pt idx="9">
                  <c:v>65.077731520325571</c:v>
                </c:pt>
                <c:pt idx="10">
                  <c:v>67.379390231032659</c:v>
                </c:pt>
                <c:pt idx="11">
                  <c:v>69.386163359859182</c:v>
                </c:pt>
                <c:pt idx="12">
                  <c:v>71.151091808258855</c:v>
                </c:pt>
                <c:pt idx="13">
                  <c:v>72.715224146691867</c:v>
                </c:pt>
                <c:pt idx="14">
                  <c:v>74.110823599885421</c:v>
                </c:pt>
                <c:pt idx="15">
                  <c:v>75.363598310922896</c:v>
                </c:pt>
                <c:pt idx="16">
                  <c:v>76.494285131275518</c:v>
                </c:pt>
                <c:pt idx="17">
                  <c:v>77.519795459622685</c:v>
                </c:pt>
                <c:pt idx="18">
                  <c:v>78.454058175865839</c:v>
                </c:pt>
                <c:pt idx="19">
                  <c:v>79.308649136689439</c:v>
                </c:pt>
                <c:pt idx="20">
                  <c:v>80.093267724214044</c:v>
                </c:pt>
                <c:pt idx="21">
                  <c:v>80.816102109938569</c:v>
                </c:pt>
                <c:pt idx="22">
                  <c:v>81.484112413164453</c:v>
                </c:pt>
                <c:pt idx="23">
                  <c:v>82.103252505667186</c:v>
                </c:pt>
                <c:pt idx="24">
                  <c:v>82.678645429599158</c:v>
                </c:pt>
                <c:pt idx="25">
                  <c:v>83.214723363770631</c:v>
                </c:pt>
                <c:pt idx="26">
                  <c:v>83.715340223603945</c:v>
                </c:pt>
                <c:pt idx="27">
                  <c:v>84.183862939341097</c:v>
                </c:pt>
                <c:pt idx="28">
                  <c:v>84.623245978065569</c:v>
                </c:pt>
                <c:pt idx="29">
                  <c:v>85.036092591100314</c:v>
                </c:pt>
                <c:pt idx="30">
                  <c:v>85.424705465526074</c:v>
                </c:pt>
                <c:pt idx="31">
                  <c:v>85.791128858158132</c:v>
                </c:pt>
                <c:pt idx="32">
                  <c:v>86.137183837173552</c:v>
                </c:pt>
                <c:pt idx="33">
                  <c:v>86.464497911627547</c:v>
                </c:pt>
                <c:pt idx="34">
                  <c:v>86.774530064379263</c:v>
                </c:pt>
                <c:pt idx="35">
                  <c:v>87.068591999251936</c:v>
                </c:pt>
                <c:pt idx="36">
                  <c:v>87.347866253829139</c:v>
                </c:pt>
                <c:pt idx="37">
                  <c:v>87.613421704280938</c:v>
                </c:pt>
                <c:pt idx="38">
                  <c:v>87.866226889960302</c:v>
                </c:pt>
                <c:pt idx="39">
                  <c:v>88.107161507178617</c:v>
                </c:pt>
                <c:pt idx="40">
                  <c:v>88.337026359012512</c:v>
                </c:pt>
                <c:pt idx="41">
                  <c:v>88.556551997761801</c:v>
                </c:pt>
                <c:pt idx="42">
                  <c:v>88.766406256127425</c:v>
                </c:pt>
                <c:pt idx="43">
                  <c:v>88.967200830282735</c:v>
                </c:pt>
                <c:pt idx="44">
                  <c:v>89.159497051194663</c:v>
                </c:pt>
                <c:pt idx="45">
                  <c:v>89.343810958594446</c:v>
                </c:pt>
                <c:pt idx="46">
                  <c:v>89.520617773937715</c:v>
                </c:pt>
                <c:pt idx="47">
                  <c:v>89.738082234728708</c:v>
                </c:pt>
                <c:pt idx="48">
                  <c:v>89.900876428602785</c:v>
                </c:pt>
                <c:pt idx="49">
                  <c:v>90.057208654657273</c:v>
                </c:pt>
                <c:pt idx="50">
                  <c:v>90.20743295312694</c:v>
                </c:pt>
                <c:pt idx="51">
                  <c:v>90.351877974453103</c:v>
                </c:pt>
                <c:pt idx="52">
                  <c:v>90.490849215209806</c:v>
                </c:pt>
                <c:pt idx="53">
                  <c:v>90.624631021833906</c:v>
                </c:pt>
                <c:pt idx="54">
                  <c:v>90.753488389812702</c:v>
                </c:pt>
                <c:pt idx="55">
                  <c:v>90.877668582281416</c:v>
                </c:pt>
                <c:pt idx="56">
                  <c:v>90.997402588829786</c:v>
                </c:pt>
                <c:pt idx="57">
                  <c:v>91.11290644262418</c:v>
                </c:pt>
                <c:pt idx="58">
                  <c:v>91.224382411643631</c:v>
                </c:pt>
                <c:pt idx="59">
                  <c:v>91.332020077846849</c:v>
                </c:pt>
                <c:pt idx="60">
                  <c:v>91.435997316380835</c:v>
                </c:pt>
                <c:pt idx="61">
                  <c:v>91.536481185468489</c:v>
                </c:pt>
                <c:pt idx="62">
                  <c:v>91.63362873633865</c:v>
                </c:pt>
                <c:pt idx="63">
                  <c:v>91.727587751456454</c:v>
                </c:pt>
                <c:pt idx="64">
                  <c:v>91.818497418351456</c:v>
                </c:pt>
                <c:pt idx="65">
                  <c:v>91.906488945504577</c:v>
                </c:pt>
                <c:pt idx="66">
                  <c:v>91.991686126023978</c:v>
                </c:pt>
                <c:pt idx="67">
                  <c:v>92.074205854202177</c:v>
                </c:pt>
                <c:pt idx="68">
                  <c:v>92.154158599486095</c:v>
                </c:pt>
                <c:pt idx="69">
                  <c:v>92.231648841900977</c:v>
                </c:pt>
                <c:pt idx="70">
                  <c:v>92.306775472536444</c:v>
                </c:pt>
                <c:pt idx="71">
                  <c:v>92.379632162322196</c:v>
                </c:pt>
                <c:pt idx="72">
                  <c:v>92.450307701984357</c:v>
                </c:pt>
                <c:pt idx="73">
                  <c:v>92.518886315776427</c:v>
                </c:pt>
                <c:pt idx="74">
                  <c:v>92.585447951314976</c:v>
                </c:pt>
                <c:pt idx="75">
                  <c:v>92.650068547616954</c:v>
                </c:pt>
                <c:pt idx="76">
                  <c:v>92.712820283227572</c:v>
                </c:pt>
                <c:pt idx="77">
                  <c:v>92.773771806142847</c:v>
                </c:pt>
                <c:pt idx="78">
                  <c:v>92.832988447066541</c:v>
                </c:pt>
                <c:pt idx="79">
                  <c:v>92.890532417393885</c:v>
                </c:pt>
                <c:pt idx="80">
                  <c:v>92.946462993183189</c:v>
                </c:pt>
                <c:pt idx="81">
                  <c:v>93.000836686258765</c:v>
                </c:pt>
                <c:pt idx="82">
                  <c:v>93.053707403483429</c:v>
                </c:pt>
                <c:pt idx="83">
                  <c:v>93.105126595144</c:v>
                </c:pt>
                <c:pt idx="84">
                  <c:v>93.15514339330781</c:v>
                </c:pt>
                <c:pt idx="85">
                  <c:v>93.203804740932796</c:v>
                </c:pt>
                <c:pt idx="86">
                  <c:v>93.251155512443987</c:v>
                </c:pt>
                <c:pt idx="87">
                  <c:v>93.297238626426832</c:v>
                </c:pt>
                <c:pt idx="88">
                  <c:v>93.342095151032979</c:v>
                </c:pt>
                <c:pt idx="89">
                  <c:v>93.385764402641598</c:v>
                </c:pt>
                <c:pt idx="90">
                  <c:v>93.428284038274995</c:v>
                </c:pt>
                <c:pt idx="91">
                  <c:v>93.469690142224877</c:v>
                </c:pt>
                <c:pt idx="92">
                  <c:v>93.510017307307692</c:v>
                </c:pt>
                <c:pt idx="93">
                  <c:v>93.549298711134128</c:v>
                </c:pt>
                <c:pt idx="94">
                  <c:v>93.587566187745423</c:v>
                </c:pt>
                <c:pt idx="95">
                  <c:v>93.624850294942107</c:v>
                </c:pt>
                <c:pt idx="96">
                  <c:v>93.661180377604197</c:v>
                </c:pt>
                <c:pt idx="97">
                  <c:v>93.696584627278369</c:v>
                </c:pt>
                <c:pt idx="98">
                  <c:v>93.731090138286504</c:v>
                </c:pt>
                <c:pt idx="99">
                  <c:v>93.764722960590419</c:v>
                </c:pt>
                <c:pt idx="100">
                  <c:v>93.797508149629067</c:v>
                </c:pt>
                <c:pt idx="101">
                  <c:v>93.829469813329069</c:v>
                </c:pt>
                <c:pt idx="102">
                  <c:v>93.860631156473445</c:v>
                </c:pt>
                <c:pt idx="103">
                  <c:v>93.8910145226004</c:v>
                </c:pt>
                <c:pt idx="104">
                  <c:v>93.920641433591044</c:v>
                </c:pt>
                <c:pt idx="105">
                  <c:v>93.949532627093248</c:v>
                </c:pt>
                <c:pt idx="106">
                  <c:v>93.977708091918771</c:v>
                </c:pt>
                <c:pt idx="107">
                  <c:v>94.005187101540059</c:v>
                </c:pt>
                <c:pt idx="108">
                  <c:v>94.031988245805124</c:v>
                </c:pt>
                <c:pt idx="109">
                  <c:v>94.05812946097987</c:v>
                </c:pt>
                <c:pt idx="110">
                  <c:v>94.083628058219887</c:v>
                </c:pt>
                <c:pt idx="111">
                  <c:v>94.108500750566932</c:v>
                </c:pt>
                <c:pt idx="112">
                  <c:v>94.132763678558035</c:v>
                </c:pt>
                <c:pt idx="113">
                  <c:v>94.156432434530274</c:v>
                </c:pt>
                <c:pt idx="114">
                  <c:v>94.179522085697585</c:v>
                </c:pt>
                <c:pt idx="115">
                  <c:v>94.202047196071675</c:v>
                </c:pt>
                <c:pt idx="116">
                  <c:v>94.224021847293955</c:v>
                </c:pt>
                <c:pt idx="117">
                  <c:v>94.245459658440993</c:v>
                </c:pt>
                <c:pt idx="118">
                  <c:v>94.266373804862198</c:v>
                </c:pt>
                <c:pt idx="119">
                  <c:v>94.286777036104269</c:v>
                </c:pt>
                <c:pt idx="120">
                  <c:v>94.306681692973768</c:v>
                </c:pt>
                <c:pt idx="121">
                  <c:v>94.326099723785831</c:v>
                </c:pt>
                <c:pt idx="122">
                  <c:v>94.345042699843631</c:v>
                </c:pt>
                <c:pt idx="123">
                  <c:v>94.363521830191289</c:v>
                </c:pt>
                <c:pt idx="124">
                  <c:v>94.381547975679197</c:v>
                </c:pt>
                <c:pt idx="125">
                  <c:v>94.399131662379091</c:v>
                </c:pt>
                <c:pt idx="126">
                  <c:v>94.416283094383701</c:v>
                </c:pt>
                <c:pt idx="127">
                  <c:v>94.433012166023644</c:v>
                </c:pt>
                <c:pt idx="128">
                  <c:v>94.449328473532077</c:v>
                </c:pt>
                <c:pt idx="129">
                  <c:v>94.465241326186401</c:v>
                </c:pt>
                <c:pt idx="130">
                  <c:v>94.480759756953773</c:v>
                </c:pt>
                <c:pt idx="131">
                  <c:v>94.495892532666403</c:v>
                </c:pt>
                <c:pt idx="132">
                  <c:v>94.510648163750176</c:v>
                </c:pt>
                <c:pt idx="133">
                  <c:v>94.525034913529964</c:v>
                </c:pt>
                <c:pt idx="134">
                  <c:v>94.539060807132358</c:v>
                </c:pt>
                <c:pt idx="135">
                  <c:v>94.552733640006352</c:v>
                </c:pt>
                <c:pt idx="136">
                  <c:v>94.566060986080942</c:v>
                </c:pt>
                <c:pt idx="137">
                  <c:v>94.579050205577204</c:v>
                </c:pt>
                <c:pt idx="138">
                  <c:v>94.591708452492568</c:v>
                </c:pt>
                <c:pt idx="139">
                  <c:v>94.604042681772242</c:v>
                </c:pt>
                <c:pt idx="140">
                  <c:v>94.616059656183822</c:v>
                </c:pt>
                <c:pt idx="141">
                  <c:v>94.627765952908689</c:v>
                </c:pt>
                <c:pt idx="142">
                  <c:v>94.639167969864175</c:v>
                </c:pt>
                <c:pt idx="143">
                  <c:v>94.650271931768884</c:v>
                </c:pt>
                <c:pt idx="144">
                  <c:v>94.661083895963444</c:v>
                </c:pt>
                <c:pt idx="145">
                  <c:v>94.671609757998112</c:v>
                </c:pt>
                <c:pt idx="146">
                  <c:v>94.68185525699802</c:v>
                </c:pt>
                <c:pt idx="147">
                  <c:v>94.691825980816276</c:v>
                </c:pt>
                <c:pt idx="148">
                  <c:v>94.701527370984806</c:v>
                </c:pt>
                <c:pt idx="149">
                  <c:v>94.71096472747179</c:v>
                </c:pt>
                <c:pt idx="150">
                  <c:v>94.720143213255042</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1.1324293778526548E-4</c:v>
                </c:pt>
                <c:pt idx="2">
                  <c:v>2.2667141646083913E-4</c:v>
                </c:pt>
                <c:pt idx="3">
                  <c:v>3.4022068049001928E-4</c:v>
                </c:pt>
                <c:pt idx="4">
                  <c:v>4.5386762180857544E-4</c:v>
                </c:pt>
                <c:pt idx="5">
                  <c:v>5.6759888523144587E-4</c:v>
                </c:pt>
                <c:pt idx="6">
                  <c:v>6.8140545972672452E-4</c:v>
                </c:pt>
                <c:pt idx="7">
                  <c:v>7.9528073006666651E-4</c:v>
                </c:pt>
                <c:pt idx="8">
                  <c:v>9.0921957073961611E-4</c:v>
                </c:pt>
                <c:pt idx="9">
                  <c:v>1.0232178580711999E-3</c:v>
                </c:pt>
                <c:pt idx="10">
                  <c:v>1.1372721806795661E-3</c:v>
                </c:pt>
                <c:pt idx="11">
                  <c:v>1.2513796551805335E-3</c:v>
                </c:pt>
                <c:pt idx="12">
                  <c:v>1.3655378024995091E-3</c:v>
                </c:pt>
                <c:pt idx="13">
                  <c:v>1.4797444613297204E-3</c:v>
                </c:pt>
                <c:pt idx="14">
                  <c:v>1.5939977255098553E-3</c:v>
                </c:pt>
                <c:pt idx="15">
                  <c:v>1.7082958974344391E-3</c:v>
                </c:pt>
                <c:pt idx="16">
                  <c:v>1.8226374525744096E-3</c:v>
                </c:pt>
                <c:pt idx="17">
                  <c:v>1.9370210119160458E-3</c:v>
                </c:pt>
                <c:pt idx="18">
                  <c:v>2.0514453201807199E-3</c:v>
                </c:pt>
                <c:pt idx="19">
                  <c:v>2.1659092283536799E-3</c:v>
                </c:pt>
                <c:pt idx="20">
                  <c:v>2.2804116794838247E-3</c:v>
                </c:pt>
                <c:pt idx="21">
                  <c:v>2.3949516970066778E-3</c:v>
                </c:pt>
                <c:pt idx="22">
                  <c:v>2.5095283750416943E-3</c:v>
                </c:pt>
                <c:pt idx="23">
                  <c:v>2.6241408702543196E-3</c:v>
                </c:pt>
                <c:pt idx="24">
                  <c:v>2.7387883949725055E-3</c:v>
                </c:pt>
                <c:pt idx="25">
                  <c:v>2.853470211319474E-3</c:v>
                </c:pt>
                <c:pt idx="26">
                  <c:v>2.9681856261775576E-3</c:v>
                </c:pt>
                <c:pt idx="27">
                  <c:v>3.0829339868376172E-3</c:v>
                </c:pt>
                <c:pt idx="28">
                  <c:v>3.197714677218493E-3</c:v>
                </c:pt>
                <c:pt idx="29">
                  <c:v>3.3125271145638992E-3</c:v>
                </c:pt>
                <c:pt idx="30">
                  <c:v>3.4273707465419384E-3</c:v>
                </c:pt>
                <c:pt idx="31">
                  <c:v>3.5422450486862185E-3</c:v>
                </c:pt>
                <c:pt idx="32">
                  <c:v>3.6571495221285415E-3</c:v>
                </c:pt>
                <c:pt idx="33">
                  <c:v>3.7720836915817722E-3</c:v>
                </c:pt>
                <c:pt idx="34">
                  <c:v>3.8870471035384905E-3</c:v>
                </c:pt>
                <c:pt idx="35">
                  <c:v>4.0020393246565974E-3</c:v>
                </c:pt>
                <c:pt idx="36">
                  <c:v>4.1170599403076635E-3</c:v>
                </c:pt>
                <c:pt idx="37">
                  <c:v>4.2321085532675082E-3</c:v>
                </c:pt>
                <c:pt idx="38">
                  <c:v>4.3471847825315687E-3</c:v>
                </c:pt>
                <c:pt idx="39">
                  <c:v>4.4622882622401914E-3</c:v>
                </c:pt>
                <c:pt idx="40">
                  <c:v>4.5774186407010449E-3</c:v>
                </c:pt>
                <c:pt idx="41">
                  <c:v>4.6925755794976686E-3</c:v>
                </c:pt>
                <c:pt idx="42">
                  <c:v>4.8077587526746349E-3</c:v>
                </c:pt>
                <c:pt idx="43">
                  <c:v>4.9229678459910544E-3</c:v>
                </c:pt>
                <c:pt idx="44">
                  <c:v>5.0382025562352361E-3</c:v>
                </c:pt>
                <c:pt idx="45">
                  <c:v>5.1534625905941978E-3</c:v>
                </c:pt>
                <c:pt idx="46">
                  <c:v>5.2687476660725173E-3</c:v>
                </c:pt>
                <c:pt idx="47">
                  <c:v>5.3967653733488791E-3</c:v>
                </c:pt>
                <c:pt idx="48">
                  <c:v>5.5126607058968956E-3</c:v>
                </c:pt>
                <c:pt idx="49">
                  <c:v>5.628616593443431E-3</c:v>
                </c:pt>
                <c:pt idx="50">
                  <c:v>5.7446330359884846E-3</c:v>
                </c:pt>
                <c:pt idx="51">
                  <c:v>5.8607100335320572E-3</c:v>
                </c:pt>
                <c:pt idx="52">
                  <c:v>5.976847586074148E-3</c:v>
                </c:pt>
                <c:pt idx="53">
                  <c:v>6.0930456936147568E-3</c:v>
                </c:pt>
                <c:pt idx="54">
                  <c:v>6.2093043561538839E-3</c:v>
                </c:pt>
                <c:pt idx="55">
                  <c:v>6.3256235736915307E-3</c:v>
                </c:pt>
                <c:pt idx="56">
                  <c:v>6.4420033462276975E-3</c:v>
                </c:pt>
                <c:pt idx="57">
                  <c:v>6.5584436737623798E-3</c:v>
                </c:pt>
                <c:pt idx="58">
                  <c:v>6.6749445562955811E-3</c:v>
                </c:pt>
                <c:pt idx="59">
                  <c:v>6.7915059938273006E-3</c:v>
                </c:pt>
                <c:pt idx="60">
                  <c:v>6.9081279863575399E-3</c:v>
                </c:pt>
                <c:pt idx="61">
                  <c:v>7.0248105338862974E-3</c:v>
                </c:pt>
                <c:pt idx="62">
                  <c:v>7.141553636413573E-3</c:v>
                </c:pt>
                <c:pt idx="63">
                  <c:v>7.2583572939393702E-3</c:v>
                </c:pt>
                <c:pt idx="64">
                  <c:v>7.375221506463683E-3</c:v>
                </c:pt>
                <c:pt idx="65">
                  <c:v>7.4921462739865122E-3</c:v>
                </c:pt>
                <c:pt idx="66">
                  <c:v>7.609131596507863E-3</c:v>
                </c:pt>
                <c:pt idx="67">
                  <c:v>7.7261774740277327E-3</c:v>
                </c:pt>
                <c:pt idx="68">
                  <c:v>7.8432839065461172E-3</c:v>
                </c:pt>
                <c:pt idx="69">
                  <c:v>7.9604508940630241E-3</c:v>
                </c:pt>
                <c:pt idx="70">
                  <c:v>8.0776784365784483E-3</c:v>
                </c:pt>
                <c:pt idx="71">
                  <c:v>8.1949665340923898E-3</c:v>
                </c:pt>
                <c:pt idx="72">
                  <c:v>8.312315186604852E-3</c:v>
                </c:pt>
                <c:pt idx="73">
                  <c:v>8.4297243941158315E-3</c:v>
                </c:pt>
                <c:pt idx="74">
                  <c:v>8.5471941566253318E-3</c:v>
                </c:pt>
                <c:pt idx="75">
                  <c:v>8.6647244741333458E-3</c:v>
                </c:pt>
                <c:pt idx="76">
                  <c:v>8.7823153466398841E-3</c:v>
                </c:pt>
                <c:pt idx="77">
                  <c:v>8.8999667741449361E-3</c:v>
                </c:pt>
                <c:pt idx="78">
                  <c:v>9.0176787566485089E-3</c:v>
                </c:pt>
                <c:pt idx="79">
                  <c:v>9.135451294150599E-3</c:v>
                </c:pt>
                <c:pt idx="80">
                  <c:v>9.2532843866512081E-3</c:v>
                </c:pt>
                <c:pt idx="81">
                  <c:v>9.3711780341503362E-3</c:v>
                </c:pt>
                <c:pt idx="82">
                  <c:v>9.4891322366479833E-3</c:v>
                </c:pt>
                <c:pt idx="83">
                  <c:v>9.6071469941441494E-3</c:v>
                </c:pt>
                <c:pt idx="84">
                  <c:v>9.725222306638831E-3</c:v>
                </c:pt>
                <c:pt idx="85">
                  <c:v>9.8433581741320334E-3</c:v>
                </c:pt>
                <c:pt idx="86">
                  <c:v>9.9615545966237531E-3</c:v>
                </c:pt>
                <c:pt idx="87">
                  <c:v>1.007981157411399E-2</c:v>
                </c:pt>
                <c:pt idx="88">
                  <c:v>1.0198129106602749E-2</c:v>
                </c:pt>
                <c:pt idx="89">
                  <c:v>1.0316507194090026E-2</c:v>
                </c:pt>
                <c:pt idx="90">
                  <c:v>1.043494583657582E-2</c:v>
                </c:pt>
                <c:pt idx="91">
                  <c:v>1.0553445034060133E-2</c:v>
                </c:pt>
                <c:pt idx="92">
                  <c:v>1.0672004786542965E-2</c:v>
                </c:pt>
                <c:pt idx="93">
                  <c:v>1.0790625094024314E-2</c:v>
                </c:pt>
                <c:pt idx="94">
                  <c:v>1.0909305956504184E-2</c:v>
                </c:pt>
                <c:pt idx="95">
                  <c:v>1.102804737398257E-2</c:v>
                </c:pt>
                <c:pt idx="96">
                  <c:v>1.1146849346459476E-2</c:v>
                </c:pt>
                <c:pt idx="97">
                  <c:v>1.12657118739349E-2</c:v>
                </c:pt>
                <c:pt idx="98">
                  <c:v>1.1384634956408842E-2</c:v>
                </c:pt>
                <c:pt idx="99">
                  <c:v>1.1503618593881307E-2</c:v>
                </c:pt>
                <c:pt idx="100">
                  <c:v>1.1622662786352284E-2</c:v>
                </c:pt>
                <c:pt idx="101">
                  <c:v>1.1741767533821782E-2</c:v>
                </c:pt>
                <c:pt idx="102">
                  <c:v>1.1860932836289799E-2</c:v>
                </c:pt>
                <c:pt idx="103">
                  <c:v>1.1980158693756333E-2</c:v>
                </c:pt>
                <c:pt idx="104">
                  <c:v>1.2099445106221388E-2</c:v>
                </c:pt>
                <c:pt idx="105">
                  <c:v>1.2218792073684958E-2</c:v>
                </c:pt>
                <c:pt idx="106">
                  <c:v>1.2338199596147049E-2</c:v>
                </c:pt>
                <c:pt idx="107">
                  <c:v>1.2457667673607658E-2</c:v>
                </c:pt>
                <c:pt idx="108">
                  <c:v>1.2577196306066785E-2</c:v>
                </c:pt>
                <c:pt idx="109">
                  <c:v>1.2696785493524433E-2</c:v>
                </c:pt>
                <c:pt idx="110">
                  <c:v>1.2816435235980597E-2</c:v>
                </c:pt>
                <c:pt idx="111">
                  <c:v>1.2936145533435282E-2</c:v>
                </c:pt>
                <c:pt idx="112">
                  <c:v>1.3055916385888487E-2</c:v>
                </c:pt>
                <c:pt idx="113">
                  <c:v>1.3175747793340204E-2</c:v>
                </c:pt>
                <c:pt idx="114">
                  <c:v>1.3295639755790444E-2</c:v>
                </c:pt>
                <c:pt idx="115">
                  <c:v>1.3415592273239199E-2</c:v>
                </c:pt>
                <c:pt idx="116">
                  <c:v>1.3535605345686477E-2</c:v>
                </c:pt>
                <c:pt idx="117">
                  <c:v>1.3655678973132274E-2</c:v>
                </c:pt>
                <c:pt idx="118">
                  <c:v>1.3775813155576582E-2</c:v>
                </c:pt>
                <c:pt idx="119">
                  <c:v>1.3896007893019419E-2</c:v>
                </c:pt>
                <c:pt idx="120">
                  <c:v>1.4016263185460764E-2</c:v>
                </c:pt>
                <c:pt idx="121">
                  <c:v>1.4136579032900637E-2</c:v>
                </c:pt>
                <c:pt idx="122">
                  <c:v>1.425695543533902E-2</c:v>
                </c:pt>
                <c:pt idx="123">
                  <c:v>1.4377392392775926E-2</c:v>
                </c:pt>
                <c:pt idx="124">
                  <c:v>1.4497889905211349E-2</c:v>
                </c:pt>
                <c:pt idx="125">
                  <c:v>1.4618447972645292E-2</c:v>
                </c:pt>
                <c:pt idx="126">
                  <c:v>1.4739066595077758E-2</c:v>
                </c:pt>
                <c:pt idx="127">
                  <c:v>1.4859745772508733E-2</c:v>
                </c:pt>
                <c:pt idx="128">
                  <c:v>1.4980485504938235E-2</c:v>
                </c:pt>
                <c:pt idx="129">
                  <c:v>1.5101285792366248E-2</c:v>
                </c:pt>
                <c:pt idx="130">
                  <c:v>1.5222146634792783E-2</c:v>
                </c:pt>
                <c:pt idx="131">
                  <c:v>1.5343068032217837E-2</c:v>
                </c:pt>
                <c:pt idx="132">
                  <c:v>1.5464049984641409E-2</c:v>
                </c:pt>
                <c:pt idx="133">
                  <c:v>1.5585092492063499E-2</c:v>
                </c:pt>
                <c:pt idx="134">
                  <c:v>1.5706195554484114E-2</c:v>
                </c:pt>
                <c:pt idx="135">
                  <c:v>1.5827359171903237E-2</c:v>
                </c:pt>
                <c:pt idx="136">
                  <c:v>1.5948583344320883E-2</c:v>
                </c:pt>
                <c:pt idx="137">
                  <c:v>1.6069868071737051E-2</c:v>
                </c:pt>
                <c:pt idx="138">
                  <c:v>1.6191213354151732E-2</c:v>
                </c:pt>
                <c:pt idx="139">
                  <c:v>1.6312619191564938E-2</c:v>
                </c:pt>
                <c:pt idx="140">
                  <c:v>1.6434085583976656E-2</c:v>
                </c:pt>
                <c:pt idx="141">
                  <c:v>1.6555612531386897E-2</c:v>
                </c:pt>
                <c:pt idx="142">
                  <c:v>1.667720003379565E-2</c:v>
                </c:pt>
                <c:pt idx="143">
                  <c:v>1.6798848091202925E-2</c:v>
                </c:pt>
                <c:pt idx="144">
                  <c:v>1.6920556703608723E-2</c:v>
                </c:pt>
                <c:pt idx="145">
                  <c:v>1.704232587101304E-2</c:v>
                </c:pt>
                <c:pt idx="146">
                  <c:v>1.7164155593415865E-2</c:v>
                </c:pt>
                <c:pt idx="147">
                  <c:v>1.7286045870817217E-2</c:v>
                </c:pt>
                <c:pt idx="148">
                  <c:v>1.7407996703217087E-2</c:v>
                </c:pt>
                <c:pt idx="149">
                  <c:v>1.7530008090615477E-2</c:v>
                </c:pt>
                <c:pt idx="150">
                  <c:v>1.7652080033012375E-2</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0.21092</c:v>
                </c:pt>
                <c:pt idx="1">
                  <c:v>0.21112607999999999</c:v>
                </c:pt>
                <c:pt idx="2">
                  <c:v>0.21133215999999999</c:v>
                </c:pt>
                <c:pt idx="3">
                  <c:v>0.21153823999999999</c:v>
                </c:pt>
                <c:pt idx="4">
                  <c:v>0.21174431999999999</c:v>
                </c:pt>
                <c:pt idx="5">
                  <c:v>0.21195039999999998</c:v>
                </c:pt>
                <c:pt idx="6">
                  <c:v>0.21215648000000001</c:v>
                </c:pt>
                <c:pt idx="7">
                  <c:v>0.21236256000000001</c:v>
                </c:pt>
                <c:pt idx="8">
                  <c:v>0.21256864</c:v>
                </c:pt>
                <c:pt idx="9">
                  <c:v>0.21277472</c:v>
                </c:pt>
                <c:pt idx="10">
                  <c:v>0.2129808</c:v>
                </c:pt>
                <c:pt idx="11">
                  <c:v>0.21318688</c:v>
                </c:pt>
                <c:pt idx="12">
                  <c:v>0.21339295999999999</c:v>
                </c:pt>
                <c:pt idx="13">
                  <c:v>0.21359903999999999</c:v>
                </c:pt>
                <c:pt idx="14">
                  <c:v>0.21380511999999999</c:v>
                </c:pt>
                <c:pt idx="15">
                  <c:v>0.21401119999999998</c:v>
                </c:pt>
                <c:pt idx="16">
                  <c:v>0.21421728000000001</c:v>
                </c:pt>
                <c:pt idx="17">
                  <c:v>0.21442336000000001</c:v>
                </c:pt>
                <c:pt idx="18">
                  <c:v>0.21462944</c:v>
                </c:pt>
                <c:pt idx="19">
                  <c:v>0.21483552</c:v>
                </c:pt>
                <c:pt idx="20">
                  <c:v>0.2150416</c:v>
                </c:pt>
                <c:pt idx="21">
                  <c:v>0.21524768</c:v>
                </c:pt>
                <c:pt idx="22">
                  <c:v>0.21545375999999999</c:v>
                </c:pt>
                <c:pt idx="23">
                  <c:v>0.21565983999999999</c:v>
                </c:pt>
                <c:pt idx="24">
                  <c:v>0.21586591999999999</c:v>
                </c:pt>
                <c:pt idx="25">
                  <c:v>0.21607199999999999</c:v>
                </c:pt>
                <c:pt idx="26">
                  <c:v>0.21627807999999998</c:v>
                </c:pt>
                <c:pt idx="27">
                  <c:v>0.21648416000000001</c:v>
                </c:pt>
                <c:pt idx="28">
                  <c:v>0.21669024000000001</c:v>
                </c:pt>
                <c:pt idx="29">
                  <c:v>0.21689632</c:v>
                </c:pt>
                <c:pt idx="30">
                  <c:v>0.2171024</c:v>
                </c:pt>
                <c:pt idx="31">
                  <c:v>0.21730848</c:v>
                </c:pt>
                <c:pt idx="32">
                  <c:v>0.21751456</c:v>
                </c:pt>
                <c:pt idx="33">
                  <c:v>0.21772063999999999</c:v>
                </c:pt>
                <c:pt idx="34">
                  <c:v>0.21792671999999999</c:v>
                </c:pt>
                <c:pt idx="35">
                  <c:v>0.21813279999999999</c:v>
                </c:pt>
                <c:pt idx="36">
                  <c:v>0.21833887999999999</c:v>
                </c:pt>
                <c:pt idx="37">
                  <c:v>0.21854496000000001</c:v>
                </c:pt>
                <c:pt idx="38">
                  <c:v>0.21875104000000001</c:v>
                </c:pt>
                <c:pt idx="39">
                  <c:v>0.21895712000000001</c:v>
                </c:pt>
                <c:pt idx="40">
                  <c:v>0.2191632</c:v>
                </c:pt>
                <c:pt idx="41">
                  <c:v>0.21936928</c:v>
                </c:pt>
                <c:pt idx="42">
                  <c:v>0.21957536</c:v>
                </c:pt>
                <c:pt idx="43">
                  <c:v>0.21978143999999999</c:v>
                </c:pt>
                <c:pt idx="44">
                  <c:v>0.21998751999999999</c:v>
                </c:pt>
                <c:pt idx="45">
                  <c:v>0.22019359999999999</c:v>
                </c:pt>
                <c:pt idx="46">
                  <c:v>0.22039967999999999</c:v>
                </c:pt>
                <c:pt idx="47">
                  <c:v>0.22060575999999998</c:v>
                </c:pt>
                <c:pt idx="48">
                  <c:v>0.22081184000000001</c:v>
                </c:pt>
                <c:pt idx="49">
                  <c:v>0.22101792000000001</c:v>
                </c:pt>
                <c:pt idx="50">
                  <c:v>0.221224</c:v>
                </c:pt>
                <c:pt idx="51">
                  <c:v>0.22143008</c:v>
                </c:pt>
                <c:pt idx="52">
                  <c:v>0.22163616</c:v>
                </c:pt>
                <c:pt idx="53">
                  <c:v>0.22184224</c:v>
                </c:pt>
                <c:pt idx="54">
                  <c:v>0.22204831999999999</c:v>
                </c:pt>
                <c:pt idx="55">
                  <c:v>0.22225439999999999</c:v>
                </c:pt>
                <c:pt idx="56">
                  <c:v>0.22246047999999999</c:v>
                </c:pt>
                <c:pt idx="57">
                  <c:v>0.22266655999999999</c:v>
                </c:pt>
                <c:pt idx="58">
                  <c:v>0.22287264000000001</c:v>
                </c:pt>
                <c:pt idx="59">
                  <c:v>0.22307872000000001</c:v>
                </c:pt>
                <c:pt idx="60">
                  <c:v>0.22328480000000001</c:v>
                </c:pt>
                <c:pt idx="61">
                  <c:v>0.22349088</c:v>
                </c:pt>
                <c:pt idx="62">
                  <c:v>0.22369696</c:v>
                </c:pt>
                <c:pt idx="63">
                  <c:v>0.22390304</c:v>
                </c:pt>
                <c:pt idx="64">
                  <c:v>0.22410911999999999</c:v>
                </c:pt>
                <c:pt idx="65">
                  <c:v>0.22431519999999999</c:v>
                </c:pt>
                <c:pt idx="66">
                  <c:v>0.22452127999999999</c:v>
                </c:pt>
                <c:pt idx="67">
                  <c:v>0.22472735999999999</c:v>
                </c:pt>
                <c:pt idx="68">
                  <c:v>0.22493343999999998</c:v>
                </c:pt>
                <c:pt idx="69">
                  <c:v>0.22513951999999998</c:v>
                </c:pt>
                <c:pt idx="70">
                  <c:v>0.22534560000000001</c:v>
                </c:pt>
                <c:pt idx="71">
                  <c:v>0.22555168</c:v>
                </c:pt>
                <c:pt idx="72">
                  <c:v>0.22575776</c:v>
                </c:pt>
                <c:pt idx="73">
                  <c:v>0.22596384</c:v>
                </c:pt>
                <c:pt idx="74">
                  <c:v>0.22616992</c:v>
                </c:pt>
                <c:pt idx="75">
                  <c:v>0.22637599999999999</c:v>
                </c:pt>
                <c:pt idx="76">
                  <c:v>0.22658207999999999</c:v>
                </c:pt>
                <c:pt idx="77">
                  <c:v>0.22678815999999999</c:v>
                </c:pt>
                <c:pt idx="78">
                  <c:v>0.22699424000000001</c:v>
                </c:pt>
                <c:pt idx="79">
                  <c:v>0.22720032000000001</c:v>
                </c:pt>
                <c:pt idx="80">
                  <c:v>0.22740640000000001</c:v>
                </c:pt>
                <c:pt idx="81">
                  <c:v>0.22761248000000001</c:v>
                </c:pt>
                <c:pt idx="82">
                  <c:v>0.22781856</c:v>
                </c:pt>
                <c:pt idx="83">
                  <c:v>0.22802464</c:v>
                </c:pt>
                <c:pt idx="84">
                  <c:v>0.22823072</c:v>
                </c:pt>
                <c:pt idx="85">
                  <c:v>0.2284368</c:v>
                </c:pt>
                <c:pt idx="86">
                  <c:v>0.22864287999999999</c:v>
                </c:pt>
                <c:pt idx="87">
                  <c:v>0.22884895999999999</c:v>
                </c:pt>
                <c:pt idx="88">
                  <c:v>0.22905503999999999</c:v>
                </c:pt>
                <c:pt idx="89">
                  <c:v>0.22926111999999998</c:v>
                </c:pt>
                <c:pt idx="90">
                  <c:v>0.22946720000000001</c:v>
                </c:pt>
                <c:pt idx="91">
                  <c:v>0.22967328000000001</c:v>
                </c:pt>
                <c:pt idx="92">
                  <c:v>0.22987936</c:v>
                </c:pt>
                <c:pt idx="93">
                  <c:v>0.23008544</c:v>
                </c:pt>
                <c:pt idx="94">
                  <c:v>0.23029152</c:v>
                </c:pt>
                <c:pt idx="95">
                  <c:v>0.2304976</c:v>
                </c:pt>
                <c:pt idx="96">
                  <c:v>0.23070367999999999</c:v>
                </c:pt>
                <c:pt idx="97">
                  <c:v>0.23090975999999999</c:v>
                </c:pt>
                <c:pt idx="98">
                  <c:v>0.23111583999999999</c:v>
                </c:pt>
                <c:pt idx="99">
                  <c:v>0.23132191999999999</c:v>
                </c:pt>
                <c:pt idx="100">
                  <c:v>0.23152800000000001</c:v>
                </c:pt>
                <c:pt idx="101">
                  <c:v>0.23173408000000001</c:v>
                </c:pt>
                <c:pt idx="102">
                  <c:v>0.23194016000000001</c:v>
                </c:pt>
                <c:pt idx="103">
                  <c:v>0.23214624</c:v>
                </c:pt>
                <c:pt idx="104">
                  <c:v>0.23235232</c:v>
                </c:pt>
                <c:pt idx="105">
                  <c:v>0.2325584</c:v>
                </c:pt>
                <c:pt idx="106">
                  <c:v>0.23276448</c:v>
                </c:pt>
                <c:pt idx="107">
                  <c:v>0.23297055999999999</c:v>
                </c:pt>
                <c:pt idx="108">
                  <c:v>0.23317663999999999</c:v>
                </c:pt>
                <c:pt idx="109">
                  <c:v>0.23338271999999999</c:v>
                </c:pt>
                <c:pt idx="110">
                  <c:v>0.23358879999999999</c:v>
                </c:pt>
                <c:pt idx="111">
                  <c:v>0.23379487999999998</c:v>
                </c:pt>
                <c:pt idx="112">
                  <c:v>0.23400096000000001</c:v>
                </c:pt>
                <c:pt idx="113">
                  <c:v>0.23420704000000001</c:v>
                </c:pt>
                <c:pt idx="114">
                  <c:v>0.23441312</c:v>
                </c:pt>
                <c:pt idx="115">
                  <c:v>0.2346192</c:v>
                </c:pt>
                <c:pt idx="116">
                  <c:v>0.23482528</c:v>
                </c:pt>
                <c:pt idx="117">
                  <c:v>0.23503135999999999</c:v>
                </c:pt>
                <c:pt idx="118">
                  <c:v>0.23523743999999999</c:v>
                </c:pt>
                <c:pt idx="119">
                  <c:v>0.23544351999999999</c:v>
                </c:pt>
                <c:pt idx="120">
                  <c:v>0.23564959999999999</c:v>
                </c:pt>
                <c:pt idx="121">
                  <c:v>0.23585568000000001</c:v>
                </c:pt>
                <c:pt idx="122">
                  <c:v>0.23606176000000001</c:v>
                </c:pt>
                <c:pt idx="123">
                  <c:v>0.23626784000000001</c:v>
                </c:pt>
                <c:pt idx="124">
                  <c:v>0.23647392</c:v>
                </c:pt>
                <c:pt idx="125">
                  <c:v>0.23668</c:v>
                </c:pt>
                <c:pt idx="126">
                  <c:v>0.23688608</c:v>
                </c:pt>
                <c:pt idx="127">
                  <c:v>0.23709216</c:v>
                </c:pt>
                <c:pt idx="128">
                  <c:v>0.23729823999999999</c:v>
                </c:pt>
                <c:pt idx="129">
                  <c:v>0.23750431999999999</c:v>
                </c:pt>
                <c:pt idx="130">
                  <c:v>0.23771039999999999</c:v>
                </c:pt>
                <c:pt idx="131">
                  <c:v>0.23791647999999999</c:v>
                </c:pt>
                <c:pt idx="132">
                  <c:v>0.23812255999999998</c:v>
                </c:pt>
                <c:pt idx="133">
                  <c:v>0.23832864000000001</c:v>
                </c:pt>
                <c:pt idx="134">
                  <c:v>0.23853472000000001</c:v>
                </c:pt>
                <c:pt idx="135">
                  <c:v>0.2387408</c:v>
                </c:pt>
                <c:pt idx="136">
                  <c:v>0.23894688</c:v>
                </c:pt>
                <c:pt idx="137">
                  <c:v>0.23915296</c:v>
                </c:pt>
                <c:pt idx="138">
                  <c:v>0.23935904</c:v>
                </c:pt>
                <c:pt idx="139">
                  <c:v>0.23956511999999999</c:v>
                </c:pt>
                <c:pt idx="140">
                  <c:v>0.23977119999999999</c:v>
                </c:pt>
                <c:pt idx="141">
                  <c:v>0.23997727999999999</c:v>
                </c:pt>
                <c:pt idx="142">
                  <c:v>0.24018336000000001</c:v>
                </c:pt>
                <c:pt idx="143">
                  <c:v>0.24038944000000001</c:v>
                </c:pt>
                <c:pt idx="144">
                  <c:v>0.24059552000000001</c:v>
                </c:pt>
                <c:pt idx="145">
                  <c:v>0.2408016</c:v>
                </c:pt>
                <c:pt idx="146">
                  <c:v>0.24100768</c:v>
                </c:pt>
                <c:pt idx="147">
                  <c:v>0.24121376</c:v>
                </c:pt>
                <c:pt idx="148">
                  <c:v>0.24141984</c:v>
                </c:pt>
                <c:pt idx="149">
                  <c:v>0.24162591999999999</c:v>
                </c:pt>
                <c:pt idx="150">
                  <c:v>0.24183199999999999</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1.8283074847214152E-6</c:v>
                </c:pt>
                <c:pt idx="2">
                  <c:v>5.1712344821625288E-6</c:v>
                </c:pt>
                <c:pt idx="3">
                  <c:v>9.5001643661878514E-6</c:v>
                </c:pt>
                <c:pt idx="4">
                  <c:v>1.4626459877771323E-5</c:v>
                </c:pt>
                <c:pt idx="5">
                  <c:v>2.0441099098043695E-5</c:v>
                </c:pt>
                <c:pt idx="6">
                  <c:v>2.6870522582872909E-5</c:v>
                </c:pt>
                <c:pt idx="7">
                  <c:v>3.3860728473116205E-5</c:v>
                </c:pt>
                <c:pt idx="8">
                  <c:v>4.136987585730023E-5</c:v>
                </c:pt>
                <c:pt idx="9">
                  <c:v>4.9364302087478198E-5</c:v>
                </c:pt>
                <c:pt idx="10">
                  <c:v>5.7816159148531678E-5</c:v>
                </c:pt>
                <c:pt idx="11">
                  <c:v>6.6701909210413064E-5</c:v>
                </c:pt>
                <c:pt idx="12">
                  <c:v>7.6001314929502798E-5</c:v>
                </c:pt>
                <c:pt idx="13">
                  <c:v>8.5696732985209557E-5</c:v>
                </c:pt>
                <c:pt idx="14">
                  <c:v>9.5772602877027533E-5</c:v>
                </c:pt>
                <c:pt idx="15">
                  <c:v>1.0621506660108619E-4</c:v>
                </c:pt>
                <c:pt idx="16">
                  <c:v>1.1701167902217057E-4</c:v>
                </c:pt>
                <c:pt idx="17">
                  <c:v>1.2815118288543354E-4</c:v>
                </c:pt>
                <c:pt idx="18">
                  <c:v>1.3962333101838836E-4</c:v>
                </c:pt>
                <c:pt idx="19">
                  <c:v>1.5141874370877385E-4</c:v>
                </c:pt>
                <c:pt idx="20">
                  <c:v>1.6352879278434956E-4</c:v>
                </c:pt>
                <c:pt idx="21">
                  <c:v>1.7594550629019417E-4</c:v>
                </c:pt>
                <c:pt idx="22">
                  <c:v>1.8866148928309013E-4</c:v>
                </c:pt>
                <c:pt idx="23">
                  <c:v>2.0166985739931772E-4</c:v>
                </c:pt>
                <c:pt idx="24">
                  <c:v>2.1496418066298324E-4</c:v>
                </c:pt>
                <c:pt idx="25">
                  <c:v>2.2853843559017678E-4</c:v>
                </c:pt>
                <c:pt idx="26">
                  <c:v>2.4238696407749818E-4</c:v>
                </c:pt>
                <c:pt idx="27">
                  <c:v>2.5650443788707183E-4</c:v>
                </c:pt>
                <c:pt idx="28">
                  <c:v>2.7088582778492958E-4</c:v>
                </c:pt>
                <c:pt idx="29">
                  <c:v>2.855263765769288E-4</c:v>
                </c:pt>
                <c:pt idx="30">
                  <c:v>3.004215754312352E-4</c:v>
                </c:pt>
                <c:pt idx="31">
                  <c:v>3.1556714298954598E-4</c:v>
                </c:pt>
                <c:pt idx="32">
                  <c:v>3.3095900685840184E-4</c:v>
                </c:pt>
                <c:pt idx="33">
                  <c:v>3.4659328714284587E-4</c:v>
                </c:pt>
                <c:pt idx="34">
                  <c:v>3.6246628174147003E-4</c:v>
                </c:pt>
                <c:pt idx="35">
                  <c:v>3.7857445316775247E-4</c:v>
                </c:pt>
                <c:pt idx="36">
                  <c:v>3.9491441669982559E-4</c:v>
                </c:pt>
                <c:pt idx="37">
                  <c:v>4.114829296913067E-4</c:v>
                </c:pt>
                <c:pt idx="38">
                  <c:v>4.2827688190088777E-4</c:v>
                </c:pt>
                <c:pt idx="39">
                  <c:v>4.4529328671913989E-4</c:v>
                </c:pt>
                <c:pt idx="40">
                  <c:v>4.6252927318825348E-4</c:v>
                </c:pt>
                <c:pt idx="41">
                  <c:v>4.7998207872488252E-4</c:v>
                </c:pt>
                <c:pt idx="42">
                  <c:v>4.9764904246838684E-4</c:v>
                </c:pt>
                <c:pt idx="43">
                  <c:v>5.155275991870214E-4</c:v>
                </c:pt>
                <c:pt idx="44">
                  <c:v>5.3361527368330451E-4</c:v>
                </c:pt>
                <c:pt idx="45">
                  <c:v>5.519096756471803E-4</c:v>
                </c:pt>
                <c:pt idx="46">
                  <c:v>5.7040849491192622E-4</c:v>
                </c:pt>
                <c:pt idx="47">
                  <c:v>6.9284716558927289E-4</c:v>
                </c:pt>
                <c:pt idx="48">
                  <c:v>7.1632767521890217E-4</c:v>
                </c:pt>
                <c:pt idx="49">
                  <c:v>7.4030251136705046E-4</c:v>
                </c:pt>
                <c:pt idx="50">
                  <c:v>7.6477167403371689E-4</c:v>
                </c:pt>
                <c:pt idx="51">
                  <c:v>7.897351632189019E-4</c:v>
                </c:pt>
                <c:pt idx="52">
                  <c:v>8.1519297892260656E-4</c:v>
                </c:pt>
                <c:pt idx="53">
                  <c:v>8.4114512114482807E-4</c:v>
                </c:pt>
                <c:pt idx="54">
                  <c:v>8.6759158988556891E-4</c:v>
                </c:pt>
                <c:pt idx="55">
                  <c:v>8.9453238514482778E-4</c:v>
                </c:pt>
                <c:pt idx="56">
                  <c:v>9.219675069226062E-4</c:v>
                </c:pt>
                <c:pt idx="57">
                  <c:v>9.4989695521890223E-4</c:v>
                </c:pt>
                <c:pt idx="58">
                  <c:v>9.7832073003371726E-4</c:v>
                </c:pt>
                <c:pt idx="59">
                  <c:v>1.0072388313670504E-3</c:v>
                </c:pt>
                <c:pt idx="60">
                  <c:v>1.0366512592189024E-3</c:v>
                </c:pt>
                <c:pt idx="61">
                  <c:v>1.0665580135892725E-3</c:v>
                </c:pt>
                <c:pt idx="62">
                  <c:v>1.096959094478161E-3</c:v>
                </c:pt>
                <c:pt idx="63">
                  <c:v>1.1278545018855689E-3</c:v>
                </c:pt>
                <c:pt idx="64">
                  <c:v>1.1592442358114954E-3</c:v>
                </c:pt>
                <c:pt idx="65">
                  <c:v>1.1911282962559391E-3</c:v>
                </c:pt>
                <c:pt idx="66">
                  <c:v>1.2235066832189025E-3</c:v>
                </c:pt>
                <c:pt idx="67">
                  <c:v>1.2563793967003839E-3</c:v>
                </c:pt>
                <c:pt idx="68">
                  <c:v>1.2897464367003836E-3</c:v>
                </c:pt>
                <c:pt idx="69">
                  <c:v>1.3236078032189023E-3</c:v>
                </c:pt>
                <c:pt idx="70">
                  <c:v>1.3579634962559387E-3</c:v>
                </c:pt>
                <c:pt idx="71">
                  <c:v>1.3928135158114952E-3</c:v>
                </c:pt>
                <c:pt idx="72">
                  <c:v>1.4281578618855683E-3</c:v>
                </c:pt>
                <c:pt idx="73">
                  <c:v>1.4639965344781618E-3</c:v>
                </c:pt>
                <c:pt idx="74">
                  <c:v>1.5003295335892731E-3</c:v>
                </c:pt>
                <c:pt idx="75">
                  <c:v>1.5371568592189018E-3</c:v>
                </c:pt>
                <c:pt idx="76">
                  <c:v>1.5744785113670509E-3</c:v>
                </c:pt>
                <c:pt idx="77">
                  <c:v>1.612294490033717E-3</c:v>
                </c:pt>
                <c:pt idx="78">
                  <c:v>1.6506047952189026E-3</c:v>
                </c:pt>
                <c:pt idx="79">
                  <c:v>1.6894094269226058E-3</c:v>
                </c:pt>
                <c:pt idx="80">
                  <c:v>1.7287083851448284E-3</c:v>
                </c:pt>
                <c:pt idx="81">
                  <c:v>1.76850166988557E-3</c:v>
                </c:pt>
                <c:pt idx="82">
                  <c:v>1.8087892811448278E-3</c:v>
                </c:pt>
                <c:pt idx="83">
                  <c:v>1.8495712189226065E-3</c:v>
                </c:pt>
                <c:pt idx="84">
                  <c:v>1.8908474832189019E-3</c:v>
                </c:pt>
                <c:pt idx="85">
                  <c:v>1.9326180740337168E-3</c:v>
                </c:pt>
                <c:pt idx="86">
                  <c:v>1.9748829913670508E-3</c:v>
                </c:pt>
                <c:pt idx="87">
                  <c:v>2.0176422352189013E-3</c:v>
                </c:pt>
                <c:pt idx="88">
                  <c:v>2.0608958055892733E-3</c:v>
                </c:pt>
                <c:pt idx="89">
                  <c:v>2.1046437024781614E-3</c:v>
                </c:pt>
                <c:pt idx="90">
                  <c:v>2.1488859258855693E-3</c:v>
                </c:pt>
                <c:pt idx="91">
                  <c:v>2.1936224758114936E-3</c:v>
                </c:pt>
                <c:pt idx="92">
                  <c:v>2.2388533522559395E-3</c:v>
                </c:pt>
                <c:pt idx="93">
                  <c:v>2.2845785552189032E-3</c:v>
                </c:pt>
                <c:pt idx="94">
                  <c:v>2.3307980847003828E-3</c:v>
                </c:pt>
                <c:pt idx="95">
                  <c:v>2.3775119407003845E-3</c:v>
                </c:pt>
                <c:pt idx="96">
                  <c:v>2.4247201232189025E-3</c:v>
                </c:pt>
                <c:pt idx="97">
                  <c:v>2.4724226322559396E-3</c:v>
                </c:pt>
                <c:pt idx="98">
                  <c:v>2.520619467811494E-3</c:v>
                </c:pt>
                <c:pt idx="99">
                  <c:v>2.569310629885569E-3</c:v>
                </c:pt>
                <c:pt idx="100">
                  <c:v>2.618496118478161E-3</c:v>
                </c:pt>
                <c:pt idx="101">
                  <c:v>2.6681759335892715E-3</c:v>
                </c:pt>
                <c:pt idx="102">
                  <c:v>2.7183500752189006E-3</c:v>
                </c:pt>
                <c:pt idx="103">
                  <c:v>2.7690185433670491E-3</c:v>
                </c:pt>
                <c:pt idx="104">
                  <c:v>2.8201813380337175E-3</c:v>
                </c:pt>
                <c:pt idx="105">
                  <c:v>2.871838459218901E-3</c:v>
                </c:pt>
                <c:pt idx="106">
                  <c:v>2.9239899069226066E-3</c:v>
                </c:pt>
                <c:pt idx="107">
                  <c:v>2.9766356811448264E-3</c:v>
                </c:pt>
                <c:pt idx="108">
                  <c:v>3.0297757818855691E-3</c:v>
                </c:pt>
                <c:pt idx="109">
                  <c:v>3.0834102091448286E-3</c:v>
                </c:pt>
                <c:pt idx="110">
                  <c:v>3.1375389629226037E-3</c:v>
                </c:pt>
                <c:pt idx="111">
                  <c:v>3.192162043218903E-3</c:v>
                </c:pt>
                <c:pt idx="112">
                  <c:v>3.2472794500337178E-3</c:v>
                </c:pt>
                <c:pt idx="113">
                  <c:v>3.3028911833670499E-3</c:v>
                </c:pt>
                <c:pt idx="114">
                  <c:v>3.3589972432189032E-3</c:v>
                </c:pt>
                <c:pt idx="115">
                  <c:v>3.415597629589272E-3</c:v>
                </c:pt>
                <c:pt idx="116">
                  <c:v>3.4726923424781616E-3</c:v>
                </c:pt>
                <c:pt idx="117">
                  <c:v>3.5302813818855693E-3</c:v>
                </c:pt>
                <c:pt idx="118">
                  <c:v>3.5883647478114952E-3</c:v>
                </c:pt>
                <c:pt idx="119">
                  <c:v>3.6469424402559396E-3</c:v>
                </c:pt>
                <c:pt idx="120">
                  <c:v>3.7060144592189008E-3</c:v>
                </c:pt>
                <c:pt idx="121">
                  <c:v>3.7655808047003842E-3</c:v>
                </c:pt>
                <c:pt idx="122">
                  <c:v>3.8256414767003817E-3</c:v>
                </c:pt>
                <c:pt idx="123">
                  <c:v>3.8861964752189017E-3</c:v>
                </c:pt>
                <c:pt idx="124">
                  <c:v>3.947245800255939E-3</c:v>
                </c:pt>
                <c:pt idx="125">
                  <c:v>4.0087894518114949E-3</c:v>
                </c:pt>
                <c:pt idx="126">
                  <c:v>4.0708274298855698E-3</c:v>
                </c:pt>
                <c:pt idx="127">
                  <c:v>4.1333597344781611E-3</c:v>
                </c:pt>
                <c:pt idx="128">
                  <c:v>4.1963863655892731E-3</c:v>
                </c:pt>
                <c:pt idx="129">
                  <c:v>4.2599073232189016E-3</c:v>
                </c:pt>
                <c:pt idx="130">
                  <c:v>4.3239226073670508E-3</c:v>
                </c:pt>
                <c:pt idx="131">
                  <c:v>4.3884322180337172E-3</c:v>
                </c:pt>
                <c:pt idx="132">
                  <c:v>4.4534361552189027E-3</c:v>
                </c:pt>
                <c:pt idx="133">
                  <c:v>4.5189344189226063E-3</c:v>
                </c:pt>
                <c:pt idx="134">
                  <c:v>4.5849270091448298E-3</c:v>
                </c:pt>
                <c:pt idx="135">
                  <c:v>4.6514139258855688E-3</c:v>
                </c:pt>
                <c:pt idx="136">
                  <c:v>4.718395169144826E-3</c:v>
                </c:pt>
                <c:pt idx="137">
                  <c:v>4.7858707389226074E-3</c:v>
                </c:pt>
                <c:pt idx="138">
                  <c:v>4.8538406352189017E-3</c:v>
                </c:pt>
                <c:pt idx="139">
                  <c:v>4.9223048580337185E-3</c:v>
                </c:pt>
                <c:pt idx="140">
                  <c:v>4.9912634073670499E-3</c:v>
                </c:pt>
                <c:pt idx="141">
                  <c:v>5.0607162832189021E-3</c:v>
                </c:pt>
                <c:pt idx="142">
                  <c:v>5.1306634855892708E-3</c:v>
                </c:pt>
                <c:pt idx="143">
                  <c:v>5.2011050144781601E-3</c:v>
                </c:pt>
                <c:pt idx="144">
                  <c:v>5.2720408698855694E-3</c:v>
                </c:pt>
                <c:pt idx="145">
                  <c:v>5.3434710518114924E-3</c:v>
                </c:pt>
                <c:pt idx="146">
                  <c:v>5.4153955602559379E-3</c:v>
                </c:pt>
                <c:pt idx="147">
                  <c:v>5.4878143952189033E-3</c:v>
                </c:pt>
                <c:pt idx="148">
                  <c:v>5.560727556700386E-3</c:v>
                </c:pt>
                <c:pt idx="149">
                  <c:v>5.6341350447003851E-3</c:v>
                </c:pt>
                <c:pt idx="150">
                  <c:v>5.7080368592189023E-3</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17.398585226764173</c:v>
                </c:pt>
                <c:pt idx="2">
                  <c:v>29.601873825817464</c:v>
                </c:pt>
                <c:pt idx="3">
                  <c:v>38.63171616885365</c:v>
                </c:pt>
                <c:pt idx="4">
                  <c:v>45.581882258838597</c:v>
                </c:pt>
                <c:pt idx="5">
                  <c:v>51.095514325161083</c:v>
                </c:pt>
                <c:pt idx="6">
                  <c:v>55.575459305439125</c:v>
                </c:pt>
                <c:pt idx="7">
                  <c:v>59.28687987671497</c:v>
                </c:pt>
                <c:pt idx="8">
                  <c:v>62.41143210413199</c:v>
                </c:pt>
                <c:pt idx="9">
                  <c:v>65.077731520325571</c:v>
                </c:pt>
                <c:pt idx="10">
                  <c:v>67.379390231032659</c:v>
                </c:pt>
                <c:pt idx="11">
                  <c:v>69.386163359859182</c:v>
                </c:pt>
                <c:pt idx="12">
                  <c:v>71.151091808258855</c:v>
                </c:pt>
                <c:pt idx="13">
                  <c:v>72.715224146691867</c:v>
                </c:pt>
                <c:pt idx="14">
                  <c:v>74.110823599885421</c:v>
                </c:pt>
                <c:pt idx="15">
                  <c:v>75.363598310922896</c:v>
                </c:pt>
                <c:pt idx="16">
                  <c:v>76.494285131275518</c:v>
                </c:pt>
                <c:pt idx="17">
                  <c:v>77.519795459622685</c:v>
                </c:pt>
                <c:pt idx="18">
                  <c:v>78.454058175865839</c:v>
                </c:pt>
                <c:pt idx="19">
                  <c:v>79.308649136689439</c:v>
                </c:pt>
                <c:pt idx="20">
                  <c:v>80.093267724214044</c:v>
                </c:pt>
                <c:pt idx="21">
                  <c:v>80.816102109938569</c:v>
                </c:pt>
                <c:pt idx="22">
                  <c:v>81.484112413164453</c:v>
                </c:pt>
                <c:pt idx="23">
                  <c:v>82.103252505667186</c:v>
                </c:pt>
                <c:pt idx="24">
                  <c:v>82.678645429599158</c:v>
                </c:pt>
                <c:pt idx="25">
                  <c:v>83.214723363770631</c:v>
                </c:pt>
                <c:pt idx="26">
                  <c:v>83.715340223603945</c:v>
                </c:pt>
                <c:pt idx="27">
                  <c:v>84.183862939341097</c:v>
                </c:pt>
                <c:pt idx="28">
                  <c:v>84.623245978065569</c:v>
                </c:pt>
                <c:pt idx="29">
                  <c:v>85.036092591100314</c:v>
                </c:pt>
                <c:pt idx="30">
                  <c:v>85.424705465526074</c:v>
                </c:pt>
                <c:pt idx="31">
                  <c:v>85.791128858158132</c:v>
                </c:pt>
                <c:pt idx="32">
                  <c:v>86.137183837173552</c:v>
                </c:pt>
                <c:pt idx="33">
                  <c:v>86.464497911627547</c:v>
                </c:pt>
                <c:pt idx="34">
                  <c:v>86.774530064379263</c:v>
                </c:pt>
                <c:pt idx="35">
                  <c:v>87.068591999251936</c:v>
                </c:pt>
                <c:pt idx="36">
                  <c:v>87.347866253829139</c:v>
                </c:pt>
                <c:pt idx="37">
                  <c:v>87.613421704280938</c:v>
                </c:pt>
                <c:pt idx="38">
                  <c:v>87.866226889960302</c:v>
                </c:pt>
                <c:pt idx="39">
                  <c:v>88.107161507178617</c:v>
                </c:pt>
                <c:pt idx="40">
                  <c:v>88.337026359012512</c:v>
                </c:pt>
                <c:pt idx="41">
                  <c:v>88.556551997761801</c:v>
                </c:pt>
                <c:pt idx="42">
                  <c:v>88.766406256127425</c:v>
                </c:pt>
                <c:pt idx="43">
                  <c:v>88.967200830282735</c:v>
                </c:pt>
                <c:pt idx="44">
                  <c:v>89.159497051194663</c:v>
                </c:pt>
                <c:pt idx="45">
                  <c:v>89.343810958594446</c:v>
                </c:pt>
                <c:pt idx="46">
                  <c:v>89.520617773937715</c:v>
                </c:pt>
                <c:pt idx="47">
                  <c:v>89.738082234728708</c:v>
                </c:pt>
                <c:pt idx="48">
                  <c:v>89.900876428602785</c:v>
                </c:pt>
                <c:pt idx="49">
                  <c:v>90.057208654657273</c:v>
                </c:pt>
                <c:pt idx="50">
                  <c:v>90.20743295312694</c:v>
                </c:pt>
                <c:pt idx="51">
                  <c:v>90.351877974453103</c:v>
                </c:pt>
                <c:pt idx="52">
                  <c:v>90.490849215209806</c:v>
                </c:pt>
                <c:pt idx="53">
                  <c:v>90.624631021833906</c:v>
                </c:pt>
                <c:pt idx="54">
                  <c:v>90.753488389812702</c:v>
                </c:pt>
                <c:pt idx="55">
                  <c:v>90.877668582281416</c:v>
                </c:pt>
                <c:pt idx="56">
                  <c:v>90.997402588829786</c:v>
                </c:pt>
                <c:pt idx="57">
                  <c:v>91.11290644262418</c:v>
                </c:pt>
                <c:pt idx="58">
                  <c:v>91.224382411643631</c:v>
                </c:pt>
                <c:pt idx="59">
                  <c:v>91.332020077846849</c:v>
                </c:pt>
                <c:pt idx="60">
                  <c:v>91.435997316380835</c:v>
                </c:pt>
                <c:pt idx="61">
                  <c:v>91.536481185468489</c:v>
                </c:pt>
                <c:pt idx="62">
                  <c:v>91.63362873633865</c:v>
                </c:pt>
                <c:pt idx="63">
                  <c:v>91.727587751456454</c:v>
                </c:pt>
                <c:pt idx="64">
                  <c:v>91.818497418351456</c:v>
                </c:pt>
                <c:pt idx="65">
                  <c:v>91.906488945504577</c:v>
                </c:pt>
                <c:pt idx="66">
                  <c:v>91.991686126023978</c:v>
                </c:pt>
                <c:pt idx="67">
                  <c:v>92.074205854202177</c:v>
                </c:pt>
                <c:pt idx="68">
                  <c:v>92.154158599486095</c:v>
                </c:pt>
                <c:pt idx="69">
                  <c:v>92.231648841900977</c:v>
                </c:pt>
                <c:pt idx="70">
                  <c:v>92.306775472536444</c:v>
                </c:pt>
                <c:pt idx="71">
                  <c:v>92.379632162322196</c:v>
                </c:pt>
                <c:pt idx="72">
                  <c:v>92.450307701984357</c:v>
                </c:pt>
                <c:pt idx="73">
                  <c:v>92.518886315776427</c:v>
                </c:pt>
                <c:pt idx="74">
                  <c:v>92.585447951314976</c:v>
                </c:pt>
                <c:pt idx="75">
                  <c:v>92.650068547616954</c:v>
                </c:pt>
                <c:pt idx="76">
                  <c:v>92.712820283227572</c:v>
                </c:pt>
                <c:pt idx="77">
                  <c:v>92.773771806142847</c:v>
                </c:pt>
                <c:pt idx="78">
                  <c:v>92.832988447066541</c:v>
                </c:pt>
                <c:pt idx="79">
                  <c:v>92.890532417393885</c:v>
                </c:pt>
                <c:pt idx="80">
                  <c:v>92.946462993183189</c:v>
                </c:pt>
                <c:pt idx="81">
                  <c:v>93.000836686258765</c:v>
                </c:pt>
                <c:pt idx="82">
                  <c:v>93.053707403483429</c:v>
                </c:pt>
                <c:pt idx="83">
                  <c:v>93.105126595144</c:v>
                </c:pt>
                <c:pt idx="84">
                  <c:v>93.15514339330781</c:v>
                </c:pt>
                <c:pt idx="85">
                  <c:v>93.203804740932796</c:v>
                </c:pt>
                <c:pt idx="86">
                  <c:v>93.251155512443987</c:v>
                </c:pt>
                <c:pt idx="87">
                  <c:v>93.297238626426832</c:v>
                </c:pt>
                <c:pt idx="88">
                  <c:v>93.342095151032979</c:v>
                </c:pt>
                <c:pt idx="89">
                  <c:v>93.385764402641598</c:v>
                </c:pt>
                <c:pt idx="90">
                  <c:v>93.428284038274995</c:v>
                </c:pt>
                <c:pt idx="91">
                  <c:v>93.469690142224877</c:v>
                </c:pt>
                <c:pt idx="92">
                  <c:v>93.510017307307692</c:v>
                </c:pt>
                <c:pt idx="93">
                  <c:v>93.549298711134128</c:v>
                </c:pt>
                <c:pt idx="94">
                  <c:v>93.587566187745423</c:v>
                </c:pt>
                <c:pt idx="95">
                  <c:v>93.624850294942107</c:v>
                </c:pt>
                <c:pt idx="96">
                  <c:v>93.661180377604197</c:v>
                </c:pt>
                <c:pt idx="97">
                  <c:v>93.696584627278369</c:v>
                </c:pt>
                <c:pt idx="98">
                  <c:v>93.731090138286504</c:v>
                </c:pt>
                <c:pt idx="99">
                  <c:v>93.764722960590419</c:v>
                </c:pt>
                <c:pt idx="100">
                  <c:v>93.797508149629067</c:v>
                </c:pt>
                <c:pt idx="101">
                  <c:v>93.829469813329069</c:v>
                </c:pt>
                <c:pt idx="102">
                  <c:v>93.860631156473445</c:v>
                </c:pt>
                <c:pt idx="103">
                  <c:v>93.8910145226004</c:v>
                </c:pt>
                <c:pt idx="104">
                  <c:v>93.920641433591044</c:v>
                </c:pt>
                <c:pt idx="105">
                  <c:v>93.949532627093248</c:v>
                </c:pt>
                <c:pt idx="106">
                  <c:v>93.977708091918771</c:v>
                </c:pt>
                <c:pt idx="107">
                  <c:v>94.005187101540059</c:v>
                </c:pt>
                <c:pt idx="108">
                  <c:v>94.031988245805124</c:v>
                </c:pt>
                <c:pt idx="109">
                  <c:v>94.05812946097987</c:v>
                </c:pt>
                <c:pt idx="110">
                  <c:v>94.083628058219887</c:v>
                </c:pt>
                <c:pt idx="111">
                  <c:v>94.108500750566932</c:v>
                </c:pt>
                <c:pt idx="112">
                  <c:v>94.132763678558035</c:v>
                </c:pt>
                <c:pt idx="113">
                  <c:v>94.156432434530274</c:v>
                </c:pt>
                <c:pt idx="114">
                  <c:v>94.179522085697585</c:v>
                </c:pt>
                <c:pt idx="115">
                  <c:v>94.202047196071675</c:v>
                </c:pt>
                <c:pt idx="116">
                  <c:v>94.224021847293955</c:v>
                </c:pt>
                <c:pt idx="117">
                  <c:v>94.245459658440993</c:v>
                </c:pt>
                <c:pt idx="118">
                  <c:v>94.266373804862198</c:v>
                </c:pt>
                <c:pt idx="119">
                  <c:v>94.286777036104269</c:v>
                </c:pt>
                <c:pt idx="120">
                  <c:v>94.306681692973768</c:v>
                </c:pt>
                <c:pt idx="121">
                  <c:v>94.326099723785831</c:v>
                </c:pt>
                <c:pt idx="122">
                  <c:v>94.345042699843631</c:v>
                </c:pt>
                <c:pt idx="123">
                  <c:v>94.363521830191289</c:v>
                </c:pt>
                <c:pt idx="124">
                  <c:v>94.381547975679197</c:v>
                </c:pt>
                <c:pt idx="125">
                  <c:v>94.399131662379091</c:v>
                </c:pt>
                <c:pt idx="126">
                  <c:v>94.416283094383701</c:v>
                </c:pt>
                <c:pt idx="127">
                  <c:v>94.433012166023644</c:v>
                </c:pt>
                <c:pt idx="128">
                  <c:v>94.449328473532077</c:v>
                </c:pt>
                <c:pt idx="129">
                  <c:v>94.465241326186401</c:v>
                </c:pt>
                <c:pt idx="130">
                  <c:v>94.480759756953773</c:v>
                </c:pt>
                <c:pt idx="131">
                  <c:v>94.495892532666403</c:v>
                </c:pt>
                <c:pt idx="132">
                  <c:v>94.510648163750176</c:v>
                </c:pt>
                <c:pt idx="133">
                  <c:v>94.525034913529964</c:v>
                </c:pt>
                <c:pt idx="134">
                  <c:v>94.539060807132358</c:v>
                </c:pt>
                <c:pt idx="135">
                  <c:v>94.552733640006352</c:v>
                </c:pt>
                <c:pt idx="136">
                  <c:v>94.566060986080942</c:v>
                </c:pt>
                <c:pt idx="137">
                  <c:v>94.579050205577204</c:v>
                </c:pt>
                <c:pt idx="138">
                  <c:v>94.591708452492568</c:v>
                </c:pt>
                <c:pt idx="139">
                  <c:v>94.604042681772242</c:v>
                </c:pt>
                <c:pt idx="140">
                  <c:v>94.616059656183822</c:v>
                </c:pt>
                <c:pt idx="141">
                  <c:v>94.627765952908689</c:v>
                </c:pt>
                <c:pt idx="142">
                  <c:v>94.639167969864175</c:v>
                </c:pt>
                <c:pt idx="143">
                  <c:v>94.650271931768884</c:v>
                </c:pt>
                <c:pt idx="144">
                  <c:v>94.661083895963444</c:v>
                </c:pt>
                <c:pt idx="145">
                  <c:v>94.671609757998112</c:v>
                </c:pt>
                <c:pt idx="146">
                  <c:v>94.68185525699802</c:v>
                </c:pt>
                <c:pt idx="147">
                  <c:v>94.691825980816276</c:v>
                </c:pt>
                <c:pt idx="148">
                  <c:v>94.701527370984806</c:v>
                </c:pt>
                <c:pt idx="149">
                  <c:v>94.71096472747179</c:v>
                </c:pt>
                <c:pt idx="150">
                  <c:v>94.720143213255042</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1.1324293778526548E-4</c:v>
                </c:pt>
                <c:pt idx="2">
                  <c:v>2.2667141646083913E-4</c:v>
                </c:pt>
                <c:pt idx="3">
                  <c:v>3.4022068049001928E-4</c:v>
                </c:pt>
                <c:pt idx="4">
                  <c:v>4.5386762180857544E-4</c:v>
                </c:pt>
                <c:pt idx="5">
                  <c:v>5.6759888523144587E-4</c:v>
                </c:pt>
                <c:pt idx="6">
                  <c:v>6.8140545972672452E-4</c:v>
                </c:pt>
                <c:pt idx="7">
                  <c:v>7.9528073006666651E-4</c:v>
                </c:pt>
                <c:pt idx="8">
                  <c:v>9.0921957073961611E-4</c:v>
                </c:pt>
                <c:pt idx="9">
                  <c:v>1.0232178580711999E-3</c:v>
                </c:pt>
                <c:pt idx="10">
                  <c:v>1.1372721806795661E-3</c:v>
                </c:pt>
                <c:pt idx="11">
                  <c:v>1.2513796551805335E-3</c:v>
                </c:pt>
                <c:pt idx="12">
                  <c:v>1.3655378024995091E-3</c:v>
                </c:pt>
                <c:pt idx="13">
                  <c:v>1.4797444613297204E-3</c:v>
                </c:pt>
                <c:pt idx="14">
                  <c:v>1.5939977255098553E-3</c:v>
                </c:pt>
                <c:pt idx="15">
                  <c:v>1.7082958974344391E-3</c:v>
                </c:pt>
                <c:pt idx="16">
                  <c:v>1.8226374525744096E-3</c:v>
                </c:pt>
                <c:pt idx="17">
                  <c:v>1.9370210119160458E-3</c:v>
                </c:pt>
                <c:pt idx="18">
                  <c:v>2.0514453201807199E-3</c:v>
                </c:pt>
                <c:pt idx="19">
                  <c:v>2.1659092283536799E-3</c:v>
                </c:pt>
                <c:pt idx="20">
                  <c:v>2.2804116794838247E-3</c:v>
                </c:pt>
                <c:pt idx="21">
                  <c:v>2.3949516970066778E-3</c:v>
                </c:pt>
                <c:pt idx="22">
                  <c:v>2.5095283750416943E-3</c:v>
                </c:pt>
                <c:pt idx="23">
                  <c:v>2.6241408702543196E-3</c:v>
                </c:pt>
                <c:pt idx="24">
                  <c:v>2.7387883949725055E-3</c:v>
                </c:pt>
                <c:pt idx="25">
                  <c:v>2.853470211319474E-3</c:v>
                </c:pt>
                <c:pt idx="26">
                  <c:v>2.9681856261775576E-3</c:v>
                </c:pt>
                <c:pt idx="27">
                  <c:v>3.0829339868376172E-3</c:v>
                </c:pt>
                <c:pt idx="28">
                  <c:v>3.197714677218493E-3</c:v>
                </c:pt>
                <c:pt idx="29">
                  <c:v>3.3125271145638992E-3</c:v>
                </c:pt>
                <c:pt idx="30">
                  <c:v>3.4273707465419384E-3</c:v>
                </c:pt>
                <c:pt idx="31">
                  <c:v>3.5422450486862185E-3</c:v>
                </c:pt>
                <c:pt idx="32">
                  <c:v>3.6571495221285415E-3</c:v>
                </c:pt>
                <c:pt idx="33">
                  <c:v>3.7720836915817722E-3</c:v>
                </c:pt>
                <c:pt idx="34">
                  <c:v>3.8870471035384905E-3</c:v>
                </c:pt>
                <c:pt idx="35">
                  <c:v>4.0020393246565974E-3</c:v>
                </c:pt>
                <c:pt idx="36">
                  <c:v>4.1170599403076635E-3</c:v>
                </c:pt>
                <c:pt idx="37">
                  <c:v>4.2321085532675082E-3</c:v>
                </c:pt>
                <c:pt idx="38">
                  <c:v>4.3471847825315687E-3</c:v>
                </c:pt>
                <c:pt idx="39">
                  <c:v>4.4622882622401914E-3</c:v>
                </c:pt>
                <c:pt idx="40">
                  <c:v>4.5774186407010449E-3</c:v>
                </c:pt>
                <c:pt idx="41">
                  <c:v>4.6925755794976686E-3</c:v>
                </c:pt>
                <c:pt idx="42">
                  <c:v>4.8077587526746349E-3</c:v>
                </c:pt>
                <c:pt idx="43">
                  <c:v>4.9229678459910544E-3</c:v>
                </c:pt>
                <c:pt idx="44">
                  <c:v>5.0382025562352361E-3</c:v>
                </c:pt>
                <c:pt idx="45">
                  <c:v>5.1534625905941978E-3</c:v>
                </c:pt>
                <c:pt idx="46">
                  <c:v>5.2687476660725173E-3</c:v>
                </c:pt>
                <c:pt idx="47">
                  <c:v>5.3967653733488791E-3</c:v>
                </c:pt>
                <c:pt idx="48">
                  <c:v>5.5126607058968956E-3</c:v>
                </c:pt>
                <c:pt idx="49">
                  <c:v>5.628616593443431E-3</c:v>
                </c:pt>
                <c:pt idx="50">
                  <c:v>5.7446330359884846E-3</c:v>
                </c:pt>
                <c:pt idx="51">
                  <c:v>5.8607100335320572E-3</c:v>
                </c:pt>
                <c:pt idx="52">
                  <c:v>5.976847586074148E-3</c:v>
                </c:pt>
                <c:pt idx="53">
                  <c:v>6.0930456936147568E-3</c:v>
                </c:pt>
                <c:pt idx="54">
                  <c:v>6.2093043561538839E-3</c:v>
                </c:pt>
                <c:pt idx="55">
                  <c:v>6.3256235736915307E-3</c:v>
                </c:pt>
                <c:pt idx="56">
                  <c:v>6.4420033462276975E-3</c:v>
                </c:pt>
                <c:pt idx="57">
                  <c:v>6.5584436737623798E-3</c:v>
                </c:pt>
                <c:pt idx="58">
                  <c:v>6.6749445562955811E-3</c:v>
                </c:pt>
                <c:pt idx="59">
                  <c:v>6.7915059938273006E-3</c:v>
                </c:pt>
                <c:pt idx="60">
                  <c:v>6.9081279863575399E-3</c:v>
                </c:pt>
                <c:pt idx="61">
                  <c:v>7.0248105338862974E-3</c:v>
                </c:pt>
                <c:pt idx="62">
                  <c:v>7.141553636413573E-3</c:v>
                </c:pt>
                <c:pt idx="63">
                  <c:v>7.2583572939393702E-3</c:v>
                </c:pt>
                <c:pt idx="64">
                  <c:v>7.375221506463683E-3</c:v>
                </c:pt>
                <c:pt idx="65">
                  <c:v>7.4921462739865122E-3</c:v>
                </c:pt>
                <c:pt idx="66">
                  <c:v>7.609131596507863E-3</c:v>
                </c:pt>
                <c:pt idx="67">
                  <c:v>7.7261774740277327E-3</c:v>
                </c:pt>
                <c:pt idx="68">
                  <c:v>7.8432839065461172E-3</c:v>
                </c:pt>
                <c:pt idx="69">
                  <c:v>7.9604508940630241E-3</c:v>
                </c:pt>
                <c:pt idx="70">
                  <c:v>8.0776784365784483E-3</c:v>
                </c:pt>
                <c:pt idx="71">
                  <c:v>8.1949665340923898E-3</c:v>
                </c:pt>
                <c:pt idx="72">
                  <c:v>8.312315186604852E-3</c:v>
                </c:pt>
                <c:pt idx="73">
                  <c:v>8.4297243941158315E-3</c:v>
                </c:pt>
                <c:pt idx="74">
                  <c:v>8.5471941566253318E-3</c:v>
                </c:pt>
                <c:pt idx="75">
                  <c:v>8.6647244741333458E-3</c:v>
                </c:pt>
                <c:pt idx="76">
                  <c:v>8.7823153466398841E-3</c:v>
                </c:pt>
                <c:pt idx="77">
                  <c:v>8.8999667741449361E-3</c:v>
                </c:pt>
                <c:pt idx="78">
                  <c:v>9.0176787566485089E-3</c:v>
                </c:pt>
                <c:pt idx="79">
                  <c:v>9.135451294150599E-3</c:v>
                </c:pt>
                <c:pt idx="80">
                  <c:v>9.2532843866512081E-3</c:v>
                </c:pt>
                <c:pt idx="81">
                  <c:v>9.3711780341503362E-3</c:v>
                </c:pt>
                <c:pt idx="82">
                  <c:v>9.4891322366479833E-3</c:v>
                </c:pt>
                <c:pt idx="83">
                  <c:v>9.6071469941441494E-3</c:v>
                </c:pt>
                <c:pt idx="84">
                  <c:v>9.725222306638831E-3</c:v>
                </c:pt>
                <c:pt idx="85">
                  <c:v>9.8433581741320334E-3</c:v>
                </c:pt>
                <c:pt idx="86">
                  <c:v>9.9615545966237531E-3</c:v>
                </c:pt>
                <c:pt idx="87">
                  <c:v>1.007981157411399E-2</c:v>
                </c:pt>
                <c:pt idx="88">
                  <c:v>1.0198129106602749E-2</c:v>
                </c:pt>
                <c:pt idx="89">
                  <c:v>1.0316507194090026E-2</c:v>
                </c:pt>
                <c:pt idx="90">
                  <c:v>1.043494583657582E-2</c:v>
                </c:pt>
                <c:pt idx="91">
                  <c:v>1.0553445034060133E-2</c:v>
                </c:pt>
                <c:pt idx="92">
                  <c:v>1.0672004786542965E-2</c:v>
                </c:pt>
                <c:pt idx="93">
                  <c:v>1.0790625094024314E-2</c:v>
                </c:pt>
                <c:pt idx="94">
                  <c:v>1.0909305956504184E-2</c:v>
                </c:pt>
                <c:pt idx="95">
                  <c:v>1.102804737398257E-2</c:v>
                </c:pt>
                <c:pt idx="96">
                  <c:v>1.1146849346459476E-2</c:v>
                </c:pt>
                <c:pt idx="97">
                  <c:v>1.12657118739349E-2</c:v>
                </c:pt>
                <c:pt idx="98">
                  <c:v>1.1384634956408842E-2</c:v>
                </c:pt>
                <c:pt idx="99">
                  <c:v>1.1503618593881307E-2</c:v>
                </c:pt>
                <c:pt idx="100">
                  <c:v>1.1622662786352284E-2</c:v>
                </c:pt>
                <c:pt idx="101">
                  <c:v>1.1741767533821782E-2</c:v>
                </c:pt>
                <c:pt idx="102">
                  <c:v>1.1860932836289799E-2</c:v>
                </c:pt>
                <c:pt idx="103">
                  <c:v>1.1980158693756333E-2</c:v>
                </c:pt>
                <c:pt idx="104">
                  <c:v>1.2099445106221388E-2</c:v>
                </c:pt>
                <c:pt idx="105">
                  <c:v>1.2218792073684958E-2</c:v>
                </c:pt>
                <c:pt idx="106">
                  <c:v>1.2338199596147049E-2</c:v>
                </c:pt>
                <c:pt idx="107">
                  <c:v>1.2457667673607658E-2</c:v>
                </c:pt>
                <c:pt idx="108">
                  <c:v>1.2577196306066785E-2</c:v>
                </c:pt>
                <c:pt idx="109">
                  <c:v>1.2696785493524433E-2</c:v>
                </c:pt>
                <c:pt idx="110">
                  <c:v>1.2816435235980597E-2</c:v>
                </c:pt>
                <c:pt idx="111">
                  <c:v>1.2936145533435282E-2</c:v>
                </c:pt>
                <c:pt idx="112">
                  <c:v>1.3055916385888487E-2</c:v>
                </c:pt>
                <c:pt idx="113">
                  <c:v>1.3175747793340204E-2</c:v>
                </c:pt>
                <c:pt idx="114">
                  <c:v>1.3295639755790444E-2</c:v>
                </c:pt>
                <c:pt idx="115">
                  <c:v>1.3415592273239199E-2</c:v>
                </c:pt>
                <c:pt idx="116">
                  <c:v>1.3535605345686477E-2</c:v>
                </c:pt>
                <c:pt idx="117">
                  <c:v>1.3655678973132274E-2</c:v>
                </c:pt>
                <c:pt idx="118">
                  <c:v>1.3775813155576582E-2</c:v>
                </c:pt>
                <c:pt idx="119">
                  <c:v>1.3896007893019419E-2</c:v>
                </c:pt>
                <c:pt idx="120">
                  <c:v>1.4016263185460764E-2</c:v>
                </c:pt>
                <c:pt idx="121">
                  <c:v>1.4136579032900637E-2</c:v>
                </c:pt>
                <c:pt idx="122">
                  <c:v>1.425695543533902E-2</c:v>
                </c:pt>
                <c:pt idx="123">
                  <c:v>1.4377392392775926E-2</c:v>
                </c:pt>
                <c:pt idx="124">
                  <c:v>1.4497889905211349E-2</c:v>
                </c:pt>
                <c:pt idx="125">
                  <c:v>1.4618447972645292E-2</c:v>
                </c:pt>
                <c:pt idx="126">
                  <c:v>1.4739066595077758E-2</c:v>
                </c:pt>
                <c:pt idx="127">
                  <c:v>1.4859745772508733E-2</c:v>
                </c:pt>
                <c:pt idx="128">
                  <c:v>1.4980485504938235E-2</c:v>
                </c:pt>
                <c:pt idx="129">
                  <c:v>1.5101285792366248E-2</c:v>
                </c:pt>
                <c:pt idx="130">
                  <c:v>1.5222146634792783E-2</c:v>
                </c:pt>
                <c:pt idx="131">
                  <c:v>1.5343068032217837E-2</c:v>
                </c:pt>
                <c:pt idx="132">
                  <c:v>1.5464049984641409E-2</c:v>
                </c:pt>
                <c:pt idx="133">
                  <c:v>1.5585092492063499E-2</c:v>
                </c:pt>
                <c:pt idx="134">
                  <c:v>1.5706195554484114E-2</c:v>
                </c:pt>
                <c:pt idx="135">
                  <c:v>1.5827359171903237E-2</c:v>
                </c:pt>
                <c:pt idx="136">
                  <c:v>1.5948583344320883E-2</c:v>
                </c:pt>
                <c:pt idx="137">
                  <c:v>1.6069868071737051E-2</c:v>
                </c:pt>
                <c:pt idx="138">
                  <c:v>1.6191213354151732E-2</c:v>
                </c:pt>
                <c:pt idx="139">
                  <c:v>1.6312619191564938E-2</c:v>
                </c:pt>
                <c:pt idx="140">
                  <c:v>1.6434085583976656E-2</c:v>
                </c:pt>
                <c:pt idx="141">
                  <c:v>1.6555612531386897E-2</c:v>
                </c:pt>
                <c:pt idx="142">
                  <c:v>1.667720003379565E-2</c:v>
                </c:pt>
                <c:pt idx="143">
                  <c:v>1.6798848091202925E-2</c:v>
                </c:pt>
                <c:pt idx="144">
                  <c:v>1.6920556703608723E-2</c:v>
                </c:pt>
                <c:pt idx="145">
                  <c:v>1.704232587101304E-2</c:v>
                </c:pt>
                <c:pt idx="146">
                  <c:v>1.7164155593415865E-2</c:v>
                </c:pt>
                <c:pt idx="147">
                  <c:v>1.7286045870817217E-2</c:v>
                </c:pt>
                <c:pt idx="148">
                  <c:v>1.7407996703217087E-2</c:v>
                </c:pt>
                <c:pt idx="149">
                  <c:v>1.7530008090615477E-2</c:v>
                </c:pt>
                <c:pt idx="150">
                  <c:v>1.7652080033012375E-2</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0.21092</c:v>
                </c:pt>
                <c:pt idx="1">
                  <c:v>0.21112607999999999</c:v>
                </c:pt>
                <c:pt idx="2">
                  <c:v>0.21133215999999999</c:v>
                </c:pt>
                <c:pt idx="3">
                  <c:v>0.21153823999999999</c:v>
                </c:pt>
                <c:pt idx="4">
                  <c:v>0.21174431999999999</c:v>
                </c:pt>
                <c:pt idx="5">
                  <c:v>0.21195039999999998</c:v>
                </c:pt>
                <c:pt idx="6">
                  <c:v>0.21215648000000001</c:v>
                </c:pt>
                <c:pt idx="7">
                  <c:v>0.21236256000000001</c:v>
                </c:pt>
                <c:pt idx="8">
                  <c:v>0.21256864</c:v>
                </c:pt>
                <c:pt idx="9">
                  <c:v>0.21277472</c:v>
                </c:pt>
                <c:pt idx="10">
                  <c:v>0.2129808</c:v>
                </c:pt>
                <c:pt idx="11">
                  <c:v>0.21318688</c:v>
                </c:pt>
                <c:pt idx="12">
                  <c:v>0.21339295999999999</c:v>
                </c:pt>
                <c:pt idx="13">
                  <c:v>0.21359903999999999</c:v>
                </c:pt>
                <c:pt idx="14">
                  <c:v>0.21380511999999999</c:v>
                </c:pt>
                <c:pt idx="15">
                  <c:v>0.21401119999999998</c:v>
                </c:pt>
                <c:pt idx="16">
                  <c:v>0.21421728000000001</c:v>
                </c:pt>
                <c:pt idx="17">
                  <c:v>0.21442336000000001</c:v>
                </c:pt>
                <c:pt idx="18">
                  <c:v>0.21462944</c:v>
                </c:pt>
                <c:pt idx="19">
                  <c:v>0.21483552</c:v>
                </c:pt>
                <c:pt idx="20">
                  <c:v>0.2150416</c:v>
                </c:pt>
                <c:pt idx="21">
                  <c:v>0.21524768</c:v>
                </c:pt>
                <c:pt idx="22">
                  <c:v>0.21545375999999999</c:v>
                </c:pt>
                <c:pt idx="23">
                  <c:v>0.21565983999999999</c:v>
                </c:pt>
                <c:pt idx="24">
                  <c:v>0.21586591999999999</c:v>
                </c:pt>
                <c:pt idx="25">
                  <c:v>0.21607199999999999</c:v>
                </c:pt>
                <c:pt idx="26">
                  <c:v>0.21627807999999998</c:v>
                </c:pt>
                <c:pt idx="27">
                  <c:v>0.21648416000000001</c:v>
                </c:pt>
                <c:pt idx="28">
                  <c:v>0.21669024000000001</c:v>
                </c:pt>
                <c:pt idx="29">
                  <c:v>0.21689632</c:v>
                </c:pt>
                <c:pt idx="30">
                  <c:v>0.2171024</c:v>
                </c:pt>
                <c:pt idx="31">
                  <c:v>0.21730848</c:v>
                </c:pt>
                <c:pt idx="32">
                  <c:v>0.21751456</c:v>
                </c:pt>
                <c:pt idx="33">
                  <c:v>0.21772063999999999</c:v>
                </c:pt>
                <c:pt idx="34">
                  <c:v>0.21792671999999999</c:v>
                </c:pt>
                <c:pt idx="35">
                  <c:v>0.21813279999999999</c:v>
                </c:pt>
                <c:pt idx="36">
                  <c:v>0.21833887999999999</c:v>
                </c:pt>
                <c:pt idx="37">
                  <c:v>0.21854496000000001</c:v>
                </c:pt>
                <c:pt idx="38">
                  <c:v>0.21875104000000001</c:v>
                </c:pt>
                <c:pt idx="39">
                  <c:v>0.21895712000000001</c:v>
                </c:pt>
                <c:pt idx="40">
                  <c:v>0.2191632</c:v>
                </c:pt>
                <c:pt idx="41">
                  <c:v>0.21936928</c:v>
                </c:pt>
                <c:pt idx="42">
                  <c:v>0.21957536</c:v>
                </c:pt>
                <c:pt idx="43">
                  <c:v>0.21978143999999999</c:v>
                </c:pt>
                <c:pt idx="44">
                  <c:v>0.21998751999999999</c:v>
                </c:pt>
                <c:pt idx="45">
                  <c:v>0.22019359999999999</c:v>
                </c:pt>
                <c:pt idx="46">
                  <c:v>0.22039967999999999</c:v>
                </c:pt>
                <c:pt idx="47">
                  <c:v>0.22060575999999998</c:v>
                </c:pt>
                <c:pt idx="48">
                  <c:v>0.22081184000000001</c:v>
                </c:pt>
                <c:pt idx="49">
                  <c:v>0.22101792000000001</c:v>
                </c:pt>
                <c:pt idx="50">
                  <c:v>0.221224</c:v>
                </c:pt>
                <c:pt idx="51">
                  <c:v>0.22143008</c:v>
                </c:pt>
                <c:pt idx="52">
                  <c:v>0.22163616</c:v>
                </c:pt>
                <c:pt idx="53">
                  <c:v>0.22184224</c:v>
                </c:pt>
                <c:pt idx="54">
                  <c:v>0.22204831999999999</c:v>
                </c:pt>
                <c:pt idx="55">
                  <c:v>0.22225439999999999</c:v>
                </c:pt>
                <c:pt idx="56">
                  <c:v>0.22246047999999999</c:v>
                </c:pt>
                <c:pt idx="57">
                  <c:v>0.22266655999999999</c:v>
                </c:pt>
                <c:pt idx="58">
                  <c:v>0.22287264000000001</c:v>
                </c:pt>
                <c:pt idx="59">
                  <c:v>0.22307872000000001</c:v>
                </c:pt>
                <c:pt idx="60">
                  <c:v>0.22328480000000001</c:v>
                </c:pt>
                <c:pt idx="61">
                  <c:v>0.22349088</c:v>
                </c:pt>
                <c:pt idx="62">
                  <c:v>0.22369696</c:v>
                </c:pt>
                <c:pt idx="63">
                  <c:v>0.22390304</c:v>
                </c:pt>
                <c:pt idx="64">
                  <c:v>0.22410911999999999</c:v>
                </c:pt>
                <c:pt idx="65">
                  <c:v>0.22431519999999999</c:v>
                </c:pt>
                <c:pt idx="66">
                  <c:v>0.22452127999999999</c:v>
                </c:pt>
                <c:pt idx="67">
                  <c:v>0.22472735999999999</c:v>
                </c:pt>
                <c:pt idx="68">
                  <c:v>0.22493343999999998</c:v>
                </c:pt>
                <c:pt idx="69">
                  <c:v>0.22513951999999998</c:v>
                </c:pt>
                <c:pt idx="70">
                  <c:v>0.22534560000000001</c:v>
                </c:pt>
                <c:pt idx="71">
                  <c:v>0.22555168</c:v>
                </c:pt>
                <c:pt idx="72">
                  <c:v>0.22575776</c:v>
                </c:pt>
                <c:pt idx="73">
                  <c:v>0.22596384</c:v>
                </c:pt>
                <c:pt idx="74">
                  <c:v>0.22616992</c:v>
                </c:pt>
                <c:pt idx="75">
                  <c:v>0.22637599999999999</c:v>
                </c:pt>
                <c:pt idx="76">
                  <c:v>0.22658207999999999</c:v>
                </c:pt>
                <c:pt idx="77">
                  <c:v>0.22678815999999999</c:v>
                </c:pt>
                <c:pt idx="78">
                  <c:v>0.22699424000000001</c:v>
                </c:pt>
                <c:pt idx="79">
                  <c:v>0.22720032000000001</c:v>
                </c:pt>
                <c:pt idx="80">
                  <c:v>0.22740640000000001</c:v>
                </c:pt>
                <c:pt idx="81">
                  <c:v>0.22761248000000001</c:v>
                </c:pt>
                <c:pt idx="82">
                  <c:v>0.22781856</c:v>
                </c:pt>
                <c:pt idx="83">
                  <c:v>0.22802464</c:v>
                </c:pt>
                <c:pt idx="84">
                  <c:v>0.22823072</c:v>
                </c:pt>
                <c:pt idx="85">
                  <c:v>0.2284368</c:v>
                </c:pt>
                <c:pt idx="86">
                  <c:v>0.22864287999999999</c:v>
                </c:pt>
                <c:pt idx="87">
                  <c:v>0.22884895999999999</c:v>
                </c:pt>
                <c:pt idx="88">
                  <c:v>0.22905503999999999</c:v>
                </c:pt>
                <c:pt idx="89">
                  <c:v>0.22926111999999998</c:v>
                </c:pt>
                <c:pt idx="90">
                  <c:v>0.22946720000000001</c:v>
                </c:pt>
                <c:pt idx="91">
                  <c:v>0.22967328000000001</c:v>
                </c:pt>
                <c:pt idx="92">
                  <c:v>0.22987936</c:v>
                </c:pt>
                <c:pt idx="93">
                  <c:v>0.23008544</c:v>
                </c:pt>
                <c:pt idx="94">
                  <c:v>0.23029152</c:v>
                </c:pt>
                <c:pt idx="95">
                  <c:v>0.2304976</c:v>
                </c:pt>
                <c:pt idx="96">
                  <c:v>0.23070367999999999</c:v>
                </c:pt>
                <c:pt idx="97">
                  <c:v>0.23090975999999999</c:v>
                </c:pt>
                <c:pt idx="98">
                  <c:v>0.23111583999999999</c:v>
                </c:pt>
                <c:pt idx="99">
                  <c:v>0.23132191999999999</c:v>
                </c:pt>
                <c:pt idx="100">
                  <c:v>0.23152800000000001</c:v>
                </c:pt>
                <c:pt idx="101">
                  <c:v>0.23173408000000001</c:v>
                </c:pt>
                <c:pt idx="102">
                  <c:v>0.23194016000000001</c:v>
                </c:pt>
                <c:pt idx="103">
                  <c:v>0.23214624</c:v>
                </c:pt>
                <c:pt idx="104">
                  <c:v>0.23235232</c:v>
                </c:pt>
                <c:pt idx="105">
                  <c:v>0.2325584</c:v>
                </c:pt>
                <c:pt idx="106">
                  <c:v>0.23276448</c:v>
                </c:pt>
                <c:pt idx="107">
                  <c:v>0.23297055999999999</c:v>
                </c:pt>
                <c:pt idx="108">
                  <c:v>0.23317663999999999</c:v>
                </c:pt>
                <c:pt idx="109">
                  <c:v>0.23338271999999999</c:v>
                </c:pt>
                <c:pt idx="110">
                  <c:v>0.23358879999999999</c:v>
                </c:pt>
                <c:pt idx="111">
                  <c:v>0.23379487999999998</c:v>
                </c:pt>
                <c:pt idx="112">
                  <c:v>0.23400096000000001</c:v>
                </c:pt>
                <c:pt idx="113">
                  <c:v>0.23420704000000001</c:v>
                </c:pt>
                <c:pt idx="114">
                  <c:v>0.23441312</c:v>
                </c:pt>
                <c:pt idx="115">
                  <c:v>0.2346192</c:v>
                </c:pt>
                <c:pt idx="116">
                  <c:v>0.23482528</c:v>
                </c:pt>
                <c:pt idx="117">
                  <c:v>0.23503135999999999</c:v>
                </c:pt>
                <c:pt idx="118">
                  <c:v>0.23523743999999999</c:v>
                </c:pt>
                <c:pt idx="119">
                  <c:v>0.23544351999999999</c:v>
                </c:pt>
                <c:pt idx="120">
                  <c:v>0.23564959999999999</c:v>
                </c:pt>
                <c:pt idx="121">
                  <c:v>0.23585568000000001</c:v>
                </c:pt>
                <c:pt idx="122">
                  <c:v>0.23606176000000001</c:v>
                </c:pt>
                <c:pt idx="123">
                  <c:v>0.23626784000000001</c:v>
                </c:pt>
                <c:pt idx="124">
                  <c:v>0.23647392</c:v>
                </c:pt>
                <c:pt idx="125">
                  <c:v>0.23668</c:v>
                </c:pt>
                <c:pt idx="126">
                  <c:v>0.23688608</c:v>
                </c:pt>
                <c:pt idx="127">
                  <c:v>0.23709216</c:v>
                </c:pt>
                <c:pt idx="128">
                  <c:v>0.23729823999999999</c:v>
                </c:pt>
                <c:pt idx="129">
                  <c:v>0.23750431999999999</c:v>
                </c:pt>
                <c:pt idx="130">
                  <c:v>0.23771039999999999</c:v>
                </c:pt>
                <c:pt idx="131">
                  <c:v>0.23791647999999999</c:v>
                </c:pt>
                <c:pt idx="132">
                  <c:v>0.23812255999999998</c:v>
                </c:pt>
                <c:pt idx="133">
                  <c:v>0.23832864000000001</c:v>
                </c:pt>
                <c:pt idx="134">
                  <c:v>0.23853472000000001</c:v>
                </c:pt>
                <c:pt idx="135">
                  <c:v>0.2387408</c:v>
                </c:pt>
                <c:pt idx="136">
                  <c:v>0.23894688</c:v>
                </c:pt>
                <c:pt idx="137">
                  <c:v>0.23915296</c:v>
                </c:pt>
                <c:pt idx="138">
                  <c:v>0.23935904</c:v>
                </c:pt>
                <c:pt idx="139">
                  <c:v>0.23956511999999999</c:v>
                </c:pt>
                <c:pt idx="140">
                  <c:v>0.23977119999999999</c:v>
                </c:pt>
                <c:pt idx="141">
                  <c:v>0.23997727999999999</c:v>
                </c:pt>
                <c:pt idx="142">
                  <c:v>0.24018336000000001</c:v>
                </c:pt>
                <c:pt idx="143">
                  <c:v>0.24038944000000001</c:v>
                </c:pt>
                <c:pt idx="144">
                  <c:v>0.24059552000000001</c:v>
                </c:pt>
                <c:pt idx="145">
                  <c:v>0.2408016</c:v>
                </c:pt>
                <c:pt idx="146">
                  <c:v>0.24100768</c:v>
                </c:pt>
                <c:pt idx="147">
                  <c:v>0.24121376</c:v>
                </c:pt>
                <c:pt idx="148">
                  <c:v>0.24141984</c:v>
                </c:pt>
                <c:pt idx="149">
                  <c:v>0.24162591999999999</c:v>
                </c:pt>
                <c:pt idx="150">
                  <c:v>0.24183199999999999</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1.8283074847214152E-6</c:v>
                </c:pt>
                <c:pt idx="2">
                  <c:v>5.1712344821625288E-6</c:v>
                </c:pt>
                <c:pt idx="3">
                  <c:v>9.5001643661878514E-6</c:v>
                </c:pt>
                <c:pt idx="4">
                  <c:v>1.4626459877771323E-5</c:v>
                </c:pt>
                <c:pt idx="5">
                  <c:v>2.0441099098043695E-5</c:v>
                </c:pt>
                <c:pt idx="6">
                  <c:v>2.6870522582872909E-5</c:v>
                </c:pt>
                <c:pt idx="7">
                  <c:v>3.3860728473116205E-5</c:v>
                </c:pt>
                <c:pt idx="8">
                  <c:v>4.136987585730023E-5</c:v>
                </c:pt>
                <c:pt idx="9">
                  <c:v>4.9364302087478198E-5</c:v>
                </c:pt>
                <c:pt idx="10">
                  <c:v>5.7816159148531678E-5</c:v>
                </c:pt>
                <c:pt idx="11">
                  <c:v>6.6701909210413064E-5</c:v>
                </c:pt>
                <c:pt idx="12">
                  <c:v>7.6001314929502798E-5</c:v>
                </c:pt>
                <c:pt idx="13">
                  <c:v>8.5696732985209557E-5</c:v>
                </c:pt>
                <c:pt idx="14">
                  <c:v>9.5772602877027533E-5</c:v>
                </c:pt>
                <c:pt idx="15">
                  <c:v>1.0621506660108619E-4</c:v>
                </c:pt>
                <c:pt idx="16">
                  <c:v>1.1701167902217057E-4</c:v>
                </c:pt>
                <c:pt idx="17">
                  <c:v>1.2815118288543354E-4</c:v>
                </c:pt>
                <c:pt idx="18">
                  <c:v>1.3962333101838836E-4</c:v>
                </c:pt>
                <c:pt idx="19">
                  <c:v>1.5141874370877385E-4</c:v>
                </c:pt>
                <c:pt idx="20">
                  <c:v>1.6352879278434956E-4</c:v>
                </c:pt>
                <c:pt idx="21">
                  <c:v>1.7594550629019417E-4</c:v>
                </c:pt>
                <c:pt idx="22">
                  <c:v>1.8866148928309013E-4</c:v>
                </c:pt>
                <c:pt idx="23">
                  <c:v>2.0166985739931772E-4</c:v>
                </c:pt>
                <c:pt idx="24">
                  <c:v>2.1496418066298324E-4</c:v>
                </c:pt>
                <c:pt idx="25">
                  <c:v>2.2853843559017678E-4</c:v>
                </c:pt>
                <c:pt idx="26">
                  <c:v>2.4238696407749818E-4</c:v>
                </c:pt>
                <c:pt idx="27">
                  <c:v>2.5650443788707183E-4</c:v>
                </c:pt>
                <c:pt idx="28">
                  <c:v>2.7088582778492958E-4</c:v>
                </c:pt>
                <c:pt idx="29">
                  <c:v>2.855263765769288E-4</c:v>
                </c:pt>
                <c:pt idx="30">
                  <c:v>3.004215754312352E-4</c:v>
                </c:pt>
                <c:pt idx="31">
                  <c:v>3.1556714298954598E-4</c:v>
                </c:pt>
                <c:pt idx="32">
                  <c:v>3.3095900685840184E-4</c:v>
                </c:pt>
                <c:pt idx="33">
                  <c:v>3.4659328714284587E-4</c:v>
                </c:pt>
                <c:pt idx="34">
                  <c:v>3.6246628174147003E-4</c:v>
                </c:pt>
                <c:pt idx="35">
                  <c:v>3.7857445316775247E-4</c:v>
                </c:pt>
                <c:pt idx="36">
                  <c:v>3.9491441669982559E-4</c:v>
                </c:pt>
                <c:pt idx="37">
                  <c:v>4.114829296913067E-4</c:v>
                </c:pt>
                <c:pt idx="38">
                  <c:v>4.2827688190088777E-4</c:v>
                </c:pt>
                <c:pt idx="39">
                  <c:v>4.4529328671913989E-4</c:v>
                </c:pt>
                <c:pt idx="40">
                  <c:v>4.6252927318825348E-4</c:v>
                </c:pt>
                <c:pt idx="41">
                  <c:v>4.7998207872488252E-4</c:v>
                </c:pt>
                <c:pt idx="42">
                  <c:v>4.9764904246838684E-4</c:v>
                </c:pt>
                <c:pt idx="43">
                  <c:v>5.155275991870214E-4</c:v>
                </c:pt>
                <c:pt idx="44">
                  <c:v>5.3361527368330451E-4</c:v>
                </c:pt>
                <c:pt idx="45">
                  <c:v>5.519096756471803E-4</c:v>
                </c:pt>
                <c:pt idx="46">
                  <c:v>5.7040849491192622E-4</c:v>
                </c:pt>
                <c:pt idx="47">
                  <c:v>6.9284716558927289E-4</c:v>
                </c:pt>
                <c:pt idx="48">
                  <c:v>7.1632767521890217E-4</c:v>
                </c:pt>
                <c:pt idx="49">
                  <c:v>7.4030251136705046E-4</c:v>
                </c:pt>
                <c:pt idx="50">
                  <c:v>7.6477167403371689E-4</c:v>
                </c:pt>
                <c:pt idx="51">
                  <c:v>7.897351632189019E-4</c:v>
                </c:pt>
                <c:pt idx="52">
                  <c:v>8.1519297892260656E-4</c:v>
                </c:pt>
                <c:pt idx="53">
                  <c:v>8.4114512114482807E-4</c:v>
                </c:pt>
                <c:pt idx="54">
                  <c:v>8.6759158988556891E-4</c:v>
                </c:pt>
                <c:pt idx="55">
                  <c:v>8.9453238514482778E-4</c:v>
                </c:pt>
                <c:pt idx="56">
                  <c:v>9.219675069226062E-4</c:v>
                </c:pt>
                <c:pt idx="57">
                  <c:v>9.4989695521890223E-4</c:v>
                </c:pt>
                <c:pt idx="58">
                  <c:v>9.7832073003371726E-4</c:v>
                </c:pt>
                <c:pt idx="59">
                  <c:v>1.0072388313670504E-3</c:v>
                </c:pt>
                <c:pt idx="60">
                  <c:v>1.0366512592189024E-3</c:v>
                </c:pt>
                <c:pt idx="61">
                  <c:v>1.0665580135892725E-3</c:v>
                </c:pt>
                <c:pt idx="62">
                  <c:v>1.096959094478161E-3</c:v>
                </c:pt>
                <c:pt idx="63">
                  <c:v>1.1278545018855689E-3</c:v>
                </c:pt>
                <c:pt idx="64">
                  <c:v>1.1592442358114954E-3</c:v>
                </c:pt>
                <c:pt idx="65">
                  <c:v>1.1911282962559391E-3</c:v>
                </c:pt>
                <c:pt idx="66">
                  <c:v>1.2235066832189025E-3</c:v>
                </c:pt>
                <c:pt idx="67">
                  <c:v>1.2563793967003839E-3</c:v>
                </c:pt>
                <c:pt idx="68">
                  <c:v>1.2897464367003836E-3</c:v>
                </c:pt>
                <c:pt idx="69">
                  <c:v>1.3236078032189023E-3</c:v>
                </c:pt>
                <c:pt idx="70">
                  <c:v>1.3579634962559387E-3</c:v>
                </c:pt>
                <c:pt idx="71">
                  <c:v>1.3928135158114952E-3</c:v>
                </c:pt>
                <c:pt idx="72">
                  <c:v>1.4281578618855683E-3</c:v>
                </c:pt>
                <c:pt idx="73">
                  <c:v>1.4639965344781618E-3</c:v>
                </c:pt>
                <c:pt idx="74">
                  <c:v>1.5003295335892731E-3</c:v>
                </c:pt>
                <c:pt idx="75">
                  <c:v>1.5371568592189018E-3</c:v>
                </c:pt>
                <c:pt idx="76">
                  <c:v>1.5744785113670509E-3</c:v>
                </c:pt>
                <c:pt idx="77">
                  <c:v>1.612294490033717E-3</c:v>
                </c:pt>
                <c:pt idx="78">
                  <c:v>1.6506047952189026E-3</c:v>
                </c:pt>
                <c:pt idx="79">
                  <c:v>1.6894094269226058E-3</c:v>
                </c:pt>
                <c:pt idx="80">
                  <c:v>1.7287083851448284E-3</c:v>
                </c:pt>
                <c:pt idx="81">
                  <c:v>1.76850166988557E-3</c:v>
                </c:pt>
                <c:pt idx="82">
                  <c:v>1.8087892811448278E-3</c:v>
                </c:pt>
                <c:pt idx="83">
                  <c:v>1.8495712189226065E-3</c:v>
                </c:pt>
                <c:pt idx="84">
                  <c:v>1.8908474832189019E-3</c:v>
                </c:pt>
                <c:pt idx="85">
                  <c:v>1.9326180740337168E-3</c:v>
                </c:pt>
                <c:pt idx="86">
                  <c:v>1.9748829913670508E-3</c:v>
                </c:pt>
                <c:pt idx="87">
                  <c:v>2.0176422352189013E-3</c:v>
                </c:pt>
                <c:pt idx="88">
                  <c:v>2.0608958055892733E-3</c:v>
                </c:pt>
                <c:pt idx="89">
                  <c:v>2.1046437024781614E-3</c:v>
                </c:pt>
                <c:pt idx="90">
                  <c:v>2.1488859258855693E-3</c:v>
                </c:pt>
                <c:pt idx="91">
                  <c:v>2.1936224758114936E-3</c:v>
                </c:pt>
                <c:pt idx="92">
                  <c:v>2.2388533522559395E-3</c:v>
                </c:pt>
                <c:pt idx="93">
                  <c:v>2.2845785552189032E-3</c:v>
                </c:pt>
                <c:pt idx="94">
                  <c:v>2.3307980847003828E-3</c:v>
                </c:pt>
                <c:pt idx="95">
                  <c:v>2.3775119407003845E-3</c:v>
                </c:pt>
                <c:pt idx="96">
                  <c:v>2.4247201232189025E-3</c:v>
                </c:pt>
                <c:pt idx="97">
                  <c:v>2.4724226322559396E-3</c:v>
                </c:pt>
                <c:pt idx="98">
                  <c:v>2.520619467811494E-3</c:v>
                </c:pt>
                <c:pt idx="99">
                  <c:v>2.569310629885569E-3</c:v>
                </c:pt>
                <c:pt idx="100">
                  <c:v>2.618496118478161E-3</c:v>
                </c:pt>
                <c:pt idx="101">
                  <c:v>2.6681759335892715E-3</c:v>
                </c:pt>
                <c:pt idx="102">
                  <c:v>2.7183500752189006E-3</c:v>
                </c:pt>
                <c:pt idx="103">
                  <c:v>2.7690185433670491E-3</c:v>
                </c:pt>
                <c:pt idx="104">
                  <c:v>2.8201813380337175E-3</c:v>
                </c:pt>
                <c:pt idx="105">
                  <c:v>2.871838459218901E-3</c:v>
                </c:pt>
                <c:pt idx="106">
                  <c:v>2.9239899069226066E-3</c:v>
                </c:pt>
                <c:pt idx="107">
                  <c:v>2.9766356811448264E-3</c:v>
                </c:pt>
                <c:pt idx="108">
                  <c:v>3.0297757818855691E-3</c:v>
                </c:pt>
                <c:pt idx="109">
                  <c:v>3.0834102091448286E-3</c:v>
                </c:pt>
                <c:pt idx="110">
                  <c:v>3.1375389629226037E-3</c:v>
                </c:pt>
                <c:pt idx="111">
                  <c:v>3.192162043218903E-3</c:v>
                </c:pt>
                <c:pt idx="112">
                  <c:v>3.2472794500337178E-3</c:v>
                </c:pt>
                <c:pt idx="113">
                  <c:v>3.3028911833670499E-3</c:v>
                </c:pt>
                <c:pt idx="114">
                  <c:v>3.3589972432189032E-3</c:v>
                </c:pt>
                <c:pt idx="115">
                  <c:v>3.415597629589272E-3</c:v>
                </c:pt>
                <c:pt idx="116">
                  <c:v>3.4726923424781616E-3</c:v>
                </c:pt>
                <c:pt idx="117">
                  <c:v>3.5302813818855693E-3</c:v>
                </c:pt>
                <c:pt idx="118">
                  <c:v>3.5883647478114952E-3</c:v>
                </c:pt>
                <c:pt idx="119">
                  <c:v>3.6469424402559396E-3</c:v>
                </c:pt>
                <c:pt idx="120">
                  <c:v>3.7060144592189008E-3</c:v>
                </c:pt>
                <c:pt idx="121">
                  <c:v>3.7655808047003842E-3</c:v>
                </c:pt>
                <c:pt idx="122">
                  <c:v>3.8256414767003817E-3</c:v>
                </c:pt>
                <c:pt idx="123">
                  <c:v>3.8861964752189017E-3</c:v>
                </c:pt>
                <c:pt idx="124">
                  <c:v>3.947245800255939E-3</c:v>
                </c:pt>
                <c:pt idx="125">
                  <c:v>4.0087894518114949E-3</c:v>
                </c:pt>
                <c:pt idx="126">
                  <c:v>4.0708274298855698E-3</c:v>
                </c:pt>
                <c:pt idx="127">
                  <c:v>4.1333597344781611E-3</c:v>
                </c:pt>
                <c:pt idx="128">
                  <c:v>4.1963863655892731E-3</c:v>
                </c:pt>
                <c:pt idx="129">
                  <c:v>4.2599073232189016E-3</c:v>
                </c:pt>
                <c:pt idx="130">
                  <c:v>4.3239226073670508E-3</c:v>
                </c:pt>
                <c:pt idx="131">
                  <c:v>4.3884322180337172E-3</c:v>
                </c:pt>
                <c:pt idx="132">
                  <c:v>4.4534361552189027E-3</c:v>
                </c:pt>
                <c:pt idx="133">
                  <c:v>4.5189344189226063E-3</c:v>
                </c:pt>
                <c:pt idx="134">
                  <c:v>4.5849270091448298E-3</c:v>
                </c:pt>
                <c:pt idx="135">
                  <c:v>4.6514139258855688E-3</c:v>
                </c:pt>
                <c:pt idx="136">
                  <c:v>4.718395169144826E-3</c:v>
                </c:pt>
                <c:pt idx="137">
                  <c:v>4.7858707389226074E-3</c:v>
                </c:pt>
                <c:pt idx="138">
                  <c:v>4.8538406352189017E-3</c:v>
                </c:pt>
                <c:pt idx="139">
                  <c:v>4.9223048580337185E-3</c:v>
                </c:pt>
                <c:pt idx="140">
                  <c:v>4.9912634073670499E-3</c:v>
                </c:pt>
                <c:pt idx="141">
                  <c:v>5.0607162832189021E-3</c:v>
                </c:pt>
                <c:pt idx="142">
                  <c:v>5.1306634855892708E-3</c:v>
                </c:pt>
                <c:pt idx="143">
                  <c:v>5.2011050144781601E-3</c:v>
                </c:pt>
                <c:pt idx="144">
                  <c:v>5.2720408698855694E-3</c:v>
                </c:pt>
                <c:pt idx="145">
                  <c:v>5.3434710518114924E-3</c:v>
                </c:pt>
                <c:pt idx="146">
                  <c:v>5.4153955602559379E-3</c:v>
                </c:pt>
                <c:pt idx="147">
                  <c:v>5.4878143952189033E-3</c:v>
                </c:pt>
                <c:pt idx="148">
                  <c:v>5.560727556700386E-3</c:v>
                </c:pt>
                <c:pt idx="149">
                  <c:v>5.6341350447003851E-3</c:v>
                </c:pt>
                <c:pt idx="150">
                  <c:v>5.7080368592189023E-3</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53.637650435454127</c:v>
                </c:pt>
                <c:pt idx="1">
                  <c:v>53.476630719396454</c:v>
                </c:pt>
                <c:pt idx="2">
                  <c:v>53.314186088068368</c:v>
                </c:pt>
                <c:pt idx="3">
                  <c:v>53.15035692819842</c:v>
                </c:pt>
                <c:pt idx="4">
                  <c:v>52.985183339403363</c:v>
                </c:pt>
                <c:pt idx="5">
                  <c:v>52.818705068041787</c:v>
                </c:pt>
                <c:pt idx="6">
                  <c:v>52.650961446029747</c:v>
                </c:pt>
                <c:pt idx="7">
                  <c:v>52.481991334589104</c:v>
                </c:pt>
                <c:pt idx="8">
                  <c:v>52.311833072862214</c:v>
                </c:pt>
                <c:pt idx="9">
                  <c:v>52.140524431304073</c:v>
                </c:pt>
                <c:pt idx="10">
                  <c:v>51.968102569734299</c:v>
                </c:pt>
                <c:pt idx="11">
                  <c:v>51.794603999911828</c:v>
                </c:pt>
                <c:pt idx="12">
                  <c:v>51.620064552475853</c:v>
                </c:pt>
                <c:pt idx="13">
                  <c:v>51.444519348083787</c:v>
                </c:pt>
                <c:pt idx="14">
                  <c:v>51.268002772561317</c:v>
                </c:pt>
                <c:pt idx="15">
                  <c:v>51.090548455873574</c:v>
                </c:pt>
                <c:pt idx="16">
                  <c:v>50.912189254717362</c:v>
                </c:pt>
                <c:pt idx="17">
                  <c:v>50.732957238530958</c:v>
                </c:pt>
                <c:pt idx="18">
                  <c:v>50.552883678715503</c:v>
                </c:pt>
                <c:pt idx="19">
                  <c:v>50.371999040859599</c:v>
                </c:pt>
                <c:pt idx="20">
                  <c:v>50.190332979763639</c:v>
                </c:pt>
                <c:pt idx="21">
                  <c:v>50.007914337058494</c:v>
                </c:pt>
                <c:pt idx="22">
                  <c:v>49.824771141221333</c:v>
                </c:pt>
                <c:pt idx="23">
                  <c:v>49.640930609791937</c:v>
                </c:pt>
                <c:pt idx="24">
                  <c:v>49.456419153603761</c:v>
                </c:pt>
                <c:pt idx="25">
                  <c:v>49.271262382845393</c:v>
                </c:pt>
                <c:pt idx="26">
                  <c:v>49.085485114780226</c:v>
                </c:pt>
                <c:pt idx="27">
                  <c:v>48.899111382955383</c:v>
                </c:pt>
                <c:pt idx="28">
                  <c:v>48.712164447743163</c:v>
                </c:pt>
                <c:pt idx="29">
                  <c:v>48.52466680806296</c:v>
                </c:pt>
                <c:pt idx="30">
                  <c:v>48.336640214142477</c:v>
                </c:pt>
                <c:pt idx="31">
                  <c:v>48.148105681184333</c:v>
                </c:pt>
                <c:pt idx="32">
                  <c:v>47.959083503813233</c:v>
                </c:pt>
                <c:pt idx="33">
                  <c:v>47.769593271185769</c:v>
                </c:pt>
                <c:pt idx="34">
                  <c:v>47.579653882655862</c:v>
                </c:pt>
                <c:pt idx="35">
                  <c:v>47.389283563893201</c:v>
                </c:pt>
                <c:pt idx="36">
                  <c:v>47.198499883362565</c:v>
                </c:pt>
                <c:pt idx="37">
                  <c:v>47.007319769078613</c:v>
                </c:pt>
                <c:pt idx="38">
                  <c:v>46.815759525556388</c:v>
                </c:pt>
                <c:pt idx="39">
                  <c:v>46.623834850887192</c:v>
                </c:pt>
                <c:pt idx="40">
                  <c:v>46.431560853873592</c:v>
                </c:pt>
                <c:pt idx="41">
                  <c:v>46.238952071164327</c:v>
                </c:pt>
                <c:pt idx="42">
                  <c:v>46.046022484336632</c:v>
                </c:pt>
                <c:pt idx="43">
                  <c:v>45.852785536877441</c:v>
                </c:pt>
                <c:pt idx="44">
                  <c:v>45.65925415102042</c:v>
                </c:pt>
                <c:pt idx="45">
                  <c:v>45.465440744401533</c:v>
                </c:pt>
                <c:pt idx="46">
                  <c:v>45.271357246499342</c:v>
                </c:pt>
                <c:pt idx="47">
                  <c:v>45.077015114830054</c:v>
                </c:pt>
                <c:pt idx="48">
                  <c:v>44.882425350873376</c:v>
                </c:pt>
                <c:pt idx="49">
                  <c:v>44.687598515704998</c:v>
                </c:pt>
                <c:pt idx="50">
                  <c:v>44.492544745318639</c:v>
                </c:pt>
                <c:pt idx="51">
                  <c:v>44.297273765621803</c:v>
                </c:pt>
                <c:pt idx="52">
                  <c:v>44.101794907091602</c:v>
                </c:pt>
                <c:pt idx="53">
                  <c:v>43.906117119079994</c:v>
                </c:pt>
                <c:pt idx="54">
                  <c:v>43.710248983762199</c:v>
                </c:pt>
                <c:pt idx="55">
                  <c:v>43.514198729719809</c:v>
                </c:pt>
                <c:pt idx="56">
                  <c:v>43.317974245156194</c:v>
                </c:pt>
                <c:pt idx="57">
                  <c:v>43.121583090740465</c:v>
                </c:pt>
                <c:pt idx="58">
                  <c:v>42.925032512080179</c:v>
                </c:pt>
                <c:pt idx="59">
                  <c:v>42.728329451822347</c:v>
                </c:pt>
                <c:pt idx="60">
                  <c:v>42.531480561384846</c:v>
                </c:pt>
                <c:pt idx="61">
                  <c:v>42.334492212320917</c:v>
                </c:pt>
                <c:pt idx="62">
                  <c:v>42.137370507319474</c:v>
                </c:pt>
                <c:pt idx="63">
                  <c:v>41.94012129084755</c:v>
                </c:pt>
                <c:pt idx="64">
                  <c:v>41.742750159438337</c:v>
                </c:pt>
                <c:pt idx="65">
                  <c:v>41.545262471631467</c:v>
                </c:pt>
                <c:pt idx="66">
                  <c:v>41.347663357571832</c:v>
                </c:pt>
                <c:pt idx="67">
                  <c:v>41.149957728273762</c:v>
                </c:pt>
                <c:pt idx="68">
                  <c:v>40.952150284557533</c:v>
                </c:pt>
                <c:pt idx="69">
                  <c:v>40.754245525665652</c:v>
                </c:pt>
                <c:pt idx="70">
                  <c:v>40.55624775756776</c:v>
                </c:pt>
                <c:pt idx="71">
                  <c:v>40.358161100960274</c:v>
                </c:pt>
                <c:pt idx="72">
                  <c:v>40.159989498970241</c:v>
                </c:pt>
                <c:pt idx="73">
                  <c:v>39.961736724571203</c:v>
                </c:pt>
                <c:pt idx="74">
                  <c:v>39.763406387719563</c:v>
                </c:pt>
                <c:pt idx="75">
                  <c:v>39.565001942218771</c:v>
                </c:pt>
                <c:pt idx="76">
                  <c:v>39.366526692321195</c:v>
                </c:pt>
                <c:pt idx="77">
                  <c:v>39.167983799074221</c:v>
                </c:pt>
                <c:pt idx="78">
                  <c:v>38.969376286420136</c:v>
                </c:pt>
                <c:pt idx="79">
                  <c:v>38.770707047057094</c:v>
                </c:pt>
                <c:pt idx="80">
                  <c:v>38.571978848069662</c:v>
                </c:pt>
                <c:pt idx="81">
                  <c:v>38.373194336335374</c:v>
                </c:pt>
                <c:pt idx="82">
                  <c:v>38.17435604371844</c:v>
                </c:pt>
                <c:pt idx="83">
                  <c:v>37.975466392053377</c:v>
                </c:pt>
                <c:pt idx="84">
                  <c:v>37.776527697930582</c:v>
                </c:pt>
                <c:pt idx="85">
                  <c:v>37.577542177287995</c:v>
                </c:pt>
                <c:pt idx="86">
                  <c:v>37.378511949817913</c:v>
                </c:pt>
                <c:pt idx="87">
                  <c:v>37.179439043194392</c:v>
                </c:pt>
                <c:pt idx="88">
                  <c:v>36.980325397129334</c:v>
                </c:pt>
                <c:pt idx="89">
                  <c:v>36.781172867262995</c:v>
                </c:pt>
                <c:pt idx="90">
                  <c:v>36.581983228895453</c:v>
                </c:pt>
                <c:pt idx="91">
                  <c:v>36.382758180566178</c:v>
                </c:pt>
                <c:pt idx="92">
                  <c:v>36.183499347485423</c:v>
                </c:pt>
                <c:pt idx="93">
                  <c:v>35.984208284827218</c:v>
                </c:pt>
                <c:pt idx="94">
                  <c:v>35.784886480884772</c:v>
                </c:pt>
                <c:pt idx="95">
                  <c:v>35.585535360098575</c:v>
                </c:pt>
                <c:pt idx="96">
                  <c:v>35.386156285958961</c:v>
                </c:pt>
                <c:pt idx="97">
                  <c:v>35.186750563790305</c:v>
                </c:pt>
                <c:pt idx="98">
                  <c:v>34.987319443421121</c:v>
                </c:pt>
                <c:pt idx="99">
                  <c:v>34.787864121744995</c:v>
                </c:pt>
                <c:pt idx="100">
                  <c:v>34.588385745177007</c:v>
                </c:pt>
                <c:pt idx="101">
                  <c:v>34.388885412010808</c:v>
                </c:pt>
                <c:pt idx="102">
                  <c:v>34.189364174679049</c:v>
                </c:pt>
                <c:pt idx="103">
                  <c:v>33.989823041924069</c:v>
                </c:pt>
                <c:pt idx="104">
                  <c:v>33.790262980879476</c:v>
                </c:pt>
                <c:pt idx="105">
                  <c:v>33.590684919070327</c:v>
                </c:pt>
                <c:pt idx="106">
                  <c:v>33.39108974633232</c:v>
                </c:pt>
                <c:pt idx="107">
                  <c:v>33.191478316656351</c:v>
                </c:pt>
                <c:pt idx="108">
                  <c:v>32.991851449959711</c:v>
                </c:pt>
                <c:pt idx="109">
                  <c:v>32.79220993378955</c:v>
                </c:pt>
                <c:pt idx="110">
                  <c:v>32.592554524959873</c:v>
                </c:pt>
                <c:pt idx="111">
                  <c:v>32.392885951126928</c:v>
                </c:pt>
                <c:pt idx="112">
                  <c:v>32.193204912305035</c:v>
                </c:pt>
                <c:pt idx="113">
                  <c:v>31.993512082326067</c:v>
                </c:pt>
                <c:pt idx="114">
                  <c:v>31.793808110245713</c:v>
                </c:pt>
                <c:pt idx="115">
                  <c:v>31.594093621699248</c:v>
                </c:pt>
                <c:pt idx="116">
                  <c:v>31.394369220209278</c:v>
                </c:pt>
                <c:pt idx="117">
                  <c:v>31.194635488448267</c:v>
                </c:pt>
                <c:pt idx="118">
                  <c:v>30.9948929894583</c:v>
                </c:pt>
                <c:pt idx="119">
                  <c:v>30.795142267830428</c:v>
                </c:pt>
                <c:pt idx="120">
                  <c:v>30.595383850846758</c:v>
                </c:pt>
                <c:pt idx="121">
                  <c:v>30.395618249585752</c:v>
                </c:pt>
                <c:pt idx="122">
                  <c:v>30.195845959995541</c:v>
                </c:pt>
                <c:pt idx="123">
                  <c:v>29.996067463934708</c:v>
                </c:pt>
                <c:pt idx="124">
                  <c:v>29.79628323018536</c:v>
                </c:pt>
                <c:pt idx="125">
                  <c:v>29.596493715438108</c:v>
                </c:pt>
                <c:pt idx="126">
                  <c:v>29.396699365252267</c:v>
                </c:pt>
                <c:pt idx="127">
                  <c:v>29.196900614993851</c:v>
                </c:pt>
                <c:pt idx="128">
                  <c:v>28.997097890751782</c:v>
                </c:pt>
                <c:pt idx="129">
                  <c:v>28.797291610234304</c:v>
                </c:pt>
                <c:pt idx="130">
                  <c:v>28.597482183649539</c:v>
                </c:pt>
                <c:pt idx="131">
                  <c:v>28.397670014569286</c:v>
                </c:pt>
                <c:pt idx="132">
                  <c:v>28.197855500779696</c:v>
                </c:pt>
                <c:pt idx="133">
                  <c:v>27.998039035119543</c:v>
                </c:pt>
                <c:pt idx="134">
                  <c:v>27.7982210063082</c:v>
                </c:pt>
                <c:pt idx="135">
                  <c:v>27.598401799765703</c:v>
                </c:pt>
                <c:pt idx="136">
                  <c:v>27.398581798425109</c:v>
                </c:pt>
                <c:pt idx="137">
                  <c:v>27.198761383540084</c:v>
                </c:pt>
                <c:pt idx="138">
                  <c:v>26.99894093548922</c:v>
                </c:pt>
                <c:pt idx="139">
                  <c:v>26.799120834577973</c:v>
                </c:pt>
                <c:pt idx="140">
                  <c:v>26.599301461840898</c:v>
                </c:pt>
                <c:pt idx="141">
                  <c:v>26.399483199844781</c:v>
                </c:pt>
                <c:pt idx="142">
                  <c:v>26.199666433495892</c:v>
                </c:pt>
                <c:pt idx="143">
                  <c:v>25.999851550850927</c:v>
                </c:pt>
                <c:pt idx="144">
                  <c:v>25.800038943935331</c:v>
                </c:pt>
                <c:pt idx="145">
                  <c:v>25.60022900956934</c:v>
                </c:pt>
                <c:pt idx="146">
                  <c:v>25.400422150204026</c:v>
                </c:pt>
                <c:pt idx="147">
                  <c:v>25.200618774769087</c:v>
                </c:pt>
                <c:pt idx="148">
                  <c:v>25.000819299533781</c:v>
                </c:pt>
                <c:pt idx="149">
                  <c:v>24.801024148983277</c:v>
                </c:pt>
                <c:pt idx="150">
                  <c:v>24.601233756711693</c:v>
                </c:pt>
                <c:pt idx="151">
                  <c:v>24.401448566333972</c:v>
                </c:pt>
                <c:pt idx="152">
                  <c:v>24.201669032418835</c:v>
                </c:pt>
                <c:pt idx="153">
                  <c:v>24.001895621443214</c:v>
                </c:pt>
                <c:pt idx="154">
                  <c:v>23.802128812772651</c:v>
                </c:pt>
                <c:pt idx="155">
                  <c:v>23.60236909966688</c:v>
                </c:pt>
                <c:pt idx="156">
                  <c:v>23.402616990314826</c:v>
                </c:pt>
                <c:pt idx="157">
                  <c:v>23.202873008899672</c:v>
                </c:pt>
                <c:pt idx="158">
                  <c:v>23.00313769669723</c:v>
                </c:pt>
                <c:pt idx="159">
                  <c:v>22.803411613208702</c:v>
                </c:pt>
                <c:pt idx="160">
                  <c:v>22.603695337331523</c:v>
                </c:pt>
                <c:pt idx="161">
                  <c:v>22.403989468569083</c:v>
                </c:pt>
                <c:pt idx="162">
                  <c:v>22.204294628282874</c:v>
                </c:pt>
                <c:pt idx="163">
                  <c:v>22.004611460989146</c:v>
                </c:pt>
                <c:pt idx="164">
                  <c:v>21.804940635702529</c:v>
                </c:pt>
                <c:pt idx="165">
                  <c:v>21.605282847329484</c:v>
                </c:pt>
                <c:pt idx="166">
                  <c:v>21.405638818114671</c:v>
                </c:pt>
                <c:pt idx="167">
                  <c:v>21.206009299141613</c:v>
                </c:pt>
                <c:pt idx="168">
                  <c:v>21.006395071892815</c:v>
                </c:pt>
                <c:pt idx="169">
                  <c:v>20.806796949870563</c:v>
                </c:pt>
                <c:pt idx="170">
                  <c:v>20.607215780281706</c:v>
                </c:pt>
                <c:pt idx="171">
                  <c:v>20.407652445791339</c:v>
                </c:pt>
                <c:pt idx="172">
                  <c:v>20.208107866346214</c:v>
                </c:pt>
                <c:pt idx="173">
                  <c:v>20.008583001073248</c:v>
                </c:pt>
                <c:pt idx="174">
                  <c:v>19.80907885025632</c:v>
                </c:pt>
                <c:pt idx="175">
                  <c:v>19.60959645739408</c:v>
                </c:pt>
                <c:pt idx="176">
                  <c:v>19.4101369113442</c:v>
                </c:pt>
                <c:pt idx="177">
                  <c:v>19.21070134855615</c:v>
                </c:pt>
                <c:pt idx="178">
                  <c:v>19.011290955399069</c:v>
                </c:pt>
                <c:pt idx="179">
                  <c:v>18.811906970586385</c:v>
                </c:pt>
                <c:pt idx="180">
                  <c:v>18.612550687703106</c:v>
                </c:pt>
                <c:pt idx="181">
                  <c:v>18.413223457839639</c:v>
                </c:pt>
                <c:pt idx="182">
                  <c:v>18.213926692338372</c:v>
                </c:pt>
                <c:pt idx="183">
                  <c:v>18.014661865654549</c:v>
                </c:pt>
                <c:pt idx="184">
                  <c:v>17.815430518340442</c:v>
                </c:pt>
                <c:pt idx="185">
                  <c:v>17.616234260154634</c:v>
                </c:pt>
                <c:pt idx="186">
                  <c:v>17.41707477330343</c:v>
                </c:pt>
                <c:pt idx="187">
                  <c:v>17.217953815820092</c:v>
                </c:pt>
                <c:pt idx="188">
                  <c:v>17.018873225085798</c:v>
                </c:pt>
                <c:pt idx="189">
                  <c:v>16.819834921500249</c:v>
                </c:pt>
                <c:pt idx="190">
                  <c:v>16.620840912305642</c:v>
                </c:pt>
                <c:pt idx="191">
                  <c:v>16.421893295572673</c:v>
                </c:pt>
                <c:pt idx="192">
                  <c:v>16.222994264351684</c:v>
                </c:pt>
                <c:pt idx="193">
                  <c:v>16.02414611099848</c:v>
                </c:pt>
                <c:pt idx="194">
                  <c:v>15.825351231678695</c:v>
                </c:pt>
                <c:pt idx="195">
                  <c:v>15.626612131059334</c:v>
                </c:pt>
                <c:pt idx="196">
                  <c:v>15.42793142719308</c:v>
                </c:pt>
                <c:pt idx="197">
                  <c:v>15.229311856602489</c:v>
                </c:pt>
                <c:pt idx="198">
                  <c:v>15.030756279571595</c:v>
                </c:pt>
                <c:pt idx="199">
                  <c:v>14.832267685651024</c:v>
                </c:pt>
                <c:pt idx="200">
                  <c:v>14.633849199385509</c:v>
                </c:pt>
                <c:pt idx="201">
                  <c:v>14.43550408626855</c:v>
                </c:pt>
                <c:pt idx="202">
                  <c:v>14.237235758933737</c:v>
                </c:pt>
                <c:pt idx="203">
                  <c:v>14.039047783589291</c:v>
                </c:pt>
                <c:pt idx="204">
                  <c:v>13.840943886701931</c:v>
                </c:pt>
                <c:pt idx="205">
                  <c:v>13.642927961939726</c:v>
                </c:pt>
                <c:pt idx="206">
                  <c:v>13.445004077378204</c:v>
                </c:pt>
                <c:pt idx="207">
                  <c:v>13.247176482979231</c:v>
                </c:pt>
                <c:pt idx="208">
                  <c:v>13.049449618347946</c:v>
                </c:pt>
                <c:pt idx="209">
                  <c:v>12.851828120775075</c:v>
                </c:pt>
                <c:pt idx="210">
                  <c:v>12.654316833570967</c:v>
                </c:pt>
                <c:pt idx="211">
                  <c:v>12.456920814697117</c:v>
                </c:pt>
                <c:pt idx="212">
                  <c:v>12.259645345701301</c:v>
                </c:pt>
                <c:pt idx="213">
                  <c:v>12.062495940960707</c:v>
                </c:pt>
                <c:pt idx="214">
                  <c:v>11.865478357239539</c:v>
                </c:pt>
                <c:pt idx="215">
                  <c:v>11.668598603562454</c:v>
                </c:pt>
                <c:pt idx="216">
                  <c:v>11.471862951409939</c:v>
                </c:pt>
                <c:pt idx="217">
                  <c:v>11.275277945235944</c:v>
                </c:pt>
                <c:pt idx="218">
                  <c:v>11.078850413310715</c:v>
                </c:pt>
                <c:pt idx="219">
                  <c:v>10.882587478888919</c:v>
                </c:pt>
                <c:pt idx="220">
                  <c:v>10.68649657170192</c:v>
                </c:pt>
                <c:pt idx="221">
                  <c:v>10.490585439772984</c:v>
                </c:pt>
                <c:pt idx="222">
                  <c:v>10.294862161551242</c:v>
                </c:pt>
                <c:pt idx="223">
                  <c:v>10.099335158359787</c:v>
                </c:pt>
                <c:pt idx="224">
                  <c:v>9.9040132071500384</c:v>
                </c:pt>
                <c:pt idx="225">
                  <c:v>9.708905453554852</c:v>
                </c:pt>
                <c:pt idx="226">
                  <c:v>9.5140214252261739</c:v>
                </c:pt>
                <c:pt idx="227">
                  <c:v>9.3193710454478556</c:v>
                </c:pt>
                <c:pt idx="228">
                  <c:v>9.1249646470028996</c:v>
                </c:pt>
                <c:pt idx="229">
                  <c:v>8.9308129862776351</c:v>
                </c:pt>
                <c:pt idx="230">
                  <c:v>8.7369272575812129</c:v>
                </c:pt>
                <c:pt idx="231">
                  <c:v>8.5433191076516017</c:v>
                </c:pt>
                <c:pt idx="232">
                  <c:v>8.350000650321487</c:v>
                </c:pt>
                <c:pt idx="233">
                  <c:v>8.1569844813069441</c:v>
                </c:pt>
                <c:pt idx="234">
                  <c:v>7.9642836930827041</c:v>
                </c:pt>
                <c:pt idx="235">
                  <c:v>7.7719118898005943</c:v>
                </c:pt>
                <c:pt idx="236">
                  <c:v>7.579883202202228</c:v>
                </c:pt>
                <c:pt idx="237">
                  <c:v>7.3882123024730646</c:v>
                </c:pt>
                <c:pt idx="238">
                  <c:v>7.1969144189788148</c:v>
                </c:pt>
                <c:pt idx="239">
                  <c:v>7.006005350818282</c:v>
                </c:pt>
                <c:pt idx="240">
                  <c:v>6.815501482121217</c:v>
                </c:pt>
                <c:pt idx="241">
                  <c:v>6.6254197960123733</c:v>
                </c:pt>
                <c:pt idx="242">
                  <c:v>6.435777888156399</c:v>
                </c:pt>
                <c:pt idx="243">
                  <c:v>6.2465939797899006</c:v>
                </c:pt>
                <c:pt idx="244">
                  <c:v>6.0578869301405192</c:v>
                </c:pt>
                <c:pt idx="245">
                  <c:v>5.8696762481223255</c:v>
                </c:pt>
                <c:pt idx="246">
                  <c:v>5.6819821031922384</c:v>
                </c:pt>
                <c:pt idx="247">
                  <c:v>5.4948253352405105</c:v>
                </c:pt>
                <c:pt idx="248">
                  <c:v>5.3082274633797599</c:v>
                </c:pt>
                <c:pt idx="249">
                  <c:v>5.1222106934915761</c:v>
                </c:pt>
                <c:pt idx="250">
                  <c:v>4.936797924375119</c:v>
                </c:pt>
                <c:pt idx="251">
                  <c:v>4.7520127523400193</c:v>
                </c:pt>
                <c:pt idx="252">
                  <c:v>4.5678794740706632</c:v>
                </c:pt>
                <c:pt idx="253">
                  <c:v>4.384423087585211</c:v>
                </c:pt>
                <c:pt idx="254">
                  <c:v>4.201669291102295</c:v>
                </c:pt>
                <c:pt idx="255">
                  <c:v>4.019644479620915</c:v>
                </c:pt>
                <c:pt idx="256">
                  <c:v>3.838375739012974</c:v>
                </c:pt>
                <c:pt idx="257">
                  <c:v>3.6578908374185355</c:v>
                </c:pt>
                <c:pt idx="258">
                  <c:v>3.4782182137331685</c:v>
                </c:pt>
                <c:pt idx="259">
                  <c:v>3.2993869629686707</c:v>
                </c:pt>
                <c:pt idx="260">
                  <c:v>3.1214268182647631</c:v>
                </c:pt>
                <c:pt idx="261">
                  <c:v>2.9443681293329123</c:v>
                </c:pt>
                <c:pt idx="262">
                  <c:v>2.7682418371063959</c:v>
                </c:pt>
                <c:pt idx="263">
                  <c:v>2.5930794443787573</c:v>
                </c:pt>
                <c:pt idx="264">
                  <c:v>2.4189129822127859</c:v>
                </c:pt>
                <c:pt idx="265">
                  <c:v>2.2457749719116831</c:v>
                </c:pt>
                <c:pt idx="266">
                  <c:v>2.0736983823485651</c:v>
                </c:pt>
                <c:pt idx="267">
                  <c:v>1.9027165824685375</c:v>
                </c:pt>
                <c:pt idx="268">
                  <c:v>1.7328632887848001</c:v>
                </c:pt>
                <c:pt idx="269">
                  <c:v>1.5641725077133732</c:v>
                </c:pt>
                <c:pt idx="270">
                  <c:v>1.3966784726088353</c:v>
                </c:pt>
                <c:pt idx="271">
                  <c:v>1.2304155753887294</c:v>
                </c:pt>
                <c:pt idx="272">
                  <c:v>1.0654182926609752</c:v>
                </c:pt>
                <c:pt idx="273">
                  <c:v>0.90172110629944657</c:v>
                </c:pt>
                <c:pt idx="274">
                  <c:v>0.73935841844851902</c:v>
                </c:pt>
                <c:pt idx="275">
                  <c:v>0.57836446097079319</c:v>
                </c:pt>
                <c:pt idx="276">
                  <c:v>0.41877319939805346</c:v>
                </c:pt>
                <c:pt idx="277">
                  <c:v>0.26061823148438407</c:v>
                </c:pt>
                <c:pt idx="278">
                  <c:v>0.10393268050747911</c:v>
                </c:pt>
                <c:pt idx="279">
                  <c:v>-5.1250916487122475E-2</c:v>
                </c:pt>
                <c:pt idx="280">
                  <c:v>-0.20490072525490288</c:v>
                </c:pt>
                <c:pt idx="281">
                  <c:v>-0.35698573544068274</c:v>
                </c:pt>
                <c:pt idx="282">
                  <c:v>-0.50747588584077896</c:v>
                </c:pt>
                <c:pt idx="283">
                  <c:v>-0.6563421934407393</c:v>
                </c:pt>
                <c:pt idx="284">
                  <c:v>-0.80355688578470519</c:v>
                </c:pt>
                <c:pt idx="285">
                  <c:v>-0.94909353617933401</c:v>
                </c:pt>
                <c:pt idx="286">
                  <c:v>-1.0929272011921976</c:v>
                </c:pt>
                <c:pt idx="287">
                  <c:v>-1.235034559863065</c:v>
                </c:pt>
                <c:pt idx="288">
                  <c:v>-1.3753940540062706</c:v>
                </c:pt>
                <c:pt idx="289">
                  <c:v>-1.5139860289531555</c:v>
                </c:pt>
                <c:pt idx="290">
                  <c:v>-1.6507928740543052</c:v>
                </c:pt>
                <c:pt idx="291">
                  <c:v>-1.7857991622444116</c:v>
                </c:pt>
                <c:pt idx="292">
                  <c:v>-1.9189917879596821</c:v>
                </c:pt>
                <c:pt idx="293">
                  <c:v>-2.0503601026950351</c:v>
                </c:pt>
                <c:pt idx="294">
                  <c:v>-2.1798960474930813</c:v>
                </c:pt>
                <c:pt idx="295">
                  <c:v>-2.307594281671919</c:v>
                </c:pt>
                <c:pt idx="296">
                  <c:v>-2.4334523071231082</c:v>
                </c:pt>
                <c:pt idx="297">
                  <c:v>-2.5574705875418009</c:v>
                </c:pt>
                <c:pt idx="298">
                  <c:v>-2.6796526619975363</c:v>
                </c:pt>
                <c:pt idx="299">
                  <c:v>-2.8000052522998429</c:v>
                </c:pt>
                <c:pt idx="300">
                  <c:v>-2.9185383636759155</c:v>
                </c:pt>
                <c:pt idx="301">
                  <c:v>-3.0352653783416619</c:v>
                </c:pt>
                <c:pt idx="302">
                  <c:v>-3.1502031416207825</c:v>
                </c:pt>
                <c:pt idx="303">
                  <c:v>-3.2633720403435902</c:v>
                </c:pt>
                <c:pt idx="304">
                  <c:v>-3.3747960733402218</c:v>
                </c:pt>
                <c:pt idx="305">
                  <c:v>-3.4845029139253452</c:v>
                </c:pt>
                <c:pt idx="306">
                  <c:v>-3.5925239643585574</c:v>
                </c:pt>
                <c:pt idx="307">
                  <c:v>-3.6988944023456982</c:v>
                </c:pt>
                <c:pt idx="308">
                  <c:v>-3.8036532197333894</c:v>
                </c:pt>
                <c:pt idx="309">
                  <c:v>-3.90684325362108</c:v>
                </c:pt>
                <c:pt idx="310">
                  <c:v>-4.0085112101928564</c:v>
                </c:pt>
                <c:pt idx="311">
                  <c:v>-4.1087076816316506</c:v>
                </c:pt>
                <c:pt idx="312">
                  <c:v>-4.207487156538809</c:v>
                </c:pt>
                <c:pt idx="313">
                  <c:v>-4.3049080243248223</c:v>
                </c:pt>
                <c:pt idx="314">
                  <c:v>-4.4010325740742653</c:v>
                </c:pt>
                <c:pt idx="315">
                  <c:v>-4.4959269884096251</c:v>
                </c:pt>
                <c:pt idx="316">
                  <c:v>-4.5896613328861848</c:v>
                </c:pt>
                <c:pt idx="317">
                  <c:v>-4.6823095414466485</c:v>
                </c:pt>
                <c:pt idx="318">
                  <c:v>-4.7739493984432082</c:v>
                </c:pt>
                <c:pt idx="319">
                  <c:v>-4.8646625176985818</c:v>
                </c:pt>
                <c:pt idx="320">
                  <c:v>-4.9545343190280891</c:v>
                </c:pt>
                <c:pt idx="321">
                  <c:v>-5.043654002576333</c:v>
                </c:pt>
                <c:pt idx="322">
                  <c:v>-5.1321145212438548</c:v>
                </c:pt>
                <c:pt idx="323">
                  <c:v>-5.2200125513786801</c:v>
                </c:pt>
                <c:pt idx="324">
                  <c:v>-5.3074484617996962</c:v>
                </c:pt>
                <c:pt idx="325">
                  <c:v>-5.3945262810933237</c:v>
                </c:pt>
                <c:pt idx="326">
                  <c:v>-5.4813536629871695</c:v>
                </c:pt>
                <c:pt idx="327">
                  <c:v>-5.5680418494578472</c:v>
                </c:pt>
                <c:pt idx="328">
                  <c:v>-5.6547056310679524</c:v>
                </c:pt>
                <c:pt idx="329">
                  <c:v>-5.7414633038646725</c:v>
                </c:pt>
                <c:pt idx="330">
                  <c:v>-5.8284366219939407</c:v>
                </c:pt>
                <c:pt idx="331">
                  <c:v>-5.9157507450108131</c:v>
                </c:pt>
                <c:pt idx="332">
                  <c:v>-6.0035341786826759</c:v>
                </c:pt>
                <c:pt idx="333">
                  <c:v>-6.091918707909155</c:v>
                </c:pt>
                <c:pt idx="334">
                  <c:v>-6.1810393202025038</c:v>
                </c:pt>
                <c:pt idx="335">
                  <c:v>-6.2710341180137261</c:v>
                </c:pt>
                <c:pt idx="336">
                  <c:v>-6.3620442180326053</c:v>
                </c:pt>
                <c:pt idx="337">
                  <c:v>-6.4542136354585358</c:v>
                </c:pt>
                <c:pt idx="338">
                  <c:v>-6.5476891511259891</c:v>
                </c:pt>
                <c:pt idx="339">
                  <c:v>-6.6426201592856788</c:v>
                </c:pt>
                <c:pt idx="340">
                  <c:v>-6.7391584937945996</c:v>
                </c:pt>
                <c:pt idx="341">
                  <c:v>-6.837458230461122</c:v>
                </c:pt>
                <c:pt idx="342">
                  <c:v>-6.9376754633310789</c:v>
                </c:pt>
                <c:pt idx="343">
                  <c:v>-7.0399680527966355</c:v>
                </c:pt>
                <c:pt idx="344">
                  <c:v>-7.1444953435642731</c:v>
                </c:pt>
                <c:pt idx="345">
                  <c:v>-7.2514178507401459</c:v>
                </c:pt>
                <c:pt idx="346">
                  <c:v>-7.3608969125829216</c:v>
                </c:pt>
                <c:pt idx="347">
                  <c:v>-7.4730943088446011</c:v>
                </c:pt>
                <c:pt idx="348">
                  <c:v>-7.588171844060005</c:v>
                </c:pt>
                <c:pt idx="349">
                  <c:v>-7.706290895673872</c:v>
                </c:pt>
                <c:pt idx="350">
                  <c:v>-7.827611927484619</c:v>
                </c:pt>
                <c:pt idx="351">
                  <c:v>-7.9522939695566865</c:v>
                </c:pt>
                <c:pt idx="352">
                  <c:v>-8.0804940664774367</c:v>
                </c:pt>
                <c:pt idx="353">
                  <c:v>-8.2123666966145539</c:v>
                </c:pt>
                <c:pt idx="354">
                  <c:v>-8.3480631658438362</c:v>
                </c:pt>
                <c:pt idx="355">
                  <c:v>-8.4877309800414444</c:v>
                </c:pt>
                <c:pt idx="356">
                  <c:v>-8.631513201466511</c:v>
                </c:pt>
                <c:pt idx="357">
                  <c:v>-8.7795477949430154</c:v>
                </c:pt>
                <c:pt idx="358">
                  <c:v>-8.9319669704955036</c:v>
                </c:pt>
                <c:pt idx="359">
                  <c:v>-9.0888965297376121</c:v>
                </c:pt>
                <c:pt idx="360">
                  <c:v>-9.2504552238554361</c:v>
                </c:pt>
                <c:pt idx="361">
                  <c:v>-9.4167541314236765</c:v>
                </c:pt>
                <c:pt idx="362">
                  <c:v>-9.5878960645293994</c:v>
                </c:pt>
                <c:pt idx="363">
                  <c:v>-9.7639750117260853</c:v>
                </c:pt>
                <c:pt idx="364">
                  <c:v>-9.9450756261923221</c:v>
                </c:pt>
                <c:pt idx="365">
                  <c:v>-10.131272767107738</c:v>
                </c:pt>
                <c:pt idx="366">
                  <c:v>-10.322631101692144</c:v>
                </c:pt>
                <c:pt idx="367">
                  <c:v>-10.519204774575094</c:v>
                </c:pt>
                <c:pt idx="368">
                  <c:v>-10.721037150204181</c:v>
                </c:pt>
                <c:pt idx="369">
                  <c:v>-10.928160632864266</c:v>
                </c:pt>
                <c:pt idx="370">
                  <c:v>-11.140596567614578</c:v>
                </c:pt>
                <c:pt idx="371">
                  <c:v>-11.35835522407832</c:v>
                </c:pt>
                <c:pt idx="372">
                  <c:v>-11.581435863587799</c:v>
                </c:pt>
                <c:pt idx="373">
                  <c:v>-11.809826888740631</c:v>
                </c:pt>
                <c:pt idx="374">
                  <c:v>-12.04350607299615</c:v>
                </c:pt>
                <c:pt idx="375">
                  <c:v>-12.282440866589921</c:v>
                </c:pt>
                <c:pt idx="376">
                  <c:v>-12.526588773797918</c:v>
                </c:pt>
                <c:pt idx="377">
                  <c:v>-12.775897795479882</c:v>
                </c:pt>
                <c:pt idx="378">
                  <c:v>-13.030306929902055</c:v>
                </c:pt>
                <c:pt idx="379">
                  <c:v>-13.289746724103729</c:v>
                </c:pt>
                <c:pt idx="380">
                  <c:v>-13.554139867539076</c:v>
                </c:pt>
                <c:pt idx="381">
                  <c:v>-13.82340181940689</c:v>
                </c:pt>
                <c:pt idx="382">
                  <c:v>-14.097441460967698</c:v>
                </c:pt>
                <c:pt idx="383">
                  <c:v>-14.376161764231743</c:v>
                </c:pt>
                <c:pt idx="384">
                  <c:v>-14.659460468667447</c:v>
                </c:pt>
                <c:pt idx="385">
                  <c:v>-14.947230758002892</c:v>
                </c:pt>
                <c:pt idx="386">
                  <c:v>-15.239361929754873</c:v>
                </c:pt>
                <c:pt idx="387">
                  <c:v>-15.5357400507839</c:v>
                </c:pt>
                <c:pt idx="388">
                  <c:v>-15.836248592921896</c:v>
                </c:pt>
                <c:pt idx="389">
                  <c:v>-16.140769043516919</c:v>
                </c:pt>
                <c:pt idx="390">
                  <c:v>-16.449181486561983</c:v>
                </c:pt>
                <c:pt idx="391">
                  <c:v>-16.761365150903011</c:v>
                </c:pt>
                <c:pt idx="392">
                  <c:v>-17.077198922826984</c:v>
                </c:pt>
                <c:pt idx="393">
                  <c:v>-17.39656182110015</c:v>
                </c:pt>
                <c:pt idx="394">
                  <c:v>-17.719333433248192</c:v>
                </c:pt>
                <c:pt idx="395">
                  <c:v>-18.045394312526518</c:v>
                </c:pt>
                <c:pt idx="396">
                  <c:v>-18.374626335616249</c:v>
                </c:pt>
                <c:pt idx="397">
                  <c:v>-18.706913021600712</c:v>
                </c:pt>
                <c:pt idx="398">
                  <c:v>-19.042139813214078</c:v>
                </c:pt>
                <c:pt idx="399">
                  <c:v>-19.380194321723152</c:v>
                </c:pt>
                <c:pt idx="400">
                  <c:v>-19.720966537097109</c:v>
                </c:pt>
                <c:pt idx="401">
                  <c:v>-20.064349005349072</c:v>
                </c:pt>
                <c:pt idx="402">
                  <c:v>-20.410236975099192</c:v>
                </c:pt>
                <c:pt idx="403">
                  <c:v>-20.758528515519416</c:v>
                </c:pt>
                <c:pt idx="404">
                  <c:v>-21.109124607880048</c:v>
                </c:pt>
                <c:pt idx="405">
                  <c:v>-21.461929212938159</c:v>
                </c:pt>
                <c:pt idx="406">
                  <c:v>-21.816849316386246</c:v>
                </c:pt>
                <c:pt idx="407">
                  <c:v>-22.173794954533722</c:v>
                </c:pt>
                <c:pt idx="408">
                  <c:v>-22.532679222319167</c:v>
                </c:pt>
                <c:pt idx="409">
                  <c:v>-22.893418265656578</c:v>
                </c:pt>
                <c:pt idx="410">
                  <c:v>-23.2559312600184</c:v>
                </c:pt>
                <c:pt idx="411">
                  <c:v>-23.620140377034119</c:v>
                </c:pt>
                <c:pt idx="412">
                  <c:v>-23.98597074076616</c:v>
                </c:pt>
                <c:pt idx="413">
                  <c:v>-24.353350375194857</c:v>
                </c:pt>
                <c:pt idx="414">
                  <c:v>-24.722210144321238</c:v>
                </c:pt>
                <c:pt idx="415">
                  <c:v>-25.092483686168002</c:v>
                </c:pt>
                <c:pt idx="416">
                  <c:v>-25.464107341840744</c:v>
                </c:pt>
                <c:pt idx="417">
                  <c:v>-25.837020080692639</c:v>
                </c:pt>
                <c:pt idx="418">
                  <c:v>-26.211163422525487</c:v>
                </c:pt>
                <c:pt idx="419">
                  <c:v>-26.586481357656162</c:v>
                </c:pt>
                <c:pt idx="420">
                  <c:v>-26.962920265578383</c:v>
                </c:pt>
                <c:pt idx="421">
                  <c:v>-27.340428832860809</c:v>
                </c:pt>
                <c:pt idx="422">
                  <c:v>-27.718957970835842</c:v>
                </c:pt>
                <c:pt idx="423">
                  <c:v>-28.098460733562099</c:v>
                </c:pt>
                <c:pt idx="424">
                  <c:v>-28.478892236468578</c:v>
                </c:pt>
                <c:pt idx="425">
                  <c:v>-28.86020957602895</c:v>
                </c:pt>
                <c:pt idx="426">
                  <c:v>-29.24237175075913</c:v>
                </c:pt>
                <c:pt idx="427">
                  <c:v>-29.625339583774245</c:v>
                </c:pt>
                <c:pt idx="428">
                  <c:v>-30.009075647103622</c:v>
                </c:pt>
                <c:pt idx="429">
                  <c:v>-30.393544187921005</c:v>
                </c:pt>
                <c:pt idx="430">
                  <c:v>-30.77871105680407</c:v>
                </c:pt>
                <c:pt idx="431">
                  <c:v>-31.164543638120328</c:v>
                </c:pt>
                <c:pt idx="432">
                  <c:v>-31.551010782595384</c:v>
                </c:pt>
                <c:pt idx="433">
                  <c:v>-31.93808274210998</c:v>
                </c:pt>
                <c:pt idx="434">
                  <c:v>-32.325731106738587</c:v>
                </c:pt>
                <c:pt idx="435">
                  <c:v>-32.71392874403648</c:v>
                </c:pt>
                <c:pt idx="436">
                  <c:v>-33.102649740562292</c:v>
                </c:pt>
                <c:pt idx="437">
                  <c:v>-33.491869345610311</c:v>
                </c:pt>
                <c:pt idx="438">
                  <c:v>-33.881563917119983</c:v>
                </c:pt>
                <c:pt idx="439">
                  <c:v>-34.271710869718675</c:v>
                </c:pt>
                <c:pt idx="440">
                  <c:v>-34.662288624848465</c:v>
                </c:pt>
                <c:pt idx="441">
                  <c:v>-35.053276562922242</c:v>
                </c:pt>
                <c:pt idx="442">
                  <c:v>-35.444654977449368</c:v>
                </c:pt>
                <c:pt idx="443">
                  <c:v>-35.836405031068786</c:v>
                </c:pt>
                <c:pt idx="444">
                  <c:v>-36.228508713425441</c:v>
                </c:pt>
                <c:pt idx="445">
                  <c:v>-36.620948800822781</c:v>
                </c:pt>
                <c:pt idx="446">
                  <c:v>-37.013708817585382</c:v>
                </c:pt>
                <c:pt idx="447">
                  <c:v>-37.406772999063691</c:v>
                </c:pt>
                <c:pt idx="448">
                  <c:v>-37.800126256213545</c:v>
                </c:pt>
                <c:pt idx="449">
                  <c:v>-38.193754141685147</c:v>
                </c:pt>
                <c:pt idx="450">
                  <c:v>-38.587642817353178</c:v>
                </c:pt>
                <c:pt idx="451">
                  <c:v>-38.981779023225997</c:v>
                </c:pt>
                <c:pt idx="452">
                  <c:v>-39.376150047668659</c:v>
                </c:pt>
                <c:pt idx="453">
                  <c:v>-39.770743698878455</c:v>
                </c:pt>
                <c:pt idx="454">
                  <c:v>-40.165548277552546</c:v>
                </c:pt>
                <c:pt idx="455">
                  <c:v>-40.560552550689479</c:v>
                </c:pt>
                <c:pt idx="456">
                  <c:v>-40.955745726465302</c:v>
                </c:pt>
                <c:pt idx="457">
                  <c:v>-41.351117430133151</c:v>
                </c:pt>
                <c:pt idx="458">
                  <c:v>-41.746657680888674</c:v>
                </c:pt>
                <c:pt idx="459">
                  <c:v>-42.142356869652133</c:v>
                </c:pt>
                <c:pt idx="460">
                  <c:v>-42.538205737716687</c:v>
                </c:pt>
                <c:pt idx="461">
                  <c:v>-42.93419535621419</c:v>
                </c:pt>
                <c:pt idx="462">
                  <c:v>-43.330317106352638</c:v>
                </c:pt>
                <c:pt idx="463">
                  <c:v>-43.72656266038048</c:v>
                </c:pt>
                <c:pt idx="464">
                  <c:v>-44.122923963234292</c:v>
                </c:pt>
                <c:pt idx="465">
                  <c:v>-44.519393214827801</c:v>
                </c:pt>
                <c:pt idx="466">
                  <c:v>-44.915962852943771</c:v>
                </c:pt>
                <c:pt idx="467">
                  <c:v>-45.312625536687804</c:v>
                </c:pt>
                <c:pt idx="468">
                  <c:v>-45.709374130468667</c:v>
                </c:pt>
                <c:pt idx="469">
                  <c:v>-46.106201688468019</c:v>
                </c:pt>
                <c:pt idx="470">
                  <c:v>-46.503101439565661</c:v>
                </c:pt>
                <c:pt idx="471">
                  <c:v>-46.900066772686593</c:v>
                </c:pt>
                <c:pt idx="472">
                  <c:v>-47.297091222535848</c:v>
                </c:pt>
                <c:pt idx="473">
                  <c:v>-47.694168455694097</c:v>
                </c:pt>
                <c:pt idx="474">
                  <c:v>-48.091292257038177</c:v>
                </c:pt>
                <c:pt idx="475">
                  <c:v>-48.488456516462236</c:v>
                </c:pt>
                <c:pt idx="476">
                  <c:v>-48.885655215867942</c:v>
                </c:pt>
                <c:pt idx="477">
                  <c:v>-49.282882416398202</c:v>
                </c:pt>
                <c:pt idx="478">
                  <c:v>-49.680132245886398</c:v>
                </c:pt>
                <c:pt idx="479">
                  <c:v>-50.07739888649624</c:v>
                </c:pt>
                <c:pt idx="480">
                  <c:v>-50.474676562526838</c:v>
                </c:pt>
                <c:pt idx="481">
                  <c:v>-50.87195952835836</c:v>
                </c:pt>
                <c:pt idx="482">
                  <c:v>-51.269242056515125</c:v>
                </c:pt>
                <c:pt idx="483">
                  <c:v>-51.666518425822041</c:v>
                </c:pt>
                <c:pt idx="484">
                  <c:v>-52.063782909633133</c:v>
                </c:pt>
                <c:pt idx="485">
                  <c:v>-52.461029764109703</c:v>
                </c:pt>
                <c:pt idx="486">
                  <c:v>-52.85825321652554</c:v>
                </c:pt>
                <c:pt idx="487">
                  <c:v>-53.255447453582093</c:v>
                </c:pt>
                <c:pt idx="488">
                  <c:v>-53.652606609707654</c:v>
                </c:pt>
                <c:pt idx="489">
                  <c:v>-54.049724755326892</c:v>
                </c:pt>
                <c:pt idx="490">
                  <c:v>-54.446795885076966</c:v>
                </c:pt>
                <c:pt idx="491">
                  <c:v>-54.843813905953866</c:v>
                </c:pt>
                <c:pt idx="492">
                  <c:v>-55.240772625370234</c:v>
                </c:pt>
                <c:pt idx="493">
                  <c:v>-55.637665739106993</c:v>
                </c:pt>
                <c:pt idx="494">
                  <c:v>-56.034486819141804</c:v>
                </c:pt>
                <c:pt idx="495">
                  <c:v>-56.431229301337716</c:v>
                </c:pt>
                <c:pt idx="496">
                  <c:v>-56.827886472977021</c:v>
                </c:pt>
                <c:pt idx="497">
                  <c:v>-57.224451460123547</c:v>
                </c:pt>
                <c:pt idx="498">
                  <c:v>-57.620917214800549</c:v>
                </c:pt>
                <c:pt idx="499">
                  <c:v>-58.017276501969462</c:v>
                </c:pt>
                <c:pt idx="500">
                  <c:v>-58.413521886296635</c:v>
                </c:pt>
                <c:pt idx="501">
                  <c:v>-58.809645718696459</c:v>
                </c:pt>
                <c:pt idx="502">
                  <c:v>-59.20564012263948</c:v>
                </c:pt>
                <c:pt idx="503">
                  <c:v>-59.601496980214904</c:v>
                </c:pt>
                <c:pt idx="504">
                  <c:v>-59.997207917939939</c:v>
                </c:pt>
                <c:pt idx="505">
                  <c:v>-60.392764292306218</c:v>
                </c:pt>
                <c:pt idx="506">
                  <c:v>-60.788157175059553</c:v>
                </c:pt>
                <c:pt idx="507">
                  <c:v>-61.183377338204615</c:v>
                </c:pt>
                <c:pt idx="508">
                  <c:v>-61.578415238735296</c:v>
                </c:pt>
                <c:pt idx="509">
                  <c:v>-61.973261003086328</c:v>
                </c:pt>
                <c:pt idx="510">
                  <c:v>-62.367904411307535</c:v>
                </c:pt>
                <c:pt idx="511">
                  <c:v>-62.762334880963337</c:v>
                </c:pt>
                <c:pt idx="512">
                  <c:v>-63.156541450762774</c:v>
                </c:pt>
                <c:pt idx="513">
                  <c:v>-63.55051276392669</c:v>
                </c:pt>
                <c:pt idx="514">
                  <c:v>-63.944237051302252</c:v>
                </c:pt>
                <c:pt idx="515">
                  <c:v>-64.337702114239008</c:v>
                </c:pt>
                <c:pt idx="516">
                  <c:v>-64.730895307240999</c:v>
                </c:pt>
                <c:pt idx="517">
                  <c:v>-65.123803520416942</c:v>
                </c:pt>
                <c:pt idx="518">
                  <c:v>-65.516413161749313</c:v>
                </c:pt>
                <c:pt idx="519">
                  <c:v>-65.908710139212687</c:v>
                </c:pt>
                <c:pt idx="520">
                  <c:v>-66.300679842771416</c:v>
                </c:pt>
                <c:pt idx="521">
                  <c:v>-66.692307126294168</c:v>
                </c:pt>
                <c:pt idx="522">
                  <c:v>-67.08357628942592</c:v>
                </c:pt>
                <c:pt idx="523">
                  <c:v>-67.474471059465515</c:v>
                </c:pt>
                <c:pt idx="524">
                  <c:v>-67.864974573300771</c:v>
                </c:pt>
                <c:pt idx="525">
                  <c:v>-68.255069359458943</c:v>
                </c:pt>
                <c:pt idx="526">
                  <c:v>-68.644737320338166</c:v>
                </c:pt>
                <c:pt idx="527">
                  <c:v>-69.033959714691591</c:v>
                </c:pt>
                <c:pt idx="528">
                  <c:v>-69.422717140440099</c:v>
                </c:pt>
                <c:pt idx="529">
                  <c:v>-69.810989517904915</c:v>
                </c:pt>
                <c:pt idx="530">
                  <c:v>-70.198756073545084</c:v>
                </c:pt>
                <c:pt idx="531">
                  <c:v>-70.58599532430911</c:v>
                </c:pt>
                <c:pt idx="532">
                  <c:v>-70.972685062702809</c:v>
                </c:pt>
                <c:pt idx="533">
                  <c:v>-71.3588023426977</c:v>
                </c:pt>
                <c:pt idx="534">
                  <c:v>-71.744323466598544</c:v>
                </c:pt>
                <c:pt idx="535">
                  <c:v>-72.129223973010113</c:v>
                </c:pt>
                <c:pt idx="536">
                  <c:v>-72.513478626041504</c:v>
                </c:pt>
                <c:pt idx="537">
                  <c:v>-72.89706140590333</c:v>
                </c:pt>
                <c:pt idx="538">
                  <c:v>-73.279945501053461</c:v>
                </c:pt>
                <c:pt idx="539">
                  <c:v>-73.662103302061354</c:v>
                </c:pt>
                <c:pt idx="540">
                  <c:v>-74.043506397364396</c:v>
                </c:pt>
                <c:pt idx="541">
                  <c:v>-74.424125571100731</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-63.614599606713924</c:v>
                </c:pt>
                <c:pt idx="1">
                  <c:v>-64.138918082077495</c:v>
                </c:pt>
                <c:pt idx="2">
                  <c:v>-64.655900908449937</c:v>
                </c:pt>
                <c:pt idx="3">
                  <c:v>-65.165488863810154</c:v>
                </c:pt>
                <c:pt idx="4">
                  <c:v>-65.667633027328549</c:v>
                </c:pt>
                <c:pt idx="5">
                  <c:v>-66.162294434462396</c:v>
                </c:pt>
                <c:pt idx="6">
                  <c:v>-66.649443717564523</c:v>
                </c:pt>
                <c:pt idx="7">
                  <c:v>-67.12906073476897</c:v>
                </c:pt>
                <c:pt idx="8">
                  <c:v>-67.601134189792418</c:v>
                </c:pt>
                <c:pt idx="9">
                  <c:v>-68.065661245133882</c:v>
                </c:pt>
                <c:pt idx="10">
                  <c:v>-68.522647130998379</c:v>
                </c:pt>
                <c:pt idx="11">
                  <c:v>-68.972104752112259</c:v>
                </c:pt>
                <c:pt idx="12">
                  <c:v>-69.414054294423977</c:v>
                </c:pt>
                <c:pt idx="13">
                  <c:v>-69.848522833521272</c:v>
                </c:pt>
                <c:pt idx="14">
                  <c:v>-70.275543946426041</c:v>
                </c:pt>
                <c:pt idx="15">
                  <c:v>-70.695157328263235</c:v>
                </c:pt>
                <c:pt idx="16">
                  <c:v>-71.107408415139162</c:v>
                </c:pt>
                <c:pt idx="17">
                  <c:v>-71.512348014410804</c:v>
                </c:pt>
                <c:pt idx="18">
                  <c:v>-71.910031943373568</c:v>
                </c:pt>
                <c:pt idx="19">
                  <c:v>-72.300520677257566</c:v>
                </c:pt>
                <c:pt idx="20">
                  <c:v>-72.683879007283991</c:v>
                </c:pt>
                <c:pt idx="21">
                  <c:v>-73.060175709406749</c:v>
                </c:pt>
                <c:pt idx="22">
                  <c:v>-73.429483224248045</c:v>
                </c:pt>
                <c:pt idx="23">
                  <c:v>-73.791877348626215</c:v>
                </c:pt>
                <c:pt idx="24">
                  <c:v>-74.147436938969449</c:v>
                </c:pt>
                <c:pt idx="25">
                  <c:v>-74.496243626823826</c:v>
                </c:pt>
                <c:pt idx="26">
                  <c:v>-74.838381546571483</c:v>
                </c:pt>
                <c:pt idx="27">
                  <c:v>-75.173937075405604</c:v>
                </c:pt>
                <c:pt idx="28">
                  <c:v>-75.50299858553683</c:v>
                </c:pt>
                <c:pt idx="29">
                  <c:v>-75.82565620854615</c:v>
                </c:pt>
                <c:pt idx="30">
                  <c:v>-76.142001611746522</c:v>
                </c:pt>
                <c:pt idx="31">
                  <c:v>-76.452127786368436</c:v>
                </c:pt>
                <c:pt idx="32">
                  <c:v>-76.756128847342453</c:v>
                </c:pt>
                <c:pt idx="33">
                  <c:v>-77.054099844421344</c:v>
                </c:pt>
                <c:pt idx="34">
                  <c:v>-77.346136584350162</c:v>
                </c:pt>
                <c:pt idx="35">
                  <c:v>-77.632335463773401</c:v>
                </c:pt>
                <c:pt idx="36">
                  <c:v>-77.91279331254546</c:v>
                </c:pt>
                <c:pt idx="37">
                  <c:v>-78.187607247096892</c:v>
                </c:pt>
                <c:pt idx="38">
                  <c:v>-78.45687453349808</c:v>
                </c:pt>
                <c:pt idx="39">
                  <c:v>-78.720692459851179</c:v>
                </c:pt>
                <c:pt idx="40">
                  <c:v>-78.979158217639991</c:v>
                </c:pt>
                <c:pt idx="41">
                  <c:v>-79.232368791661941</c:v>
                </c:pt>
                <c:pt idx="42">
                  <c:v>-79.480420858167633</c:v>
                </c:pt>
                <c:pt idx="43">
                  <c:v>-79.723410690835877</c:v>
                </c:pt>
                <c:pt idx="44">
                  <c:v>-79.961434074215461</c:v>
                </c:pt>
                <c:pt idx="45">
                  <c:v>-80.19458622427122</c:v>
                </c:pt>
                <c:pt idx="46">
                  <c:v>-80.422961715677886</c:v>
                </c:pt>
                <c:pt idx="47">
                  <c:v>-80.646654415513879</c:v>
                </c:pt>
                <c:pt idx="48">
                  <c:v>-80.865757423016873</c:v>
                </c:pt>
                <c:pt idx="49">
                  <c:v>-81.080363015070162</c:v>
                </c:pt>
                <c:pt idx="50">
                  <c:v>-81.290562597102465</c:v>
                </c:pt>
                <c:pt idx="51">
                  <c:v>-81.49644665909274</c:v>
                </c:pt>
                <c:pt idx="52">
                  <c:v>-81.698104736381566</c:v>
                </c:pt>
                <c:pt idx="53">
                  <c:v>-81.895625375005523</c:v>
                </c:pt>
                <c:pt idx="54">
                  <c:v>-82.089096101278614</c:v>
                </c:pt>
                <c:pt idx="55">
                  <c:v>-82.278603395358729</c:v>
                </c:pt>
                <c:pt idx="56">
                  <c:v>-82.464232668548021</c:v>
                </c:pt>
                <c:pt idx="57">
                  <c:v>-82.646068244087402</c:v>
                </c:pt>
                <c:pt idx="58">
                  <c:v>-82.824193341215746</c:v>
                </c:pt>
                <c:pt idx="59">
                  <c:v>-82.998690062277518</c:v>
                </c:pt>
                <c:pt idx="60">
                  <c:v>-83.169639382671548</c:v>
                </c:pt>
                <c:pt idx="61">
                  <c:v>-83.337121143444577</c:v>
                </c:pt>
                <c:pt idx="62">
                  <c:v>-83.501214046344074</c:v>
                </c:pt>
                <c:pt idx="63">
                  <c:v>-83.661995651154285</c:v>
                </c:pt>
                <c:pt idx="64">
                  <c:v>-83.819542375149439</c:v>
                </c:pt>
                <c:pt idx="65">
                  <c:v>-83.973929494506692</c:v>
                </c:pt>
                <c:pt idx="66">
                  <c:v>-84.125231147530769</c:v>
                </c:pt>
                <c:pt idx="67">
                  <c:v>-84.273520339551681</c:v>
                </c:pt>
                <c:pt idx="68">
                  <c:v>-84.418868949362903</c:v>
                </c:pt>
                <c:pt idx="69">
                  <c:v>-84.561347737077753</c:v>
                </c:pt>
                <c:pt idx="70">
                  <c:v>-84.701026353288114</c:v>
                </c:pt>
                <c:pt idx="71">
                  <c:v>-84.837973349415748</c:v>
                </c:pt>
                <c:pt idx="72">
                  <c:v>-84.972256189155729</c:v>
                </c:pt>
                <c:pt idx="73">
                  <c:v>-85.103941260916599</c:v>
                </c:pt>
                <c:pt idx="74">
                  <c:v>-85.233093891166988</c:v>
                </c:pt>
                <c:pt idx="75">
                  <c:v>-85.359778358607159</c:v>
                </c:pt>
                <c:pt idx="76">
                  <c:v>-85.484057909086502</c:v>
                </c:pt>
                <c:pt idx="77">
                  <c:v>-85.605994771195981</c:v>
                </c:pt>
                <c:pt idx="78">
                  <c:v>-85.725650172466828</c:v>
                </c:pt>
                <c:pt idx="79">
                  <c:v>-85.843084356114034</c:v>
                </c:pt>
                <c:pt idx="80">
                  <c:v>-85.958356598266008</c:v>
                </c:pt>
                <c:pt idx="81">
                  <c:v>-86.071525225626871</c:v>
                </c:pt>
                <c:pt idx="82">
                  <c:v>-86.182647633520602</c:v>
                </c:pt>
                <c:pt idx="83">
                  <c:v>-86.291780304272308</c:v>
                </c:pt>
                <c:pt idx="84">
                  <c:v>-86.398978825882608</c:v>
                </c:pt>
                <c:pt idx="85">
                  <c:v>-86.504297910956694</c:v>
                </c:pt>
                <c:pt idx="86">
                  <c:v>-86.607791415851437</c:v>
                </c:pt>
                <c:pt idx="87">
                  <c:v>-86.709512360007537</c:v>
                </c:pt>
                <c:pt idx="88">
                  <c:v>-86.809512945436012</c:v>
                </c:pt>
                <c:pt idx="89">
                  <c:v>-86.907844576331385</c:v>
                </c:pt>
                <c:pt idx="90">
                  <c:v>-87.004557878785732</c:v>
                </c:pt>
                <c:pt idx="91">
                  <c:v>-87.099702720580666</c:v>
                </c:pt>
                <c:pt idx="92">
                  <c:v>-87.193328231036233</c:v>
                </c:pt>
                <c:pt idx="93">
                  <c:v>-87.285482820897073</c:v>
                </c:pt>
                <c:pt idx="94">
                  <c:v>-87.376214202239694</c:v>
                </c:pt>
                <c:pt idx="95">
                  <c:v>-87.465569408384184</c:v>
                </c:pt>
                <c:pt idx="96">
                  <c:v>-87.553594813797403</c:v>
                </c:pt>
                <c:pt idx="97">
                  <c:v>-87.640336153975085</c:v>
                </c:pt>
                <c:pt idx="98">
                  <c:v>-87.725838545291865</c:v>
                </c:pt>
                <c:pt idx="99">
                  <c:v>-87.810146504809921</c:v>
                </c:pt>
                <c:pt idx="100">
                  <c:v>-87.893303970037707</c:v>
                </c:pt>
                <c:pt idx="101">
                  <c:v>-87.97535431863183</c:v>
                </c:pt>
                <c:pt idx="102">
                  <c:v>-88.056340388036119</c:v>
                </c:pt>
                <c:pt idx="103">
                  <c:v>-88.136304495052315</c:v>
                </c:pt>
                <c:pt idx="104">
                  <c:v>-88.215288455339163</c:v>
                </c:pt>
                <c:pt idx="105">
                  <c:v>-88.293333602835901</c:v>
                </c:pt>
                <c:pt idx="106">
                  <c:v>-88.370480809108159</c:v>
                </c:pt>
                <c:pt idx="107">
                  <c:v>-88.446770502614598</c:v>
                </c:pt>
                <c:pt idx="108">
                  <c:v>-88.522242687893296</c:v>
                </c:pt>
                <c:pt idx="109">
                  <c:v>-88.59693696466752</c:v>
                </c:pt>
                <c:pt idx="110">
                  <c:v>-88.670892546871642</c:v>
                </c:pt>
                <c:pt idx="111">
                  <c:v>-88.744148281597489</c:v>
                </c:pt>
                <c:pt idx="112">
                  <c:v>-88.816742667963197</c:v>
                </c:pt>
                <c:pt idx="113">
                  <c:v>-88.888713875906092</c:v>
                </c:pt>
                <c:pt idx="114">
                  <c:v>-88.960099764902196</c:v>
                </c:pt>
                <c:pt idx="115">
                  <c:v>-89.030937902615193</c:v>
                </c:pt>
                <c:pt idx="116">
                  <c:v>-89.101265583477897</c:v>
                </c:pt>
                <c:pt idx="117">
                  <c:v>-89.171119847210065</c:v>
                </c:pt>
                <c:pt idx="118">
                  <c:v>-89.24053749727625</c:v>
                </c:pt>
                <c:pt idx="119">
                  <c:v>-89.30955511928822</c:v>
                </c:pt>
                <c:pt idx="120">
                  <c:v>-89.378209099356042</c:v>
                </c:pt>
                <c:pt idx="121">
                  <c:v>-89.446535642393258</c:v>
                </c:pt>
                <c:pt idx="122">
                  <c:v>-89.514570790380446</c:v>
                </c:pt>
                <c:pt idx="123">
                  <c:v>-89.582350440593316</c:v>
                </c:pt>
                <c:pt idx="124">
                  <c:v>-89.649910363800061</c:v>
                </c:pt>
                <c:pt idx="125">
                  <c:v>-89.717286222434183</c:v>
                </c:pt>
                <c:pt idx="126">
                  <c:v>-89.784513588748709</c:v>
                </c:pt>
                <c:pt idx="127">
                  <c:v>-89.851627962957195</c:v>
                </c:pt>
                <c:pt idx="128">
                  <c:v>-89.918664791368641</c:v>
                </c:pt>
                <c:pt idx="129">
                  <c:v>-89.985659484522245</c:v>
                </c:pt>
                <c:pt idx="130">
                  <c:v>-90.052647435328268</c:v>
                </c:pt>
                <c:pt idx="131">
                  <c:v>-90.11966403722208</c:v>
                </c:pt>
                <c:pt idx="132">
                  <c:v>-90.186744702337776</c:v>
                </c:pt>
                <c:pt idx="133">
                  <c:v>-90.253924879708464</c:v>
                </c:pt>
                <c:pt idx="134">
                  <c:v>-90.321240073499979</c:v>
                </c:pt>
                <c:pt idx="135">
                  <c:v>-90.388725861284911</c:v>
                </c:pt>
                <c:pt idx="136">
                  <c:v>-90.456417912364358</c:v>
                </c:pt>
                <c:pt idx="137">
                  <c:v>-90.524352006144369</c:v>
                </c:pt>
                <c:pt idx="138">
                  <c:v>-90.592564050574069</c:v>
                </c:pt>
                <c:pt idx="139">
                  <c:v>-90.661090100653212</c:v>
                </c:pt>
                <c:pt idx="140">
                  <c:v>-90.729966377015955</c:v>
                </c:pt>
                <c:pt idx="141">
                  <c:v>-90.799229284598525</c:v>
                </c:pt>
                <c:pt idx="142">
                  <c:v>-90.868915431397923</c:v>
                </c:pt>
                <c:pt idx="143">
                  <c:v>-90.939061647329211</c:v>
                </c:pt>
                <c:pt idx="144">
                  <c:v>-91.009705003188529</c:v>
                </c:pt>
                <c:pt idx="145">
                  <c:v>-91.080882829729433</c:v>
                </c:pt>
                <c:pt idx="146">
                  <c:v>-91.152632736859914</c:v>
                </c:pt>
                <c:pt idx="147">
                  <c:v>-91.224992632967314</c:v>
                </c:pt>
                <c:pt idx="148">
                  <c:v>-91.298000744378442</c:v>
                </c:pt>
                <c:pt idx="149">
                  <c:v>-91.371695634962549</c:v>
                </c:pt>
                <c:pt idx="150">
                  <c:v>-91.446116225883927</c:v>
                </c:pt>
                <c:pt idx="151">
                  <c:v>-91.521301815511592</c:v>
                </c:pt>
                <c:pt idx="152">
                  <c:v>-91.597292099493131</c:v>
                </c:pt>
                <c:pt idx="153">
                  <c:v>-91.674127190999926</c:v>
                </c:pt>
                <c:pt idx="154">
                  <c:v>-91.751847641150107</c:v>
                </c:pt>
                <c:pt idx="155">
                  <c:v>-91.830494459617086</c:v>
                </c:pt>
                <c:pt idx="156">
                  <c:v>-91.910109135429195</c:v>
                </c:pt>
                <c:pt idx="157">
                  <c:v>-91.990733657968192</c:v>
                </c:pt>
                <c:pt idx="158">
                  <c:v>-92.072410538172036</c:v>
                </c:pt>
                <c:pt idx="159">
                  <c:v>-92.155182829949098</c:v>
                </c:pt>
                <c:pt idx="160">
                  <c:v>-92.239094151808956</c:v>
                </c:pt>
                <c:pt idx="161">
                  <c:v>-92.324188708716562</c:v>
                </c:pt>
                <c:pt idx="162">
                  <c:v>-92.410511314174656</c:v>
                </c:pt>
                <c:pt idx="163">
                  <c:v>-92.498107412540193</c:v>
                </c:pt>
                <c:pt idx="164">
                  <c:v>-92.58702310157976</c:v>
                </c:pt>
                <c:pt idx="165">
                  <c:v>-92.67730515526867</c:v>
                </c:pt>
                <c:pt idx="166">
                  <c:v>-92.769001046838198</c:v>
                </c:pt>
                <c:pt idx="167">
                  <c:v>-92.862158972075193</c:v>
                </c:pt>
                <c:pt idx="168">
                  <c:v>-92.956827872877369</c:v>
                </c:pt>
                <c:pt idx="169">
                  <c:v>-93.053057461067553</c:v>
                </c:pt>
                <c:pt idx="170">
                  <c:v>-93.150898242470134</c:v>
                </c:pt>
                <c:pt idx="171">
                  <c:v>-93.250401541250724</c:v>
                </c:pt>
                <c:pt idx="172">
                  <c:v>-93.351619524522008</c:v>
                </c:pt>
                <c:pt idx="173">
                  <c:v>-93.454605227215865</c:v>
                </c:pt>
                <c:pt idx="174">
                  <c:v>-93.559412577222105</c:v>
                </c:pt>
                <c:pt idx="175">
                  <c:v>-93.666096420794048</c:v>
                </c:pt>
                <c:pt idx="176">
                  <c:v>-93.774712548218957</c:v>
                </c:pt>
                <c:pt idx="177">
                  <c:v>-93.885317719751825</c:v>
                </c:pt>
                <c:pt idx="178">
                  <c:v>-93.997969691809274</c:v>
                </c:pt>
                <c:pt idx="179">
                  <c:v>-94.11272724341967</c:v>
                </c:pt>
                <c:pt idx="180">
                  <c:v>-94.229650202924375</c:v>
                </c:pt>
                <c:pt idx="181">
                  <c:v>-94.348799474924149</c:v>
                </c:pt>
                <c:pt idx="182">
                  <c:v>-94.470237067462577</c:v>
                </c:pt>
                <c:pt idx="183">
                  <c:v>-94.594026119439164</c:v>
                </c:pt>
                <c:pt idx="184">
                  <c:v>-94.720230928239971</c:v>
                </c:pt>
                <c:pt idx="185">
                  <c:v>-94.848916977575868</c:v>
                </c:pt>
                <c:pt idx="186">
                  <c:v>-94.980150965513772</c:v>
                </c:pt>
                <c:pt idx="187">
                  <c:v>-95.114000832686386</c:v>
                </c:pt>
                <c:pt idx="188">
                  <c:v>-95.250535790662838</c:v>
                </c:pt>
                <c:pt idx="189">
                  <c:v>-95.38982635046159</c:v>
                </c:pt>
                <c:pt idx="190">
                  <c:v>-95.531944351184208</c:v>
                </c:pt>
                <c:pt idx="191">
                  <c:v>-95.676962988745998</c:v>
                </c:pt>
                <c:pt idx="192">
                  <c:v>-95.824956844677843</c:v>
                </c:pt>
                <c:pt idx="193">
                  <c:v>-95.976001914970553</c:v>
                </c:pt>
                <c:pt idx="194">
                  <c:v>-96.13017563892943</c:v>
                </c:pt>
                <c:pt idx="195">
                  <c:v>-96.287556928005273</c:v>
                </c:pt>
                <c:pt idx="196">
                  <c:v>-96.448226194563304</c:v>
                </c:pt>
                <c:pt idx="197">
                  <c:v>-96.612265380549388</c:v>
                </c:pt>
                <c:pt idx="198">
                  <c:v>-96.779757986007596</c:v>
                </c:pt>
                <c:pt idx="199">
                  <c:v>-96.950789097401596</c:v>
                </c:pt>
                <c:pt idx="200">
                  <c:v>-97.125445415685874</c:v>
                </c:pt>
                <c:pt idx="201">
                  <c:v>-97.303815284069827</c:v>
                </c:pt>
                <c:pt idx="202">
                  <c:v>-97.485988715413271</c:v>
                </c:pt>
                <c:pt idx="203">
                  <c:v>-97.672057419185279</c:v>
                </c:pt>
                <c:pt idx="204">
                  <c:v>-97.862114827915917</c:v>
                </c:pt>
                <c:pt idx="205">
                  <c:v>-98.056256123062042</c:v>
                </c:pt>
                <c:pt idx="206">
                  <c:v>-98.254578260204326</c:v>
                </c:pt>
                <c:pt idx="207">
                  <c:v>-98.457179993486619</c:v>
                </c:pt>
                <c:pt idx="208">
                  <c:v>-98.664161899200394</c:v>
                </c:pt>
                <c:pt idx="209">
                  <c:v>-98.875626398413473</c:v>
                </c:pt>
                <c:pt idx="210">
                  <c:v>-99.091677778531704</c:v>
                </c:pt>
                <c:pt idx="211">
                  <c:v>-99.312422213677451</c:v>
                </c:pt>
                <c:pt idx="212">
                  <c:v>-99.537967783759512</c:v>
                </c:pt>
                <c:pt idx="213">
                  <c:v>-99.768424492102056</c:v>
                </c:pt>
                <c:pt idx="214">
                  <c:v>-100.00390428148906</c:v>
                </c:pt>
                <c:pt idx="215">
                  <c:v>-100.24452104847681</c:v>
                </c:pt>
                <c:pt idx="216">
                  <c:v>-100.49039065581201</c:v>
                </c:pt>
                <c:pt idx="217">
                  <c:v>-100.74163094278774</c:v>
                </c:pt>
                <c:pt idx="218">
                  <c:v>-100.99836173335881</c:v>
                </c:pt>
                <c:pt idx="219">
                  <c:v>-101.26070484182465</c:v>
                </c:pt>
                <c:pt idx="220">
                  <c:v>-101.52878407588366</c:v>
                </c:pt>
                <c:pt idx="221">
                  <c:v>-101.80272523684604</c:v>
                </c:pt>
                <c:pt idx="222">
                  <c:v>-102.08265611678411</c:v>
                </c:pt>
                <c:pt idx="223">
                  <c:v>-102.36870649238841</c:v>
                </c:pt>
                <c:pt idx="224">
                  <c:v>-102.66100811528545</c:v>
                </c:pt>
                <c:pt idx="225">
                  <c:v>-102.95969469856088</c:v>
                </c:pt>
                <c:pt idx="226">
                  <c:v>-103.26490189922404</c:v>
                </c:pt>
                <c:pt idx="227">
                  <c:v>-103.57676729633161</c:v>
                </c:pt>
                <c:pt idx="228">
                  <c:v>-103.89543036448605</c:v>
                </c:pt>
                <c:pt idx="229">
                  <c:v>-104.22103244240532</c:v>
                </c:pt>
                <c:pt idx="230">
                  <c:v>-104.55371669625288</c:v>
                </c:pt>
                <c:pt idx="231">
                  <c:v>-104.89362807741031</c:v>
                </c:pt>
                <c:pt idx="232">
                  <c:v>-105.24091327435698</c:v>
                </c:pt>
                <c:pt idx="233">
                  <c:v>-105.59572065832199</c:v>
                </c:pt>
                <c:pt idx="234">
                  <c:v>-105.9582002223579</c:v>
                </c:pt>
                <c:pt idx="235">
                  <c:v>-106.32850351348389</c:v>
                </c:pt>
                <c:pt idx="236">
                  <c:v>-106.70678355753839</c:v>
                </c:pt>
                <c:pt idx="237">
                  <c:v>-107.09319477637833</c:v>
                </c:pt>
                <c:pt idx="238">
                  <c:v>-107.48789289705994</c:v>
                </c:pt>
                <c:pt idx="239">
                  <c:v>-107.89103485263591</c:v>
                </c:pt>
                <c:pt idx="240">
                  <c:v>-108.30277867420681</c:v>
                </c:pt>
                <c:pt idx="241">
                  <c:v>-108.72328337387034</c:v>
                </c:pt>
                <c:pt idx="242">
                  <c:v>-109.15270881821907</c:v>
                </c:pt>
                <c:pt idx="243">
                  <c:v>-109.59121559204962</c:v>
                </c:pt>
                <c:pt idx="244">
                  <c:v>-110.03896485196303</c:v>
                </c:pt>
                <c:pt idx="245">
                  <c:v>-110.49611816955509</c:v>
                </c:pt>
                <c:pt idx="246">
                  <c:v>-110.96283736391806</c:v>
                </c:pt>
                <c:pt idx="247">
                  <c:v>-111.43928432320773</c:v>
                </c:pt>
                <c:pt idx="248">
                  <c:v>-111.9256208150634</c:v>
                </c:pt>
                <c:pt idx="249">
                  <c:v>-112.42200828570599</c:v>
                </c:pt>
                <c:pt idx="250">
                  <c:v>-112.92860764759546</c:v>
                </c:pt>
                <c:pt idx="251">
                  <c:v>-113.44557905556846</c:v>
                </c:pt>
                <c:pt idx="252">
                  <c:v>-113.9730816714533</c:v>
                </c:pt>
                <c:pt idx="253">
                  <c:v>-114.51127341721698</c:v>
                </c:pt>
                <c:pt idx="254">
                  <c:v>-115.06031071677866</c:v>
                </c:pt>
                <c:pt idx="255">
                  <c:v>-115.62034822670972</c:v>
                </c:pt>
                <c:pt idx="256">
                  <c:v>-116.19153855612947</c:v>
                </c:pt>
                <c:pt idx="257">
                  <c:v>-116.77403197621314</c:v>
                </c:pt>
                <c:pt idx="258">
                  <c:v>-117.3679761198282</c:v>
                </c:pt>
                <c:pt idx="259">
                  <c:v>-117.97351567194207</c:v>
                </c:pt>
                <c:pt idx="260">
                  <c:v>-118.59079205156873</c:v>
                </c:pt>
                <c:pt idx="261">
                  <c:v>-119.2199430861474</c:v>
                </c:pt>
                <c:pt idx="262">
                  <c:v>-119.86110267940195</c:v>
                </c:pt>
                <c:pt idx="263">
                  <c:v>-120.5144004738641</c:v>
                </c:pt>
                <c:pt idx="264">
                  <c:v>-121.17996150940694</c:v>
                </c:pt>
                <c:pt idx="265">
                  <c:v>-121.8579058792844</c:v>
                </c:pt>
                <c:pt idx="266">
                  <c:v>-122.54834838535</c:v>
                </c:pt>
                <c:pt idx="267">
                  <c:v>-123.25139819426644</c:v>
                </c:pt>
                <c:pt idx="268">
                  <c:v>-123.96715849671115</c:v>
                </c:pt>
                <c:pt idx="269">
                  <c:v>-124.69572617171924</c:v>
                </c:pt>
                <c:pt idx="270">
                  <c:v>-125.43719145847761</c:v>
                </c:pt>
                <c:pt idx="271">
                  <c:v>-126.19163763802858</c:v>
                </c:pt>
                <c:pt idx="272">
                  <c:v>-126.9591407274809</c:v>
                </c:pt>
                <c:pt idx="273">
                  <c:v>-127.73976918946174</c:v>
                </c:pt>
                <c:pt idx="274">
                  <c:v>-128.5335836596422</c:v>
                </c:pt>
                <c:pt idx="275">
                  <c:v>-129.34063669527691</c:v>
                </c:pt>
                <c:pt idx="276">
                  <c:v>-130.1609725477575</c:v>
                </c:pt>
                <c:pt idx="277">
                  <c:v>-130.99462696223063</c:v>
                </c:pt>
                <c:pt idx="278">
                  <c:v>-131.84162700734382</c:v>
                </c:pt>
                <c:pt idx="279">
                  <c:v>-132.70199093816905</c:v>
                </c:pt>
                <c:pt idx="280">
                  <c:v>-133.57572809529668</c:v>
                </c:pt>
                <c:pt idx="281">
                  <c:v>-134.46283884300362</c:v>
                </c:pt>
                <c:pt idx="282">
                  <c:v>-135.36331454926906</c:v>
                </c:pt>
                <c:pt idx="283">
                  <c:v>-136.27713761023435</c:v>
                </c:pt>
                <c:pt idx="284">
                  <c:v>-137.20428152148273</c:v>
                </c:pt>
                <c:pt idx="285">
                  <c:v>-138.14471099825488</c:v>
                </c:pt>
                <c:pt idx="286">
                  <c:v>-139.09838214640013</c:v>
                </c:pt>
                <c:pt idx="287">
                  <c:v>-140.06524268551482</c:v>
                </c:pt>
                <c:pt idx="288">
                  <c:v>-141.0452322253162</c:v>
                </c:pt>
                <c:pt idx="289">
                  <c:v>-142.03828259586209</c:v>
                </c:pt>
                <c:pt idx="290">
                  <c:v>-143.0443182317579</c:v>
                </c:pt>
                <c:pt idx="291">
                  <c:v>-144.06325660996842</c:v>
                </c:pt>
                <c:pt idx="292">
                  <c:v>-145.09500874032773</c:v>
                </c:pt>
                <c:pt idx="293">
                  <c:v>-146.13947970727128</c:v>
                </c:pt>
                <c:pt idx="294">
                  <c:v>-147.19656926074174</c:v>
                </c:pt>
                <c:pt idx="295">
                  <c:v>-148.2661724536284</c:v>
                </c:pt>
                <c:pt idx="296">
                  <c:v>-149.34818032252386</c:v>
                </c:pt>
                <c:pt idx="297">
                  <c:v>-150.44248060798802</c:v>
                </c:pt>
                <c:pt idx="298">
                  <c:v>-151.5489585099551</c:v>
                </c:pt>
                <c:pt idx="299">
                  <c:v>-152.66749747337033</c:v>
                </c:pt>
                <c:pt idx="300">
                  <c:v>-153.79797999863266</c:v>
                </c:pt>
                <c:pt idx="301">
                  <c:v>-154.94028847094876</c:v>
                </c:pt>
                <c:pt idx="302">
                  <c:v>-156.09430600227037</c:v>
                </c:pt>
                <c:pt idx="303">
                  <c:v>-157.25991727911278</c:v>
                </c:pt>
                <c:pt idx="304">
                  <c:v>-158.43700940922898</c:v>
                </c:pt>
                <c:pt idx="305">
                  <c:v>-159.62547275985438</c:v>
                </c:pt>
                <c:pt idx="306">
                  <c:v>-160.82520178003469</c:v>
                </c:pt>
                <c:pt idx="307">
                  <c:v>-162.03609579941835</c:v>
                </c:pt>
                <c:pt idx="308">
                  <c:v>-163.25805979582836</c:v>
                </c:pt>
                <c:pt idx="309">
                  <c:v>-164.49100512390791</c:v>
                </c:pt>
                <c:pt idx="310">
                  <c:v>-165.73485019721596</c:v>
                </c:pt>
                <c:pt idx="311">
                  <c:v>-166.98952111623711</c:v>
                </c:pt>
                <c:pt idx="312">
                  <c:v>-168.25495223495454</c:v>
                </c:pt>
                <c:pt idx="313">
                  <c:v>-169.53108665884869</c:v>
                </c:pt>
                <c:pt idx="314">
                  <c:v>-170.81787666744893</c:v>
                </c:pt>
                <c:pt idx="315">
                  <c:v>-172.11528405485626</c:v>
                </c:pt>
                <c:pt idx="316">
                  <c:v>-173.42328038200282</c:v>
                </c:pt>
                <c:pt idx="317">
                  <c:v>-174.74184713475879</c:v>
                </c:pt>
                <c:pt idx="318">
                  <c:v>-176.07097578239055</c:v>
                </c:pt>
                <c:pt idx="319">
                  <c:v>-177.4106677312526</c:v>
                </c:pt>
                <c:pt idx="320">
                  <c:v>-178.76093416902958</c:v>
                </c:pt>
                <c:pt idx="321">
                  <c:v>179.87820420475572</c:v>
                </c:pt>
                <c:pt idx="322">
                  <c:v>178.50671756581275</c:v>
                </c:pt>
                <c:pt idx="323">
                  <c:v>177.12456747313715</c:v>
                </c:pt>
                <c:pt idx="324">
                  <c:v>175.73170750099641</c:v>
                </c:pt>
                <c:pt idx="325">
                  <c:v>174.32808399734824</c:v>
                </c:pt>
                <c:pt idx="326">
                  <c:v>172.91363697067425</c:v>
                </c:pt>
                <c:pt idx="327">
                  <c:v>171.4883011067094</c:v>
                </c:pt>
                <c:pt idx="328">
                  <c:v>170.05200691599316</c:v>
                </c:pt>
                <c:pt idx="329">
                  <c:v>168.60468201254258</c:v>
                </c:pt>
                <c:pt idx="330">
                  <c:v>167.14625252330885</c:v>
                </c:pt>
                <c:pt idx="331">
                  <c:v>165.67664462729184</c:v>
                </c:pt>
                <c:pt idx="332">
                  <c:v>164.19578622240053</c:v>
                </c:pt>
                <c:pt idx="333">
                  <c:v>162.70360871716187</c:v>
                </c:pt>
                <c:pt idx="334">
                  <c:v>161.20004894335969</c:v>
                </c:pt>
                <c:pt idx="335">
                  <c:v>159.68505118446845</c:v>
                </c:pt>
                <c:pt idx="336">
                  <c:v>158.15856931343117</c:v>
                </c:pt>
                <c:pt idx="337">
                  <c:v>156.62056903182003</c:v>
                </c:pt>
                <c:pt idx="338">
                  <c:v>155.07103020078978</c:v>
                </c:pt>
                <c:pt idx="339">
                  <c:v>153.50994925241449</c:v>
                </c:pt>
                <c:pt idx="340">
                  <c:v>151.93734166803006</c:v>
                </c:pt>
                <c:pt idx="341">
                  <c:v>150.35324450808756</c:v>
                </c:pt>
                <c:pt idx="342">
                  <c:v>148.75771897579619</c:v>
                </c:pt>
                <c:pt idx="343">
                  <c:v>147.15085299448012</c:v>
                </c:pt>
                <c:pt idx="344">
                  <c:v>145.53276377617118</c:v>
                </c:pt>
                <c:pt idx="345">
                  <c:v>143.90360035655283</c:v>
                </c:pt>
                <c:pt idx="346">
                  <c:v>142.26354606898883</c:v>
                </c:pt>
                <c:pt idx="347">
                  <c:v>140.612820928117</c:v>
                </c:pt>
                <c:pt idx="348">
                  <c:v>138.95168389142003</c:v>
                </c:pt>
                <c:pt idx="349">
                  <c:v>137.28043496540838</c:v>
                </c:pt>
                <c:pt idx="350">
                  <c:v>135.59941712165025</c:v>
                </c:pt>
                <c:pt idx="351">
                  <c:v>133.90901798695273</c:v>
                </c:pt>
                <c:pt idx="352">
                  <c:v>132.20967127166119</c:v>
                </c:pt>
                <c:pt idx="353">
                  <c:v>130.50185790038387</c:v>
                </c:pt>
                <c:pt idx="354">
                  <c:v>128.78610681053775</c:v>
                </c:pt>
                <c:pt idx="355">
                  <c:v>127.0629953860935</c:v>
                </c:pt>
                <c:pt idx="356">
                  <c:v>125.33314949670755</c:v>
                </c:pt>
                <c:pt idx="357">
                  <c:v>123.59724311626796</c:v>
                </c:pt>
                <c:pt idx="358">
                  <c:v>121.85599749957227</c:v>
                </c:pt>
                <c:pt idx="359">
                  <c:v>120.11017990152179</c:v>
                </c:pt>
                <c:pt idx="360">
                  <c:v>118.3606018296832</c:v>
                </c:pt>
                <c:pt idx="361">
                  <c:v>116.60811682829329</c:v>
                </c:pt>
                <c:pt idx="362">
                  <c:v>114.8536177995713</c:v>
                </c:pt>
                <c:pt idx="363">
                  <c:v>113.09803387642312</c:v>
                </c:pt>
                <c:pt idx="364">
                  <c:v>111.34232686899963</c:v>
                </c:pt>
                <c:pt idx="365">
                  <c:v>109.5874873159265</c:v>
                </c:pt>
                <c:pt idx="366">
                  <c:v>107.83453017905009</c:v>
                </c:pt>
                <c:pt idx="367">
                  <c:v>106.08449022802759</c:v>
                </c:pt>
                <c:pt idx="368">
                  <c:v>104.33841716772957</c:v>
                </c:pt>
                <c:pt idx="369">
                  <c:v>102.59737056704401</c:v>
                </c:pt>
                <c:pt idx="370">
                  <c:v>100.86241465200938</c:v>
                </c:pt>
                <c:pt idx="371">
                  <c:v>99.134613029152405</c:v>
                </c:pt>
                <c:pt idx="372">
                  <c:v>97.415023406318028</c:v>
                </c:pt>
                <c:pt idx="373">
                  <c:v>95.704692378134411</c:v>
                </c:pt>
                <c:pt idx="374">
                  <c:v>94.004650341513639</c:v>
                </c:pt>
                <c:pt idx="375">
                  <c:v>92.315906603382189</c:v>
                </c:pt>
                <c:pt idx="376">
                  <c:v>90.639444738210813</c:v>
                </c:pt>
                <c:pt idx="377">
                  <c:v>88.976218247103617</c:v>
                </c:pt>
                <c:pt idx="378">
                  <c:v>87.327146563386194</c:v>
                </c:pt>
                <c:pt idx="379">
                  <c:v>85.693111442038216</c:v>
                </c:pt>
                <c:pt idx="380">
                  <c:v>84.074953762243354</c:v>
                </c:pt>
                <c:pt idx="381">
                  <c:v>82.473470763974589</c:v>
                </c:pt>
                <c:pt idx="382">
                  <c:v>80.889413731211391</c:v>
                </c:pt>
                <c:pt idx="383">
                  <c:v>79.323486126291684</c:v>
                </c:pt>
                <c:pt idx="384">
                  <c:v>77.776342172265018</c:v>
                </c:pt>
                <c:pt idx="385">
                  <c:v>76.248585873099472</c:v>
                </c:pt>
                <c:pt idx="386">
                  <c:v>74.740770455351011</c:v>
                </c:pt>
                <c:pt idx="387">
                  <c:v>73.253398209521222</c:v>
                </c:pt>
                <c:pt idx="388">
                  <c:v>71.786920704885944</c:v>
                </c:pt>
                <c:pt idx="389">
                  <c:v>70.341739348063655</c:v>
                </c:pt>
                <c:pt idx="390">
                  <c:v>68.91820625304662</c:v>
                </c:pt>
                <c:pt idx="391">
                  <c:v>67.516625388744743</c:v>
                </c:pt>
                <c:pt idx="392">
                  <c:v>66.137253969282071</c:v>
                </c:pt>
                <c:pt idx="393">
                  <c:v>64.780304052227081</c:v>
                </c:pt>
                <c:pt idx="394">
                  <c:v>63.445944310538714</c:v>
                </c:pt>
                <c:pt idx="395">
                  <c:v>62.134301945188064</c:v>
                </c:pt>
                <c:pt idx="396">
                  <c:v>60.845464707054795</c:v>
                </c:pt>
                <c:pt idx="397">
                  <c:v>59.579482998690935</c:v>
                </c:pt>
                <c:pt idx="398">
                  <c:v>58.336372028823803</c:v>
                </c:pt>
                <c:pt idx="399">
                  <c:v>57.116113994905767</c:v>
                </c:pt>
                <c:pt idx="400">
                  <c:v>55.918660271573749</c:v>
                </c:pt>
                <c:pt idx="401">
                  <c:v>54.74393358544696</c:v>
                </c:pt>
                <c:pt idx="402">
                  <c:v>53.5918301592462</c:v>
                </c:pt>
                <c:pt idx="403">
                  <c:v>52.462221810677001</c:v>
                </c:pt>
                <c:pt idx="404">
                  <c:v>51.354957993874997</c:v>
                </c:pt>
                <c:pt idx="405">
                  <c:v>50.269867773415619</c:v>
                </c:pt>
                <c:pt idx="406">
                  <c:v>49.206761722928746</c:v>
                </c:pt>
                <c:pt idx="407">
                  <c:v>48.165433742228146</c:v>
                </c:pt>
                <c:pt idx="408">
                  <c:v>47.145662788530807</c:v>
                </c:pt>
                <c:pt idx="409">
                  <c:v>46.147214518848152</c:v>
                </c:pt>
                <c:pt idx="410">
                  <c:v>45.169842841930581</c:v>
                </c:pt>
                <c:pt idx="411">
                  <c:v>44.21329137928965</c:v>
                </c:pt>
                <c:pt idx="412">
                  <c:v>43.277294835788219</c:v>
                </c:pt>
                <c:pt idx="413">
                  <c:v>42.3615802811089</c:v>
                </c:pt>
                <c:pt idx="414">
                  <c:v>41.465868344083823</c:v>
                </c:pt>
                <c:pt idx="415">
                  <c:v>40.589874322411951</c:v>
                </c:pt>
                <c:pt idx="416">
                  <c:v>39.733309210729068</c:v>
                </c:pt>
                <c:pt idx="417">
                  <c:v>38.895880650310026</c:v>
                </c:pt>
                <c:pt idx="418">
                  <c:v>38.077293803935916</c:v>
                </c:pt>
                <c:pt idx="419">
                  <c:v>37.277252159604664</c:v>
                </c:pt>
                <c:pt idx="420">
                  <c:v>36.495458266865199</c:v>
                </c:pt>
                <c:pt idx="421">
                  <c:v>35.731614409585028</c:v>
                </c:pt>
                <c:pt idx="422">
                  <c:v>34.985423218958935</c:v>
                </c:pt>
                <c:pt idx="423">
                  <c:v>34.256588230498863</c:v>
                </c:pt>
                <c:pt idx="424">
                  <c:v>33.544814388683541</c:v>
                </c:pt>
                <c:pt idx="425">
                  <c:v>32.849808502820991</c:v>
                </c:pt>
                <c:pt idx="426">
                  <c:v>32.171279657558173</c:v>
                </c:pt>
                <c:pt idx="427">
                  <c:v>31.508939581336584</c:v>
                </c:pt>
                <c:pt idx="428">
                  <c:v>30.862502975929065</c:v>
                </c:pt>
                <c:pt idx="429">
                  <c:v>30.231687810037439</c:v>
                </c:pt>
                <c:pt idx="430">
                  <c:v>29.616215579789365</c:v>
                </c:pt>
                <c:pt idx="431">
                  <c:v>29.015811538777054</c:v>
                </c:pt>
                <c:pt idx="432">
                  <c:v>28.430204900149899</c:v>
                </c:pt>
                <c:pt idx="433">
                  <c:v>27.859129013097988</c:v>
                </c:pt>
                <c:pt idx="434">
                  <c:v>27.302321515916102</c:v>
                </c:pt>
                <c:pt idx="435">
                  <c:v>26.759524467686848</c:v>
                </c:pt>
                <c:pt idx="436">
                  <c:v>26.230484460482021</c:v>
                </c:pt>
                <c:pt idx="437">
                  <c:v>25.714952713836528</c:v>
                </c:pt>
                <c:pt idx="438">
                  <c:v>25.212685153131254</c:v>
                </c:pt>
                <c:pt idx="439">
                  <c:v>24.723442473388992</c:v>
                </c:pt>
                <c:pt idx="440">
                  <c:v>24.246990189874882</c:v>
                </c:pt>
                <c:pt idx="441">
                  <c:v>23.783098676782593</c:v>
                </c:pt>
                <c:pt idx="442">
                  <c:v>23.331543195190708</c:v>
                </c:pt>
                <c:pt idx="443">
                  <c:v>22.892103911368842</c:v>
                </c:pt>
                <c:pt idx="444">
                  <c:v>22.464565906433037</c:v>
                </c:pt>
                <c:pt idx="445">
                  <c:v>22.048719178261805</c:v>
                </c:pt>
                <c:pt idx="446">
                  <c:v>21.644358636508514</c:v>
                </c:pt>
                <c:pt idx="447">
                  <c:v>21.25128409147765</c:v>
                </c:pt>
                <c:pt idx="448">
                  <c:v>20.869300237559475</c:v>
                </c:pt>
                <c:pt idx="449">
                  <c:v>20.498216631866686</c:v>
                </c:pt>
                <c:pt idx="450">
                  <c:v>20.137847668647911</c:v>
                </c:pt>
                <c:pt idx="451">
                  <c:v>19.788012550014951</c:v>
                </c:pt>
                <c:pt idx="452">
                  <c:v>19.448535253461195</c:v>
                </c:pt>
                <c:pt idx="453">
                  <c:v>19.119244496610275</c:v>
                </c:pt>
                <c:pt idx="454">
                  <c:v>18.799973699593956</c:v>
                </c:pt>
                <c:pt idx="455">
                  <c:v>18.490560945418292</c:v>
                </c:pt>
                <c:pt idx="456">
                  <c:v>18.190848938646475</c:v>
                </c:pt>
                <c:pt idx="457">
                  <c:v>17.900684962689727</c:v>
                </c:pt>
                <c:pt idx="458">
                  <c:v>17.619920835977499</c:v>
                </c:pt>
                <c:pt idx="459">
                  <c:v>17.34841286724253</c:v>
                </c:pt>
                <c:pt idx="460">
                  <c:v>17.086021810139339</c:v>
                </c:pt>
                <c:pt idx="461">
                  <c:v>16.83261281738751</c:v>
                </c:pt>
                <c:pt idx="462">
                  <c:v>16.588055394614582</c:v>
                </c:pt>
                <c:pt idx="463">
                  <c:v>16.352223354050238</c:v>
                </c:pt>
                <c:pt idx="464">
                  <c:v>16.124994768211049</c:v>
                </c:pt>
                <c:pt idx="465">
                  <c:v>15.90625192369596</c:v>
                </c:pt>
                <c:pt idx="466">
                  <c:v>15.695881275196493</c:v>
                </c:pt>
                <c:pt idx="467">
                  <c:v>15.493773399817982</c:v>
                </c:pt>
                <c:pt idx="468">
                  <c:v>15.299822951789007</c:v>
                </c:pt>
                <c:pt idx="469">
                  <c:v>15.113928617628366</c:v>
                </c:pt>
                <c:pt idx="470">
                  <c:v>14.935993071827788</c:v>
                </c:pt>
                <c:pt idx="471">
                  <c:v>14.765922933096434</c:v>
                </c:pt>
                <c:pt idx="472">
                  <c:v>14.603628721207508</c:v>
                </c:pt>
                <c:pt idx="473">
                  <c:v>14.449024814473262</c:v>
                </c:pt>
                <c:pt idx="474">
                  <c:v>14.302029407872194</c:v>
                </c:pt>
                <c:pt idx="475">
                  <c:v>14.162564471839334</c:v>
                </c:pt>
                <c:pt idx="476">
                  <c:v>14.030555711726551</c:v>
                </c:pt>
                <c:pt idx="477">
                  <c:v>13.905932527930254</c:v>
                </c:pt>
                <c:pt idx="478">
                  <c:v>13.788627976678363</c:v>
                </c:pt>
                <c:pt idx="479">
                  <c:v>13.678578731461748</c:v>
                </c:pt>
                <c:pt idx="480">
                  <c:v>13.575725045087733</c:v>
                </c:pt>
                <c:pt idx="481">
                  <c:v>13.480010712327923</c:v>
                </c:pt>
                <c:pt idx="482">
                  <c:v>13.391383033126937</c:v>
                </c:pt>
                <c:pt idx="483">
                  <c:v>13.309792776330434</c:v>
                </c:pt>
                <c:pt idx="484">
                  <c:v>13.235194143887162</c:v>
                </c:pt>
                <c:pt idx="485">
                  <c:v>13.16754473547187</c:v>
                </c:pt>
                <c:pt idx="486">
                  <c:v>13.10680551347027</c:v>
                </c:pt>
                <c:pt idx="487">
                  <c:v>13.052940768262156</c:v>
                </c:pt>
                <c:pt idx="488">
                  <c:v>13.005918083730116</c:v>
                </c:pt>
                <c:pt idx="489">
                  <c:v>12.965708302916994</c:v>
                </c:pt>
                <c:pt idx="490">
                  <c:v>12.932285493748331</c:v>
                </c:pt>
                <c:pt idx="491">
                  <c:v>12.90562691472816</c:v>
                </c:pt>
                <c:pt idx="492">
                  <c:v>12.885712980510791</c:v>
                </c:pt>
                <c:pt idx="493">
                  <c:v>12.872527227243657</c:v>
                </c:pt>
                <c:pt idx="494">
                  <c:v>12.866056277569209</c:v>
                </c:pt>
                <c:pt idx="495">
                  <c:v>12.866289805165721</c:v>
                </c:pt>
                <c:pt idx="496">
                  <c:v>12.873220498699885</c:v>
                </c:pt>
                <c:pt idx="497">
                  <c:v>12.88684402505497</c:v>
                </c:pt>
                <c:pt idx="498">
                  <c:v>12.907158991690382</c:v>
                </c:pt>
                <c:pt idx="499">
                  <c:v>12.934166907981442</c:v>
                </c:pt>
                <c:pt idx="500">
                  <c:v>12.967872145374693</c:v>
                </c:pt>
                <c:pt idx="501">
                  <c:v>13.00828189619055</c:v>
                </c:pt>
                <c:pt idx="502">
                  <c:v>13.055406130891477</c:v>
                </c:pt>
                <c:pt idx="503">
                  <c:v>13.109257553624442</c:v>
                </c:pt>
                <c:pt idx="504">
                  <c:v>13.169851555839148</c:v>
                </c:pt>
                <c:pt idx="505">
                  <c:v>13.237206167768463</c:v>
                </c:pt>
                <c:pt idx="506">
                  <c:v>13.311342007551939</c:v>
                </c:pt>
                <c:pt idx="507">
                  <c:v>13.392282227767174</c:v>
                </c:pt>
                <c:pt idx="508">
                  <c:v>13.480052459127858</c:v>
                </c:pt>
                <c:pt idx="509">
                  <c:v>13.574680751090938</c:v>
                </c:pt>
                <c:pt idx="510">
                  <c:v>13.676197509108711</c:v>
                </c:pt>
                <c:pt idx="511">
                  <c:v>13.784635428246697</c:v>
                </c:pt>
                <c:pt idx="512">
                  <c:v>13.900029422877781</c:v>
                </c:pt>
                <c:pt idx="513">
                  <c:v>14.022416552153606</c:v>
                </c:pt>
                <c:pt idx="514">
                  <c:v>14.151835940938621</c:v>
                </c:pt>
                <c:pt idx="515">
                  <c:v>14.288328695886817</c:v>
                </c:pt>
                <c:pt idx="516">
                  <c:v>14.431937816325849</c:v>
                </c:pt>
                <c:pt idx="517">
                  <c:v>14.582708099605371</c:v>
                </c:pt>
                <c:pt idx="518">
                  <c:v>14.740686040556476</c:v>
                </c:pt>
                <c:pt idx="519">
                  <c:v>14.905919724702908</c:v>
                </c:pt>
                <c:pt idx="520">
                  <c:v>15.078458714850607</c:v>
                </c:pt>
                <c:pt idx="521">
                  <c:v>15.258353930683944</c:v>
                </c:pt>
                <c:pt idx="522">
                  <c:v>15.445657520985561</c:v>
                </c:pt>
                <c:pt idx="523">
                  <c:v>15.640422728097294</c:v>
                </c:pt>
                <c:pt idx="524">
                  <c:v>15.842703744234313</c:v>
                </c:pt>
                <c:pt idx="525">
                  <c:v>16.052555559269521</c:v>
                </c:pt>
                <c:pt idx="526">
                  <c:v>16.270033799605013</c:v>
                </c:pt>
                <c:pt idx="527">
                  <c:v>16.495194557754449</c:v>
                </c:pt>
                <c:pt idx="528">
                  <c:v>16.728094212268953</c:v>
                </c:pt>
                <c:pt idx="529">
                  <c:v>16.968789237653112</c:v>
                </c:pt>
                <c:pt idx="530">
                  <c:v>17.217336003930285</c:v>
                </c:pt>
                <c:pt idx="531">
                  <c:v>17.473790565542387</c:v>
                </c:pt>
                <c:pt idx="532">
                  <c:v>17.738208439287703</c:v>
                </c:pt>
                <c:pt idx="533">
                  <c:v>18.010644371040186</c:v>
                </c:pt>
                <c:pt idx="534">
                  <c:v>18.291152091017686</c:v>
                </c:pt>
                <c:pt idx="535">
                  <c:v>18.579784057421229</c:v>
                </c:pt>
                <c:pt idx="536">
                  <c:v>18.876591188304047</c:v>
                </c:pt>
                <c:pt idx="537">
                  <c:v>19.181622581594269</c:v>
                </c:pt>
                <c:pt idx="538">
                  <c:v>19.494925223250466</c:v>
                </c:pt>
                <c:pt idx="539">
                  <c:v>19.816543683602152</c:v>
                </c:pt>
                <c:pt idx="540">
                  <c:v>20.146519802005514</c:v>
                </c:pt>
                <c:pt idx="541">
                  <c:v>20.484892360031814</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-14.712982473636417</c:v>
                </c:pt>
                <c:pt idx="1">
                  <c:v>-14.853527335599971</c:v>
                </c:pt>
                <c:pt idx="2">
                  <c:v>-14.992130421035831</c:v>
                </c:pt>
                <c:pt idx="3">
                  <c:v>-15.128756909708956</c:v>
                </c:pt>
                <c:pt idx="4">
                  <c:v>-15.263373187355135</c:v>
                </c:pt>
                <c:pt idx="5">
                  <c:v>-15.395946959460083</c:v>
                </c:pt>
                <c:pt idx="6">
                  <c:v>-15.526447363506612</c:v>
                </c:pt>
                <c:pt idx="7">
                  <c:v>-15.654845078932354</c:v>
                </c:pt>
                <c:pt idx="8">
                  <c:v>-15.781112434025708</c:v>
                </c:pt>
                <c:pt idx="9">
                  <c:v>-15.905223508986158</c:v>
                </c:pt>
                <c:pt idx="10">
                  <c:v>-16.027154234373484</c:v>
                </c:pt>
                <c:pt idx="11">
                  <c:v>-16.146882484188648</c:v>
                </c:pt>
                <c:pt idx="12">
                  <c:v>-16.264388162847617</c:v>
                </c:pt>
                <c:pt idx="13">
                  <c:v>-16.379653285344165</c:v>
                </c:pt>
                <c:pt idx="14">
                  <c:v>-16.492662049937103</c:v>
                </c:pt>
                <c:pt idx="15">
                  <c:v>-16.603400902750664</c:v>
                </c:pt>
                <c:pt idx="16">
                  <c:v>-16.711858593733087</c:v>
                </c:pt>
                <c:pt idx="17">
                  <c:v>-16.81802622348971</c:v>
                </c:pt>
                <c:pt idx="18">
                  <c:v>-16.921897280577088</c:v>
                </c:pt>
                <c:pt idx="19">
                  <c:v>-17.023467668929978</c:v>
                </c:pt>
                <c:pt idx="20">
                  <c:v>-17.122735725174952</c:v>
                </c:pt>
                <c:pt idx="21">
                  <c:v>-17.219702225675885</c:v>
                </c:pt>
                <c:pt idx="22">
                  <c:v>-17.31437038324885</c:v>
                </c:pt>
                <c:pt idx="23">
                  <c:v>-17.40674583357443</c:v>
                </c:pt>
                <c:pt idx="24">
                  <c:v>-17.496836611431025</c:v>
                </c:pt>
                <c:pt idx="25">
                  <c:v>-17.584653116959959</c:v>
                </c:pt>
                <c:pt idx="26">
                  <c:v>-17.670208072263879</c:v>
                </c:pt>
                <c:pt idx="27">
                  <c:v>-17.753516468718942</c:v>
                </c:pt>
                <c:pt idx="28">
                  <c:v>-17.834595505461682</c:v>
                </c:pt>
                <c:pt idx="29">
                  <c:v>-17.913464519579708</c:v>
                </c:pt>
                <c:pt idx="30">
                  <c:v>-17.990144908597529</c:v>
                </c:pt>
                <c:pt idx="31">
                  <c:v>-18.064660045904557</c:v>
                </c:pt>
                <c:pt idx="32">
                  <c:v>-18.137035189815794</c:v>
                </c:pt>
                <c:pt idx="33">
                  <c:v>-18.207297386991304</c:v>
                </c:pt>
                <c:pt idx="34">
                  <c:v>-18.275475370968273</c:v>
                </c:pt>
                <c:pt idx="35">
                  <c:v>-18.341599456573171</c:v>
                </c:pt>
                <c:pt idx="36">
                  <c:v>-18.405701430991211</c:v>
                </c:pt>
                <c:pt idx="37">
                  <c:v>-18.467814442266398</c:v>
                </c:pt>
                <c:pt idx="38">
                  <c:v>-18.527972885995815</c:v>
                </c:pt>
                <c:pt idx="39">
                  <c:v>-18.586212290962401</c:v>
                </c:pt>
                <c:pt idx="40">
                  <c:v>-18.642569204426355</c:v>
                </c:pt>
                <c:pt idx="41">
                  <c:v>-18.697081077759222</c:v>
                </c:pt>
                <c:pt idx="42">
                  <c:v>-18.749786153071849</c:v>
                </c:pt>
                <c:pt idx="43">
                  <c:v>-18.80072335143997</c:v>
                </c:pt>
                <c:pt idx="44">
                  <c:v>-18.849932163287953</c:v>
                </c:pt>
                <c:pt idx="45">
                  <c:v>-18.897452541439613</c:v>
                </c:pt>
                <c:pt idx="46">
                  <c:v>-18.943324797295407</c:v>
                </c:pt>
                <c:pt idx="47">
                  <c:v>-18.987589500540565</c:v>
                </c:pt>
                <c:pt idx="48">
                  <c:v>-19.030287382738166</c:v>
                </c:pt>
                <c:pt idx="49">
                  <c:v>-19.071459245105885</c:v>
                </c:pt>
                <c:pt idx="50">
                  <c:v>-19.111145870725</c:v>
                </c:pt>
                <c:pt idx="51">
                  <c:v>-19.149387941379786</c:v>
                </c:pt>
                <c:pt idx="52">
                  <c:v>-19.186225959176497</c:v>
                </c:pt>
                <c:pt idx="53">
                  <c:v>-19.221700173046415</c:v>
                </c:pt>
                <c:pt idx="54">
                  <c:v>-19.255850510193927</c:v>
                </c:pt>
                <c:pt idx="55">
                  <c:v>-19.288716512510604</c:v>
                </c:pt>
                <c:pt idx="56">
                  <c:v>-19.320337277940919</c:v>
                </c:pt>
                <c:pt idx="57">
                  <c:v>-19.350751406749893</c:v>
                </c:pt>
                <c:pt idx="58">
                  <c:v>-19.379996952615176</c:v>
                </c:pt>
                <c:pt idx="59">
                  <c:v>-19.408111378439134</c:v>
                </c:pt>
                <c:pt idx="60">
                  <c:v>-19.435131516752023</c:v>
                </c:pt>
                <c:pt idx="61">
                  <c:v>-19.461093534560902</c:v>
                </c:pt>
                <c:pt idx="62">
                  <c:v>-19.486032902478254</c:v>
                </c:pt>
                <c:pt idx="63">
                  <c:v>-19.509984367954711</c:v>
                </c:pt>
                <c:pt idx="64">
                  <c:v>-19.532981932426249</c:v>
                </c:pt>
                <c:pt idx="65">
                  <c:v>-19.555058832181178</c:v>
                </c:pt>
                <c:pt idx="66">
                  <c:v>-19.57624752274317</c:v>
                </c:pt>
                <c:pt idx="67">
                  <c:v>-19.596579666566779</c:v>
                </c:pt>
                <c:pt idx="68">
                  <c:v>-19.616086123837295</c:v>
                </c:pt>
                <c:pt idx="69">
                  <c:v>-19.634796946169221</c:v>
                </c:pt>
                <c:pt idx="70">
                  <c:v>-19.652741372998371</c:v>
                </c:pt>
                <c:pt idx="71">
                  <c:v>-19.669947830466516</c:v>
                </c:pt>
                <c:pt idx="72">
                  <c:v>-19.686443932601911</c:v>
                </c:pt>
                <c:pt idx="73">
                  <c:v>-19.702256484603641</c:v>
                </c:pt>
                <c:pt idx="74">
                  <c:v>-19.717411488045833</c:v>
                </c:pt>
                <c:pt idx="75">
                  <c:v>-19.731934147822557</c:v>
                </c:pt>
                <c:pt idx="76">
                  <c:v>-19.74584888066363</c:v>
                </c:pt>
                <c:pt idx="77">
                  <c:v>-19.759179325058184</c:v>
                </c:pt>
                <c:pt idx="78">
                  <c:v>-19.771948352431931</c:v>
                </c:pt>
                <c:pt idx="79">
                  <c:v>-19.784178079431612</c:v>
                </c:pt>
                <c:pt idx="80">
                  <c:v>-19.795889881179047</c:v>
                </c:pt>
                <c:pt idx="81">
                  <c:v>-19.807104405365937</c:v>
                </c:pt>
                <c:pt idx="82">
                  <c:v>-19.817841587067871</c:v>
                </c:pt>
                <c:pt idx="83">
                  <c:v>-19.82812066416539</c:v>
                </c:pt>
                <c:pt idx="84">
                  <c:v>-19.837960193267406</c:v>
                </c:pt>
                <c:pt idx="85">
                  <c:v>-19.847378066040015</c:v>
                </c:pt>
                <c:pt idx="86">
                  <c:v>-19.85639152585167</c:v>
                </c:pt>
                <c:pt idx="87">
                  <c:v>-19.865017184652658</c:v>
                </c:pt>
                <c:pt idx="88">
                  <c:v>-19.87327104001406</c:v>
                </c:pt>
                <c:pt idx="89">
                  <c:v>-19.881168492257483</c:v>
                </c:pt>
                <c:pt idx="90">
                  <c:v>-19.8887243616138</c:v>
                </c:pt>
                <c:pt idx="91">
                  <c:v>-19.895952905354893</c:v>
                </c:pt>
                <c:pt idx="92">
                  <c:v>-19.902867834847505</c:v>
                </c:pt>
                <c:pt idx="93">
                  <c:v>-19.909482332484547</c:v>
                </c:pt>
                <c:pt idx="94">
                  <c:v>-19.915809068453122</c:v>
                </c:pt>
                <c:pt idx="95">
                  <c:v>-19.921860217304005</c:v>
                </c:pt>
                <c:pt idx="96">
                  <c:v>-19.927647474291287</c:v>
                </c:pt>
                <c:pt idx="97">
                  <c:v>-19.933182071454421</c:v>
                </c:pt>
                <c:pt idx="98">
                  <c:v>-19.938474793419687</c:v>
                </c:pt>
                <c:pt idx="99">
                  <c:v>-19.943535992900252</c:v>
                </c:pt>
                <c:pt idx="100">
                  <c:v>-19.948375605878301</c:v>
                </c:pt>
                <c:pt idx="101">
                  <c:v>-19.953003166454586</c:v>
                </c:pt>
                <c:pt idx="102">
                  <c:v>-19.957427821354106</c:v>
                </c:pt>
                <c:pt idx="103">
                  <c:v>-19.961658344078689</c:v>
                </c:pt>
                <c:pt idx="104">
                  <c:v>-19.965703148699486</c:v>
                </c:pt>
                <c:pt idx="105">
                  <c:v>-19.969570303284417</c:v>
                </c:pt>
                <c:pt idx="106">
                  <c:v>-19.973267542957188</c:v>
                </c:pt>
                <c:pt idx="107">
                  <c:v>-19.976802282586693</c:v>
                </c:pt>
                <c:pt idx="108">
                  <c:v>-19.980181629106209</c:v>
                </c:pt>
                <c:pt idx="109">
                  <c:v>-19.983412393463691</c:v>
                </c:pt>
                <c:pt idx="110">
                  <c:v>-19.986501102205466</c:v>
                </c:pt>
                <c:pt idx="111">
                  <c:v>-19.989454008696754</c:v>
                </c:pt>
                <c:pt idx="112">
                  <c:v>-19.992277103982726</c:v>
                </c:pt>
                <c:pt idx="113">
                  <c:v>-19.994976127295764</c:v>
                </c:pt>
                <c:pt idx="114">
                  <c:v>-19.997556576213807</c:v>
                </c:pt>
                <c:pt idx="115">
                  <c:v>-20.000023716476761</c:v>
                </c:pt>
                <c:pt idx="116">
                  <c:v>-20.002382591466979</c:v>
                </c:pt>
                <c:pt idx="117">
                  <c:v>-20.004638031361523</c:v>
                </c:pt>
                <c:pt idx="118">
                  <c:v>-20.006794661963319</c:v>
                </c:pt>
                <c:pt idx="119">
                  <c:v>-20.008856913219219</c:v>
                </c:pt>
                <c:pt idx="120">
                  <c:v>-20.010829027432862</c:v>
                </c:pt>
                <c:pt idx="121">
                  <c:v>-20.012715067180288</c:v>
                </c:pt>
                <c:pt idx="122">
                  <c:v>-20.014518922937398</c:v>
                </c:pt>
                <c:pt idx="123">
                  <c:v>-20.016244320426196</c:v>
                </c:pt>
                <c:pt idx="124">
                  <c:v>-20.017894827690149</c:v>
                </c:pt>
                <c:pt idx="125">
                  <c:v>-20.019473861905219</c:v>
                </c:pt>
                <c:pt idx="126">
                  <c:v>-20.020984695936214</c:v>
                </c:pt>
                <c:pt idx="127">
                  <c:v>-20.022430464646629</c:v>
                </c:pt>
                <c:pt idx="128">
                  <c:v>-20.023814170970077</c:v>
                </c:pt>
                <c:pt idx="129">
                  <c:v>-20.025138691751337</c:v>
                </c:pt>
                <c:pt idx="130">
                  <c:v>-20.026406783365974</c:v>
                </c:pt>
                <c:pt idx="131">
                  <c:v>-20.027621087125649</c:v>
                </c:pt>
                <c:pt idx="132">
                  <c:v>-20.028784134477888</c:v>
                </c:pt>
                <c:pt idx="133">
                  <c:v>-20.0298983520068</c:v>
                </c:pt>
                <c:pt idx="134">
                  <c:v>-20.03096606624424</c:v>
                </c:pt>
                <c:pt idx="135">
                  <c:v>-20.031989508296956</c:v>
                </c:pt>
                <c:pt idx="136">
                  <c:v>-20.03297081829842</c:v>
                </c:pt>
                <c:pt idx="137">
                  <c:v>-20.033912049691502</c:v>
                </c:pt>
                <c:pt idx="138">
                  <c:v>-20.034815173350033</c:v>
                </c:pt>
                <c:pt idx="139">
                  <c:v>-20.035682081544884</c:v>
                </c:pt>
                <c:pt idx="140">
                  <c:v>-20.036514591762593</c:v>
                </c:pt>
                <c:pt idx="141">
                  <c:v>-20.037314450381132</c:v>
                </c:pt>
                <c:pt idx="142">
                  <c:v>-20.038083336211411</c:v>
                </c:pt>
                <c:pt idx="143">
                  <c:v>-20.038822863908816</c:v>
                </c:pt>
                <c:pt idx="144">
                  <c:v>-20.039534587261933</c:v>
                </c:pt>
                <c:pt idx="145">
                  <c:v>-20.040220002363505</c:v>
                </c:pt>
                <c:pt idx="146">
                  <c:v>-20.040880550670192</c:v>
                </c:pt>
                <c:pt idx="147">
                  <c:v>-20.041517621955492</c:v>
                </c:pt>
                <c:pt idx="148">
                  <c:v>-20.042132557162734</c:v>
                </c:pt>
                <c:pt idx="149">
                  <c:v>-20.042726651161974</c:v>
                </c:pt>
                <c:pt idx="150">
                  <c:v>-20.043301155416763</c:v>
                </c:pt>
                <c:pt idx="151">
                  <c:v>-20.043857280565554</c:v>
                </c:pt>
                <c:pt idx="152">
                  <c:v>-20.044396198922662</c:v>
                </c:pt>
                <c:pt idx="153">
                  <c:v>-20.044919046903193</c:v>
                </c:pt>
                <c:pt idx="154">
                  <c:v>-20.045426927377207</c:v>
                </c:pt>
                <c:pt idx="155">
                  <c:v>-20.045920911957069</c:v>
                </c:pt>
                <c:pt idx="156">
                  <c:v>-20.046402043222727</c:v>
                </c:pt>
                <c:pt idx="157">
                  <c:v>-20.046871336888969</c:v>
                </c:pt>
                <c:pt idx="158">
                  <c:v>-20.047329783919082</c:v>
                </c:pt>
                <c:pt idx="159">
                  <c:v>-20.047778352589386</c:v>
                </c:pt>
                <c:pt idx="160">
                  <c:v>-20.048217990507517</c:v>
                </c:pt>
                <c:pt idx="161">
                  <c:v>-20.048649626590297</c:v>
                </c:pt>
                <c:pt idx="162">
                  <c:v>-20.049074173003241</c:v>
                </c:pt>
                <c:pt idx="163">
                  <c:v>-20.049492527066736</c:v>
                </c:pt>
                <c:pt idx="164">
                  <c:v>-20.049905573132417</c:v>
                </c:pt>
                <c:pt idx="165">
                  <c:v>-20.05031418443339</c:v>
                </c:pt>
                <c:pt idx="166">
                  <c:v>-20.050719224911838</c:v>
                </c:pt>
                <c:pt idx="167">
                  <c:v>-20.051121551028253</c:v>
                </c:pt>
                <c:pt idx="168">
                  <c:v>-20.051522013555253</c:v>
                </c:pt>
                <c:pt idx="169">
                  <c:v>-20.051921459360248</c:v>
                </c:pt>
                <c:pt idx="170">
                  <c:v>-20.052320733179737</c:v>
                </c:pt>
                <c:pt idx="171">
                  <c:v>-20.052720679389914</c:v>
                </c:pt>
                <c:pt idx="172">
                  <c:v>-20.053122143776104</c:v>
                </c:pt>
                <c:pt idx="173">
                  <c:v>-20.053525975305103</c:v>
                </c:pt>
                <c:pt idx="174">
                  <c:v>-20.053933027904158</c:v>
                </c:pt>
                <c:pt idx="175">
                  <c:v>-20.054344162249723</c:v>
                </c:pt>
                <c:pt idx="176">
                  <c:v>-20.05476024756998</c:v>
                </c:pt>
                <c:pt idx="177">
                  <c:v>-20.055182163464455</c:v>
                </c:pt>
                <c:pt idx="178">
                  <c:v>-20.055610801744763</c:v>
                </c:pt>
                <c:pt idx="179">
                  <c:v>-20.056047068299627</c:v>
                </c:pt>
                <c:pt idx="180">
                  <c:v>-20.056491884988645</c:v>
                </c:pt>
                <c:pt idx="181">
                  <c:v>-20.056946191567711</c:v>
                </c:pt>
                <c:pt idx="182">
                  <c:v>-20.057410947650759</c:v>
                </c:pt>
                <c:pt idx="183">
                  <c:v>-20.057887134711084</c:v>
                </c:pt>
                <c:pt idx="184">
                  <c:v>-20.058375758126648</c:v>
                </c:pt>
                <c:pt idx="185">
                  <c:v>-20.058877849273074</c:v>
                </c:pt>
                <c:pt idx="186">
                  <c:v>-20.059394467668721</c:v>
                </c:pt>
                <c:pt idx="187">
                  <c:v>-20.059926703175627</c:v>
                </c:pt>
                <c:pt idx="188">
                  <c:v>-20.06047567826128</c:v>
                </c:pt>
                <c:pt idx="189">
                  <c:v>-20.061042550324821</c:v>
                </c:pt>
                <c:pt idx="190">
                  <c:v>-20.061628514092572</c:v>
                </c:pt>
                <c:pt idx="191">
                  <c:v>-20.062234804087669</c:v>
                </c:pt>
                <c:pt idx="192">
                  <c:v>-20.062862697177874</c:v>
                </c:pt>
                <c:pt idx="193">
                  <c:v>-20.063513515207102</c:v>
                </c:pt>
                <c:pt idx="194">
                  <c:v>-20.064188627714962</c:v>
                </c:pt>
                <c:pt idx="195">
                  <c:v>-20.064889454749959</c:v>
                </c:pt>
                <c:pt idx="196">
                  <c:v>-20.065617469781007</c:v>
                </c:pt>
                <c:pt idx="197">
                  <c:v>-20.066374202713071</c:v>
                </c:pt>
                <c:pt idx="198">
                  <c:v>-20.06716124301218</c:v>
                </c:pt>
                <c:pt idx="199">
                  <c:v>-20.067980242945296</c:v>
                </c:pt>
                <c:pt idx="200">
                  <c:v>-20.068832920941354</c:v>
                </c:pt>
                <c:pt idx="201">
                  <c:v>-20.06972106507876</c:v>
                </c:pt>
                <c:pt idx="202">
                  <c:v>-20.070646536705961</c:v>
                </c:pt>
                <c:pt idx="203">
                  <c:v>-20.071611274201018</c:v>
                </c:pt>
                <c:pt idx="204">
                  <c:v>-20.072617296876821</c:v>
                </c:pt>
                <c:pt idx="205">
                  <c:v>-20.073666709038427</c:v>
                </c:pt>
                <c:pt idx="206">
                  <c:v>-20.074761704199283</c:v>
                </c:pt>
                <c:pt idx="207">
                  <c:v>-20.075904569463269</c:v>
                </c:pt>
                <c:pt idx="208">
                  <c:v>-20.077097690079704</c:v>
                </c:pt>
                <c:pt idx="209">
                  <c:v>-20.078343554178375</c:v>
                </c:pt>
                <c:pt idx="210">
                  <c:v>-20.079644757692275</c:v>
                </c:pt>
                <c:pt idx="211">
                  <c:v>-20.081004009475343</c:v>
                </c:pt>
                <c:pt idx="212">
                  <c:v>-20.082424136623086</c:v>
                </c:pt>
                <c:pt idx="213">
                  <c:v>-20.083908090003799</c:v>
                </c:pt>
                <c:pt idx="214">
                  <c:v>-20.085458950008519</c:v>
                </c:pt>
                <c:pt idx="215">
                  <c:v>-20.087079932527686</c:v>
                </c:pt>
                <c:pt idx="216">
                  <c:v>-20.08877439516268</c:v>
                </c:pt>
                <c:pt idx="217">
                  <c:v>-20.090545843680744</c:v>
                </c:pt>
                <c:pt idx="218">
                  <c:v>-20.092397938721366</c:v>
                </c:pt>
                <c:pt idx="219">
                  <c:v>-20.094334502762816</c:v>
                </c:pt>
                <c:pt idx="220">
                  <c:v>-20.09635952735708</c:v>
                </c:pt>
                <c:pt idx="221">
                  <c:v>-20.098477180641506</c:v>
                </c:pt>
                <c:pt idx="222">
                  <c:v>-20.100691815136443</c:v>
                </c:pt>
                <c:pt idx="223">
                  <c:v>-20.103007975835428</c:v>
                </c:pt>
                <c:pt idx="224">
                  <c:v>-20.105430408598504</c:v>
                </c:pt>
                <c:pt idx="225">
                  <c:v>-20.107964068854468</c:v>
                </c:pt>
                <c:pt idx="226">
                  <c:v>-20.110614130621411</c:v>
                </c:pt>
                <c:pt idx="227">
                  <c:v>-20.113385995852738</c:v>
                </c:pt>
                <c:pt idx="228">
                  <c:v>-20.116285304115912</c:v>
                </c:pt>
                <c:pt idx="229">
                  <c:v>-20.119317942610415</c:v>
                </c:pt>
                <c:pt idx="230">
                  <c:v>-20.122490056532435</c:v>
                </c:pt>
                <c:pt idx="231">
                  <c:v>-20.125808059790881</c:v>
                </c:pt>
                <c:pt idx="232">
                  <c:v>-20.129278646081289</c:v>
                </c:pt>
                <c:pt idx="233">
                  <c:v>-20.132908800320504</c:v>
                </c:pt>
                <c:pt idx="234">
                  <c:v>-20.136705810447815</c:v>
                </c:pt>
                <c:pt idx="235">
                  <c:v>-20.140677279593369</c:v>
                </c:pt>
                <c:pt idx="236">
                  <c:v>-20.144831138616798</c:v>
                </c:pt>
                <c:pt idx="237">
                  <c:v>-20.149175659015697</c:v>
                </c:pt>
                <c:pt idx="238">
                  <c:v>-20.153719466203036</c:v>
                </c:pt>
                <c:pt idx="239">
                  <c:v>-20.158471553151816</c:v>
                </c:pt>
                <c:pt idx="240">
                  <c:v>-20.163441294401593</c:v>
                </c:pt>
                <c:pt idx="241">
                  <c:v>-20.16863846042094</c:v>
                </c:pt>
                <c:pt idx="242">
                  <c:v>-20.17407323231847</c:v>
                </c:pt>
                <c:pt idx="243">
                  <c:v>-20.179756216890855</c:v>
                </c:pt>
                <c:pt idx="244">
                  <c:v>-20.185698461995372</c:v>
                </c:pt>
                <c:pt idx="245">
                  <c:v>-20.191911472230736</c:v>
                </c:pt>
                <c:pt idx="246">
                  <c:v>-20.198407224907413</c:v>
                </c:pt>
                <c:pt idx="247">
                  <c:v>-20.205198186285607</c:v>
                </c:pt>
                <c:pt idx="248">
                  <c:v>-20.212297328054433</c:v>
                </c:pt>
                <c:pt idx="249">
                  <c:v>-20.219718144023172</c:v>
                </c:pt>
                <c:pt idx="250">
                  <c:v>-20.227474666990677</c:v>
                </c:pt>
                <c:pt idx="251">
                  <c:v>-20.235581485754373</c:v>
                </c:pt>
                <c:pt idx="252">
                  <c:v>-20.244053762216176</c:v>
                </c:pt>
                <c:pt idx="253">
                  <c:v>-20.252907248536513</c:v>
                </c:pt>
                <c:pt idx="254">
                  <c:v>-20.262158304283247</c:v>
                </c:pt>
                <c:pt idx="255">
                  <c:v>-20.271823913515178</c:v>
                </c:pt>
                <c:pt idx="256">
                  <c:v>-20.281921701735573</c:v>
                </c:pt>
                <c:pt idx="257">
                  <c:v>-20.292469952641969</c:v>
                </c:pt>
                <c:pt idx="258">
                  <c:v>-20.303487624594307</c:v>
                </c:pt>
                <c:pt idx="259">
                  <c:v>-20.314994366714934</c:v>
                </c:pt>
                <c:pt idx="260">
                  <c:v>-20.327010534526305</c:v>
                </c:pt>
                <c:pt idx="261">
                  <c:v>-20.339557205025585</c:v>
                </c:pt>
                <c:pt idx="262">
                  <c:v>-20.352656191086655</c:v>
                </c:pt>
                <c:pt idx="263">
                  <c:v>-20.366330055071643</c:v>
                </c:pt>
                <c:pt idx="264">
                  <c:v>-20.380602121526699</c:v>
                </c:pt>
                <c:pt idx="265">
                  <c:v>-20.395496488827639</c:v>
                </c:pt>
                <c:pt idx="266">
                  <c:v>-20.411038039632142</c:v>
                </c:pt>
                <c:pt idx="267">
                  <c:v>-20.427252449988732</c:v>
                </c:pt>
                <c:pt idx="268">
                  <c:v>-20.444166196941488</c:v>
                </c:pt>
                <c:pt idx="269">
                  <c:v>-20.461806564464865</c:v>
                </c:pt>
                <c:pt idx="270">
                  <c:v>-20.480201647551979</c:v>
                </c:pt>
                <c:pt idx="271">
                  <c:v>-20.499380354275178</c:v>
                </c:pt>
                <c:pt idx="272">
                  <c:v>-20.519372405629571</c:v>
                </c:pt>
                <c:pt idx="273">
                  <c:v>-20.540208332964717</c:v>
                </c:pt>
                <c:pt idx="274">
                  <c:v>-20.561919472805087</c:v>
                </c:pt>
                <c:pt idx="275">
                  <c:v>-20.584537958855922</c:v>
                </c:pt>
                <c:pt idx="276">
                  <c:v>-20.608096710988274</c:v>
                </c:pt>
                <c:pt idx="277">
                  <c:v>-20.632629420996903</c:v>
                </c:pt>
                <c:pt idx="278">
                  <c:v>-20.658170534924167</c:v>
                </c:pt>
                <c:pt idx="279">
                  <c:v>-20.68475523174698</c:v>
                </c:pt>
                <c:pt idx="280">
                  <c:v>-20.712419398227574</c:v>
                </c:pt>
                <c:pt idx="281">
                  <c:v>-20.741199599736468</c:v>
                </c:pt>
                <c:pt idx="282">
                  <c:v>-20.771133046865636</c:v>
                </c:pt>
                <c:pt idx="283">
                  <c:v>-20.802257557661758</c:v>
                </c:pt>
                <c:pt idx="284">
                  <c:v>-20.834611515325644</c:v>
                </c:pt>
                <c:pt idx="285">
                  <c:v>-20.868233821241127</c:v>
                </c:pt>
                <c:pt idx="286">
                  <c:v>-20.90316384321973</c:v>
                </c:pt>
                <c:pt idx="287">
                  <c:v>-20.939441358870965</c:v>
                </c:pt>
                <c:pt idx="288">
                  <c:v>-20.977106494037674</c:v>
                </c:pt>
                <c:pt idx="289">
                  <c:v>-21.016199656267137</c:v>
                </c:pt>
                <c:pt idx="290">
                  <c:v>-21.056761463323785</c:v>
                </c:pt>
                <c:pt idx="291">
                  <c:v>-21.098832666788002</c:v>
                </c:pt>
                <c:pt idx="292">
                  <c:v>-21.142454070827593</c:v>
                </c:pt>
                <c:pt idx="293">
                  <c:v>-21.187666446272036</c:v>
                </c:pt>
                <c:pt idx="294">
                  <c:v>-21.234510440168268</c:v>
                </c:pt>
                <c:pt idx="295">
                  <c:v>-21.283026481044935</c:v>
                </c:pt>
                <c:pt idx="296">
                  <c:v>-21.333254680163822</c:v>
                </c:pt>
                <c:pt idx="297">
                  <c:v>-21.385234729089756</c:v>
                </c:pt>
                <c:pt idx="298">
                  <c:v>-21.439005793962806</c:v>
                </c:pt>
                <c:pt idx="299">
                  <c:v>-21.494606406910069</c:v>
                </c:pt>
                <c:pt idx="300">
                  <c:v>-21.552074355085754</c:v>
                </c:pt>
                <c:pt idx="301">
                  <c:v>-21.611446567879405</c:v>
                </c:pt>
                <c:pt idx="302">
                  <c:v>-21.672759002879136</c:v>
                </c:pt>
                <c:pt idx="303">
                  <c:v>-21.736046531221788</c:v>
                </c:pt>
                <c:pt idx="304">
                  <c:v>-21.801342823001409</c:v>
                </c:pt>
                <c:pt idx="305">
                  <c:v>-21.868680233442536</c:v>
                </c:pt>
                <c:pt idx="306">
                  <c:v>-21.938089690573335</c:v>
                </c:pt>
                <c:pt idx="307">
                  <c:v>-22.009600585155027</c:v>
                </c:pt>
                <c:pt idx="308">
                  <c:v>-22.083240663638488</c:v>
                </c:pt>
                <c:pt idx="309">
                  <c:v>-22.159035924924222</c:v>
                </c:pt>
                <c:pt idx="310">
                  <c:v>-22.237010521698522</c:v>
                </c:pt>
                <c:pt idx="311">
                  <c:v>-22.317186667106441</c:v>
                </c:pt>
                <c:pt idx="312">
                  <c:v>-22.3995845474997</c:v>
                </c:pt>
                <c:pt idx="313">
                  <c:v>-22.484222241966375</c:v>
                </c:pt>
                <c:pt idx="314">
                  <c:v>-22.571115649307622</c:v>
                </c:pt>
                <c:pt idx="315">
                  <c:v>-22.660278423076562</c:v>
                </c:pt>
                <c:pt idx="316">
                  <c:v>-22.751721915235375</c:v>
                </c:pt>
                <c:pt idx="317">
                  <c:v>-22.845455128919397</c:v>
                </c:pt>
                <c:pt idx="318">
                  <c:v>-22.941484680722702</c:v>
                </c:pt>
                <c:pt idx="319">
                  <c:v>-23.039814772839371</c:v>
                </c:pt>
                <c:pt idx="320">
                  <c:v>-23.140447175308708</c:v>
                </c:pt>
                <c:pt idx="321">
                  <c:v>-23.24338121852341</c:v>
                </c:pt>
                <c:pt idx="322">
                  <c:v>-23.348613796068832</c:v>
                </c:pt>
                <c:pt idx="323">
                  <c:v>-23.456139377866293</c:v>
                </c:pt>
                <c:pt idx="324">
                  <c:v>-23.565950033504031</c:v>
                </c:pt>
                <c:pt idx="325">
                  <c:v>-23.67803546554638</c:v>
                </c:pt>
                <c:pt idx="326">
                  <c:v>-23.792383052525583</c:v>
                </c:pt>
                <c:pt idx="327">
                  <c:v>-23.908977901236806</c:v>
                </c:pt>
                <c:pt idx="328">
                  <c:v>-24.027802907880556</c:v>
                </c:pt>
                <c:pt idx="329">
                  <c:v>-24.148838827526209</c:v>
                </c:pt>
                <c:pt idx="330">
                  <c:v>-24.272064351306057</c:v>
                </c:pt>
                <c:pt idx="331">
                  <c:v>-24.397456190697348</c:v>
                </c:pt>
                <c:pt idx="332">
                  <c:v>-24.524989168202019</c:v>
                </c:pt>
                <c:pt idx="333">
                  <c:v>-24.654636313699626</c:v>
                </c:pt>
                <c:pt idx="334">
                  <c:v>-24.786368965721501</c:v>
                </c:pt>
                <c:pt idx="335">
                  <c:v>-24.92015687687751</c:v>
                </c:pt>
                <c:pt idx="336">
                  <c:v>-25.05596832266043</c:v>
                </c:pt>
                <c:pt idx="337">
                  <c:v>-25.193770212851984</c:v>
                </c:pt>
                <c:pt idx="338">
                  <c:v>-25.333528204768413</c:v>
                </c:pt>
                <c:pt idx="339">
                  <c:v>-25.475206817598899</c:v>
                </c:pt>
                <c:pt idx="340">
                  <c:v>-25.618769547116834</c:v>
                </c:pt>
                <c:pt idx="341">
                  <c:v>-25.764178980076579</c:v>
                </c:pt>
                <c:pt idx="342">
                  <c:v>-25.911396907643962</c:v>
                </c:pt>
                <c:pt idx="343">
                  <c:v>-26.060384437255149</c:v>
                </c:pt>
                <c:pt idx="344">
                  <c:v>-26.211102102340146</c:v>
                </c:pt>
                <c:pt idx="345">
                  <c:v>-26.363509969400578</c:v>
                </c:pt>
                <c:pt idx="346">
                  <c:v>-26.517567741980336</c:v>
                </c:pt>
                <c:pt idx="347">
                  <c:v>-26.67323486112091</c:v>
                </c:pt>
                <c:pt idx="348">
                  <c:v>-26.830470601947532</c:v>
                </c:pt>
                <c:pt idx="349">
                  <c:v>-26.989234166082724</c:v>
                </c:pt>
                <c:pt idx="350">
                  <c:v>-27.149484769637514</c:v>
                </c:pt>
                <c:pt idx="351">
                  <c:v>-27.311181726580326</c:v>
                </c:pt>
                <c:pt idx="352">
                  <c:v>-27.474284527331939</c:v>
                </c:pt>
                <c:pt idx="353">
                  <c:v>-27.638752912479724</c:v>
                </c:pt>
                <c:pt idx="354">
                  <c:v>-27.804546941549283</c:v>
                </c:pt>
                <c:pt idx="355">
                  <c:v>-27.971627056810174</c:v>
                </c:pt>
                <c:pt idx="356">
                  <c:v>-28.139954142129007</c:v>
                </c:pt>
                <c:pt idx="357">
                  <c:v>-28.309489576917684</c:v>
                </c:pt>
                <c:pt idx="358">
                  <c:v>-28.480195285253785</c:v>
                </c:pt>
                <c:pt idx="359">
                  <c:v>-28.652033780276209</c:v>
                </c:pt>
                <c:pt idx="360">
                  <c:v>-28.824968203983275</c:v>
                </c:pt>
                <c:pt idx="361">
                  <c:v>-28.998962362579718</c:v>
                </c:pt>
                <c:pt idx="362">
                  <c:v>-29.173980757535677</c:v>
                </c:pt>
                <c:pt idx="363">
                  <c:v>-29.34998861253467</c:v>
                </c:pt>
                <c:pt idx="364">
                  <c:v>-29.526951896498449</c:v>
                </c:pt>
                <c:pt idx="365">
                  <c:v>-29.704837342884339</c:v>
                </c:pt>
                <c:pt idx="366">
                  <c:v>-29.883612465457428</c:v>
                </c:pt>
                <c:pt idx="367">
                  <c:v>-30.063245570741898</c:v>
                </c:pt>
                <c:pt idx="368">
                  <c:v>-30.243705767359323</c:v>
                </c:pt>
                <c:pt idx="369">
                  <c:v>-30.424962972459852</c:v>
                </c:pt>
                <c:pt idx="370">
                  <c:v>-30.606987915450993</c:v>
                </c:pt>
                <c:pt idx="371">
                  <c:v>-30.789752139225904</c:v>
                </c:pt>
                <c:pt idx="372">
                  <c:v>-30.973227999088031</c:v>
                </c:pt>
                <c:pt idx="373">
                  <c:v>-31.157388659563289</c:v>
                </c:pt>
                <c:pt idx="374">
                  <c:v>-31.342208089285698</c:v>
                </c:pt>
                <c:pt idx="375">
                  <c:v>-31.52766105413507</c:v>
                </c:pt>
                <c:pt idx="376">
                  <c:v>-31.713723108796881</c:v>
                </c:pt>
                <c:pt idx="377">
                  <c:v>-31.900370586907979</c:v>
                </c:pt>
                <c:pt idx="378">
                  <c:v>-32.087580589942839</c:v>
                </c:pt>
                <c:pt idx="379">
                  <c:v>-32.275330974986801</c:v>
                </c:pt>
                <c:pt idx="380">
                  <c:v>-32.463600341534558</c:v>
                </c:pt>
                <c:pt idx="381">
                  <c:v>-32.652368017443173</c:v>
                </c:pt>
                <c:pt idx="382">
                  <c:v>-32.841614044161211</c:v>
                </c:pt>
                <c:pt idx="383">
                  <c:v>-33.031319161347156</c:v>
                </c:pt>
                <c:pt idx="384">
                  <c:v>-33.221464790981365</c:v>
                </c:pt>
                <c:pt idx="385">
                  <c:v>-33.412033021069718</c:v>
                </c:pt>
                <c:pt idx="386">
                  <c:v>-33.603006589027672</c:v>
                </c:pt>
                <c:pt idx="387">
                  <c:v>-33.794368864827689</c:v>
                </c:pt>
                <c:pt idx="388">
                  <c:v>-33.986103833984473</c:v>
                </c:pt>
                <c:pt idx="389">
                  <c:v>-34.178196080448366</c:v>
                </c:pt>
                <c:pt idx="390">
                  <c:v>-34.370630769466544</c:v>
                </c:pt>
                <c:pt idx="391">
                  <c:v>-34.563393630471985</c:v>
                </c:pt>
                <c:pt idx="392">
                  <c:v>-34.756470940047322</c:v>
                </c:pt>
                <c:pt idx="393">
                  <c:v>-34.949849505011755</c:v>
                </c:pt>
                <c:pt idx="394">
                  <c:v>-35.143516645669941</c:v>
                </c:pt>
                <c:pt idx="395">
                  <c:v>-35.337460179259573</c:v>
                </c:pt>
                <c:pt idx="396">
                  <c:v>-35.531668403628714</c:v>
                </c:pt>
                <c:pt idx="397">
                  <c:v>-35.726130081170808</c:v>
                </c:pt>
                <c:pt idx="398">
                  <c:v>-35.920834423040617</c:v>
                </c:pt>
                <c:pt idx="399">
                  <c:v>-36.11577107367232</c:v>
                </c:pt>
                <c:pt idx="400">
                  <c:v>-36.310930095616413</c:v>
                </c:pt>
                <c:pt idx="401">
                  <c:v>-36.506301954709876</c:v>
                </c:pt>
                <c:pt idx="402">
                  <c:v>-36.701877505591519</c:v>
                </c:pt>
                <c:pt idx="403">
                  <c:v>-36.897647977571879</c:v>
                </c:pt>
                <c:pt idx="404">
                  <c:v>-37.093604960865093</c:v>
                </c:pt>
                <c:pt idx="405">
                  <c:v>-37.289740393186371</c:v>
                </c:pt>
                <c:pt idx="406">
                  <c:v>-37.486046546720964</c:v>
                </c:pt>
                <c:pt idx="407">
                  <c:v>-37.682516015463975</c:v>
                </c:pt>
                <c:pt idx="408">
                  <c:v>-37.879141702933232</c:v>
                </c:pt>
                <c:pt idx="409">
                  <c:v>-38.075916810252323</c:v>
                </c:pt>
                <c:pt idx="410">
                  <c:v>-38.272834824604203</c:v>
                </c:pt>
                <c:pt idx="411">
                  <c:v>-38.469889508048816</c:v>
                </c:pt>
                <c:pt idx="412">
                  <c:v>-38.667074886704611</c:v>
                </c:pt>
                <c:pt idx="413">
                  <c:v>-38.864385240285927</c:v>
                </c:pt>
                <c:pt idx="414">
                  <c:v>-39.061815091992166</c:v>
                </c:pt>
                <c:pt idx="415">
                  <c:v>-39.259359198742807</c:v>
                </c:pt>
                <c:pt idx="416">
                  <c:v>-39.457012541751205</c:v>
                </c:pt>
                <c:pt idx="417">
                  <c:v>-39.654770317430923</c:v>
                </c:pt>
                <c:pt idx="418">
                  <c:v>-39.852627928625658</c:v>
                </c:pt>
                <c:pt idx="419">
                  <c:v>-40.050580976156965</c:v>
                </c:pt>
                <c:pt idx="420">
                  <c:v>-40.248625250681926</c:v>
                </c:pt>
                <c:pt idx="421">
                  <c:v>-40.446756724850353</c:v>
                </c:pt>
                <c:pt idx="422">
                  <c:v>-40.644971545757144</c:v>
                </c:pt>
                <c:pt idx="423">
                  <c:v>-40.843266027677714</c:v>
                </c:pt>
                <c:pt idx="424">
                  <c:v>-41.041636645081695</c:v>
                </c:pt>
                <c:pt idx="425">
                  <c:v>-41.24008002591448</c:v>
                </c:pt>
                <c:pt idx="426">
                  <c:v>-41.438592945138836</c:v>
                </c:pt>
                <c:pt idx="427">
                  <c:v>-41.637172318529352</c:v>
                </c:pt>
                <c:pt idx="428">
                  <c:v>-41.835815196709945</c:v>
                </c:pt>
                <c:pt idx="429">
                  <c:v>-42.034518759428835</c:v>
                </c:pt>
                <c:pt idx="430">
                  <c:v>-42.233280310060117</c:v>
                </c:pt>
                <c:pt idx="431">
                  <c:v>-42.432097270326985</c:v>
                </c:pt>
                <c:pt idx="432">
                  <c:v>-42.630967175236989</c:v>
                </c:pt>
                <c:pt idx="433">
                  <c:v>-42.829887668223009</c:v>
                </c:pt>
                <c:pt idx="434">
                  <c:v>-43.028856496482206</c:v>
                </c:pt>
                <c:pt idx="435">
                  <c:v>-43.227871506505593</c:v>
                </c:pt>
                <c:pt idx="436">
                  <c:v>-43.426930639791976</c:v>
                </c:pt>
                <c:pt idx="437">
                  <c:v>-43.626031928738158</c:v>
                </c:pt>
                <c:pt idx="438">
                  <c:v>-43.825173492701246</c:v>
                </c:pt>
                <c:pt idx="439">
                  <c:v>-44.024353534222776</c:v>
                </c:pt>
                <c:pt idx="440">
                  <c:v>-44.223570335412667</c:v>
                </c:pt>
                <c:pt idx="441">
                  <c:v>-44.422822254483961</c:v>
                </c:pt>
                <c:pt idx="442">
                  <c:v>-44.622107722433341</c:v>
                </c:pt>
                <c:pt idx="443">
                  <c:v>-44.821425239862492</c:v>
                </c:pt>
                <c:pt idx="444">
                  <c:v>-45.020773373933324</c:v>
                </c:pt>
                <c:pt idx="445">
                  <c:v>-45.220150755453339</c:v>
                </c:pt>
                <c:pt idx="446">
                  <c:v>-45.419556076084262</c:v>
                </c:pt>
                <c:pt idx="447">
                  <c:v>-45.618988085671042</c:v>
                </c:pt>
                <c:pt idx="448">
                  <c:v>-45.818445589683883</c:v>
                </c:pt>
                <c:pt idx="449">
                  <c:v>-46.017927446771203</c:v>
                </c:pt>
                <c:pt idx="450">
                  <c:v>-46.217432566417116</c:v>
                </c:pt>
                <c:pt idx="451">
                  <c:v>-46.416959906700235</c:v>
                </c:pt>
                <c:pt idx="452">
                  <c:v>-46.616508472149071</c:v>
                </c:pt>
                <c:pt idx="453">
                  <c:v>-46.816077311690442</c:v>
                </c:pt>
                <c:pt idx="454">
                  <c:v>-47.01566551668666</c:v>
                </c:pt>
                <c:pt idx="455">
                  <c:v>-47.215272219058086</c:v>
                </c:pt>
                <c:pt idx="456">
                  <c:v>-47.414896589487086</c:v>
                </c:pt>
                <c:pt idx="457">
                  <c:v>-47.614537835700681</c:v>
                </c:pt>
                <c:pt idx="458">
                  <c:v>-47.814195200827569</c:v>
                </c:pt>
                <c:pt idx="459">
                  <c:v>-48.0138679618276</c:v>
                </c:pt>
                <c:pt idx="460">
                  <c:v>-48.213555427989391</c:v>
                </c:pt>
                <c:pt idx="461">
                  <c:v>-48.413256939494083</c:v>
                </c:pt>
                <c:pt idx="462">
                  <c:v>-48.61297186604201</c:v>
                </c:pt>
                <c:pt idx="463">
                  <c:v>-48.812699605539578</c:v>
                </c:pt>
                <c:pt idx="464">
                  <c:v>-49.012439582844209</c:v>
                </c:pt>
                <c:pt idx="465">
                  <c:v>-49.212191248564103</c:v>
                </c:pt>
                <c:pt idx="466">
                  <c:v>-49.411954077911261</c:v>
                </c:pt>
                <c:pt idx="467">
                  <c:v>-49.61172756960476</c:v>
                </c:pt>
                <c:pt idx="468">
                  <c:v>-49.811511244822768</c:v>
                </c:pt>
                <c:pt idx="469">
                  <c:v>-50.011304646200536</c:v>
                </c:pt>
                <c:pt idx="470">
                  <c:v>-50.211107336872978</c:v>
                </c:pt>
                <c:pt idx="471">
                  <c:v>-50.41091889955959</c:v>
                </c:pt>
                <c:pt idx="472">
                  <c:v>-50.610738935689568</c:v>
                </c:pt>
                <c:pt idx="473">
                  <c:v>-50.810567064566207</c:v>
                </c:pt>
                <c:pt idx="474">
                  <c:v>-51.010402922567891</c:v>
                </c:pt>
                <c:pt idx="475">
                  <c:v>-51.210246162384976</c:v>
                </c:pt>
                <c:pt idx="476">
                  <c:v>-51.410096452290261</c:v>
                </c:pt>
                <c:pt idx="477">
                  <c:v>-51.609953475441998</c:v>
                </c:pt>
                <c:pt idx="478">
                  <c:v>-51.80981692921776</c:v>
                </c:pt>
                <c:pt idx="479">
                  <c:v>-52.009686524578143</c:v>
                </c:pt>
                <c:pt idx="480">
                  <c:v>-52.209561985458834</c:v>
                </c:pt>
                <c:pt idx="481">
                  <c:v>-52.409443048189253</c:v>
                </c:pt>
                <c:pt idx="482">
                  <c:v>-52.609329460937879</c:v>
                </c:pt>
                <c:pt idx="483">
                  <c:v>-52.809220983181611</c:v>
                </c:pt>
                <c:pt idx="484">
                  <c:v>-53.009117385199175</c:v>
                </c:pt>
                <c:pt idx="485">
                  <c:v>-53.209018447587084</c:v>
                </c:pt>
                <c:pt idx="486">
                  <c:v>-53.408923960796912</c:v>
                </c:pt>
                <c:pt idx="487">
                  <c:v>-53.60883372469381</c:v>
                </c:pt>
                <c:pt idx="488">
                  <c:v>-53.808747548134122</c:v>
                </c:pt>
                <c:pt idx="489">
                  <c:v>-54.008665248562195</c:v>
                </c:pt>
                <c:pt idx="490">
                  <c:v>-54.208586651625239</c:v>
                </c:pt>
                <c:pt idx="491">
                  <c:v>-54.408511590805361</c:v>
                </c:pt>
                <c:pt idx="492">
                  <c:v>-54.60843990706779</c:v>
                </c:pt>
                <c:pt idx="493">
                  <c:v>-54.808371448525321</c:v>
                </c:pt>
                <c:pt idx="494">
                  <c:v>-55.008306070117492</c:v>
                </c:pt>
                <c:pt idx="495">
                  <c:v>-55.20824363330388</c:v>
                </c:pt>
                <c:pt idx="496">
                  <c:v>-55.408184005771872</c:v>
                </c:pt>
                <c:pt idx="497">
                  <c:v>-55.60812706115663</c:v>
                </c:pt>
                <c:pt idx="498">
                  <c:v>-55.80807267877428</c:v>
                </c:pt>
                <c:pt idx="499">
                  <c:v>-56.008020743366551</c:v>
                </c:pt>
                <c:pt idx="500">
                  <c:v>-56.207971144857503</c:v>
                </c:pt>
                <c:pt idx="501">
                  <c:v>-56.407923778120292</c:v>
                </c:pt>
                <c:pt idx="502">
                  <c:v>-56.607878542755131</c:v>
                </c:pt>
                <c:pt idx="503">
                  <c:v>-56.807835342876999</c:v>
                </c:pt>
                <c:pt idx="504">
                  <c:v>-57.007794086912455</c:v>
                </c:pt>
                <c:pt idx="505">
                  <c:v>-57.207754687406414</c:v>
                </c:pt>
                <c:pt idx="506">
                  <c:v>-57.407717060836561</c:v>
                </c:pt>
                <c:pt idx="507">
                  <c:v>-57.607681127436877</c:v>
                </c:pt>
                <c:pt idx="508">
                  <c:v>-57.807646811029173</c:v>
                </c:pt>
                <c:pt idx="509">
                  <c:v>-58.007614038861028</c:v>
                </c:pt>
                <c:pt idx="510">
                  <c:v>-58.207582741452669</c:v>
                </c:pt>
                <c:pt idx="511">
                  <c:v>-58.407552852449129</c:v>
                </c:pt>
                <c:pt idx="512">
                  <c:v>-58.60752430848035</c:v>
                </c:pt>
                <c:pt idx="513">
                  <c:v>-58.807497049026537</c:v>
                </c:pt>
                <c:pt idx="514">
                  <c:v>-59.007471016290594</c:v>
                </c:pt>
                <c:pt idx="515">
                  <c:v>-59.207446155075097</c:v>
                </c:pt>
                <c:pt idx="516">
                  <c:v>-59.407422412665881</c:v>
                </c:pt>
                <c:pt idx="517">
                  <c:v>-59.607399738719778</c:v>
                </c:pt>
                <c:pt idx="518">
                  <c:v>-59.807378085158909</c:v>
                </c:pt>
                <c:pt idx="519">
                  <c:v>-60.007357406068074</c:v>
                </c:pt>
                <c:pt idx="520">
                  <c:v>-60.207337657597691</c:v>
                </c:pt>
                <c:pt idx="521">
                  <c:v>-60.407318797870992</c:v>
                </c:pt>
                <c:pt idx="522">
                  <c:v>-60.607300786895465</c:v>
                </c:pt>
                <c:pt idx="523">
                  <c:v>-60.807283586477595</c:v>
                </c:pt>
                <c:pt idx="524">
                  <c:v>-61.007267160142433</c:v>
                </c:pt>
                <c:pt idx="525">
                  <c:v>-61.207251473056161</c:v>
                </c:pt>
                <c:pt idx="526">
                  <c:v>-61.40723649195219</c:v>
                </c:pt>
                <c:pt idx="527">
                  <c:v>-61.607222185060806</c:v>
                </c:pt>
                <c:pt idx="528">
                  <c:v>-61.807208522041492</c:v>
                </c:pt>
                <c:pt idx="529">
                  <c:v>-62.007195473919261</c:v>
                </c:pt>
                <c:pt idx="530">
                  <c:v>-62.207183013022636</c:v>
                </c:pt>
                <c:pt idx="531">
                  <c:v>-62.407171112925425</c:v>
                </c:pt>
                <c:pt idx="532">
                  <c:v>-62.607159748390345</c:v>
                </c:pt>
                <c:pt idx="533">
                  <c:v>-62.807148895315819</c:v>
                </c:pt>
                <c:pt idx="534">
                  <c:v>-63.007138530684841</c:v>
                </c:pt>
                <c:pt idx="535">
                  <c:v>-63.207128632515925</c:v>
                </c:pt>
                <c:pt idx="536">
                  <c:v>-63.40711917981703</c:v>
                </c:pt>
                <c:pt idx="537">
                  <c:v>-63.607110152540436</c:v>
                </c:pt>
                <c:pt idx="538">
                  <c:v>-63.80710153154071</c:v>
                </c:pt>
                <c:pt idx="539">
                  <c:v>-64.007093298533917</c:v>
                </c:pt>
                <c:pt idx="540">
                  <c:v>-64.207085436058804</c:v>
                </c:pt>
                <c:pt idx="541">
                  <c:v>-64.407077927440199</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122.70234903304566</c:v>
                </c:pt>
                <c:pt idx="1">
                  <c:v>123.30446929009071</c:v>
                </c:pt>
                <c:pt idx="2">
                  <c:v>123.91208936211233</c:v>
                </c:pt>
                <c:pt idx="3">
                  <c:v>124.52498235059923</c:v>
                </c:pt>
                <c:pt idx="4">
                  <c:v>125.14290970427261</c:v>
                </c:pt>
                <c:pt idx="5">
                  <c:v>125.765621508034</c:v>
                </c:pt>
                <c:pt idx="6">
                  <c:v>126.39285682876557</c:v>
                </c:pt>
                <c:pt idx="7">
                  <c:v>127.02434411803178</c:v>
                </c:pt>
                <c:pt idx="8">
                  <c:v>127.6598016712298</c:v>
                </c:pt>
                <c:pt idx="9">
                  <c:v>128.2989381422334</c:v>
                </c:pt>
                <c:pt idx="10">
                  <c:v>128.9414531120272</c:v>
                </c:pt>
                <c:pt idx="11">
                  <c:v>129.58703770931433</c:v>
                </c:pt>
                <c:pt idx="12">
                  <c:v>130.2353752805333</c:v>
                </c:pt>
                <c:pt idx="13">
                  <c:v>130.88614210621367</c:v>
                </c:pt>
                <c:pt idx="14">
                  <c:v>131.53900816008772</c:v>
                </c:pt>
                <c:pt idx="15">
                  <c:v>132.19363790691722</c:v>
                </c:pt>
                <c:pt idx="16">
                  <c:v>132.84969113454321</c:v>
                </c:pt>
                <c:pt idx="17">
                  <c:v>133.50682381529268</c:v>
                </c:pt>
                <c:pt idx="18">
                  <c:v>134.16468899151468</c:v>
                </c:pt>
                <c:pt idx="19">
                  <c:v>134.82293767975742</c:v>
                </c:pt>
                <c:pt idx="20">
                  <c:v>135.48121978785517</c:v>
                </c:pt>
                <c:pt idx="21">
                  <c:v>136.13918503905657</c:v>
                </c:pt>
                <c:pt idx="22">
                  <c:v>136.79648389723138</c:v>
                </c:pt>
                <c:pt idx="23">
                  <c:v>137.45276848718626</c:v>
                </c:pt>
                <c:pt idx="24">
                  <c:v>138.10769350417092</c:v>
                </c:pt>
                <c:pt idx="25">
                  <c:v>138.76091710679569</c:v>
                </c:pt>
                <c:pt idx="26">
                  <c:v>139.41210178776586</c:v>
                </c:pt>
                <c:pt idx="27">
                  <c:v>140.06091521711238</c:v>
                </c:pt>
                <c:pt idx="28">
                  <c:v>140.70703105290838</c:v>
                </c:pt>
                <c:pt idx="29">
                  <c:v>141.35012971484147</c:v>
                </c:pt>
                <c:pt idx="30">
                  <c:v>141.98989911643025</c:v>
                </c:pt>
                <c:pt idx="31">
                  <c:v>142.62603535213319</c:v>
                </c:pt>
                <c:pt idx="32">
                  <c:v>143.25824333608657</c:v>
                </c:pt>
                <c:pt idx="33">
                  <c:v>143.88623738972865</c:v>
                </c:pt>
                <c:pt idx="34">
                  <c:v>144.5097417760829</c:v>
                </c:pt>
                <c:pt idx="35">
                  <c:v>145.12849117901902</c:v>
                </c:pt>
                <c:pt idx="36">
                  <c:v>145.74223112633391</c:v>
                </c:pt>
                <c:pt idx="37">
                  <c:v>146.35071835601735</c:v>
                </c:pt>
                <c:pt idx="38">
                  <c:v>146.95372112557601</c:v>
                </c:pt>
                <c:pt idx="39">
                  <c:v>147.5510194647654</c:v>
                </c:pt>
                <c:pt idx="40">
                  <c:v>148.14240537253593</c:v>
                </c:pt>
                <c:pt idx="41">
                  <c:v>148.72768295941947</c:v>
                </c:pt>
                <c:pt idx="42">
                  <c:v>149.30666853696044</c:v>
                </c:pt>
                <c:pt idx="43">
                  <c:v>149.87919065614318</c:v>
                </c:pt>
                <c:pt idx="44">
                  <c:v>150.44509009706576</c:v>
                </c:pt>
                <c:pt idx="45">
                  <c:v>151.00421981236514</c:v>
                </c:pt>
                <c:pt idx="46">
                  <c:v>151.55644482711736</c:v>
                </c:pt>
                <c:pt idx="47">
                  <c:v>152.10164209810227</c:v>
                </c:pt>
                <c:pt idx="48">
                  <c:v>152.63970033545488</c:v>
                </c:pt>
                <c:pt idx="49">
                  <c:v>153.17051978981192</c:v>
                </c:pt>
                <c:pt idx="50">
                  <c:v>153.69401200811637</c:v>
                </c:pt>
                <c:pt idx="51">
                  <c:v>154.21009956125212</c:v>
                </c:pt>
                <c:pt idx="52">
                  <c:v>154.71871574667139</c:v>
                </c:pt>
                <c:pt idx="53">
                  <c:v>155.21980426912739</c:v>
                </c:pt>
                <c:pt idx="54">
                  <c:v>155.71331890255024</c:v>
                </c:pt>
                <c:pt idx="55">
                  <c:v>156.19922313601529</c:v>
                </c:pt>
                <c:pt idx="56">
                  <c:v>156.67748980663305</c:v>
                </c:pt>
                <c:pt idx="57">
                  <c:v>157.14810072206245</c:v>
                </c:pt>
                <c:pt idx="58">
                  <c:v>157.61104627520484</c:v>
                </c:pt>
                <c:pt idx="59">
                  <c:v>158.06632505348114</c:v>
                </c:pt>
                <c:pt idx="60">
                  <c:v>158.51394344493778</c:v>
                </c:pt>
                <c:pt idx="61">
                  <c:v>158.95391524325606</c:v>
                </c:pt>
                <c:pt idx="62">
                  <c:v>159.38626125357723</c:v>
                </c:pt>
                <c:pt idx="63">
                  <c:v>159.81100890088359</c:v>
                </c:pt>
                <c:pt idx="64">
                  <c:v>160.22819184251168</c:v>
                </c:pt>
                <c:pt idx="65">
                  <c:v>160.63784958620954</c:v>
                </c:pt>
                <c:pt idx="66">
                  <c:v>161.04002711499285</c:v>
                </c:pt>
                <c:pt idx="67">
                  <c:v>161.43477451989966</c:v>
                </c:pt>
                <c:pt idx="68">
                  <c:v>161.82214664159889</c:v>
                </c:pt>
                <c:pt idx="69">
                  <c:v>162.20220272167003</c:v>
                </c:pt>
                <c:pt idx="70">
                  <c:v>162.57500606423764</c:v>
                </c:pt>
                <c:pt idx="71">
                  <c:v>162.94062370852484</c:v>
                </c:pt>
                <c:pt idx="72">
                  <c:v>163.29912611277371</c:v>
                </c:pt>
                <c:pt idx="73">
                  <c:v>163.65058684987744</c:v>
                </c:pt>
                <c:pt idx="74">
                  <c:v>163.99508231496947</c:v>
                </c:pt>
                <c:pt idx="75">
                  <c:v>164.33269144512951</c:v>
                </c:pt>
                <c:pt idx="76">
                  <c:v>164.66349545128506</c:v>
                </c:pt>
                <c:pt idx="77">
                  <c:v>164.98757756231427</c:v>
                </c:pt>
                <c:pt idx="78">
                  <c:v>165.30502278129313</c:v>
                </c:pt>
                <c:pt idx="79">
                  <c:v>165.61591765377332</c:v>
                </c:pt>
                <c:pt idx="80">
                  <c:v>165.92035004792496</c:v>
                </c:pt>
                <c:pt idx="81">
                  <c:v>166.21840894633741</c:v>
                </c:pt>
                <c:pt idx="82">
                  <c:v>166.51018424923299</c:v>
                </c:pt>
                <c:pt idx="83">
                  <c:v>166.79576658881624</c:v>
                </c:pt>
                <c:pt idx="84">
                  <c:v>167.07524715445618</c:v>
                </c:pt>
                <c:pt idx="85">
                  <c:v>167.34871752837537</c:v>
                </c:pt>
                <c:pt idx="86">
                  <c:v>167.61626953150582</c:v>
                </c:pt>
                <c:pt idx="87">
                  <c:v>167.87799507915301</c:v>
                </c:pt>
                <c:pt idx="88">
                  <c:v>168.13398604610606</c:v>
                </c:pt>
                <c:pt idx="89">
                  <c:v>168.38433414082007</c:v>
                </c:pt>
                <c:pt idx="90">
                  <c:v>168.62913078829598</c:v>
                </c:pt>
                <c:pt idx="91">
                  <c:v>168.86846702128202</c:v>
                </c:pt>
                <c:pt idx="92">
                  <c:v>169.10243337941975</c:v>
                </c:pt>
                <c:pt idx="93">
                  <c:v>169.33111981596545</c:v>
                </c:pt>
                <c:pt idx="94">
                  <c:v>169.55461561171609</c:v>
                </c:pt>
                <c:pt idx="95">
                  <c:v>169.77300929578089</c:v>
                </c:pt>
                <c:pt idx="96">
                  <c:v>169.98638857284439</c:v>
                </c:pt>
                <c:pt idx="97">
                  <c:v>170.19484025657556</c:v>
                </c:pt>
                <c:pt idx="98">
                  <c:v>170.39845020884647</c:v>
                </c:pt>
                <c:pt idx="99">
                  <c:v>170.59730328443655</c:v>
                </c:pt>
                <c:pt idx="100">
                  <c:v>170.79148328090446</c:v>
                </c:pt>
                <c:pt idx="101">
                  <c:v>170.9810728933254</c:v>
                </c:pt>
                <c:pt idx="102">
                  <c:v>171.16615367360021</c:v>
                </c:pt>
                <c:pt idx="103">
                  <c:v>171.34680599405243</c:v>
                </c:pt>
                <c:pt idx="104">
                  <c:v>171.52310901504674</c:v>
                </c:pt>
                <c:pt idx="105">
                  <c:v>171.69514065636562</c:v>
                </c:pt>
                <c:pt idx="106">
                  <c:v>171.86297757210045</c:v>
                </c:pt>
                <c:pt idx="107">
                  <c:v>172.02669512881849</c:v>
                </c:pt>
                <c:pt idx="108">
                  <c:v>172.18636738678146</c:v>
                </c:pt>
                <c:pt idx="109">
                  <c:v>172.34206708400151</c:v>
                </c:pt>
                <c:pt idx="110">
                  <c:v>172.49386562293139</c:v>
                </c:pt>
                <c:pt idx="111">
                  <c:v>172.64183305959432</c:v>
                </c:pt>
                <c:pt idx="112">
                  <c:v>172.78603809497207</c:v>
                </c:pt>
                <c:pt idx="113">
                  <c:v>172.92654806847636</c:v>
                </c:pt>
                <c:pt idx="114">
                  <c:v>173.06342895334126</c:v>
                </c:pt>
                <c:pt idx="115">
                  <c:v>173.19674535377914</c:v>
                </c:pt>
                <c:pt idx="116">
                  <c:v>173.32656050375621</c:v>
                </c:pt>
                <c:pt idx="117">
                  <c:v>173.45293626724936</c:v>
                </c:pt>
                <c:pt idx="118">
                  <c:v>173.57593313985262</c:v>
                </c:pt>
                <c:pt idx="119">
                  <c:v>173.695610251613</c:v>
                </c:pt>
                <c:pt idx="120">
                  <c:v>173.81202537098017</c:v>
                </c:pt>
                <c:pt idx="121">
                  <c:v>173.92523490976109</c:v>
                </c:pt>
                <c:pt idx="122">
                  <c:v>174.03529392897937</c:v>
                </c:pt>
                <c:pt idx="123">
                  <c:v>174.14225614554337</c:v>
                </c:pt>
                <c:pt idx="124">
                  <c:v>174.24617393963473</c:v>
                </c:pt>
                <c:pt idx="125">
                  <c:v>174.3470983627324</c:v>
                </c:pt>
                <c:pt idx="126">
                  <c:v>174.44507914619652</c:v>
                </c:pt>
                <c:pt idx="127">
                  <c:v>174.54016471033603</c:v>
                </c:pt>
                <c:pt idx="128">
                  <c:v>174.63240217389398</c:v>
                </c:pt>
                <c:pt idx="129">
                  <c:v>174.72183736388664</c:v>
                </c:pt>
                <c:pt idx="130">
                  <c:v>174.80851482573536</c:v>
                </c:pt>
                <c:pt idx="131">
                  <c:v>174.89247783363774</c:v>
                </c:pt>
                <c:pt idx="132">
                  <c:v>174.97376840112486</c:v>
                </c:pt>
                <c:pt idx="133">
                  <c:v>175.0524272917576</c:v>
                </c:pt>
                <c:pt idx="134">
                  <c:v>175.12849402991654</c:v>
                </c:pt>
                <c:pt idx="135">
                  <c:v>175.20200691164433</c:v>
                </c:pt>
                <c:pt idx="136">
                  <c:v>175.27300301550133</c:v>
                </c:pt>
                <c:pt idx="137">
                  <c:v>175.34151821339964</c:v>
                </c:pt>
                <c:pt idx="138">
                  <c:v>175.40758718138053</c:v>
                </c:pt>
                <c:pt idx="139">
                  <c:v>175.47124341030664</c:v>
                </c:pt>
                <c:pt idx="140">
                  <c:v>175.5325192164382</c:v>
                </c:pt>
                <c:pt idx="141">
                  <c:v>175.59144575186826</c:v>
                </c:pt>
                <c:pt idx="142">
                  <c:v>175.6480530147918</c:v>
                </c:pt>
                <c:pt idx="143">
                  <c:v>175.70236985958616</c:v>
                </c:pt>
                <c:pt idx="144">
                  <c:v>175.75442400668231</c:v>
                </c:pt>
                <c:pt idx="145">
                  <c:v>175.80424205220692</c:v>
                </c:pt>
                <c:pt idx="146">
                  <c:v>175.85184947737815</c:v>
                </c:pt>
                <c:pt idx="147">
                  <c:v>175.89727065763867</c:v>
                </c:pt>
                <c:pt idx="148">
                  <c:v>175.94052887151028</c:v>
                </c:pt>
                <c:pt idx="149">
                  <c:v>175.98164630915713</c:v>
                </c:pt>
                <c:pt idx="150">
                  <c:v>176.02064408064425</c:v>
                </c:pt>
                <c:pt idx="151">
                  <c:v>176.05754222387986</c:v>
                </c:pt>
                <c:pt idx="152">
                  <c:v>176.09235971223089</c:v>
                </c:pt>
                <c:pt idx="153">
                  <c:v>176.12511446180193</c:v>
                </c:pt>
                <c:pt idx="154">
                  <c:v>176.15582333836844</c:v>
                </c:pt>
                <c:pt idx="155">
                  <c:v>176.18450216395638</c:v>
                </c:pt>
                <c:pt idx="156">
                  <c:v>176.21116572306099</c:v>
                </c:pt>
                <c:pt idx="157">
                  <c:v>176.23582776849724</c:v>
                </c:pt>
                <c:pt idx="158">
                  <c:v>176.2585010268771</c:v>
                </c:pt>
                <c:pt idx="159">
                  <c:v>176.2791972037067</c:v>
                </c:pt>
                <c:pt idx="160">
                  <c:v>176.29792698809985</c:v>
                </c:pt>
                <c:pt idx="161">
                  <c:v>176.31470005710239</c:v>
                </c:pt>
                <c:pt idx="162">
                  <c:v>176.32952507962418</c:v>
                </c:pt>
                <c:pt idx="163">
                  <c:v>176.34240971997468</c:v>
                </c:pt>
                <c:pt idx="164">
                  <c:v>176.35336064099977</c:v>
                </c:pt>
                <c:pt idx="165">
                  <c:v>176.36238350681614</c:v>
                </c:pt>
                <c:pt idx="166">
                  <c:v>176.36948298514233</c:v>
                </c:pt>
                <c:pt idx="167">
                  <c:v>176.37466274922303</c:v>
                </c:pt>
                <c:pt idx="168">
                  <c:v>176.37792547934666</c:v>
                </c:pt>
                <c:pt idx="169">
                  <c:v>176.37927286395336</c:v>
                </c:pt>
                <c:pt idx="170">
                  <c:v>176.3787056003344</c:v>
                </c:pt>
                <c:pt idx="171">
                  <c:v>176.3762233949204</c:v>
                </c:pt>
                <c:pt idx="172">
                  <c:v>176.37182496316032</c:v>
                </c:pt>
                <c:pt idx="173">
                  <c:v>176.36550802898904</c:v>
                </c:pt>
                <c:pt idx="174">
                  <c:v>176.35726932388621</c:v>
                </c:pt>
                <c:pt idx="175">
                  <c:v>176.34710458552505</c:v>
                </c:pt>
                <c:pt idx="176">
                  <c:v>176.33500855601386</c:v>
                </c:pt>
                <c:pt idx="177">
                  <c:v>176.32097497973032</c:v>
                </c:pt>
                <c:pt idx="178">
                  <c:v>176.30499660075134</c:v>
                </c:pt>
                <c:pt idx="179">
                  <c:v>176.28706515987977</c:v>
                </c:pt>
                <c:pt idx="180">
                  <c:v>176.26717139127092</c:v>
                </c:pt>
                <c:pt idx="181">
                  <c:v>176.24530501866195</c:v>
                </c:pt>
                <c:pt idx="182">
                  <c:v>176.22145475120655</c:v>
                </c:pt>
                <c:pt idx="183">
                  <c:v>176.19560827891985</c:v>
                </c:pt>
                <c:pt idx="184">
                  <c:v>176.16775226773666</c:v>
                </c:pt>
                <c:pt idx="185">
                  <c:v>176.13787235418869</c:v>
                </c:pt>
                <c:pt idx="186">
                  <c:v>176.10595313970535</c:v>
                </c:pt>
                <c:pt idx="187">
                  <c:v>176.07197818454426</c:v>
                </c:pt>
                <c:pt idx="188">
                  <c:v>176.03593000135783</c:v>
                </c:pt>
                <c:pt idx="189">
                  <c:v>175.99779004840315</c:v>
                </c:pt>
                <c:pt idx="190">
                  <c:v>175.9575387224028</c:v>
                </c:pt>
                <c:pt idx="191">
                  <c:v>175.91515535106549</c:v>
                </c:pt>
                <c:pt idx="192">
                  <c:v>175.87061818527556</c:v>
                </c:pt>
                <c:pt idx="193">
                  <c:v>175.8239043909619</c:v>
                </c:pt>
                <c:pt idx="194">
                  <c:v>175.77499004065749</c:v>
                </c:pt>
                <c:pt idx="195">
                  <c:v>175.72385010476185</c:v>
                </c:pt>
                <c:pt idx="196">
                  <c:v>175.67045844251967</c:v>
                </c:pt>
                <c:pt idx="197">
                  <c:v>175.61478779273034</c:v>
                </c:pt>
                <c:pt idx="198">
                  <c:v>175.5568097642039</c:v>
                </c:pt>
                <c:pt idx="199">
                  <c:v>175.49649482598119</c:v>
                </c:pt>
                <c:pt idx="200">
                  <c:v>175.43381229733589</c:v>
                </c:pt>
                <c:pt idx="201">
                  <c:v>175.36873033758005</c:v>
                </c:pt>
                <c:pt idx="202">
                  <c:v>175.30121593569345</c:v>
                </c:pt>
                <c:pt idx="203">
                  <c:v>175.23123489980162</c:v>
                </c:pt>
                <c:pt idx="204">
                  <c:v>175.15875184652791</c:v>
                </c:pt>
                <c:pt idx="205">
                  <c:v>175.08373019024691</c:v>
                </c:pt>
                <c:pt idx="206">
                  <c:v>175.00613213226976</c:v>
                </c:pt>
                <c:pt idx="207">
                  <c:v>174.92591864999301</c:v>
                </c:pt>
                <c:pt idx="208">
                  <c:v>174.84304948604651</c:v>
                </c:pt>
                <c:pt idx="209">
                  <c:v>174.7574831374771</c:v>
                </c:pt>
                <c:pt idx="210">
                  <c:v>174.66917684500899</c:v>
                </c:pt>
                <c:pt idx="211">
                  <c:v>174.57808658242436</c:v>
                </c:pt>
                <c:pt idx="212">
                  <c:v>174.48416704611029</c:v>
                </c:pt>
                <c:pt idx="213">
                  <c:v>174.38737164482274</c:v>
                </c:pt>
                <c:pt idx="214">
                  <c:v>174.28765248972149</c:v>
                </c:pt>
                <c:pt idx="215">
                  <c:v>174.18496038473322</c:v>
                </c:pt>
                <c:pt idx="216">
                  <c:v>174.07924481730549</c:v>
                </c:pt>
                <c:pt idx="217">
                  <c:v>173.97045394961745</c:v>
                </c:pt>
                <c:pt idx="218">
                  <c:v>173.85853461031846</c:v>
                </c:pt>
                <c:pt idx="219">
                  <c:v>173.74343228687104</c:v>
                </c:pt>
                <c:pt idx="220">
                  <c:v>173.62509111857847</c:v>
                </c:pt>
                <c:pt idx="221">
                  <c:v>173.5034538903852</c:v>
                </c:pt>
                <c:pt idx="222">
                  <c:v>173.37846202754145</c:v>
                </c:pt>
                <c:pt idx="223">
                  <c:v>173.25005559123139</c:v>
                </c:pt>
                <c:pt idx="224">
                  <c:v>173.11817327527035</c:v>
                </c:pt>
                <c:pt idx="225">
                  <c:v>172.98275240398257</c:v>
                </c:pt>
                <c:pt idx="226">
                  <c:v>172.84372893137981</c:v>
                </c:pt>
                <c:pt idx="227">
                  <c:v>172.70103744176566</c:v>
                </c:pt>
                <c:pt idx="228">
                  <c:v>172.55461115190298</c:v>
                </c:pt>
                <c:pt idx="229">
                  <c:v>172.40438191488406</c:v>
                </c:pt>
                <c:pt idx="230">
                  <c:v>172.25028022585815</c:v>
                </c:pt>
                <c:pt idx="231">
                  <c:v>172.09223522977328</c:v>
                </c:pt>
                <c:pt idx="232">
                  <c:v>171.93017473130558</c:v>
                </c:pt>
                <c:pt idx="233">
                  <c:v>171.7640252071518</c:v>
                </c:pt>
                <c:pt idx="234">
                  <c:v>171.59371182087625</c:v>
                </c:pt>
                <c:pt idx="235">
                  <c:v>171.4191584405109</c:v>
                </c:pt>
                <c:pt idx="236">
                  <c:v>171.24028765911862</c:v>
                </c:pt>
                <c:pt idx="237">
                  <c:v>171.05702081853957</c:v>
                </c:pt>
                <c:pt idx="238">
                  <c:v>170.86927803655291</c:v>
                </c:pt>
                <c:pt idx="239">
                  <c:v>170.67697823769711</c:v>
                </c:pt>
                <c:pt idx="240">
                  <c:v>170.48003918800256</c:v>
                </c:pt>
                <c:pt idx="241">
                  <c:v>170.27837753390094</c:v>
                </c:pt>
                <c:pt idx="242">
                  <c:v>170.07190884559182</c:v>
                </c:pt>
                <c:pt idx="243">
                  <c:v>169.86054766515159</c:v>
                </c:pt>
                <c:pt idx="244">
                  <c:v>169.64420755968632</c:v>
                </c:pt>
                <c:pt idx="245">
                  <c:v>169.42280117983964</c:v>
                </c:pt>
                <c:pt idx="246">
                  <c:v>169.19624032397627</c:v>
                </c:pt>
                <c:pt idx="247">
                  <c:v>168.96443600837361</c:v>
                </c:pt>
                <c:pt idx="248">
                  <c:v>168.72729854376379</c:v>
                </c:pt>
                <c:pt idx="249">
                  <c:v>168.48473761857451</c:v>
                </c:pt>
                <c:pt idx="250">
                  <c:v>168.23666238922854</c:v>
                </c:pt>
                <c:pt idx="251">
                  <c:v>167.98298157786698</c:v>
                </c:pt>
                <c:pt idx="252">
                  <c:v>167.72360357786502</c:v>
                </c:pt>
                <c:pt idx="253">
                  <c:v>167.45843656751657</c:v>
                </c:pt>
                <c:pt idx="254">
                  <c:v>167.18738863226284</c:v>
                </c:pt>
                <c:pt idx="255">
                  <c:v>166.91036789584032</c:v>
                </c:pt>
                <c:pt idx="256">
                  <c:v>166.62728266072421</c:v>
                </c:pt>
                <c:pt idx="257">
                  <c:v>166.33804155823239</c:v>
                </c:pt>
                <c:pt idx="258">
                  <c:v>166.04255370865167</c:v>
                </c:pt>
                <c:pt idx="259">
                  <c:v>165.7407288917351</c:v>
                </c:pt>
                <c:pt idx="260">
                  <c:v>165.43247772789996</c:v>
                </c:pt>
                <c:pt idx="261">
                  <c:v>165.11771187044334</c:v>
                </c:pt>
                <c:pt idx="262">
                  <c:v>164.79634420905887</c:v>
                </c:pt>
                <c:pt idx="263">
                  <c:v>164.46828908491713</c:v>
                </c:pt>
                <c:pt idx="264">
                  <c:v>164.13346251753063</c:v>
                </c:pt>
                <c:pt idx="265">
                  <c:v>163.79178244358928</c:v>
                </c:pt>
                <c:pt idx="266">
                  <c:v>163.44316896789792</c:v>
                </c:pt>
                <c:pt idx="267">
                  <c:v>163.08754462650151</c:v>
                </c:pt>
                <c:pt idx="268">
                  <c:v>162.72483466201479</c:v>
                </c:pt>
                <c:pt idx="269">
                  <c:v>162.35496731111155</c:v>
                </c:pt>
                <c:pt idx="270">
                  <c:v>161.97787410404464</c:v>
                </c:pt>
                <c:pt idx="271">
                  <c:v>161.59349017598959</c:v>
                </c:pt>
                <c:pt idx="272">
                  <c:v>161.20175458990877</c:v>
                </c:pt>
                <c:pt idx="273">
                  <c:v>160.80261067052851</c:v>
                </c:pt>
                <c:pt idx="274">
                  <c:v>160.39600634891664</c:v>
                </c:pt>
                <c:pt idx="275">
                  <c:v>159.98189451702447</c:v>
                </c:pt>
                <c:pt idx="276">
                  <c:v>159.56023339143115</c:v>
                </c:pt>
                <c:pt idx="277">
                  <c:v>159.13098688539552</c:v>
                </c:pt>
                <c:pt idx="278">
                  <c:v>158.69412498816953</c:v>
                </c:pt>
                <c:pt idx="279">
                  <c:v>158.24962415038925</c:v>
                </c:pt>
                <c:pt idx="280">
                  <c:v>157.79746767418928</c:v>
                </c:pt>
                <c:pt idx="281">
                  <c:v>157.33764610653921</c:v>
                </c:pt>
                <c:pt idx="282">
                  <c:v>156.87015763412055</c:v>
                </c:pt>
                <c:pt idx="283">
                  <c:v>156.39500847791084</c:v>
                </c:pt>
                <c:pt idx="284">
                  <c:v>155.91221328545925</c:v>
                </c:pt>
                <c:pt idx="285">
                  <c:v>155.42179551868037</c:v>
                </c:pt>
                <c:pt idx="286">
                  <c:v>154.923787834828</c:v>
                </c:pt>
                <c:pt idx="287">
                  <c:v>154.4182324581501</c:v>
                </c:pt>
                <c:pt idx="288">
                  <c:v>153.90518153958502</c:v>
                </c:pt>
                <c:pt idx="289">
                  <c:v>153.38469750171512</c:v>
                </c:pt>
                <c:pt idx="290">
                  <c:v>152.8568533660798</c:v>
                </c:pt>
                <c:pt idx="291">
                  <c:v>152.32173305984139</c:v>
                </c:pt>
                <c:pt idx="292">
                  <c:v>151.77943169871759</c:v>
                </c:pt>
                <c:pt idx="293">
                  <c:v>151.23005584303857</c:v>
                </c:pt>
                <c:pt idx="294">
                  <c:v>150.6737237237524</c:v>
                </c:pt>
                <c:pt idx="295">
                  <c:v>150.11056543521218</c:v>
                </c:pt>
                <c:pt idx="296">
                  <c:v>149.540723091606</c:v>
                </c:pt>
                <c:pt idx="297">
                  <c:v>148.96435094397094</c:v>
                </c:pt>
                <c:pt idx="298">
                  <c:v>148.38161545484004</c:v>
                </c:pt>
                <c:pt idx="299">
                  <c:v>147.79269532772796</c:v>
                </c:pt>
                <c:pt idx="300">
                  <c:v>147.19778148885456</c:v>
                </c:pt>
                <c:pt idx="301">
                  <c:v>146.5970770187474</c:v>
                </c:pt>
                <c:pt idx="302">
                  <c:v>145.99079703164574</c:v>
                </c:pt>
                <c:pt idx="303">
                  <c:v>145.37916850095419</c:v>
                </c:pt>
                <c:pt idx="304">
                  <c:v>144.7624300293615</c:v>
                </c:pt>
                <c:pt idx="305">
                  <c:v>144.14083156264323</c:v>
                </c:pt>
                <c:pt idx="306">
                  <c:v>143.5146340466076</c:v>
                </c:pt>
                <c:pt idx="307">
                  <c:v>142.8841090271163</c:v>
                </c:pt>
                <c:pt idx="308">
                  <c:v>142.24953819360326</c:v>
                </c:pt>
                <c:pt idx="309">
                  <c:v>141.61121286703559</c:v>
                </c:pt>
                <c:pt idx="310">
                  <c:v>140.96943343378476</c:v>
                </c:pt>
                <c:pt idx="311">
                  <c:v>140.32450872741225</c:v>
                </c:pt>
                <c:pt idx="312">
                  <c:v>139.676755360903</c:v>
                </c:pt>
                <c:pt idx="313">
                  <c:v>139.02649701240233</c:v>
                </c:pt>
                <c:pt idx="314">
                  <c:v>138.37406366800937</c:v>
                </c:pt>
                <c:pt idx="315">
                  <c:v>137.71979082565892</c:v>
                </c:pt>
                <c:pt idx="316">
                  <c:v>137.06401866455363</c:v>
                </c:pt>
                <c:pt idx="317">
                  <c:v>136.40709118500874</c:v>
                </c:pt>
                <c:pt idx="318">
                  <c:v>135.7493553239124</c:v>
                </c:pt>
                <c:pt idx="319">
                  <c:v>135.09116005128951</c:v>
                </c:pt>
                <c:pt idx="320">
                  <c:v>134.43285545368104</c:v>
                </c:pt>
                <c:pt idx="321">
                  <c:v>133.77479181021261</c:v>
                </c:pt>
                <c:pt idx="322">
                  <c:v>133.1173186673027</c:v>
                </c:pt>
                <c:pt idx="323">
                  <c:v>132.46078391799381</c:v>
                </c:pt>
                <c:pt idx="324">
                  <c:v>131.80553289181194</c:v>
                </c:pt>
                <c:pt idx="325">
                  <c:v>131.15190746095897</c:v>
                </c:pt>
                <c:pt idx="326">
                  <c:v>130.50024516842853</c:v>
                </c:pt>
                <c:pt idx="327">
                  <c:v>129.85087838338404</c:v>
                </c:pt>
                <c:pt idx="328">
                  <c:v>129.20413348882681</c:v>
                </c:pt>
                <c:pt idx="329">
                  <c:v>128.56033010619214</c:v>
                </c:pt>
                <c:pt idx="330">
                  <c:v>127.91978036111811</c:v>
                </c:pt>
                <c:pt idx="331">
                  <c:v>127.28278819414551</c:v>
                </c:pt>
                <c:pt idx="332">
                  <c:v>126.64964871964376</c:v>
                </c:pt>
                <c:pt idx="333">
                  <c:v>126.02064763572284</c:v>
                </c:pt>
                <c:pt idx="334">
                  <c:v>125.39606068738433</c:v>
                </c:pt>
                <c:pt idx="335">
                  <c:v>124.77615318461304</c:v>
                </c:pt>
                <c:pt idx="336">
                  <c:v>124.16117957659372</c:v>
                </c:pt>
                <c:pt idx="337">
                  <c:v>123.55138308270699</c:v>
                </c:pt>
                <c:pt idx="338">
                  <c:v>122.94699538045185</c:v>
                </c:pt>
                <c:pt idx="339">
                  <c:v>122.34823634997045</c:v>
                </c:pt>
                <c:pt idx="340">
                  <c:v>121.75531387438001</c:v>
                </c:pt>
                <c:pt idx="341">
                  <c:v>121.16842369471033</c:v>
                </c:pt>
                <c:pt idx="342">
                  <c:v>120.58774931785325</c:v>
                </c:pt>
                <c:pt idx="343">
                  <c:v>120.01346197558783</c:v>
                </c:pt>
                <c:pt idx="344">
                  <c:v>119.44572063244529</c:v>
                </c:pt>
                <c:pt idx="345">
                  <c:v>118.88467203991338</c:v>
                </c:pt>
                <c:pt idx="346">
                  <c:v>118.33045083427051</c:v>
                </c:pt>
                <c:pt idx="347">
                  <c:v>117.78317967516426</c:v>
                </c:pt>
                <c:pt idx="348">
                  <c:v>117.24296942191376</c:v>
                </c:pt>
                <c:pt idx="349">
                  <c:v>116.70991934443481</c:v>
                </c:pt>
                <c:pt idx="350">
                  <c:v>116.1841173656244</c:v>
                </c:pt>
                <c:pt idx="351">
                  <c:v>115.66564033203095</c:v>
                </c:pt>
                <c:pt idx="352">
                  <c:v>115.15455430964573</c:v>
                </c:pt>
                <c:pt idx="353">
                  <c:v>114.65091490170552</c:v>
                </c:pt>
                <c:pt idx="354">
                  <c:v>114.15476758545512</c:v>
                </c:pt>
                <c:pt idx="355">
                  <c:v>113.66614806492454</c:v>
                </c:pt>
                <c:pt idx="356">
                  <c:v>113.18508263688122</c:v>
                </c:pt>
                <c:pt idx="357">
                  <c:v>112.71158856725052</c:v>
                </c:pt>
                <c:pt idx="358">
                  <c:v>112.2456744754403</c:v>
                </c:pt>
                <c:pt idx="359">
                  <c:v>111.78734072415946</c:v>
                </c:pt>
                <c:pt idx="360">
                  <c:v>111.3365798124787</c:v>
                </c:pt>
                <c:pt idx="361">
                  <c:v>110.89337677004863</c:v>
                </c:pt>
                <c:pt idx="362">
                  <c:v>110.45770955055906</c:v>
                </c:pt>
                <c:pt idx="363">
                  <c:v>110.0295494226873</c:v>
                </c:pt>
                <c:pt idx="364">
                  <c:v>109.60886135695461</c:v>
                </c:pt>
                <c:pt idx="365">
                  <c:v>109.1956044070711</c:v>
                </c:pt>
                <c:pt idx="366">
                  <c:v>108.78973208450502</c:v>
                </c:pt>
                <c:pt idx="367">
                  <c:v>108.39119272517398</c:v>
                </c:pt>
                <c:pt idx="368">
                  <c:v>107.99992984728924</c:v>
                </c:pt>
                <c:pt idx="369">
                  <c:v>107.61588249953806</c:v>
                </c:pt>
                <c:pt idx="370">
                  <c:v>107.23898559890688</c:v>
                </c:pt>
                <c:pt idx="371">
                  <c:v>106.86917025758041</c:v>
                </c:pt>
                <c:pt idx="372">
                  <c:v>106.50636409845983</c:v>
                </c:pt>
                <c:pt idx="373">
                  <c:v>106.15049155895409</c:v>
                </c:pt>
                <c:pt idx="374">
                  <c:v>105.80147418279066</c:v>
                </c:pt>
                <c:pt idx="375">
                  <c:v>105.4592308996838</c:v>
                </c:pt>
                <c:pt idx="376">
                  <c:v>105.12367829277845</c:v>
                </c:pt>
                <c:pt idx="377">
                  <c:v>104.79473085385757</c:v>
                </c:pt>
                <c:pt idx="378">
                  <c:v>104.47230122636981</c:v>
                </c:pt>
                <c:pt idx="379">
                  <c:v>104.15630043638562</c:v>
                </c:pt>
                <c:pt idx="380">
                  <c:v>103.84663811164663</c:v>
                </c:pt>
                <c:pt idx="381">
                  <c:v>103.54322268891212</c:v>
                </c:pt>
                <c:pt idx="382">
                  <c:v>103.24596160984451</c:v>
                </c:pt>
                <c:pt idx="383">
                  <c:v>102.95476150571116</c:v>
                </c:pt>
                <c:pt idx="384">
                  <c:v>102.66952837120219</c:v>
                </c:pt>
                <c:pt idx="385">
                  <c:v>102.39016772768763</c:v>
                </c:pt>
                <c:pt idx="386">
                  <c:v>102.1165847762561</c:v>
                </c:pt>
                <c:pt idx="387">
                  <c:v>101.8486845408876</c:v>
                </c:pt>
                <c:pt idx="388">
                  <c:v>101.58637200212483</c:v>
                </c:pt>
                <c:pt idx="389">
                  <c:v>101.32955222161539</c:v>
                </c:pt>
                <c:pt idx="390">
                  <c:v>101.07813045789634</c:v>
                </c:pt>
                <c:pt idx="391">
                  <c:v>100.83201227379944</c:v>
                </c:pt>
                <c:pt idx="392">
                  <c:v>100.59110363585015</c:v>
                </c:pt>
                <c:pt idx="393">
                  <c:v>100.35531100603143</c:v>
                </c:pt>
                <c:pt idx="394">
                  <c:v>100.12454142628049</c:v>
                </c:pt>
                <c:pt idx="395">
                  <c:v>99.898702596077584</c:v>
                </c:pt>
                <c:pt idx="396">
                  <c:v>99.677702943480753</c:v>
                </c:pt>
                <c:pt idx="397">
                  <c:v>99.461451689950735</c:v>
                </c:pt>
                <c:pt idx="398">
                  <c:v>99.249858909301082</c:v>
                </c:pt>
                <c:pt idx="399">
                  <c:v>99.042835581099439</c:v>
                </c:pt>
                <c:pt idx="400">
                  <c:v>98.840293638833927</c:v>
                </c:pt>
                <c:pt idx="401">
                  <c:v>98.642146013148547</c:v>
                </c:pt>
                <c:pt idx="402">
                  <c:v>98.448306670440701</c:v>
                </c:pt>
                <c:pt idx="403">
                  <c:v>98.258690647101204</c:v>
                </c:pt>
                <c:pt idx="404">
                  <c:v>98.073214079667551</c:v>
                </c:pt>
                <c:pt idx="405">
                  <c:v>97.891794231146321</c:v>
                </c:pt>
                <c:pt idx="406">
                  <c:v>97.714349513754513</c:v>
                </c:pt>
                <c:pt idx="407">
                  <c:v>97.54079950831273</c:v>
                </c:pt>
                <c:pt idx="408">
                  <c:v>97.371064980516081</c:v>
                </c:pt>
                <c:pt idx="409">
                  <c:v>97.20506789429416</c:v>
                </c:pt>
                <c:pt idx="410">
                  <c:v>97.042731422465934</c:v>
                </c:pt>
                <c:pt idx="411">
                  <c:v>96.883979954877532</c:v>
                </c:pt>
                <c:pt idx="412">
                  <c:v>96.728739104209552</c:v>
                </c:pt>
                <c:pt idx="413">
                  <c:v>96.576935709622987</c:v>
                </c:pt>
                <c:pt idx="414">
                  <c:v>96.42849783840775</c:v>
                </c:pt>
                <c:pt idx="415">
                  <c:v>96.283354785787992</c:v>
                </c:pt>
                <c:pt idx="416">
                  <c:v>96.141437073028925</c:v>
                </c:pt>
                <c:pt idx="417">
                  <c:v>96.002676443981969</c:v>
                </c:pt>
                <c:pt idx="418">
                  <c:v>95.867005860196457</c:v>
                </c:pt>
                <c:pt idx="419">
                  <c:v>95.734359494718902</c:v>
                </c:pt>
                <c:pt idx="420">
                  <c:v>95.604672724694481</c:v>
                </c:pt>
                <c:pt idx="421">
                  <c:v>95.47788212287557</c:v>
                </c:pt>
                <c:pt idx="422">
                  <c:v>95.353925448138369</c:v>
                </c:pt>
                <c:pt idx="423">
                  <c:v>95.232741635101149</c:v>
                </c:pt>
                <c:pt idx="424">
                  <c:v>95.114270782931214</c:v>
                </c:pt>
                <c:pt idx="425">
                  <c:v>94.998454143422691</c:v>
                </c:pt>
                <c:pt idx="426">
                  <c:v>94.885234108421514</c:v>
                </c:pt>
                <c:pt idx="427">
                  <c:v>94.774554196669072</c:v>
                </c:pt>
                <c:pt idx="428">
                  <c:v>94.666359040130942</c:v>
                </c:pt>
                <c:pt idx="429">
                  <c:v>94.560594369871865</c:v>
                </c:pt>
                <c:pt idx="430">
                  <c:v>94.45720700153602</c:v>
                </c:pt>
                <c:pt idx="431">
                  <c:v>94.35614482048473</c:v>
                </c:pt>
                <c:pt idx="432">
                  <c:v>94.257356766642189</c:v>
                </c:pt>
                <c:pt idx="433">
                  <c:v>94.160792819094354</c:v>
                </c:pt>
                <c:pt idx="434">
                  <c:v>94.066403980484807</c:v>
                </c:pt>
                <c:pt idx="435">
                  <c:v>93.974142261246143</c:v>
                </c:pt>
                <c:pt idx="436">
                  <c:v>93.883960663703604</c:v>
                </c:pt>
                <c:pt idx="437">
                  <c:v>93.795813166085225</c:v>
                </c:pt>
                <c:pt idx="438">
                  <c:v>93.709654706468214</c:v>
                </c:pt>
                <c:pt idx="439">
                  <c:v>93.625441166691729</c:v>
                </c:pt>
                <c:pt idx="440">
                  <c:v>93.543129356261076</c:v>
                </c:pt>
                <c:pt idx="441">
                  <c:v>93.462676996267774</c:v>
                </c:pt>
                <c:pt idx="442">
                  <c:v>93.384042703347859</c:v>
                </c:pt>
                <c:pt idx="443">
                  <c:v>93.307185973698196</c:v>
                </c:pt>
                <c:pt idx="444">
                  <c:v>93.232067167169305</c:v>
                </c:pt>
                <c:pt idx="445">
                  <c:v>93.158647491451362</c:v>
                </c:pt>
                <c:pt idx="446">
                  <c:v>93.086888986368905</c:v>
                </c:pt>
                <c:pt idx="447">
                  <c:v>93.016754508297595</c:v>
                </c:pt>
                <c:pt idx="448">
                  <c:v>92.948207714715593</c:v>
                </c:pt>
                <c:pt idx="449">
                  <c:v>92.881213048900875</c:v>
                </c:pt>
                <c:pt idx="450">
                  <c:v>92.815735724784417</c:v>
                </c:pt>
                <c:pt idx="451">
                  <c:v>92.751741711968165</c:v>
                </c:pt>
                <c:pt idx="452">
                  <c:v>92.689197720915672</c:v>
                </c:pt>
                <c:pt idx="453">
                  <c:v>92.628071188322465</c:v>
                </c:pt>
                <c:pt idx="454">
                  <c:v>92.568330262672774</c:v>
                </c:pt>
                <c:pt idx="455">
                  <c:v>92.509943789986792</c:v>
                </c:pt>
                <c:pt idx="456">
                  <c:v>92.452881299764712</c:v>
                </c:pt>
                <c:pt idx="457">
                  <c:v>92.397112991129887</c:v>
                </c:pt>
                <c:pt idx="458">
                  <c:v>92.342609719175599</c:v>
                </c:pt>
                <c:pt idx="459">
                  <c:v>92.289342981517521</c:v>
                </c:pt>
                <c:pt idx="460">
                  <c:v>92.237284905054338</c:v>
                </c:pt>
                <c:pt idx="461">
                  <c:v>92.186408232938106</c:v>
                </c:pt>
                <c:pt idx="462">
                  <c:v>92.136686311755668</c:v>
                </c:pt>
                <c:pt idx="463">
                  <c:v>92.088093078921773</c:v>
                </c:pt>
                <c:pt idx="464">
                  <c:v>92.040603050284645</c:v>
                </c:pt>
                <c:pt idx="465">
                  <c:v>91.994191307943723</c:v>
                </c:pt>
                <c:pt idx="466">
                  <c:v>91.948833488279632</c:v>
                </c:pt>
                <c:pt idx="467">
                  <c:v>91.904505770195684</c:v>
                </c:pt>
                <c:pt idx="468">
                  <c:v>91.861184863570116</c:v>
                </c:pt>
                <c:pt idx="469">
                  <c:v>91.818847997918184</c:v>
                </c:pt>
                <c:pt idx="470">
                  <c:v>91.777472911262478</c:v>
                </c:pt>
                <c:pt idx="471">
                  <c:v>91.737037839210458</c:v>
                </c:pt>
                <c:pt idx="472">
                  <c:v>91.697521504237258</c:v>
                </c:pt>
                <c:pt idx="473">
                  <c:v>91.658903105171945</c:v>
                </c:pt>
                <c:pt idx="474">
                  <c:v>91.621162306885495</c:v>
                </c:pt>
                <c:pt idx="475">
                  <c:v>91.58427923017797</c:v>
                </c:pt>
                <c:pt idx="476">
                  <c:v>91.548234441863357</c:v>
                </c:pt>
                <c:pt idx="477">
                  <c:v>91.513008945049037</c:v>
                </c:pt>
                <c:pt idx="478">
                  <c:v>91.478584169607871</c:v>
                </c:pt>
                <c:pt idx="479">
                  <c:v>91.444941962840531</c:v>
                </c:pt>
                <c:pt idx="480">
                  <c:v>91.412064580325193</c:v>
                </c:pt>
                <c:pt idx="481">
                  <c:v>91.379934676952146</c:v>
                </c:pt>
                <c:pt idx="482">
                  <c:v>91.348535298140717</c:v>
                </c:pt>
                <c:pt idx="483">
                  <c:v>91.317849871235765</c:v>
                </c:pt>
                <c:pt idx="484">
                  <c:v>91.287862197080926</c:v>
                </c:pt>
                <c:pt idx="485">
                  <c:v>91.258556441765961</c:v>
                </c:pt>
                <c:pt idx="486">
                  <c:v>91.229917128545296</c:v>
                </c:pt>
                <c:pt idx="487">
                  <c:v>91.20192912992529</c:v>
                </c:pt>
                <c:pt idx="488">
                  <c:v>91.174577659916707</c:v>
                </c:pt>
                <c:pt idx="489">
                  <c:v>91.14784826645058</c:v>
                </c:pt>
                <c:pt idx="490">
                  <c:v>91.121726823953736</c:v>
                </c:pt>
                <c:pt idx="491">
                  <c:v>91.096199526081691</c:v>
                </c:pt>
                <c:pt idx="492">
                  <c:v>91.071252878606046</c:v>
                </c:pt>
                <c:pt idx="493">
                  <c:v>91.046873692453431</c:v>
                </c:pt>
                <c:pt idx="494">
                  <c:v>91.023049076893415</c:v>
                </c:pt>
                <c:pt idx="495">
                  <c:v>90.999766432872519</c:v>
                </c:pt>
                <c:pt idx="496">
                  <c:v>90.977013446491625</c:v>
                </c:pt>
                <c:pt idx="497">
                  <c:v>90.954778082624074</c:v>
                </c:pt>
                <c:pt idx="498">
                  <c:v>90.93304857867183</c:v>
                </c:pt>
                <c:pt idx="499">
                  <c:v>90.911813438456861</c:v>
                </c:pt>
                <c:pt idx="500">
                  <c:v>90.891061426245386</c:v>
                </c:pt>
                <c:pt idx="501">
                  <c:v>90.870781560902202</c:v>
                </c:pt>
                <c:pt idx="502">
                  <c:v>90.850963110172415</c:v>
                </c:pt>
                <c:pt idx="503">
                  <c:v>90.831595585088479</c:v>
                </c:pt>
                <c:pt idx="504">
                  <c:v>90.812668734499368</c:v>
                </c:pt>
                <c:pt idx="505">
                  <c:v>90.794172539720222</c:v>
                </c:pt>
                <c:pt idx="506">
                  <c:v>90.776097209299166</c:v>
                </c:pt>
                <c:pt idx="507">
                  <c:v>90.758433173899675</c:v>
                </c:pt>
                <c:pt idx="508">
                  <c:v>90.741171081295676</c:v>
                </c:pt>
                <c:pt idx="509">
                  <c:v>90.724301791477046</c:v>
                </c:pt>
                <c:pt idx="510">
                  <c:v>90.707816371863501</c:v>
                </c:pt>
                <c:pt idx="511">
                  <c:v>90.691706092624528</c:v>
                </c:pt>
                <c:pt idx="512">
                  <c:v>90.675962422102799</c:v>
                </c:pt>
                <c:pt idx="513">
                  <c:v>90.660577022339439</c:v>
                </c:pt>
                <c:pt idx="514">
                  <c:v>90.645541744698704</c:v>
                </c:pt>
                <c:pt idx="515">
                  <c:v>90.630848625589834</c:v>
                </c:pt>
                <c:pt idx="516">
                  <c:v>90.616489882284412</c:v>
                </c:pt>
                <c:pt idx="517">
                  <c:v>90.60245790882675</c:v>
                </c:pt>
                <c:pt idx="518">
                  <c:v>90.588745272035808</c:v>
                </c:pt>
                <c:pt idx="519">
                  <c:v>90.575344707596116</c:v>
                </c:pt>
                <c:pt idx="520">
                  <c:v>90.562249116236273</c:v>
                </c:pt>
                <c:pt idx="521">
                  <c:v>90.54945155999296</c:v>
                </c:pt>
                <c:pt idx="522">
                  <c:v>90.536945258558404</c:v>
                </c:pt>
                <c:pt idx="523">
                  <c:v>90.524723585709992</c:v>
                </c:pt>
                <c:pt idx="524">
                  <c:v>90.512780065819641</c:v>
                </c:pt>
                <c:pt idx="525">
                  <c:v>90.501108370441727</c:v>
                </c:pt>
                <c:pt idx="526">
                  <c:v>90.489702314977549</c:v>
                </c:pt>
                <c:pt idx="527">
                  <c:v>90.478555855414584</c:v>
                </c:pt>
                <c:pt idx="528">
                  <c:v>90.467663085139449</c:v>
                </c:pt>
                <c:pt idx="529">
                  <c:v>90.457018231822005</c:v>
                </c:pt>
                <c:pt idx="530">
                  <c:v>90.446615654370106</c:v>
                </c:pt>
                <c:pt idx="531">
                  <c:v>90.436449839952573</c:v>
                </c:pt>
                <c:pt idx="532">
                  <c:v>90.426515401089375</c:v>
                </c:pt>
                <c:pt idx="533">
                  <c:v>90.41680707280743</c:v>
                </c:pt>
                <c:pt idx="534">
                  <c:v>90.407319709860403</c:v>
                </c:pt>
                <c:pt idx="535">
                  <c:v>90.398048284011367</c:v>
                </c:pt>
                <c:pt idx="536">
                  <c:v>90.388987881376735</c:v>
                </c:pt>
                <c:pt idx="537">
                  <c:v>90.380133699830125</c:v>
                </c:pt>
                <c:pt idx="538">
                  <c:v>90.371481046464893</c:v>
                </c:pt>
                <c:pt idx="539">
                  <c:v>90.363025335114045</c:v>
                </c:pt>
                <c:pt idx="540">
                  <c:v>90.354762083926062</c:v>
                </c:pt>
                <c:pt idx="541">
                  <c:v>90.346686912995708</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38.924667961817704</c:v>
                </c:pt>
                <c:pt idx="1">
                  <c:v>38.623103383796483</c:v>
                </c:pt>
                <c:pt idx="2">
                  <c:v>38.322055667032537</c:v>
                </c:pt>
                <c:pt idx="3">
                  <c:v>38.021600018489465</c:v>
                </c:pt>
                <c:pt idx="4">
                  <c:v>37.721810152048235</c:v>
                </c:pt>
                <c:pt idx="5">
                  <c:v>37.422758108581704</c:v>
                </c:pt>
                <c:pt idx="6">
                  <c:v>37.124514082523142</c:v>
                </c:pt>
                <c:pt idx="7">
                  <c:v>36.82714625565675</c:v>
                </c:pt>
                <c:pt idx="8">
                  <c:v>36.530720638836506</c:v>
                </c:pt>
                <c:pt idx="9">
                  <c:v>36.235300922317926</c:v>
                </c:pt>
                <c:pt idx="10">
                  <c:v>35.940948335360829</c:v>
                </c:pt>
                <c:pt idx="11">
                  <c:v>35.647721515723184</c:v>
                </c:pt>
                <c:pt idx="12">
                  <c:v>35.355676389628236</c:v>
                </c:pt>
                <c:pt idx="13">
                  <c:v>35.064866062739611</c:v>
                </c:pt>
                <c:pt idx="14">
                  <c:v>34.775340722624215</c:v>
                </c:pt>
                <c:pt idx="15">
                  <c:v>34.487147553122909</c:v>
                </c:pt>
                <c:pt idx="16">
                  <c:v>34.200330660984264</c:v>
                </c:pt>
                <c:pt idx="17">
                  <c:v>33.91493101504124</c:v>
                </c:pt>
                <c:pt idx="18">
                  <c:v>33.630986398138418</c:v>
                </c:pt>
                <c:pt idx="19">
                  <c:v>33.34853137192961</c:v>
                </c:pt>
                <c:pt idx="20">
                  <c:v>33.067597254588676</c:v>
                </c:pt>
                <c:pt idx="21">
                  <c:v>32.788212111382606</c:v>
                </c:pt>
                <c:pt idx="22">
                  <c:v>32.510400757972484</c:v>
                </c:pt>
                <c:pt idx="23">
                  <c:v>32.234184776217518</c:v>
                </c:pt>
                <c:pt idx="24">
                  <c:v>31.959582542172726</c:v>
                </c:pt>
                <c:pt idx="25">
                  <c:v>31.686609265885433</c:v>
                </c:pt>
                <c:pt idx="26">
                  <c:v>31.415277042516344</c:v>
                </c:pt>
                <c:pt idx="27">
                  <c:v>31.145594914236444</c:v>
                </c:pt>
                <c:pt idx="28">
                  <c:v>30.877568942281478</c:v>
                </c:pt>
                <c:pt idx="29">
                  <c:v>30.611202288483248</c:v>
                </c:pt>
                <c:pt idx="30">
                  <c:v>30.346495305544956</c:v>
                </c:pt>
                <c:pt idx="31">
                  <c:v>30.083445635279777</c:v>
                </c:pt>
                <c:pt idx="32">
                  <c:v>29.822048313997445</c:v>
                </c:pt>
                <c:pt idx="33">
                  <c:v>29.562295884194462</c:v>
                </c:pt>
                <c:pt idx="34">
                  <c:v>29.304178511687574</c:v>
                </c:pt>
                <c:pt idx="35">
                  <c:v>29.047684107320016</c:v>
                </c:pt>
                <c:pt idx="36">
                  <c:v>28.792798452371365</c:v>
                </c:pt>
                <c:pt idx="37">
                  <c:v>28.539505326812211</c:v>
                </c:pt>
                <c:pt idx="38">
                  <c:v>28.287786639560561</c:v>
                </c:pt>
                <c:pt idx="39">
                  <c:v>28.037622559924785</c:v>
                </c:pt>
                <c:pt idx="40">
                  <c:v>27.788991649447215</c:v>
                </c:pt>
                <c:pt idx="41">
                  <c:v>27.541870993405123</c:v>
                </c:pt>
                <c:pt idx="42">
                  <c:v>27.296236331264787</c:v>
                </c:pt>
                <c:pt idx="43">
                  <c:v>27.052062185437464</c:v>
                </c:pt>
                <c:pt idx="44">
                  <c:v>26.809321987732481</c:v>
                </c:pt>
                <c:pt idx="45">
                  <c:v>26.567988202961914</c:v>
                </c:pt>
                <c:pt idx="46">
                  <c:v>26.328032449203921</c:v>
                </c:pt>
                <c:pt idx="47">
                  <c:v>26.089425614289475</c:v>
                </c:pt>
                <c:pt idx="48">
                  <c:v>25.85213796813521</c:v>
                </c:pt>
                <c:pt idx="49">
                  <c:v>25.616139270599145</c:v>
                </c:pt>
                <c:pt idx="50">
                  <c:v>25.381398874593636</c:v>
                </c:pt>
                <c:pt idx="51">
                  <c:v>25.147885824242021</c:v>
                </c:pt>
                <c:pt idx="52">
                  <c:v>24.915568947915109</c:v>
                </c:pt>
                <c:pt idx="53">
                  <c:v>24.684416946033593</c:v>
                </c:pt>
                <c:pt idx="54">
                  <c:v>24.454398473568272</c:v>
                </c:pt>
                <c:pt idx="55">
                  <c:v>24.225482217209198</c:v>
                </c:pt>
                <c:pt idx="56">
                  <c:v>23.997636967215279</c:v>
                </c:pt>
                <c:pt idx="57">
                  <c:v>23.770831683990576</c:v>
                </c:pt>
                <c:pt idx="58">
                  <c:v>23.54503555946501</c:v>
                </c:pt>
                <c:pt idx="59">
                  <c:v>23.32021807338322</c:v>
                </c:pt>
                <c:pt idx="60">
                  <c:v>23.096349044632802</c:v>
                </c:pt>
                <c:pt idx="61">
                  <c:v>22.873398677759987</c:v>
                </c:pt>
                <c:pt idx="62">
                  <c:v>22.651337604841206</c:v>
                </c:pt>
                <c:pt idx="63">
                  <c:v>22.430136922892828</c:v>
                </c:pt>
                <c:pt idx="64">
                  <c:v>22.209768227012088</c:v>
                </c:pt>
                <c:pt idx="65">
                  <c:v>21.990203639450307</c:v>
                </c:pt>
                <c:pt idx="66">
                  <c:v>21.771415834828673</c:v>
                </c:pt>
                <c:pt idx="67">
                  <c:v>21.553378061706965</c:v>
                </c:pt>
                <c:pt idx="68">
                  <c:v>21.336064160720216</c:v>
                </c:pt>
                <c:pt idx="69">
                  <c:v>21.119448579496453</c:v>
                </c:pt>
                <c:pt idx="70">
                  <c:v>20.903506384569368</c:v>
                </c:pt>
                <c:pt idx="71">
                  <c:v>20.688213270493762</c:v>
                </c:pt>
                <c:pt idx="72">
                  <c:v>20.473545566368323</c:v>
                </c:pt>
                <c:pt idx="73">
                  <c:v>20.259480239967594</c:v>
                </c:pt>
                <c:pt idx="74">
                  <c:v>20.04599489967373</c:v>
                </c:pt>
                <c:pt idx="75">
                  <c:v>19.833067794396211</c:v>
                </c:pt>
                <c:pt idx="76">
                  <c:v>19.620677811657565</c:v>
                </c:pt>
                <c:pt idx="77">
                  <c:v>19.408804474016037</c:v>
                </c:pt>
                <c:pt idx="78">
                  <c:v>19.197427933988198</c:v>
                </c:pt>
                <c:pt idx="79">
                  <c:v>18.986528967625478</c:v>
                </c:pt>
                <c:pt idx="80">
                  <c:v>18.776088966890615</c:v>
                </c:pt>
                <c:pt idx="81">
                  <c:v>18.566089930969433</c:v>
                </c:pt>
                <c:pt idx="82">
                  <c:v>18.356514456650569</c:v>
                </c:pt>
                <c:pt idx="83">
                  <c:v>18.147345727887991</c:v>
                </c:pt>
                <c:pt idx="84">
                  <c:v>17.93856750466318</c:v>
                </c:pt>
                <c:pt idx="85">
                  <c:v>17.730164111247984</c:v>
                </c:pt>
                <c:pt idx="86">
                  <c:v>17.52212042396625</c:v>
                </c:pt>
                <c:pt idx="87">
                  <c:v>17.314421858541738</c:v>
                </c:pt>
                <c:pt idx="88">
                  <c:v>17.107054357115267</c:v>
                </c:pt>
                <c:pt idx="89">
                  <c:v>16.900004375005516</c:v>
                </c:pt>
                <c:pt idx="90">
                  <c:v>16.693258867281642</c:v>
                </c:pt>
                <c:pt idx="91">
                  <c:v>16.486805275211289</c:v>
                </c:pt>
                <c:pt idx="92">
                  <c:v>16.280631512637914</c:v>
                </c:pt>
                <c:pt idx="93">
                  <c:v>16.074725952342661</c:v>
                </c:pt>
                <c:pt idx="94">
                  <c:v>15.869077412431647</c:v>
                </c:pt>
                <c:pt idx="95">
                  <c:v>15.663675142794579</c:v>
                </c:pt>
                <c:pt idx="96">
                  <c:v>15.458508811667681</c:v>
                </c:pt>
                <c:pt idx="97">
                  <c:v>15.253568492335884</c:v>
                </c:pt>
                <c:pt idx="98">
                  <c:v>15.048844650001422</c:v>
                </c:pt>
                <c:pt idx="99">
                  <c:v>14.844328128844753</c:v>
                </c:pt>
                <c:pt idx="100">
                  <c:v>14.640010139298701</c:v>
                </c:pt>
                <c:pt idx="101">
                  <c:v>14.43588224555622</c:v>
                </c:pt>
                <c:pt idx="102">
                  <c:v>14.231936353324951</c:v>
                </c:pt>
                <c:pt idx="103">
                  <c:v>14.028164697845382</c:v>
                </c:pt>
                <c:pt idx="104">
                  <c:v>13.824559832179986</c:v>
                </c:pt>
                <c:pt idx="105">
                  <c:v>13.621114615785903</c:v>
                </c:pt>
                <c:pt idx="106">
                  <c:v>13.417822203375124</c:v>
                </c:pt>
                <c:pt idx="107">
                  <c:v>13.214676034069647</c:v>
                </c:pt>
                <c:pt idx="108">
                  <c:v>13.011669820853509</c:v>
                </c:pt>
                <c:pt idx="109">
                  <c:v>12.808797540325852</c:v>
                </c:pt>
                <c:pt idx="110">
                  <c:v>12.606053422754401</c:v>
                </c:pt>
                <c:pt idx="111">
                  <c:v>12.403431942430181</c:v>
                </c:pt>
                <c:pt idx="112">
                  <c:v>12.200927808322309</c:v>
                </c:pt>
                <c:pt idx="113">
                  <c:v>11.998535955030299</c:v>
                </c:pt>
                <c:pt idx="114">
                  <c:v>11.796251534031901</c:v>
                </c:pt>
                <c:pt idx="115">
                  <c:v>11.594069905222486</c:v>
                </c:pt>
                <c:pt idx="116">
                  <c:v>11.391986628742304</c:v>
                </c:pt>
                <c:pt idx="117">
                  <c:v>11.189997457086744</c:v>
                </c:pt>
                <c:pt idx="118">
                  <c:v>10.988098327494971</c:v>
                </c:pt>
                <c:pt idx="119">
                  <c:v>10.786285354611209</c:v>
                </c:pt>
                <c:pt idx="120">
                  <c:v>10.584554823413905</c:v>
                </c:pt>
                <c:pt idx="121">
                  <c:v>10.382903182405467</c:v>
                </c:pt>
                <c:pt idx="122">
                  <c:v>10.181327037058152</c:v>
                </c:pt>
                <c:pt idx="123">
                  <c:v>9.9798231435084954</c:v>
                </c:pt>
                <c:pt idx="124">
                  <c:v>9.7783884024952243</c:v>
                </c:pt>
                <c:pt idx="125">
                  <c:v>9.5770198535328888</c:v>
                </c:pt>
                <c:pt idx="126">
                  <c:v>9.3757146693160553</c:v>
                </c:pt>
                <c:pt idx="127">
                  <c:v>9.1744701503472079</c:v>
                </c:pt>
                <c:pt idx="128">
                  <c:v>8.973283719781703</c:v>
                </c:pt>
                <c:pt idx="129">
                  <c:v>8.7721529184829539</c:v>
                </c:pt>
                <c:pt idx="130">
                  <c:v>8.5710754002835579</c:v>
                </c:pt>
                <c:pt idx="131">
                  <c:v>8.37004892744363</c:v>
                </c:pt>
                <c:pt idx="132">
                  <c:v>8.1690713663018002</c:v>
                </c:pt>
                <c:pt idx="133">
                  <c:v>7.9681406831127362</c:v>
                </c:pt>
                <c:pt idx="134">
                  <c:v>7.7672549400639586</c:v>
                </c:pt>
                <c:pt idx="135">
                  <c:v>7.5664122914687564</c:v>
                </c:pt>
                <c:pt idx="136">
                  <c:v>7.3656109801266858</c:v>
                </c:pt>
                <c:pt idx="137">
                  <c:v>7.1648493338485686</c:v>
                </c:pt>
                <c:pt idx="138">
                  <c:v>6.9641257621391901</c:v>
                </c:pt>
                <c:pt idx="139">
                  <c:v>6.7634387530330802</c:v>
                </c:pt>
                <c:pt idx="140">
                  <c:v>6.5627868700783019</c:v>
                </c:pt>
                <c:pt idx="141">
                  <c:v>6.3621687494636694</c:v>
                </c:pt>
                <c:pt idx="142">
                  <c:v>6.161583097284467</c:v>
                </c:pt>
                <c:pt idx="143">
                  <c:v>5.9610286869421083</c:v>
                </c:pt>
                <c:pt idx="144">
                  <c:v>5.7605043566733949</c:v>
                </c:pt>
                <c:pt idx="145">
                  <c:v>5.5600090072058217</c:v>
                </c:pt>
                <c:pt idx="146">
                  <c:v>5.3595415995338556</c:v>
                </c:pt>
                <c:pt idx="147">
                  <c:v>5.1591011528135873</c:v>
                </c:pt>
                <c:pt idx="148">
                  <c:v>4.9586867423710252</c:v>
                </c:pt>
                <c:pt idx="149">
                  <c:v>4.7582974978212969</c:v>
                </c:pt>
                <c:pt idx="150">
                  <c:v>4.5579326012949259</c:v>
                </c:pt>
                <c:pt idx="151">
                  <c:v>4.3575912857684242</c:v>
                </c:pt>
                <c:pt idx="152">
                  <c:v>4.1572728334961866</c:v>
                </c:pt>
                <c:pt idx="153">
                  <c:v>3.9569765745400303</c:v>
                </c:pt>
                <c:pt idx="154">
                  <c:v>3.7567018853954623</c:v>
                </c:pt>
                <c:pt idx="155">
                  <c:v>3.5564481877098419</c:v>
                </c:pt>
                <c:pt idx="156">
                  <c:v>3.3562149470921261</c:v>
                </c:pt>
                <c:pt idx="157">
                  <c:v>3.1560016720106958</c:v>
                </c:pt>
                <c:pt idx="158">
                  <c:v>2.9558079127781705</c:v>
                </c:pt>
                <c:pt idx="159">
                  <c:v>2.7556332606192906</c:v>
                </c:pt>
                <c:pt idx="160">
                  <c:v>2.5554773468239835</c:v>
                </c:pt>
                <c:pt idx="161">
                  <c:v>2.3553398419787728</c:v>
                </c:pt>
                <c:pt idx="162">
                  <c:v>2.1552204552796592</c:v>
                </c:pt>
                <c:pt idx="163">
                  <c:v>1.9551189339224191</c:v>
                </c:pt>
                <c:pt idx="164">
                  <c:v>1.7550350625701068</c:v>
                </c:pt>
                <c:pt idx="165">
                  <c:v>1.5549686628961172</c:v>
                </c:pt>
                <c:pt idx="166">
                  <c:v>1.3549195932028004</c:v>
                </c:pt>
                <c:pt idx="167">
                  <c:v>1.154887748113371</c:v>
                </c:pt>
                <c:pt idx="168">
                  <c:v>0.95487305833753933</c:v>
                </c:pt>
                <c:pt idx="169">
                  <c:v>0.75487549051033487</c:v>
                </c:pt>
                <c:pt idx="170">
                  <c:v>0.55489504710199533</c:v>
                </c:pt>
                <c:pt idx="171">
                  <c:v>0.35493176640144075</c:v>
                </c:pt>
                <c:pt idx="172">
                  <c:v>0.1549857225701024</c:v>
                </c:pt>
                <c:pt idx="173">
                  <c:v>-4.4942974231850515E-2</c:v>
                </c:pt>
                <c:pt idx="174">
                  <c:v>-0.24485417764783829</c:v>
                </c:pt>
                <c:pt idx="175">
                  <c:v>-0.44474770485564064</c:v>
                </c:pt>
                <c:pt idx="176">
                  <c:v>-0.64462333622578594</c:v>
                </c:pt>
                <c:pt idx="177">
                  <c:v>-0.84448081490831095</c:v>
                </c:pt>
                <c:pt idx="178">
                  <c:v>-1.0443198463456884</c:v>
                </c:pt>
                <c:pt idx="179">
                  <c:v>-1.2441400977132411</c:v>
                </c:pt>
                <c:pt idx="180">
                  <c:v>-1.4439411972855352</c:v>
                </c:pt>
                <c:pt idx="181">
                  <c:v>-1.6437227337280738</c:v>
                </c:pt>
                <c:pt idx="182">
                  <c:v>-1.84348425531238</c:v>
                </c:pt>
                <c:pt idx="183">
                  <c:v>-2.0432252690565371</c:v>
                </c:pt>
                <c:pt idx="184">
                  <c:v>-2.2429452397862102</c:v>
                </c:pt>
                <c:pt idx="185">
                  <c:v>-2.4426435891184415</c:v>
                </c:pt>
                <c:pt idx="186">
                  <c:v>-2.6423196943652965</c:v>
                </c:pt>
                <c:pt idx="187">
                  <c:v>-2.841972887355543</c:v>
                </c:pt>
                <c:pt idx="188">
                  <c:v>-3.0416024531754826</c:v>
                </c:pt>
                <c:pt idx="189">
                  <c:v>-3.2412076288245686</c:v>
                </c:pt>
                <c:pt idx="190">
                  <c:v>-3.4407876017869272</c:v>
                </c:pt>
                <c:pt idx="191">
                  <c:v>-3.6403415085149997</c:v>
                </c:pt>
                <c:pt idx="192">
                  <c:v>-3.8398684328261927</c:v>
                </c:pt>
                <c:pt idx="193">
                  <c:v>-4.0393674042086296</c:v>
                </c:pt>
                <c:pt idx="194">
                  <c:v>-4.2388373960362706</c:v>
                </c:pt>
                <c:pt idx="195">
                  <c:v>-4.4382773236906328</c:v>
                </c:pt>
                <c:pt idx="196">
                  <c:v>-4.6376860425879283</c:v>
                </c:pt>
                <c:pt idx="197">
                  <c:v>-4.8370623461105877</c:v>
                </c:pt>
                <c:pt idx="198">
                  <c:v>-5.0364049634405763</c:v>
                </c:pt>
                <c:pt idx="199">
                  <c:v>-5.2357125572942751</c:v>
                </c:pt>
                <c:pt idx="200">
                  <c:v>-5.4349837215558372</c:v>
                </c:pt>
                <c:pt idx="201">
                  <c:v>-5.6342169788102057</c:v>
                </c:pt>
                <c:pt idx="202">
                  <c:v>-5.8334107777722277</c:v>
                </c:pt>
                <c:pt idx="203">
                  <c:v>-6.0325634906117278</c:v>
                </c:pt>
                <c:pt idx="204">
                  <c:v>-6.2316734101748938</c:v>
                </c:pt>
                <c:pt idx="205">
                  <c:v>-6.4307387470987045</c:v>
                </c:pt>
                <c:pt idx="206">
                  <c:v>-6.6297576268210747</c:v>
                </c:pt>
                <c:pt idx="207">
                  <c:v>-6.8287280864840465</c:v>
                </c:pt>
                <c:pt idx="208">
                  <c:v>-7.0276480717317522</c:v>
                </c:pt>
                <c:pt idx="209">
                  <c:v>-7.2265154334032999</c:v>
                </c:pt>
                <c:pt idx="210">
                  <c:v>-7.425327924121305</c:v>
                </c:pt>
                <c:pt idx="211">
                  <c:v>-7.6240831947782395</c:v>
                </c:pt>
                <c:pt idx="212">
                  <c:v>-7.8227787909217792</c:v>
                </c:pt>
                <c:pt idx="213">
                  <c:v>-8.0214121490430905</c:v>
                </c:pt>
                <c:pt idx="214">
                  <c:v>-8.219980592768982</c:v>
                </c:pt>
                <c:pt idx="215">
                  <c:v>-8.4184813289652194</c:v>
                </c:pt>
                <c:pt idx="216">
                  <c:v>-8.6169114437527359</c:v>
                </c:pt>
                <c:pt idx="217">
                  <c:v>-8.8152678984447981</c:v>
                </c:pt>
                <c:pt idx="218">
                  <c:v>-9.0135475254106385</c:v>
                </c:pt>
                <c:pt idx="219">
                  <c:v>-9.2117470238738992</c:v>
                </c:pt>
                <c:pt idx="220">
                  <c:v>-9.4098629556551519</c:v>
                </c:pt>
                <c:pt idx="221">
                  <c:v>-9.607891740868526</c:v>
                </c:pt>
                <c:pt idx="222">
                  <c:v>-9.8058296535852048</c:v>
                </c:pt>
                <c:pt idx="223">
                  <c:v>-10.003672817475646</c:v>
                </c:pt>
                <c:pt idx="224">
                  <c:v>-10.201417201448466</c:v>
                </c:pt>
                <c:pt idx="225">
                  <c:v>-10.399058615299621</c:v>
                </c:pt>
                <c:pt idx="226">
                  <c:v>-10.596592705395231</c:v>
                </c:pt>
                <c:pt idx="227">
                  <c:v>-10.794014950404868</c:v>
                </c:pt>
                <c:pt idx="228">
                  <c:v>-10.991320657113008</c:v>
                </c:pt>
                <c:pt idx="229">
                  <c:v>-11.188504956332787</c:v>
                </c:pt>
                <c:pt idx="230">
                  <c:v>-11.385562798951206</c:v>
                </c:pt>
                <c:pt idx="231">
                  <c:v>-11.582488952139267</c:v>
                </c:pt>
                <c:pt idx="232">
                  <c:v>-11.779277995759799</c:v>
                </c:pt>
                <c:pt idx="233">
                  <c:v>-11.975924319013558</c:v>
                </c:pt>
                <c:pt idx="234">
                  <c:v>-12.1724221173651</c:v>
                </c:pt>
                <c:pt idx="235">
                  <c:v>-12.368765389792788</c:v>
                </c:pt>
                <c:pt idx="236">
                  <c:v>-12.564947936414582</c:v>
                </c:pt>
                <c:pt idx="237">
                  <c:v>-12.760963356542636</c:v>
                </c:pt>
                <c:pt idx="238">
                  <c:v>-12.956805047224208</c:v>
                </c:pt>
                <c:pt idx="239">
                  <c:v>-13.15246620233351</c:v>
                </c:pt>
                <c:pt idx="240">
                  <c:v>-13.347939812280353</c:v>
                </c:pt>
                <c:pt idx="241">
                  <c:v>-13.543218664408577</c:v>
                </c:pt>
                <c:pt idx="242">
                  <c:v>-13.738295344162058</c:v>
                </c:pt>
                <c:pt idx="243">
                  <c:v>-13.933162237100948</c:v>
                </c:pt>
                <c:pt idx="244">
                  <c:v>-14.127811531854855</c:v>
                </c:pt>
                <c:pt idx="245">
                  <c:v>-14.32223522410842</c:v>
                </c:pt>
                <c:pt idx="246">
                  <c:v>-14.516425121715166</c:v>
                </c:pt>
                <c:pt idx="247">
                  <c:v>-14.710372851045088</c:v>
                </c:pt>
                <c:pt idx="248">
                  <c:v>-14.904069864674664</c:v>
                </c:pt>
                <c:pt idx="249">
                  <c:v>-15.097507450531591</c:v>
                </c:pt>
                <c:pt idx="250">
                  <c:v>-15.290676742615538</c:v>
                </c:pt>
                <c:pt idx="251">
                  <c:v>-15.483568733414337</c:v>
                </c:pt>
                <c:pt idx="252">
                  <c:v>-15.676174288145502</c:v>
                </c:pt>
                <c:pt idx="253">
                  <c:v>-15.868484160951313</c:v>
                </c:pt>
                <c:pt idx="254">
                  <c:v>-16.060489013180938</c:v>
                </c:pt>
                <c:pt idx="255">
                  <c:v>-16.252179433894277</c:v>
                </c:pt>
                <c:pt idx="256">
                  <c:v>-16.443545962722602</c:v>
                </c:pt>
                <c:pt idx="257">
                  <c:v>-16.63457911522341</c:v>
                </c:pt>
                <c:pt idx="258">
                  <c:v>-16.825269410861136</c:v>
                </c:pt>
                <c:pt idx="259">
                  <c:v>-17.015607403746277</c:v>
                </c:pt>
                <c:pt idx="260">
                  <c:v>-17.205583716261554</c:v>
                </c:pt>
                <c:pt idx="261">
                  <c:v>-17.39518907569267</c:v>
                </c:pt>
                <c:pt idx="262">
                  <c:v>-17.584414353980257</c:v>
                </c:pt>
                <c:pt idx="263">
                  <c:v>-17.773250610692884</c:v>
                </c:pt>
                <c:pt idx="264">
                  <c:v>-17.961689139313911</c:v>
                </c:pt>
                <c:pt idx="265">
                  <c:v>-18.149721516915957</c:v>
                </c:pt>
                <c:pt idx="266">
                  <c:v>-18.337339657283575</c:v>
                </c:pt>
                <c:pt idx="267">
                  <c:v>-18.524535867520193</c:v>
                </c:pt>
                <c:pt idx="268">
                  <c:v>-18.711302908156693</c:v>
                </c:pt>
                <c:pt idx="269">
                  <c:v>-18.897634056751492</c:v>
                </c:pt>
                <c:pt idx="270">
                  <c:v>-19.083523174943146</c:v>
                </c:pt>
                <c:pt idx="271">
                  <c:v>-19.268964778886456</c:v>
                </c:pt>
                <c:pt idx="272">
                  <c:v>-19.453954112968599</c:v>
                </c:pt>
                <c:pt idx="273">
                  <c:v>-19.638487226665276</c:v>
                </c:pt>
                <c:pt idx="274">
                  <c:v>-19.822561054356566</c:v>
                </c:pt>
                <c:pt idx="275">
                  <c:v>-20.006173497885129</c:v>
                </c:pt>
                <c:pt idx="276">
                  <c:v>-20.189323511590224</c:v>
                </c:pt>
                <c:pt idx="277">
                  <c:v>-20.372011189512516</c:v>
                </c:pt>
                <c:pt idx="278">
                  <c:v>-20.554237854416687</c:v>
                </c:pt>
                <c:pt idx="279">
                  <c:v>-20.736006148234107</c:v>
                </c:pt>
                <c:pt idx="280">
                  <c:v>-20.917320123482476</c:v>
                </c:pt>
                <c:pt idx="281">
                  <c:v>-21.098185335177149</c:v>
                </c:pt>
                <c:pt idx="282">
                  <c:v>-21.278608932706415</c:v>
                </c:pt>
                <c:pt idx="283">
                  <c:v>-21.458599751102501</c:v>
                </c:pt>
                <c:pt idx="284">
                  <c:v>-21.638168401110352</c:v>
                </c:pt>
                <c:pt idx="285">
                  <c:v>-21.817327357420456</c:v>
                </c:pt>
                <c:pt idx="286">
                  <c:v>-21.996091044411934</c:v>
                </c:pt>
                <c:pt idx="287">
                  <c:v>-22.174475918734036</c:v>
                </c:pt>
                <c:pt idx="288">
                  <c:v>-22.352500548043935</c:v>
                </c:pt>
                <c:pt idx="289">
                  <c:v>-22.5301856852203</c:v>
                </c:pt>
                <c:pt idx="290">
                  <c:v>-22.707554337378092</c:v>
                </c:pt>
                <c:pt idx="291">
                  <c:v>-22.884631829032422</c:v>
                </c:pt>
                <c:pt idx="292">
                  <c:v>-23.06144585878728</c:v>
                </c:pt>
                <c:pt idx="293">
                  <c:v>-23.238026548967067</c:v>
                </c:pt>
                <c:pt idx="294">
                  <c:v>-23.414406487661346</c:v>
                </c:pt>
                <c:pt idx="295">
                  <c:v>-23.590620762716846</c:v>
                </c:pt>
                <c:pt idx="296">
                  <c:v>-23.766706987286931</c:v>
                </c:pt>
                <c:pt idx="297">
                  <c:v>-23.942705316631553</c:v>
                </c:pt>
                <c:pt idx="298">
                  <c:v>-24.118658455960347</c:v>
                </c:pt>
                <c:pt idx="299">
                  <c:v>-24.29461165920991</c:v>
                </c:pt>
                <c:pt idx="300">
                  <c:v>-24.470612718761664</c:v>
                </c:pt>
                <c:pt idx="301">
                  <c:v>-24.646711946221075</c:v>
                </c:pt>
                <c:pt idx="302">
                  <c:v>-24.822962144499922</c:v>
                </c:pt>
                <c:pt idx="303">
                  <c:v>-24.999418571565378</c:v>
                </c:pt>
                <c:pt idx="304">
                  <c:v>-25.17613889634163</c:v>
                </c:pt>
                <c:pt idx="305">
                  <c:v>-25.353183147367886</c:v>
                </c:pt>
                <c:pt idx="306">
                  <c:v>-25.530613654931891</c:v>
                </c:pt>
                <c:pt idx="307">
                  <c:v>-25.708494987500721</c:v>
                </c:pt>
                <c:pt idx="308">
                  <c:v>-25.886893883371872</c:v>
                </c:pt>
                <c:pt idx="309">
                  <c:v>-26.065879178545302</c:v>
                </c:pt>
                <c:pt idx="310">
                  <c:v>-26.245521731891372</c:v>
                </c:pt>
                <c:pt idx="311">
                  <c:v>-26.425894348738094</c:v>
                </c:pt>
                <c:pt idx="312">
                  <c:v>-26.607071704038518</c:v>
                </c:pt>
                <c:pt idx="313">
                  <c:v>-26.789130266291188</c:v>
                </c:pt>
                <c:pt idx="314">
                  <c:v>-26.972148223381886</c:v>
                </c:pt>
                <c:pt idx="315">
                  <c:v>-27.156205411486198</c:v>
                </c:pt>
                <c:pt idx="316">
                  <c:v>-27.341383248121552</c:v>
                </c:pt>
                <c:pt idx="317">
                  <c:v>-27.527764670366039</c:v>
                </c:pt>
                <c:pt idx="318">
                  <c:v>-27.71543407916591</c:v>
                </c:pt>
                <c:pt idx="319">
                  <c:v>-27.904477290537951</c:v>
                </c:pt>
                <c:pt idx="320">
                  <c:v>-28.094981494336789</c:v>
                </c:pt>
                <c:pt idx="321">
                  <c:v>-28.28703522109975</c:v>
                </c:pt>
                <c:pt idx="322">
                  <c:v>-28.480728317312675</c:v>
                </c:pt>
                <c:pt idx="323">
                  <c:v>-28.676151929244988</c:v>
                </c:pt>
                <c:pt idx="324">
                  <c:v>-28.873398495303732</c:v>
                </c:pt>
                <c:pt idx="325">
                  <c:v>-29.072561746639693</c:v>
                </c:pt>
                <c:pt idx="326">
                  <c:v>-29.273736715512744</c:v>
                </c:pt>
                <c:pt idx="327">
                  <c:v>-29.477019750694652</c:v>
                </c:pt>
                <c:pt idx="328">
                  <c:v>-29.682508538948515</c:v>
                </c:pt>
                <c:pt idx="329">
                  <c:v>-29.890302131390889</c:v>
                </c:pt>
                <c:pt idx="330">
                  <c:v>-30.100500973299987</c:v>
                </c:pt>
                <c:pt idx="331">
                  <c:v>-30.313206935708152</c:v>
                </c:pt>
                <c:pt idx="332">
                  <c:v>-30.52852334688469</c:v>
                </c:pt>
                <c:pt idx="333">
                  <c:v>-30.746555021608785</c:v>
                </c:pt>
                <c:pt idx="334">
                  <c:v>-30.967408285923987</c:v>
                </c:pt>
                <c:pt idx="335">
                  <c:v>-31.191190994891222</c:v>
                </c:pt>
                <c:pt idx="336">
                  <c:v>-31.418012540693042</c:v>
                </c:pt>
                <c:pt idx="337">
                  <c:v>-31.64798384831052</c:v>
                </c:pt>
                <c:pt idx="338">
                  <c:v>-31.881217355894389</c:v>
                </c:pt>
                <c:pt idx="339">
                  <c:v>-32.117826976884565</c:v>
                </c:pt>
                <c:pt idx="340">
                  <c:v>-32.357928040911446</c:v>
                </c:pt>
                <c:pt idx="341">
                  <c:v>-32.601637210537703</c:v>
                </c:pt>
                <c:pt idx="342">
                  <c:v>-32.849072370975023</c:v>
                </c:pt>
                <c:pt idx="343">
                  <c:v>-33.100352490051769</c:v>
                </c:pt>
                <c:pt idx="344">
                  <c:v>-33.355597445904415</c:v>
                </c:pt>
                <c:pt idx="345">
                  <c:v>-33.614927820140736</c:v>
                </c:pt>
                <c:pt idx="346">
                  <c:v>-33.878464654563267</c:v>
                </c:pt>
                <c:pt idx="347">
                  <c:v>-34.146329169965519</c:v>
                </c:pt>
                <c:pt idx="348">
                  <c:v>-34.418642446007553</c:v>
                </c:pt>
                <c:pt idx="349">
                  <c:v>-34.695525061756591</c:v>
                </c:pt>
                <c:pt idx="350">
                  <c:v>-34.977096697122157</c:v>
                </c:pt>
                <c:pt idx="351">
                  <c:v>-35.263475696137021</c:v>
                </c:pt>
                <c:pt idx="352">
                  <c:v>-35.554778593809374</c:v>
                </c:pt>
                <c:pt idx="353">
                  <c:v>-35.851119609094305</c:v>
                </c:pt>
                <c:pt idx="354">
                  <c:v>-36.152610107393116</c:v>
                </c:pt>
                <c:pt idx="355">
                  <c:v>-36.459358036851619</c:v>
                </c:pt>
                <c:pt idx="356">
                  <c:v>-36.771467343595504</c:v>
                </c:pt>
                <c:pt idx="357">
                  <c:v>-37.089037371860726</c:v>
                </c:pt>
                <c:pt idx="358">
                  <c:v>-37.412162255749287</c:v>
                </c:pt>
                <c:pt idx="359">
                  <c:v>-37.740930310013844</c:v>
                </c:pt>
                <c:pt idx="360">
                  <c:v>-38.075423427838707</c:v>
                </c:pt>
                <c:pt idx="361">
                  <c:v>-38.415716494003398</c:v>
                </c:pt>
                <c:pt idx="362">
                  <c:v>-38.761876822065069</c:v>
                </c:pt>
                <c:pt idx="363">
                  <c:v>-39.113963624260755</c:v>
                </c:pt>
                <c:pt idx="364">
                  <c:v>-39.472027522690773</c:v>
                </c:pt>
                <c:pt idx="365">
                  <c:v>-39.83611010999207</c:v>
                </c:pt>
                <c:pt idx="366">
                  <c:v>-40.206243567149571</c:v>
                </c:pt>
                <c:pt idx="367">
                  <c:v>-40.582450345316985</c:v>
                </c:pt>
                <c:pt idx="368">
                  <c:v>-40.964742917563505</c:v>
                </c:pt>
                <c:pt idx="369">
                  <c:v>-41.353123605324107</c:v>
                </c:pt>
                <c:pt idx="370">
                  <c:v>-41.74758448306558</c:v>
                </c:pt>
                <c:pt idx="371">
                  <c:v>-42.14810736330422</c:v>
                </c:pt>
                <c:pt idx="372">
                  <c:v>-42.554663862675824</c:v>
                </c:pt>
                <c:pt idx="373">
                  <c:v>-42.967215548303919</c:v>
                </c:pt>
                <c:pt idx="374">
                  <c:v>-43.38571416228185</c:v>
                </c:pt>
                <c:pt idx="375">
                  <c:v>-43.810101920724989</c:v>
                </c:pt>
                <c:pt idx="376">
                  <c:v>-44.240311882594803</c:v>
                </c:pt>
                <c:pt idx="377">
                  <c:v>-44.676268382387867</c:v>
                </c:pt>
                <c:pt idx="378">
                  <c:v>-45.117887519844899</c:v>
                </c:pt>
                <c:pt idx="379">
                  <c:v>-45.56507769909053</c:v>
                </c:pt>
                <c:pt idx="380">
                  <c:v>-46.017740209073636</c:v>
                </c:pt>
                <c:pt idx="381">
                  <c:v>-46.475769836850056</c:v>
                </c:pt>
                <c:pt idx="382">
                  <c:v>-46.939055505128891</c:v>
                </c:pt>
                <c:pt idx="383">
                  <c:v>-47.407480925578909</c:v>
                </c:pt>
                <c:pt idx="384">
                  <c:v>-47.880925259648812</c:v>
                </c:pt>
                <c:pt idx="385">
                  <c:v>-48.359263779072599</c:v>
                </c:pt>
                <c:pt idx="386">
                  <c:v>-48.842368518782557</c:v>
                </c:pt>
                <c:pt idx="387">
                  <c:v>-49.330108915611596</c:v>
                </c:pt>
                <c:pt idx="388">
                  <c:v>-49.822352426906363</c:v>
                </c:pt>
                <c:pt idx="389">
                  <c:v>-50.318965123965285</c:v>
                </c:pt>
                <c:pt idx="390">
                  <c:v>-50.819812256028527</c:v>
                </c:pt>
                <c:pt idx="391">
                  <c:v>-51.324758781374989</c:v>
                </c:pt>
                <c:pt idx="392">
                  <c:v>-51.833669862874316</c:v>
                </c:pt>
                <c:pt idx="393">
                  <c:v>-52.346411326111912</c:v>
                </c:pt>
                <c:pt idx="394">
                  <c:v>-52.862850078918136</c:v>
                </c:pt>
                <c:pt idx="395">
                  <c:v>-53.382854491786105</c:v>
                </c:pt>
                <c:pt idx="396">
                  <c:v>-53.906294739244984</c:v>
                </c:pt>
                <c:pt idx="397">
                  <c:v>-54.433043102771521</c:v>
                </c:pt>
                <c:pt idx="398">
                  <c:v>-54.962974236254702</c:v>
                </c:pt>
                <c:pt idx="399">
                  <c:v>-55.495965395395494</c:v>
                </c:pt>
                <c:pt idx="400">
                  <c:v>-56.031896632713504</c:v>
                </c:pt>
                <c:pt idx="401">
                  <c:v>-56.570650960058941</c:v>
                </c:pt>
                <c:pt idx="402">
                  <c:v>-57.112114480690728</c:v>
                </c:pt>
                <c:pt idx="403">
                  <c:v>-57.656176493091287</c:v>
                </c:pt>
                <c:pt idx="404">
                  <c:v>-58.202729568745141</c:v>
                </c:pt>
                <c:pt idx="405">
                  <c:v>-58.75166960612453</c:v>
                </c:pt>
                <c:pt idx="406">
                  <c:v>-59.30289586310721</c:v>
                </c:pt>
                <c:pt idx="407">
                  <c:v>-59.856310969997693</c:v>
                </c:pt>
                <c:pt idx="408">
                  <c:v>-60.4118209252524</c:v>
                </c:pt>
                <c:pt idx="409">
                  <c:v>-60.969335075908901</c:v>
                </c:pt>
                <c:pt idx="410">
                  <c:v>-61.528766084622603</c:v>
                </c:pt>
                <c:pt idx="411">
                  <c:v>-62.09002988508292</c:v>
                </c:pt>
                <c:pt idx="412">
                  <c:v>-62.653045627470767</c:v>
                </c:pt>
                <c:pt idx="413">
                  <c:v>-63.217735615480784</c:v>
                </c:pt>
                <c:pt idx="414">
                  <c:v>-63.784025236313404</c:v>
                </c:pt>
                <c:pt idx="415">
                  <c:v>-64.351842884910809</c:v>
                </c:pt>
                <c:pt idx="416">
                  <c:v>-64.921119883591956</c:v>
                </c:pt>
                <c:pt idx="417">
                  <c:v>-65.49179039812357</c:v>
                </c:pt>
                <c:pt idx="418">
                  <c:v>-66.063791351151167</c:v>
                </c:pt>
                <c:pt idx="419">
                  <c:v>-66.637062333813134</c:v>
                </c:pt>
                <c:pt idx="420">
                  <c:v>-67.211545516260301</c:v>
                </c:pt>
                <c:pt idx="421">
                  <c:v>-67.787185557711169</c:v>
                </c:pt>
                <c:pt idx="422">
                  <c:v>-68.363929516593004</c:v>
                </c:pt>
                <c:pt idx="423">
                  <c:v>-68.941726761239806</c:v>
                </c:pt>
                <c:pt idx="424">
                  <c:v>-69.520528881550277</c:v>
                </c:pt>
                <c:pt idx="425">
                  <c:v>-70.10028960194343</c:v>
                </c:pt>
                <c:pt idx="426">
                  <c:v>-70.680964695897956</c:v>
                </c:pt>
                <c:pt idx="427">
                  <c:v>-71.262511902303601</c:v>
                </c:pt>
                <c:pt idx="428">
                  <c:v>-71.844890843813559</c:v>
                </c:pt>
                <c:pt idx="429">
                  <c:v>-72.428062947349844</c:v>
                </c:pt>
                <c:pt idx="430">
                  <c:v>-73.011991366864208</c:v>
                </c:pt>
                <c:pt idx="431">
                  <c:v>-73.596640908447299</c:v>
                </c:pt>
                <c:pt idx="432">
                  <c:v>-74.181977957832345</c:v>
                </c:pt>
                <c:pt idx="433">
                  <c:v>-74.767970410332978</c:v>
                </c:pt>
                <c:pt idx="434">
                  <c:v>-75.354587603220779</c:v>
                </c:pt>
                <c:pt idx="435">
                  <c:v>-75.941800250542087</c:v>
                </c:pt>
                <c:pt idx="436">
                  <c:v>-76.529580380354247</c:v>
                </c:pt>
                <c:pt idx="437">
                  <c:v>-77.117901274348469</c:v>
                </c:pt>
                <c:pt idx="438">
                  <c:v>-77.706737409821216</c:v>
                </c:pt>
                <c:pt idx="439">
                  <c:v>-78.296064403941457</c:v>
                </c:pt>
                <c:pt idx="440">
                  <c:v>-78.885858960261118</c:v>
                </c:pt>
                <c:pt idx="441">
                  <c:v>-79.476098817406211</c:v>
                </c:pt>
                <c:pt idx="442">
                  <c:v>-80.066762699882702</c:v>
                </c:pt>
                <c:pt idx="443">
                  <c:v>-80.657830270931299</c:v>
                </c:pt>
                <c:pt idx="444">
                  <c:v>-81.249282087358779</c:v>
                </c:pt>
                <c:pt idx="445">
                  <c:v>-81.84109955627612</c:v>
                </c:pt>
                <c:pt idx="446">
                  <c:v>-82.433264893669644</c:v>
                </c:pt>
                <c:pt idx="447">
                  <c:v>-83.025761084734739</c:v>
                </c:pt>
                <c:pt idx="448">
                  <c:v>-83.618571845897449</c:v>
                </c:pt>
                <c:pt idx="449">
                  <c:v>-84.211681588456344</c:v>
                </c:pt>
                <c:pt idx="450">
                  <c:v>-84.805075383770316</c:v>
                </c:pt>
                <c:pt idx="451">
                  <c:v>-85.398738929926239</c:v>
                </c:pt>
                <c:pt idx="452">
                  <c:v>-85.992658519817724</c:v>
                </c:pt>
                <c:pt idx="453">
                  <c:v>-86.586821010568897</c:v>
                </c:pt>
                <c:pt idx="454">
                  <c:v>-87.181213794239198</c:v>
                </c:pt>
                <c:pt idx="455">
                  <c:v>-87.775824769747572</c:v>
                </c:pt>
                <c:pt idx="456">
                  <c:v>-88.370642315952367</c:v>
                </c:pt>
                <c:pt idx="457">
                  <c:v>-88.965655265833846</c:v>
                </c:pt>
                <c:pt idx="458">
                  <c:v>-89.560852881716229</c:v>
                </c:pt>
                <c:pt idx="459">
                  <c:v>-90.156224831479733</c:v>
                </c:pt>
                <c:pt idx="460">
                  <c:v>-90.751761165706085</c:v>
                </c:pt>
                <c:pt idx="461">
                  <c:v>-91.34745229570828</c:v>
                </c:pt>
                <c:pt idx="462">
                  <c:v>-91.943288972394654</c:v>
                </c:pt>
                <c:pt idx="463">
                  <c:v>-92.53926226592003</c:v>
                </c:pt>
                <c:pt idx="464">
                  <c:v>-93.135363546078509</c:v>
                </c:pt>
                <c:pt idx="465">
                  <c:v>-93.731584463391883</c:v>
                </c:pt>
                <c:pt idx="466">
                  <c:v>-94.327916930855039</c:v>
                </c:pt>
                <c:pt idx="467">
                  <c:v>-94.924353106292543</c:v>
                </c:pt>
                <c:pt idx="468">
                  <c:v>-95.520885375291428</c:v>
                </c:pt>
                <c:pt idx="469">
                  <c:v>-96.117506334668576</c:v>
                </c:pt>
                <c:pt idx="470">
                  <c:v>-96.714208776438625</c:v>
                </c:pt>
                <c:pt idx="471">
                  <c:v>-97.310985672246147</c:v>
                </c:pt>
                <c:pt idx="472">
                  <c:v>-97.907830158225394</c:v>
                </c:pt>
                <c:pt idx="473">
                  <c:v>-98.504735520260297</c:v>
                </c:pt>
                <c:pt idx="474">
                  <c:v>-99.101695179606082</c:v>
                </c:pt>
                <c:pt idx="475">
                  <c:v>-99.698702678847226</c:v>
                </c:pt>
                <c:pt idx="476">
                  <c:v>-100.2957516681582</c:v>
                </c:pt>
                <c:pt idx="477">
                  <c:v>-100.89283589184021</c:v>
                </c:pt>
                <c:pt idx="478">
                  <c:v>-101.48994917510416</c:v>
                </c:pt>
                <c:pt idx="479">
                  <c:v>-102.0870854110744</c:v>
                </c:pt>
                <c:pt idx="480">
                  <c:v>-102.68423854798567</c:v>
                </c:pt>
                <c:pt idx="481">
                  <c:v>-103.28140257654761</c:v>
                </c:pt>
                <c:pt idx="482">
                  <c:v>-103.878571517453</c:v>
                </c:pt>
                <c:pt idx="483">
                  <c:v>-104.47573940900367</c:v>
                </c:pt>
                <c:pt idx="484">
                  <c:v>-105.07290029483231</c:v>
                </c:pt>
                <c:pt idx="485">
                  <c:v>-105.67004821169677</c:v>
                </c:pt>
                <c:pt idx="486">
                  <c:v>-106.26717717732245</c:v>
                </c:pt>
                <c:pt idx="487">
                  <c:v>-106.8642811782759</c:v>
                </c:pt>
                <c:pt idx="488">
                  <c:v>-107.46135415784178</c:v>
                </c:pt>
                <c:pt idx="489">
                  <c:v>-108.05839000388912</c:v>
                </c:pt>
                <c:pt idx="490">
                  <c:v>-108.65538253670221</c:v>
                </c:pt>
                <c:pt idx="491">
                  <c:v>-109.2523254967592</c:v>
                </c:pt>
                <c:pt idx="492">
                  <c:v>-109.84921253243805</c:v>
                </c:pt>
                <c:pt idx="493">
                  <c:v>-110.44603718763233</c:v>
                </c:pt>
                <c:pt idx="494">
                  <c:v>-111.0427928892593</c:v>
                </c:pt>
                <c:pt idx="495">
                  <c:v>-111.6394729346416</c:v>
                </c:pt>
                <c:pt idx="496">
                  <c:v>-112.2360704787489</c:v>
                </c:pt>
                <c:pt idx="497">
                  <c:v>-112.83257852128017</c:v>
                </c:pt>
                <c:pt idx="498">
                  <c:v>-113.42898989357482</c:v>
                </c:pt>
                <c:pt idx="499">
                  <c:v>-114.02529724533601</c:v>
                </c:pt>
                <c:pt idx="500">
                  <c:v>-114.62149303115412</c:v>
                </c:pt>
                <c:pt idx="501">
                  <c:v>-115.21756949681674</c:v>
                </c:pt>
                <c:pt idx="502">
                  <c:v>-115.81351866539462</c:v>
                </c:pt>
                <c:pt idx="503">
                  <c:v>-116.40933232309192</c:v>
                </c:pt>
                <c:pt idx="504">
                  <c:v>-117.00500200485237</c:v>
                </c:pt>
                <c:pt idx="505">
                  <c:v>-117.60051897971265</c:v>
                </c:pt>
                <c:pt idx="506">
                  <c:v>-118.19587423589611</c:v>
                </c:pt>
                <c:pt idx="507">
                  <c:v>-118.79105846564151</c:v>
                </c:pt>
                <c:pt idx="508">
                  <c:v>-119.38606204976445</c:v>
                </c:pt>
                <c:pt idx="509">
                  <c:v>-119.98087504194736</c:v>
                </c:pt>
                <c:pt idx="510">
                  <c:v>-120.5754871527602</c:v>
                </c:pt>
                <c:pt idx="511">
                  <c:v>-121.16988773341247</c:v>
                </c:pt>
                <c:pt idx="512">
                  <c:v>-121.76406575924312</c:v>
                </c:pt>
                <c:pt idx="513">
                  <c:v>-122.35800981295324</c:v>
                </c:pt>
                <c:pt idx="514">
                  <c:v>-122.95170806759285</c:v>
                </c:pt>
                <c:pt idx="515">
                  <c:v>-123.5451482693141</c:v>
                </c:pt>
                <c:pt idx="516">
                  <c:v>-124.13831771990688</c:v>
                </c:pt>
                <c:pt idx="517">
                  <c:v>-124.73120325913672</c:v>
                </c:pt>
                <c:pt idx="518">
                  <c:v>-125.32379124690821</c:v>
                </c:pt>
                <c:pt idx="519">
                  <c:v>-125.91606754528075</c:v>
                </c:pt>
                <c:pt idx="520">
                  <c:v>-126.50801750036912</c:v>
                </c:pt>
                <c:pt idx="521">
                  <c:v>-127.09962592416515</c:v>
                </c:pt>
                <c:pt idx="522">
                  <c:v>-127.69087707632139</c:v>
                </c:pt>
                <c:pt idx="523">
                  <c:v>-128.2817546459431</c:v>
                </c:pt>
                <c:pt idx="524">
                  <c:v>-128.87224173344319</c:v>
                </c:pt>
                <c:pt idx="525">
                  <c:v>-129.4623208325151</c:v>
                </c:pt>
                <c:pt idx="526">
                  <c:v>-130.05197381229036</c:v>
                </c:pt>
                <c:pt idx="527">
                  <c:v>-130.64118189975238</c:v>
                </c:pt>
                <c:pt idx="528">
                  <c:v>-131.22992566248161</c:v>
                </c:pt>
                <c:pt idx="529">
                  <c:v>-131.81818499182418</c:v>
                </c:pt>
                <c:pt idx="530">
                  <c:v>-132.40593908656771</c:v>
                </c:pt>
                <c:pt idx="531">
                  <c:v>-132.99316643723452</c:v>
                </c:pt>
                <c:pt idx="532">
                  <c:v>-133.57984481109315</c:v>
                </c:pt>
                <c:pt idx="533">
                  <c:v>-134.16595123801352</c:v>
                </c:pt>
                <c:pt idx="534">
                  <c:v>-134.7514619972834</c:v>
                </c:pt>
                <c:pt idx="535">
                  <c:v>-135.336352605526</c:v>
                </c:pt>
                <c:pt idx="536">
                  <c:v>-135.92059780585853</c:v>
                </c:pt>
                <c:pt idx="537">
                  <c:v>-136.50417155844377</c:v>
                </c:pt>
                <c:pt idx="538">
                  <c:v>-137.08704703259417</c:v>
                </c:pt>
                <c:pt idx="539">
                  <c:v>-137.66919660059531</c:v>
                </c:pt>
                <c:pt idx="540">
                  <c:v>-138.25059183342316</c:v>
                </c:pt>
                <c:pt idx="541">
                  <c:v>-138.8312034985409</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59.087749426331733</c:v>
                </c:pt>
                <c:pt idx="1">
                  <c:v>59.165551208013184</c:v>
                </c:pt>
                <c:pt idx="2">
                  <c:v>59.256188453662418</c:v>
                </c:pt>
                <c:pt idx="3">
                  <c:v>59.359493486789063</c:v>
                </c:pt>
                <c:pt idx="4">
                  <c:v>59.475276676944077</c:v>
                </c:pt>
                <c:pt idx="5">
                  <c:v>59.603327073571592</c:v>
                </c:pt>
                <c:pt idx="6">
                  <c:v>59.743413111201079</c:v>
                </c:pt>
                <c:pt idx="7">
                  <c:v>59.895283383262836</c:v>
                </c:pt>
                <c:pt idx="8">
                  <c:v>60.058667481437432</c:v>
                </c:pt>
                <c:pt idx="9">
                  <c:v>60.233276897099564</c:v>
                </c:pt>
                <c:pt idx="10">
                  <c:v>60.418805981028797</c:v>
                </c:pt>
                <c:pt idx="11">
                  <c:v>60.614932957202072</c:v>
                </c:pt>
                <c:pt idx="12">
                  <c:v>60.821320986109349</c:v>
                </c:pt>
                <c:pt idx="13">
                  <c:v>61.037619272692417</c:v>
                </c:pt>
                <c:pt idx="14">
                  <c:v>61.263464213661713</c:v>
                </c:pt>
                <c:pt idx="15">
                  <c:v>61.498480578654039</c:v>
                </c:pt>
                <c:pt idx="16">
                  <c:v>61.742282719404017</c:v>
                </c:pt>
                <c:pt idx="17">
                  <c:v>61.994475800881908</c:v>
                </c:pt>
                <c:pt idx="18">
                  <c:v>62.254657048141169</c:v>
                </c:pt>
                <c:pt idx="19">
                  <c:v>62.522417002499871</c:v>
                </c:pt>
                <c:pt idx="20">
                  <c:v>62.797340780571211</c:v>
                </c:pt>
                <c:pt idx="21">
                  <c:v>63.079009329649843</c:v>
                </c:pt>
                <c:pt idx="22">
                  <c:v>63.367000672983373</c:v>
                </c:pt>
                <c:pt idx="23">
                  <c:v>63.660891138560032</c:v>
                </c:pt>
                <c:pt idx="24">
                  <c:v>63.960256565201483</c:v>
                </c:pt>
                <c:pt idx="25">
                  <c:v>64.264673479971847</c:v>
                </c:pt>
                <c:pt idx="26">
                  <c:v>64.573720241194394</c:v>
                </c:pt>
                <c:pt idx="27">
                  <c:v>64.886978141706777</c:v>
                </c:pt>
                <c:pt idx="28">
                  <c:v>65.204032467371604</c:v>
                </c:pt>
                <c:pt idx="29">
                  <c:v>65.524473506295351</c:v>
                </c:pt>
                <c:pt idx="30">
                  <c:v>65.847897504683687</c:v>
                </c:pt>
                <c:pt idx="31">
                  <c:v>66.173907565764793</c:v>
                </c:pt>
                <c:pt idx="32">
                  <c:v>66.502114488744155</c:v>
                </c:pt>
                <c:pt idx="33">
                  <c:v>66.83213754530729</c:v>
                </c:pt>
                <c:pt idx="34">
                  <c:v>67.163605191732771</c:v>
                </c:pt>
                <c:pt idx="35">
                  <c:v>67.496155715245678</c:v>
                </c:pt>
                <c:pt idx="36">
                  <c:v>67.829437813788402</c:v>
                </c:pt>
                <c:pt idx="37">
                  <c:v>68.163111108920461</c:v>
                </c:pt>
                <c:pt idx="38">
                  <c:v>68.496846592077929</c:v>
                </c:pt>
                <c:pt idx="39">
                  <c:v>68.830327004914224</c:v>
                </c:pt>
                <c:pt idx="40">
                  <c:v>69.163247154895927</c:v>
                </c:pt>
                <c:pt idx="41">
                  <c:v>69.495314167757584</c:v>
                </c:pt>
                <c:pt idx="42">
                  <c:v>69.826247678792797</c:v>
                </c:pt>
                <c:pt idx="43">
                  <c:v>70.155779965307275</c:v>
                </c:pt>
                <c:pt idx="44">
                  <c:v>70.48365602285034</c:v>
                </c:pt>
                <c:pt idx="45">
                  <c:v>70.809633588093902</c:v>
                </c:pt>
                <c:pt idx="46">
                  <c:v>71.13348311143946</c:v>
                </c:pt>
                <c:pt idx="47">
                  <c:v>71.454987682588396</c:v>
                </c:pt>
                <c:pt idx="48">
                  <c:v>71.773942912437988</c:v>
                </c:pt>
                <c:pt idx="49">
                  <c:v>72.090156774741828</c:v>
                </c:pt>
                <c:pt idx="50">
                  <c:v>72.403449411013881</c:v>
                </c:pt>
                <c:pt idx="51">
                  <c:v>72.713652902159396</c:v>
                </c:pt>
                <c:pt idx="52">
                  <c:v>73.020611010289855</c:v>
                </c:pt>
                <c:pt idx="53">
                  <c:v>73.324178894121886</c:v>
                </c:pt>
                <c:pt idx="54">
                  <c:v>73.624222801271628</c:v>
                </c:pt>
                <c:pt idx="55">
                  <c:v>73.920619740656562</c:v>
                </c:pt>
                <c:pt idx="56">
                  <c:v>74.213257138085055</c:v>
                </c:pt>
                <c:pt idx="57">
                  <c:v>74.502032477975078</c:v>
                </c:pt>
                <c:pt idx="58">
                  <c:v>74.786852933989124</c:v>
                </c:pt>
                <c:pt idx="59">
                  <c:v>75.067634991203676</c:v>
                </c:pt>
                <c:pt idx="60">
                  <c:v>75.344304062266218</c:v>
                </c:pt>
                <c:pt idx="61">
                  <c:v>75.616794099811472</c:v>
                </c:pt>
                <c:pt idx="62">
                  <c:v>75.885047207233143</c:v>
                </c:pt>
                <c:pt idx="63">
                  <c:v>76.149013249729308</c:v>
                </c:pt>
                <c:pt idx="64">
                  <c:v>76.408649467362224</c:v>
                </c:pt>
                <c:pt idx="65">
                  <c:v>76.663920091702877</c:v>
                </c:pt>
                <c:pt idx="66">
                  <c:v>76.914795967462112</c:v>
                </c:pt>
                <c:pt idx="67">
                  <c:v>77.161254180347981</c:v>
                </c:pt>
                <c:pt idx="68">
                  <c:v>77.403277692236003</c:v>
                </c:pt>
                <c:pt idx="69">
                  <c:v>77.640854984592309</c:v>
                </c:pt>
                <c:pt idx="70">
                  <c:v>77.873979710949484</c:v>
                </c:pt>
                <c:pt idx="71">
                  <c:v>78.102650359109091</c:v>
                </c:pt>
                <c:pt idx="72">
                  <c:v>78.326869923617977</c:v>
                </c:pt>
                <c:pt idx="73">
                  <c:v>78.546645588960928</c:v>
                </c:pt>
                <c:pt idx="74">
                  <c:v>78.76198842380245</c:v>
                </c:pt>
                <c:pt idx="75">
                  <c:v>78.972913086522368</c:v>
                </c:pt>
                <c:pt idx="76">
                  <c:v>79.179437542198585</c:v>
                </c:pt>
                <c:pt idx="77">
                  <c:v>79.381582791118319</c:v>
                </c:pt>
                <c:pt idx="78">
                  <c:v>79.579372608826347</c:v>
                </c:pt>
                <c:pt idx="79">
                  <c:v>79.772833297659332</c:v>
                </c:pt>
                <c:pt idx="80">
                  <c:v>79.961993449658962</c:v>
                </c:pt>
                <c:pt idx="81">
                  <c:v>80.146883720710562</c:v>
                </c:pt>
                <c:pt idx="82">
                  <c:v>80.327536615712361</c:v>
                </c:pt>
                <c:pt idx="83">
                  <c:v>80.503986284543942</c:v>
                </c:pt>
                <c:pt idx="84">
                  <c:v>80.676268328573585</c:v>
                </c:pt>
                <c:pt idx="85">
                  <c:v>80.844419617418666</c:v>
                </c:pt>
                <c:pt idx="86">
                  <c:v>81.008478115654412</c:v>
                </c:pt>
                <c:pt idx="87">
                  <c:v>81.168482719145459</c:v>
                </c:pt>
                <c:pt idx="88">
                  <c:v>81.324473100670076</c:v>
                </c:pt>
                <c:pt idx="89">
                  <c:v>81.476489564488688</c:v>
                </c:pt>
                <c:pt idx="90">
                  <c:v>81.624572909510249</c:v>
                </c:pt>
                <c:pt idx="91">
                  <c:v>81.768764300701349</c:v>
                </c:pt>
                <c:pt idx="92">
                  <c:v>81.909105148383517</c:v>
                </c:pt>
                <c:pt idx="93">
                  <c:v>82.045636995068378</c:v>
                </c:pt>
                <c:pt idx="94">
                  <c:v>82.178401409476393</c:v>
                </c:pt>
                <c:pt idx="95">
                  <c:v>82.307439887396725</c:v>
                </c:pt>
                <c:pt idx="96">
                  <c:v>82.432793759047001</c:v>
                </c:pt>
                <c:pt idx="97">
                  <c:v>82.554504102600475</c:v>
                </c:pt>
                <c:pt idx="98">
                  <c:v>82.672611663554633</c:v>
                </c:pt>
                <c:pt idx="99">
                  <c:v>82.787156779626642</c:v>
                </c:pt>
                <c:pt idx="100">
                  <c:v>82.898179310866752</c:v>
                </c:pt>
                <c:pt idx="101">
                  <c:v>83.005718574693574</c:v>
                </c:pt>
                <c:pt idx="102">
                  <c:v>83.109813285564101</c:v>
                </c:pt>
                <c:pt idx="103">
                  <c:v>83.210501499000131</c:v>
                </c:pt>
                <c:pt idx="104">
                  <c:v>83.307820559707579</c:v>
                </c:pt>
                <c:pt idx="105">
                  <c:v>83.401807053529737</c:v>
                </c:pt>
                <c:pt idx="106">
                  <c:v>83.492496762992303</c:v>
                </c:pt>
                <c:pt idx="107">
                  <c:v>83.579924626203876</c:v>
                </c:pt>
                <c:pt idx="108">
                  <c:v>83.664124698888173</c:v>
                </c:pt>
                <c:pt idx="109">
                  <c:v>83.745130119334021</c:v>
                </c:pt>
                <c:pt idx="110">
                  <c:v>83.822973076059768</c:v>
                </c:pt>
                <c:pt idx="111">
                  <c:v>83.897684777996858</c:v>
                </c:pt>
                <c:pt idx="112">
                  <c:v>83.969295427008873</c:v>
                </c:pt>
                <c:pt idx="113">
                  <c:v>84.037834192570301</c:v>
                </c:pt>
                <c:pt idx="114">
                  <c:v>84.103329188439062</c:v>
                </c:pt>
                <c:pt idx="115">
                  <c:v>84.165807451163914</c:v>
                </c:pt>
                <c:pt idx="116">
                  <c:v>84.225294920278316</c:v>
                </c:pt>
                <c:pt idx="117">
                  <c:v>84.28181642003932</c:v>
                </c:pt>
                <c:pt idx="118">
                  <c:v>84.335395642576358</c:v>
                </c:pt>
                <c:pt idx="119">
                  <c:v>84.386055132324799</c:v>
                </c:pt>
                <c:pt idx="120">
                  <c:v>84.433816271624138</c:v>
                </c:pt>
                <c:pt idx="121">
                  <c:v>84.478699267367844</c:v>
                </c:pt>
                <c:pt idx="122">
                  <c:v>84.520723138598939</c:v>
                </c:pt>
                <c:pt idx="123">
                  <c:v>84.559905704950069</c:v>
                </c:pt>
                <c:pt idx="124">
                  <c:v>84.596263575834698</c:v>
                </c:pt>
                <c:pt idx="125">
                  <c:v>84.629812140298228</c:v>
                </c:pt>
                <c:pt idx="126">
                  <c:v>84.660565557447839</c:v>
                </c:pt>
                <c:pt idx="127">
                  <c:v>84.688536747378819</c:v>
                </c:pt>
                <c:pt idx="128">
                  <c:v>84.713737382525338</c:v>
                </c:pt>
                <c:pt idx="129">
                  <c:v>84.736177879364377</c:v>
                </c:pt>
                <c:pt idx="130">
                  <c:v>84.755867390407104</c:v>
                </c:pt>
                <c:pt idx="131">
                  <c:v>84.772813796415676</c:v>
                </c:pt>
                <c:pt idx="132">
                  <c:v>84.787023698787081</c:v>
                </c:pt>
                <c:pt idx="133">
                  <c:v>84.798502412049132</c:v>
                </c:pt>
                <c:pt idx="134">
                  <c:v>84.807253956416574</c:v>
                </c:pt>
                <c:pt idx="135">
                  <c:v>84.813281050359421</c:v>
                </c:pt>
                <c:pt idx="136">
                  <c:v>84.816585103136973</c:v>
                </c:pt>
                <c:pt idx="137">
                  <c:v>84.817166207255241</c:v>
                </c:pt>
                <c:pt idx="138">
                  <c:v>84.815023130806438</c:v>
                </c:pt>
                <c:pt idx="139">
                  <c:v>84.810153309653415</c:v>
                </c:pt>
                <c:pt idx="140">
                  <c:v>84.802552839422233</c:v>
                </c:pt>
                <c:pt idx="141">
                  <c:v>84.792216467269753</c:v>
                </c:pt>
                <c:pt idx="142">
                  <c:v>84.779137583393862</c:v>
                </c:pt>
                <c:pt idx="143">
                  <c:v>84.763308212256945</c:v>
                </c:pt>
                <c:pt idx="144">
                  <c:v>84.744719003493771</c:v>
                </c:pt>
                <c:pt idx="145">
                  <c:v>84.723359222477441</c:v>
                </c:pt>
                <c:pt idx="146">
                  <c:v>84.699216740518239</c:v>
                </c:pt>
                <c:pt idx="147">
                  <c:v>84.672278024671357</c:v>
                </c:pt>
                <c:pt idx="148">
                  <c:v>84.642528127131825</c:v>
                </c:pt>
                <c:pt idx="149">
                  <c:v>84.609950674194579</c:v>
                </c:pt>
                <c:pt idx="150">
                  <c:v>84.574527854760319</c:v>
                </c:pt>
                <c:pt idx="151">
                  <c:v>84.536240408368286</c:v>
                </c:pt>
                <c:pt idx="152">
                  <c:v>84.495067612737799</c:v>
                </c:pt>
                <c:pt idx="153">
                  <c:v>84.450987270802045</c:v>
                </c:pt>
                <c:pt idx="154">
                  <c:v>84.4039756972183</c:v>
                </c:pt>
                <c:pt idx="155">
                  <c:v>84.354007704339324</c:v>
                </c:pt>
                <c:pt idx="156">
                  <c:v>84.301056587631777</c:v>
                </c:pt>
                <c:pt idx="157">
                  <c:v>84.245094110529081</c:v>
                </c:pt>
                <c:pt idx="158">
                  <c:v>84.186090488705076</c:v>
                </c:pt>
                <c:pt idx="159">
                  <c:v>84.124014373757575</c:v>
                </c:pt>
                <c:pt idx="160">
                  <c:v>84.058832836290861</c:v>
                </c:pt>
                <c:pt idx="161">
                  <c:v>83.990511348385837</c:v>
                </c:pt>
                <c:pt idx="162">
                  <c:v>83.919013765449535</c:v>
                </c:pt>
                <c:pt idx="163">
                  <c:v>83.844302307434518</c:v>
                </c:pt>
                <c:pt idx="164">
                  <c:v>83.766337539419993</c:v>
                </c:pt>
                <c:pt idx="165">
                  <c:v>83.685078351547531</c:v>
                </c:pt>
                <c:pt idx="166">
                  <c:v>83.600481938304142</c:v>
                </c:pt>
                <c:pt idx="167">
                  <c:v>83.51250377714787</c:v>
                </c:pt>
                <c:pt idx="168">
                  <c:v>83.421097606469246</c:v>
                </c:pt>
                <c:pt idx="169">
                  <c:v>83.326215402885822</c:v>
                </c:pt>
                <c:pt idx="170">
                  <c:v>83.227807357864251</c:v>
                </c:pt>
                <c:pt idx="171">
                  <c:v>83.125821853669692</c:v>
                </c:pt>
                <c:pt idx="172">
                  <c:v>83.0202054386383</c:v>
                </c:pt>
                <c:pt idx="173">
                  <c:v>82.910902801773204</c:v>
                </c:pt>
                <c:pt idx="174">
                  <c:v>82.797856746664095</c:v>
                </c:pt>
                <c:pt idx="175">
                  <c:v>82.681008164730983</c:v>
                </c:pt>
                <c:pt idx="176">
                  <c:v>82.560296007794918</c:v>
                </c:pt>
                <c:pt idx="177">
                  <c:v>82.435657259978541</c:v>
                </c:pt>
                <c:pt idx="178">
                  <c:v>82.307026908942078</c:v>
                </c:pt>
                <c:pt idx="179">
                  <c:v>82.174337916460075</c:v>
                </c:pt>
                <c:pt idx="180">
                  <c:v>82.03752118834656</c:v>
                </c:pt>
                <c:pt idx="181">
                  <c:v>81.896505543737803</c:v>
                </c:pt>
                <c:pt idx="182">
                  <c:v>81.751217683743988</c:v>
                </c:pt>
                <c:pt idx="183">
                  <c:v>81.601582159480699</c:v>
                </c:pt>
                <c:pt idx="184">
                  <c:v>81.447521339496646</c:v>
                </c:pt>
                <c:pt idx="185">
                  <c:v>81.288955376612847</c:v>
                </c:pt>
                <c:pt idx="186">
                  <c:v>81.125802174191591</c:v>
                </c:pt>
                <c:pt idx="187">
                  <c:v>80.957977351857863</c:v>
                </c:pt>
                <c:pt idx="188">
                  <c:v>80.785394210695017</c:v>
                </c:pt>
                <c:pt idx="189">
                  <c:v>80.607963697941514</c:v>
                </c:pt>
                <c:pt idx="190">
                  <c:v>80.42559437121858</c:v>
                </c:pt>
                <c:pt idx="191">
                  <c:v>80.238192362319467</c:v>
                </c:pt>
                <c:pt idx="192">
                  <c:v>80.045661340597718</c:v>
                </c:pt>
                <c:pt idx="193">
                  <c:v>79.847902475991333</c:v>
                </c:pt>
                <c:pt idx="194">
                  <c:v>79.644814401728041</c:v>
                </c:pt>
                <c:pt idx="195">
                  <c:v>79.436293176756578</c:v>
                </c:pt>
                <c:pt idx="196">
                  <c:v>79.222232247956413</c:v>
                </c:pt>
                <c:pt idx="197">
                  <c:v>79.00252241218098</c:v>
                </c:pt>
                <c:pt idx="198">
                  <c:v>78.777051778196324</c:v>
                </c:pt>
                <c:pt idx="199">
                  <c:v>78.545705728579577</c:v>
                </c:pt>
                <c:pt idx="200">
                  <c:v>78.308366881650059</c:v>
                </c:pt>
                <c:pt idx="201">
                  <c:v>78.06491505351029</c:v>
                </c:pt>
                <c:pt idx="202">
                  <c:v>77.81522722028015</c:v>
                </c:pt>
                <c:pt idx="203">
                  <c:v>77.559177480616398</c:v>
                </c:pt>
                <c:pt idx="204">
                  <c:v>77.296637018611989</c:v>
                </c:pt>
                <c:pt idx="205">
                  <c:v>77.027474067184855</c:v>
                </c:pt>
                <c:pt idx="206">
                  <c:v>76.751553872065458</c:v>
                </c:pt>
                <c:pt idx="207">
                  <c:v>76.468738656506332</c:v>
                </c:pt>
                <c:pt idx="208">
                  <c:v>76.178887586846187</c:v>
                </c:pt>
                <c:pt idx="209">
                  <c:v>75.881856739063622</c:v>
                </c:pt>
                <c:pt idx="210">
                  <c:v>75.577499066477273</c:v>
                </c:pt>
                <c:pt idx="211">
                  <c:v>75.265664368746883</c:v>
                </c:pt>
                <c:pt idx="212">
                  <c:v>74.946199262350731</c:v>
                </c:pt>
                <c:pt idx="213">
                  <c:v>74.618947152720722</c:v>
                </c:pt>
                <c:pt idx="214">
                  <c:v>74.283748208232495</c:v>
                </c:pt>
                <c:pt idx="215">
                  <c:v>73.940439336256347</c:v>
                </c:pt>
                <c:pt idx="216">
                  <c:v>73.588854161493416</c:v>
                </c:pt>
                <c:pt idx="217">
                  <c:v>73.228823006829657</c:v>
                </c:pt>
                <c:pt idx="218">
                  <c:v>72.860172876959581</c:v>
                </c:pt>
                <c:pt idx="219">
                  <c:v>72.482727445046351</c:v>
                </c:pt>
                <c:pt idx="220">
                  <c:v>72.096307042694804</c:v>
                </c:pt>
                <c:pt idx="221">
                  <c:v>71.700728653539173</c:v>
                </c:pt>
                <c:pt idx="222">
                  <c:v>71.295805910757394</c:v>
                </c:pt>
                <c:pt idx="223">
                  <c:v>70.881349098842904</c:v>
                </c:pt>
                <c:pt idx="224">
                  <c:v>70.457165159984967</c:v>
                </c:pt>
                <c:pt idx="225">
                  <c:v>70.023057705421692</c:v>
                </c:pt>
                <c:pt idx="226">
                  <c:v>69.578827032155814</c:v>
                </c:pt>
                <c:pt idx="227">
                  <c:v>69.124270145434139</c:v>
                </c:pt>
                <c:pt idx="228">
                  <c:v>68.659180787416915</c:v>
                </c:pt>
                <c:pt idx="229">
                  <c:v>68.183349472478753</c:v>
                </c:pt>
                <c:pt idx="230">
                  <c:v>67.696563529605214</c:v>
                </c:pt>
                <c:pt idx="231">
                  <c:v>67.198607152362953</c:v>
                </c:pt>
                <c:pt idx="232">
                  <c:v>66.689261456948671</c:v>
                </c:pt>
                <c:pt idx="233">
                  <c:v>66.168304548829894</c:v>
                </c:pt>
                <c:pt idx="234">
                  <c:v>65.635511598518306</c:v>
                </c:pt>
                <c:pt idx="235">
                  <c:v>65.090654927027032</c:v>
                </c:pt>
                <c:pt idx="236">
                  <c:v>64.533504101580192</c:v>
                </c:pt>
                <c:pt idx="237">
                  <c:v>63.963826042161323</c:v>
                </c:pt>
                <c:pt idx="238">
                  <c:v>63.381385139492942</c:v>
                </c:pt>
                <c:pt idx="239">
                  <c:v>62.785943385061117</c:v>
                </c:pt>
                <c:pt idx="240">
                  <c:v>62.177260513795801</c:v>
                </c:pt>
                <c:pt idx="241">
                  <c:v>61.555094160030464</c:v>
                </c:pt>
                <c:pt idx="242">
                  <c:v>60.919200027372817</c:v>
                </c:pt>
                <c:pt idx="243">
                  <c:v>60.269332073101964</c:v>
                </c:pt>
                <c:pt idx="244">
                  <c:v>59.605242707723313</c:v>
                </c:pt>
                <c:pt idx="245">
                  <c:v>58.926683010284478</c:v>
                </c:pt>
                <c:pt idx="246">
                  <c:v>58.23340296005825</c:v>
                </c:pt>
                <c:pt idx="247">
                  <c:v>57.525151685165909</c:v>
                </c:pt>
                <c:pt idx="248">
                  <c:v>56.801677728700447</c:v>
                </c:pt>
                <c:pt idx="249">
                  <c:v>56.06272933286855</c:v>
                </c:pt>
                <c:pt idx="250">
                  <c:v>55.308054741633171</c:v>
                </c:pt>
                <c:pt idx="251">
                  <c:v>54.537402522298606</c:v>
                </c:pt>
                <c:pt idx="252">
                  <c:v>53.75052190641177</c:v>
                </c:pt>
                <c:pt idx="253">
                  <c:v>52.947163150299531</c:v>
                </c:pt>
                <c:pt idx="254">
                  <c:v>52.12707791548425</c:v>
                </c:pt>
                <c:pt idx="255">
                  <c:v>51.290019669130508</c:v>
                </c:pt>
                <c:pt idx="256">
                  <c:v>50.43574410459469</c:v>
                </c:pt>
                <c:pt idx="257">
                  <c:v>49.564009582019388</c:v>
                </c:pt>
                <c:pt idx="258">
                  <c:v>48.674577588823482</c:v>
                </c:pt>
                <c:pt idx="259">
                  <c:v>47.76721321979295</c:v>
                </c:pt>
                <c:pt idx="260">
                  <c:v>46.84168567633116</c:v>
                </c:pt>
                <c:pt idx="261">
                  <c:v>45.897768784295963</c:v>
                </c:pt>
                <c:pt idx="262">
                  <c:v>44.935241529656899</c:v>
                </c:pt>
                <c:pt idx="263">
                  <c:v>43.953888611052989</c:v>
                </c:pt>
                <c:pt idx="264">
                  <c:v>42.953501008123695</c:v>
                </c:pt>
                <c:pt idx="265">
                  <c:v>41.933876564304875</c:v>
                </c:pt>
                <c:pt idx="266">
                  <c:v>40.894820582547936</c:v>
                </c:pt>
                <c:pt idx="267">
                  <c:v>39.836146432235054</c:v>
                </c:pt>
                <c:pt idx="268">
                  <c:v>38.757676165303636</c:v>
                </c:pt>
                <c:pt idx="269">
                  <c:v>37.659241139392343</c:v>
                </c:pt>
                <c:pt idx="270">
                  <c:v>36.540682645566967</c:v>
                </c:pt>
                <c:pt idx="271">
                  <c:v>35.401852537960998</c:v>
                </c:pt>
                <c:pt idx="272">
                  <c:v>34.242613862427874</c:v>
                </c:pt>
                <c:pt idx="273">
                  <c:v>33.062841481066791</c:v>
                </c:pt>
                <c:pt idx="274">
                  <c:v>31.862422689274442</c:v>
                </c:pt>
                <c:pt idx="275">
                  <c:v>30.641257821747566</c:v>
                </c:pt>
                <c:pt idx="276">
                  <c:v>29.399260843673677</c:v>
                </c:pt>
                <c:pt idx="277">
                  <c:v>28.136359923164886</c:v>
                </c:pt>
                <c:pt idx="278">
                  <c:v>26.85249798082577</c:v>
                </c:pt>
                <c:pt idx="279">
                  <c:v>25.547633212220212</c:v>
                </c:pt>
                <c:pt idx="280">
                  <c:v>24.221739578892585</c:v>
                </c:pt>
                <c:pt idx="281">
                  <c:v>22.874807263535576</c:v>
                </c:pt>
                <c:pt idx="282">
                  <c:v>21.506843084851493</c:v>
                </c:pt>
                <c:pt idx="283">
                  <c:v>20.117870867676476</c:v>
                </c:pt>
                <c:pt idx="284">
                  <c:v>18.707931763976553</c:v>
                </c:pt>
                <c:pt idx="285">
                  <c:v>17.277084520425497</c:v>
                </c:pt>
                <c:pt idx="286">
                  <c:v>15.825405688427887</c:v>
                </c:pt>
                <c:pt idx="287">
                  <c:v>14.352989772635258</c:v>
                </c:pt>
                <c:pt idx="288">
                  <c:v>12.859949314268835</c:v>
                </c:pt>
                <c:pt idx="289">
                  <c:v>11.346414905853059</c:v>
                </c:pt>
                <c:pt idx="290">
                  <c:v>9.8125351343219371</c:v>
                </c:pt>
                <c:pt idx="291">
                  <c:v>8.2584764498729477</c:v>
                </c:pt>
                <c:pt idx="292">
                  <c:v>6.684422958389872</c:v>
                </c:pt>
                <c:pt idx="293">
                  <c:v>5.0905761357672601</c:v>
                </c:pt>
                <c:pt idx="294">
                  <c:v>3.4771544630106588</c:v>
                </c:pt>
                <c:pt idx="295">
                  <c:v>1.8443929815837918</c:v>
                </c:pt>
                <c:pt idx="296">
                  <c:v>0.19254276908211185</c:v>
                </c:pt>
                <c:pt idx="297">
                  <c:v>-1.478129664017084</c:v>
                </c:pt>
                <c:pt idx="298">
                  <c:v>-3.1673430551150412</c:v>
                </c:pt>
                <c:pt idx="299">
                  <c:v>-4.8748021456423709</c:v>
                </c:pt>
                <c:pt idx="300">
                  <c:v>-6.6001985097780924</c:v>
                </c:pt>
                <c:pt idx="301">
                  <c:v>-8.343211452201361</c:v>
                </c:pt>
                <c:pt idx="302">
                  <c:v>-10.103508970624645</c:v>
                </c:pt>
                <c:pt idx="303">
                  <c:v>-11.880748778158635</c:v>
                </c:pt>
                <c:pt idx="304">
                  <c:v>-13.674579379867447</c:v>
                </c:pt>
                <c:pt idx="305">
                  <c:v>-15.48464119721111</c:v>
                </c:pt>
                <c:pt idx="306">
                  <c:v>-17.310567733427149</c:v>
                </c:pt>
                <c:pt idx="307">
                  <c:v>-19.151986772302067</c:v>
                </c:pt>
                <c:pt idx="308">
                  <c:v>-21.008521602225084</c:v>
                </c:pt>
                <c:pt idx="309">
                  <c:v>-22.879792256872349</c:v>
                </c:pt>
                <c:pt idx="310">
                  <c:v>-24.765416763431237</c:v>
                </c:pt>
                <c:pt idx="311">
                  <c:v>-26.665012388824849</c:v>
                </c:pt>
                <c:pt idx="312">
                  <c:v>-28.578196874051535</c:v>
                </c:pt>
                <c:pt idx="313">
                  <c:v>-30.504589646446291</c:v>
                </c:pt>
                <c:pt idx="314">
                  <c:v>-32.443812999439501</c:v>
                </c:pt>
                <c:pt idx="315">
                  <c:v>-34.395493229197307</c:v>
                </c:pt>
                <c:pt idx="316">
                  <c:v>-36.359261717449186</c:v>
                </c:pt>
                <c:pt idx="317">
                  <c:v>-38.33475594974999</c:v>
                </c:pt>
                <c:pt idx="318">
                  <c:v>-40.321620458478122</c:v>
                </c:pt>
                <c:pt idx="319">
                  <c:v>-42.319507679963195</c:v>
                </c:pt>
                <c:pt idx="320">
                  <c:v>-44.328078715348582</c:v>
                </c:pt>
                <c:pt idx="321">
                  <c:v>-46.34700398503162</c:v>
                </c:pt>
                <c:pt idx="322">
                  <c:v>-48.375963766884531</c:v>
                </c:pt>
                <c:pt idx="323">
                  <c:v>-50.414648608869086</c:v>
                </c:pt>
                <c:pt idx="324">
                  <c:v>-52.462759607191686</c:v>
                </c:pt>
                <c:pt idx="325">
                  <c:v>-54.520008541692775</c:v>
                </c:pt>
                <c:pt idx="326">
                  <c:v>-56.586117860897218</c:v>
                </c:pt>
                <c:pt idx="327">
                  <c:v>-58.660820509906678</c:v>
                </c:pt>
                <c:pt idx="328">
                  <c:v>-60.743859595180105</c:v>
                </c:pt>
                <c:pt idx="329">
                  <c:v>-62.834987881265313</c:v>
                </c:pt>
                <c:pt idx="330">
                  <c:v>-64.933967115573139</c:v>
                </c:pt>
                <c:pt idx="331">
                  <c:v>-67.040567178562682</c:v>
                </c:pt>
                <c:pt idx="332">
                  <c:v>-69.154565057955836</c:v>
                </c:pt>
                <c:pt idx="333">
                  <c:v>-71.275743647115291</c:v>
                </c:pt>
                <c:pt idx="334">
                  <c:v>-73.403890369255976</c:v>
                </c:pt>
                <c:pt idx="335">
                  <c:v>-75.538795630918528</c:v>
                </c:pt>
                <c:pt idx="336">
                  <c:v>-77.680251109975089</c:v>
                </c:pt>
                <c:pt idx="337">
                  <c:v>-79.828047885472969</c:v>
                </c:pt>
                <c:pt idx="338">
                  <c:v>-81.981974418758384</c:v>
                </c:pt>
                <c:pt idx="339">
                  <c:v>-84.141814397615093</c:v>
                </c:pt>
                <c:pt idx="340">
                  <c:v>-86.307344457589949</c:v>
                </c:pt>
                <c:pt idx="341">
                  <c:v>-88.478331797202102</c:v>
                </c:pt>
                <c:pt idx="342">
                  <c:v>-90.654531706350554</c:v>
                </c:pt>
                <c:pt idx="343">
                  <c:v>-92.835685029932023</c:v>
                </c:pt>
                <c:pt idx="344">
                  <c:v>-95.021515591383519</c:v>
                </c:pt>
                <c:pt idx="345">
                  <c:v>-97.211727603533788</c:v>
                </c:pt>
                <c:pt idx="346">
                  <c:v>-99.406003096740662</c:v>
                </c:pt>
                <c:pt idx="347">
                  <c:v>-101.60399939671873</c:v>
                </c:pt>
                <c:pt idx="348">
                  <c:v>-103.80534668666623</c:v>
                </c:pt>
                <c:pt idx="349">
                  <c:v>-106.0096456901568</c:v>
                </c:pt>
                <c:pt idx="350">
                  <c:v>-108.21646551272539</c:v>
                </c:pt>
                <c:pt idx="351">
                  <c:v>-110.42534168101633</c:v>
                </c:pt>
                <c:pt idx="352">
                  <c:v>-112.63577441869307</c:v>
                </c:pt>
                <c:pt idx="353">
                  <c:v>-114.84722719791063</c:v>
                </c:pt>
                <c:pt idx="354">
                  <c:v>-117.05912560400711</c:v>
                </c:pt>
                <c:pt idx="355">
                  <c:v>-119.27085654898194</c:v>
                </c:pt>
                <c:pt idx="356">
                  <c:v>-121.48176786641118</c:v>
                </c:pt>
                <c:pt idx="357">
                  <c:v>-123.69116831648161</c:v>
                </c:pt>
                <c:pt idx="358">
                  <c:v>-125.89832802498739</c:v>
                </c:pt>
                <c:pt idx="359">
                  <c:v>-128.10247937431885</c:v>
                </c:pt>
                <c:pt idx="360">
                  <c:v>-130.30281835783808</c:v>
                </c:pt>
                <c:pt idx="361">
                  <c:v>-132.49850640165806</c:v>
                </c:pt>
                <c:pt idx="362">
                  <c:v>-134.68867264986963</c:v>
                </c:pt>
                <c:pt idx="363">
                  <c:v>-136.8724167008896</c:v>
                </c:pt>
                <c:pt idx="364">
                  <c:v>-139.04881177404576</c:v>
                </c:pt>
                <c:pt idx="365">
                  <c:v>-141.2169082770024</c:v>
                </c:pt>
                <c:pt idx="366">
                  <c:v>-143.37573773644488</c:v>
                </c:pt>
                <c:pt idx="367">
                  <c:v>-145.52431704679844</c:v>
                </c:pt>
                <c:pt idx="368">
                  <c:v>-147.6616529849812</c:v>
                </c:pt>
                <c:pt idx="369">
                  <c:v>-149.78674693341796</c:v>
                </c:pt>
                <c:pt idx="370">
                  <c:v>-151.89859974908373</c:v>
                </c:pt>
                <c:pt idx="371">
                  <c:v>-153.99621671326719</c:v>
                </c:pt>
                <c:pt idx="372">
                  <c:v>-156.07861249522216</c:v>
                </c:pt>
                <c:pt idx="373">
                  <c:v>-158.1448160629115</c:v>
                </c:pt>
                <c:pt idx="374">
                  <c:v>-160.19387547569568</c:v>
                </c:pt>
                <c:pt idx="375">
                  <c:v>-162.22486249693398</c:v>
                </c:pt>
                <c:pt idx="376">
                  <c:v>-164.23687696901078</c:v>
                </c:pt>
                <c:pt idx="377">
                  <c:v>-166.22905089903884</c:v>
                </c:pt>
                <c:pt idx="378">
                  <c:v>-168.20055221024398</c:v>
                </c:pt>
                <c:pt idx="379">
                  <c:v>-170.15058812157619</c:v>
                </c:pt>
                <c:pt idx="380">
                  <c:v>-172.07840812611005</c:v>
                </c:pt>
                <c:pt idx="381">
                  <c:v>-173.98330654711327</c:v>
                </c:pt>
                <c:pt idx="382">
                  <c:v>-175.86462465894411</c:v>
                </c:pt>
                <c:pt idx="383">
                  <c:v>-177.72175236799717</c:v>
                </c:pt>
                <c:pt idx="384">
                  <c:v>-179.55412945653279</c:v>
                </c:pt>
                <c:pt idx="385">
                  <c:v>178.63875360078708</c:v>
                </c:pt>
                <c:pt idx="386">
                  <c:v>176.85735523160713</c:v>
                </c:pt>
                <c:pt idx="387">
                  <c:v>175.10208275040881</c:v>
                </c:pt>
                <c:pt idx="388">
                  <c:v>173.37329270701079</c:v>
                </c:pt>
                <c:pt idx="389">
                  <c:v>171.67129156967906</c:v>
                </c:pt>
                <c:pt idx="390">
                  <c:v>169.99633671094296</c:v>
                </c:pt>
                <c:pt idx="391">
                  <c:v>168.34863766254418</c:v>
                </c:pt>
                <c:pt idx="392">
                  <c:v>166.7283576051322</c:v>
                </c:pt>
                <c:pt idx="393">
                  <c:v>165.13561505825851</c:v>
                </c:pt>
                <c:pt idx="394">
                  <c:v>163.57048573681917</c:v>
                </c:pt>
                <c:pt idx="395">
                  <c:v>162.03300454126568</c:v>
                </c:pt>
                <c:pt idx="396">
                  <c:v>160.5231676505355</c:v>
                </c:pt>
                <c:pt idx="397">
                  <c:v>159.04093468864164</c:v>
                </c:pt>
                <c:pt idx="398">
                  <c:v>157.58623093812488</c:v>
                </c:pt>
                <c:pt idx="399">
                  <c:v>156.15894957600514</c:v>
                </c:pt>
                <c:pt idx="400">
                  <c:v>154.75895391040771</c:v>
                </c:pt>
                <c:pt idx="401">
                  <c:v>153.38607959859553</c:v>
                </c:pt>
                <c:pt idx="402">
                  <c:v>152.04013682968682</c:v>
                </c:pt>
                <c:pt idx="403">
                  <c:v>150.72091245777827</c:v>
                </c:pt>
                <c:pt idx="404">
                  <c:v>149.42817207354258</c:v>
                </c:pt>
                <c:pt idx="405">
                  <c:v>148.16166200456195</c:v>
                </c:pt>
                <c:pt idx="406">
                  <c:v>146.92111123668323</c:v>
                </c:pt>
                <c:pt idx="407">
                  <c:v>145.70623325054089</c:v>
                </c:pt>
                <c:pt idx="408">
                  <c:v>144.51672776904684</c:v>
                </c:pt>
                <c:pt idx="409">
                  <c:v>143.35228241314229</c:v>
                </c:pt>
                <c:pt idx="410">
                  <c:v>142.21257426439652</c:v>
                </c:pt>
                <c:pt idx="411">
                  <c:v>141.09727133416717</c:v>
                </c:pt>
                <c:pt idx="412">
                  <c:v>140.00603393999779</c:v>
                </c:pt>
                <c:pt idx="413">
                  <c:v>138.93851599073184</c:v>
                </c:pt>
                <c:pt idx="414">
                  <c:v>137.89436618249158</c:v>
                </c:pt>
                <c:pt idx="415">
                  <c:v>136.87322910819998</c:v>
                </c:pt>
                <c:pt idx="416">
                  <c:v>135.87474628375801</c:v>
                </c:pt>
                <c:pt idx="417">
                  <c:v>134.89855709429193</c:v>
                </c:pt>
                <c:pt idx="418">
                  <c:v>133.94429966413239</c:v>
                </c:pt>
                <c:pt idx="419">
                  <c:v>133.01161165432362</c:v>
                </c:pt>
                <c:pt idx="420">
                  <c:v>132.10013099155969</c:v>
                </c:pt>
                <c:pt idx="421">
                  <c:v>131.20949653246061</c:v>
                </c:pt>
                <c:pt idx="422">
                  <c:v>130.33934866709731</c:v>
                </c:pt>
                <c:pt idx="423">
                  <c:v>129.48932986559998</c:v>
                </c:pt>
                <c:pt idx="424">
                  <c:v>128.65908517161475</c:v>
                </c:pt>
                <c:pt idx="425">
                  <c:v>127.84826264624364</c:v>
                </c:pt>
                <c:pt idx="426">
                  <c:v>127.05651376597962</c:v>
                </c:pt>
                <c:pt idx="427">
                  <c:v>126.28349377800576</c:v>
                </c:pt>
                <c:pt idx="428">
                  <c:v>125.52886201605988</c:v>
                </c:pt>
                <c:pt idx="429">
                  <c:v>124.79228217990934</c:v>
                </c:pt>
                <c:pt idx="430">
                  <c:v>124.07342258132536</c:v>
                </c:pt>
                <c:pt idx="431">
                  <c:v>123.37195635926165</c:v>
                </c:pt>
                <c:pt idx="432">
                  <c:v>122.68756166679215</c:v>
                </c:pt>
                <c:pt idx="433">
                  <c:v>122.0199218321923</c:v>
                </c:pt>
                <c:pt idx="434">
                  <c:v>121.36872549640088</c:v>
                </c:pt>
                <c:pt idx="435">
                  <c:v>120.73366672893307</c:v>
                </c:pt>
                <c:pt idx="436">
                  <c:v>120.11444512418555</c:v>
                </c:pt>
                <c:pt idx="437">
                  <c:v>119.51076587992172</c:v>
                </c:pt>
                <c:pt idx="438">
                  <c:v>118.92233985959942</c:v>
                </c:pt>
                <c:pt idx="439">
                  <c:v>118.34888364008073</c:v>
                </c:pt>
                <c:pt idx="440">
                  <c:v>117.79011954613593</c:v>
                </c:pt>
                <c:pt idx="441">
                  <c:v>117.24577567305037</c:v>
                </c:pt>
                <c:pt idx="442">
                  <c:v>116.71558589853859</c:v>
                </c:pt>
                <c:pt idx="443">
                  <c:v>116.19928988506706</c:v>
                </c:pt>
                <c:pt idx="444">
                  <c:v>115.69663307360233</c:v>
                </c:pt>
                <c:pt idx="445">
                  <c:v>115.2073666697132</c:v>
                </c:pt>
                <c:pt idx="446">
                  <c:v>114.73124762287739</c:v>
                </c:pt>
                <c:pt idx="447">
                  <c:v>114.26803859977522</c:v>
                </c:pt>
                <c:pt idx="448">
                  <c:v>113.81750795227504</c:v>
                </c:pt>
                <c:pt idx="449">
                  <c:v>113.37942968076759</c:v>
                </c:pt>
                <c:pt idx="450">
                  <c:v>112.95358339343235</c:v>
                </c:pt>
                <c:pt idx="451">
                  <c:v>112.53975426198312</c:v>
                </c:pt>
                <c:pt idx="452">
                  <c:v>112.13773297437683</c:v>
                </c:pt>
                <c:pt idx="453">
                  <c:v>111.74731568493281</c:v>
                </c:pt>
                <c:pt idx="454">
                  <c:v>111.36830396226674</c:v>
                </c:pt>
                <c:pt idx="455">
                  <c:v>111.00050473540506</c:v>
                </c:pt>
                <c:pt idx="456">
                  <c:v>110.64373023841119</c:v>
                </c:pt>
                <c:pt idx="457">
                  <c:v>110.29779795381967</c:v>
                </c:pt>
                <c:pt idx="458">
                  <c:v>109.96253055515302</c:v>
                </c:pt>
                <c:pt idx="459">
                  <c:v>109.63775584876016</c:v>
                </c:pt>
                <c:pt idx="460">
                  <c:v>109.32330671519371</c:v>
                </c:pt>
                <c:pt idx="461">
                  <c:v>109.01902105032565</c:v>
                </c:pt>
                <c:pt idx="462">
                  <c:v>108.72474170637028</c:v>
                </c:pt>
                <c:pt idx="463">
                  <c:v>108.44031643297198</c:v>
                </c:pt>
                <c:pt idx="464">
                  <c:v>108.16559781849571</c:v>
                </c:pt>
                <c:pt idx="465">
                  <c:v>107.90044323163964</c:v>
                </c:pt>
                <c:pt idx="466">
                  <c:v>107.64471476347613</c:v>
                </c:pt>
                <c:pt idx="467">
                  <c:v>107.39827917001362</c:v>
                </c:pt>
                <c:pt idx="468">
                  <c:v>107.16100781535911</c:v>
                </c:pt>
                <c:pt idx="469">
                  <c:v>106.9327766155466</c:v>
                </c:pt>
                <c:pt idx="470">
                  <c:v>106.71346598309029</c:v>
                </c:pt>
                <c:pt idx="471">
                  <c:v>106.50296077230684</c:v>
                </c:pt>
                <c:pt idx="472">
                  <c:v>106.3011502254447</c:v>
                </c:pt>
                <c:pt idx="473">
                  <c:v>106.10792791964519</c:v>
                </c:pt>
                <c:pt idx="474">
                  <c:v>105.92319171475766</c:v>
                </c:pt>
                <c:pt idx="475">
                  <c:v>105.74684370201729</c:v>
                </c:pt>
                <c:pt idx="476">
                  <c:v>105.57879015358991</c:v>
                </c:pt>
                <c:pt idx="477">
                  <c:v>105.41894147297926</c:v>
                </c:pt>
                <c:pt idx="478">
                  <c:v>105.26721214628621</c:v>
                </c:pt>
                <c:pt idx="479">
                  <c:v>105.12352069430231</c:v>
                </c:pt>
                <c:pt idx="480">
                  <c:v>104.98778962541293</c:v>
                </c:pt>
                <c:pt idx="481">
                  <c:v>104.85994538928009</c:v>
                </c:pt>
                <c:pt idx="482">
                  <c:v>104.73991833126766</c:v>
                </c:pt>
                <c:pt idx="483">
                  <c:v>104.62764264756623</c:v>
                </c:pt>
                <c:pt idx="484">
                  <c:v>104.52305634096811</c:v>
                </c:pt>
                <c:pt idx="485">
                  <c:v>104.42610117723781</c:v>
                </c:pt>
                <c:pt idx="486">
                  <c:v>104.33672264201563</c:v>
                </c:pt>
                <c:pt idx="487">
                  <c:v>104.25486989818745</c:v>
                </c:pt>
                <c:pt idx="488">
                  <c:v>104.18049574364677</c:v>
                </c:pt>
                <c:pt idx="489">
                  <c:v>104.11355656936757</c:v>
                </c:pt>
                <c:pt idx="490">
                  <c:v>104.05401231770207</c:v>
                </c:pt>
                <c:pt idx="491">
                  <c:v>104.00182644080982</c:v>
                </c:pt>
                <c:pt idx="492">
                  <c:v>103.95696585911686</c:v>
                </c:pt>
                <c:pt idx="493">
                  <c:v>103.9194009196971</c:v>
                </c:pt>
                <c:pt idx="494">
                  <c:v>103.88910535446261</c:v>
                </c:pt>
                <c:pt idx="495">
                  <c:v>103.86605623803824</c:v>
                </c:pt>
                <c:pt idx="496">
                  <c:v>103.8502339451915</c:v>
                </c:pt>
                <c:pt idx="497">
                  <c:v>103.84162210767904</c:v>
                </c:pt>
                <c:pt idx="498">
                  <c:v>103.84020757036221</c:v>
                </c:pt>
                <c:pt idx="499">
                  <c:v>103.84598034643828</c:v>
                </c:pt>
                <c:pt idx="500">
                  <c:v>103.85893357162006</c:v>
                </c:pt>
                <c:pt idx="501">
                  <c:v>103.87906345709271</c:v>
                </c:pt>
                <c:pt idx="502">
                  <c:v>103.9063692410639</c:v>
                </c:pt>
                <c:pt idx="503">
                  <c:v>103.94085313871291</c:v>
                </c:pt>
                <c:pt idx="504">
                  <c:v>103.9825202903385</c:v>
                </c:pt>
                <c:pt idx="505">
                  <c:v>104.03137870748873</c:v>
                </c:pt>
                <c:pt idx="506">
                  <c:v>104.08743921685108</c:v>
                </c:pt>
                <c:pt idx="507">
                  <c:v>104.15071540166689</c:v>
                </c:pt>
                <c:pt idx="508">
                  <c:v>104.22122354042348</c:v>
                </c:pt>
                <c:pt idx="509">
                  <c:v>104.29898254256798</c:v>
                </c:pt>
                <c:pt idx="510">
                  <c:v>104.3840138809722</c:v>
                </c:pt>
                <c:pt idx="511">
                  <c:v>104.4763415208712</c:v>
                </c:pt>
                <c:pt idx="512">
                  <c:v>104.57599184498058</c:v>
                </c:pt>
                <c:pt idx="513">
                  <c:v>104.68299357449303</c:v>
                </c:pt>
                <c:pt idx="514">
                  <c:v>104.79737768563736</c:v>
                </c:pt>
                <c:pt idx="515">
                  <c:v>104.91917732147661</c:v>
                </c:pt>
                <c:pt idx="516">
                  <c:v>105.04842769861027</c:v>
                </c:pt>
                <c:pt idx="517">
                  <c:v>105.18516600843212</c:v>
                </c:pt>
                <c:pt idx="518">
                  <c:v>105.32943131259233</c:v>
                </c:pt>
                <c:pt idx="519">
                  <c:v>105.48126443229901</c:v>
                </c:pt>
                <c:pt idx="520">
                  <c:v>105.64070783108686</c:v>
                </c:pt>
                <c:pt idx="521">
                  <c:v>105.80780549067691</c:v>
                </c:pt>
                <c:pt idx="522">
                  <c:v>105.98260277954395</c:v>
                </c:pt>
                <c:pt idx="523">
                  <c:v>106.1651463138072</c:v>
                </c:pt>
                <c:pt idx="524">
                  <c:v>106.35548381005394</c:v>
                </c:pt>
                <c:pt idx="525">
                  <c:v>106.55366392971129</c:v>
                </c:pt>
                <c:pt idx="526">
                  <c:v>106.75973611458255</c:v>
                </c:pt>
                <c:pt idx="527">
                  <c:v>106.97375041316904</c:v>
                </c:pt>
                <c:pt idx="528">
                  <c:v>107.19575729740842</c:v>
                </c:pt>
                <c:pt idx="529">
                  <c:v>107.42580746947513</c:v>
                </c:pt>
                <c:pt idx="530">
                  <c:v>107.66395165830038</c:v>
                </c:pt>
                <c:pt idx="531">
                  <c:v>107.91024040549496</c:v>
                </c:pt>
                <c:pt idx="532">
                  <c:v>108.16472384037706</c:v>
                </c:pt>
                <c:pt idx="533">
                  <c:v>108.4274514438476</c:v>
                </c:pt>
                <c:pt idx="534">
                  <c:v>108.69847180087808</c:v>
                </c:pt>
                <c:pt idx="535">
                  <c:v>108.97783234143255</c:v>
                </c:pt>
                <c:pt idx="536">
                  <c:v>109.26557906968075</c:v>
                </c:pt>
                <c:pt idx="537">
                  <c:v>109.56175628142439</c:v>
                </c:pt>
                <c:pt idx="538">
                  <c:v>109.86640626971538</c:v>
                </c:pt>
                <c:pt idx="539">
                  <c:v>110.17956901871626</c:v>
                </c:pt>
                <c:pt idx="540">
                  <c:v>110.50128188593152</c:v>
                </c:pt>
                <c:pt idx="541">
                  <c:v>110.83157927302744</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17.398585226764173</c:v>
                </c:pt>
                <c:pt idx="2">
                  <c:v>29.601873825817464</c:v>
                </c:pt>
                <c:pt idx="3">
                  <c:v>38.63171616885365</c:v>
                </c:pt>
                <c:pt idx="4">
                  <c:v>45.581882258838597</c:v>
                </c:pt>
                <c:pt idx="5">
                  <c:v>51.095514325161083</c:v>
                </c:pt>
                <c:pt idx="6">
                  <c:v>55.575459305439125</c:v>
                </c:pt>
                <c:pt idx="7">
                  <c:v>59.28687987671497</c:v>
                </c:pt>
                <c:pt idx="8">
                  <c:v>62.41143210413199</c:v>
                </c:pt>
                <c:pt idx="9">
                  <c:v>65.077731520325571</c:v>
                </c:pt>
                <c:pt idx="10">
                  <c:v>67.379390231032659</c:v>
                </c:pt>
                <c:pt idx="11">
                  <c:v>69.386163359859182</c:v>
                </c:pt>
                <c:pt idx="12">
                  <c:v>71.151091808258855</c:v>
                </c:pt>
                <c:pt idx="13">
                  <c:v>72.715224146691867</c:v>
                </c:pt>
                <c:pt idx="14">
                  <c:v>74.110823599885421</c:v>
                </c:pt>
                <c:pt idx="15">
                  <c:v>75.363598310922896</c:v>
                </c:pt>
                <c:pt idx="16">
                  <c:v>76.494285131275518</c:v>
                </c:pt>
                <c:pt idx="17">
                  <c:v>77.519795459622685</c:v>
                </c:pt>
                <c:pt idx="18">
                  <c:v>78.454058175865839</c:v>
                </c:pt>
                <c:pt idx="19">
                  <c:v>79.308649136689439</c:v>
                </c:pt>
                <c:pt idx="20">
                  <c:v>80.093267724214044</c:v>
                </c:pt>
                <c:pt idx="21">
                  <c:v>80.816102109938569</c:v>
                </c:pt>
                <c:pt idx="22">
                  <c:v>81.484112413164453</c:v>
                </c:pt>
                <c:pt idx="23">
                  <c:v>82.103252505667186</c:v>
                </c:pt>
                <c:pt idx="24">
                  <c:v>82.678645429599158</c:v>
                </c:pt>
                <c:pt idx="25">
                  <c:v>83.214723363770631</c:v>
                </c:pt>
                <c:pt idx="26">
                  <c:v>83.715340223603945</c:v>
                </c:pt>
                <c:pt idx="27">
                  <c:v>84.183862939341097</c:v>
                </c:pt>
                <c:pt idx="28">
                  <c:v>84.623245978065569</c:v>
                </c:pt>
                <c:pt idx="29">
                  <c:v>85.036092591100314</c:v>
                </c:pt>
                <c:pt idx="30">
                  <c:v>85.424705465526074</c:v>
                </c:pt>
                <c:pt idx="31">
                  <c:v>85.791128858158132</c:v>
                </c:pt>
                <c:pt idx="32">
                  <c:v>86.137183837173552</c:v>
                </c:pt>
                <c:pt idx="33">
                  <c:v>86.464497911627547</c:v>
                </c:pt>
                <c:pt idx="34">
                  <c:v>86.774530064379263</c:v>
                </c:pt>
                <c:pt idx="35">
                  <c:v>87.068591999251936</c:v>
                </c:pt>
                <c:pt idx="36">
                  <c:v>87.347866253829139</c:v>
                </c:pt>
                <c:pt idx="37">
                  <c:v>87.613421704280938</c:v>
                </c:pt>
                <c:pt idx="38">
                  <c:v>87.866226889960302</c:v>
                </c:pt>
                <c:pt idx="39">
                  <c:v>88.107161507178617</c:v>
                </c:pt>
                <c:pt idx="40">
                  <c:v>88.337026359012512</c:v>
                </c:pt>
                <c:pt idx="41">
                  <c:v>88.556551997761801</c:v>
                </c:pt>
                <c:pt idx="42">
                  <c:v>88.766406256127425</c:v>
                </c:pt>
                <c:pt idx="43">
                  <c:v>88.967200830282735</c:v>
                </c:pt>
                <c:pt idx="44">
                  <c:v>89.159497051194663</c:v>
                </c:pt>
                <c:pt idx="45">
                  <c:v>89.343810958594446</c:v>
                </c:pt>
                <c:pt idx="46">
                  <c:v>89.520617773937715</c:v>
                </c:pt>
                <c:pt idx="47">
                  <c:v>89.738082234728708</c:v>
                </c:pt>
                <c:pt idx="48">
                  <c:v>89.900876428602785</c:v>
                </c:pt>
                <c:pt idx="49">
                  <c:v>90.057208654657273</c:v>
                </c:pt>
                <c:pt idx="50">
                  <c:v>90.20743295312694</c:v>
                </c:pt>
                <c:pt idx="51">
                  <c:v>90.351877974453103</c:v>
                </c:pt>
                <c:pt idx="52">
                  <c:v>90.490849215209806</c:v>
                </c:pt>
                <c:pt idx="53">
                  <c:v>90.624631021833906</c:v>
                </c:pt>
                <c:pt idx="54">
                  <c:v>90.753488389812702</c:v>
                </c:pt>
                <c:pt idx="55">
                  <c:v>90.877668582281416</c:v>
                </c:pt>
                <c:pt idx="56">
                  <c:v>90.997402588829786</c:v>
                </c:pt>
                <c:pt idx="57">
                  <c:v>91.11290644262418</c:v>
                </c:pt>
                <c:pt idx="58">
                  <c:v>91.224382411643631</c:v>
                </c:pt>
                <c:pt idx="59">
                  <c:v>91.332020077846849</c:v>
                </c:pt>
                <c:pt idx="60">
                  <c:v>91.435997316380835</c:v>
                </c:pt>
                <c:pt idx="61">
                  <c:v>91.536481185468489</c:v>
                </c:pt>
                <c:pt idx="62">
                  <c:v>91.63362873633865</c:v>
                </c:pt>
                <c:pt idx="63">
                  <c:v>91.727587751456454</c:v>
                </c:pt>
                <c:pt idx="64">
                  <c:v>91.818497418351456</c:v>
                </c:pt>
                <c:pt idx="65">
                  <c:v>91.906488945504577</c:v>
                </c:pt>
                <c:pt idx="66">
                  <c:v>91.991686126023978</c:v>
                </c:pt>
                <c:pt idx="67">
                  <c:v>92.074205854202177</c:v>
                </c:pt>
                <c:pt idx="68">
                  <c:v>92.154158599486095</c:v>
                </c:pt>
                <c:pt idx="69">
                  <c:v>92.231648841900977</c:v>
                </c:pt>
                <c:pt idx="70">
                  <c:v>92.306775472536444</c:v>
                </c:pt>
                <c:pt idx="71">
                  <c:v>92.379632162322196</c:v>
                </c:pt>
                <c:pt idx="72">
                  <c:v>92.450307701984357</c:v>
                </c:pt>
                <c:pt idx="73">
                  <c:v>92.518886315776427</c:v>
                </c:pt>
                <c:pt idx="74">
                  <c:v>92.585447951314976</c:v>
                </c:pt>
                <c:pt idx="75">
                  <c:v>92.650068547616954</c:v>
                </c:pt>
                <c:pt idx="76">
                  <c:v>92.712820283227572</c:v>
                </c:pt>
                <c:pt idx="77">
                  <c:v>92.773771806142847</c:v>
                </c:pt>
                <c:pt idx="78">
                  <c:v>92.832988447066541</c:v>
                </c:pt>
                <c:pt idx="79">
                  <c:v>92.890532417393885</c:v>
                </c:pt>
                <c:pt idx="80">
                  <c:v>92.946462993183189</c:v>
                </c:pt>
                <c:pt idx="81">
                  <c:v>93.000836686258765</c:v>
                </c:pt>
                <c:pt idx="82">
                  <c:v>93.053707403483429</c:v>
                </c:pt>
                <c:pt idx="83">
                  <c:v>93.105126595144</c:v>
                </c:pt>
                <c:pt idx="84">
                  <c:v>93.15514339330781</c:v>
                </c:pt>
                <c:pt idx="85">
                  <c:v>93.203804740932796</c:v>
                </c:pt>
                <c:pt idx="86">
                  <c:v>93.251155512443987</c:v>
                </c:pt>
                <c:pt idx="87">
                  <c:v>93.297238626426832</c:v>
                </c:pt>
                <c:pt idx="88">
                  <c:v>93.342095151032979</c:v>
                </c:pt>
                <c:pt idx="89">
                  <c:v>93.385764402641598</c:v>
                </c:pt>
                <c:pt idx="90">
                  <c:v>93.428284038274995</c:v>
                </c:pt>
                <c:pt idx="91">
                  <c:v>93.469690142224877</c:v>
                </c:pt>
                <c:pt idx="92">
                  <c:v>93.510017307307692</c:v>
                </c:pt>
                <c:pt idx="93">
                  <c:v>93.549298711134128</c:v>
                </c:pt>
                <c:pt idx="94">
                  <c:v>93.587566187745423</c:v>
                </c:pt>
                <c:pt idx="95">
                  <c:v>93.624850294942107</c:v>
                </c:pt>
                <c:pt idx="96">
                  <c:v>93.661180377604197</c:v>
                </c:pt>
                <c:pt idx="97">
                  <c:v>93.696584627278369</c:v>
                </c:pt>
                <c:pt idx="98">
                  <c:v>93.731090138286504</c:v>
                </c:pt>
                <c:pt idx="99">
                  <c:v>93.764722960590419</c:v>
                </c:pt>
                <c:pt idx="100">
                  <c:v>93.797508149629067</c:v>
                </c:pt>
                <c:pt idx="101">
                  <c:v>93.829469813329069</c:v>
                </c:pt>
                <c:pt idx="102">
                  <c:v>93.860631156473445</c:v>
                </c:pt>
                <c:pt idx="103">
                  <c:v>93.8910145226004</c:v>
                </c:pt>
                <c:pt idx="104">
                  <c:v>93.920641433591044</c:v>
                </c:pt>
                <c:pt idx="105">
                  <c:v>93.949532627093248</c:v>
                </c:pt>
                <c:pt idx="106">
                  <c:v>93.977708091918771</c:v>
                </c:pt>
                <c:pt idx="107">
                  <c:v>94.005187101540059</c:v>
                </c:pt>
                <c:pt idx="108">
                  <c:v>94.031988245805124</c:v>
                </c:pt>
                <c:pt idx="109">
                  <c:v>94.05812946097987</c:v>
                </c:pt>
                <c:pt idx="110">
                  <c:v>94.083628058219887</c:v>
                </c:pt>
                <c:pt idx="111">
                  <c:v>94.108500750566932</c:v>
                </c:pt>
                <c:pt idx="112">
                  <c:v>94.132763678558035</c:v>
                </c:pt>
                <c:pt idx="113">
                  <c:v>94.156432434530274</c:v>
                </c:pt>
                <c:pt idx="114">
                  <c:v>94.179522085697585</c:v>
                </c:pt>
                <c:pt idx="115">
                  <c:v>94.202047196071675</c:v>
                </c:pt>
                <c:pt idx="116">
                  <c:v>94.224021847293955</c:v>
                </c:pt>
                <c:pt idx="117">
                  <c:v>94.245459658440993</c:v>
                </c:pt>
                <c:pt idx="118">
                  <c:v>94.266373804862198</c:v>
                </c:pt>
                <c:pt idx="119">
                  <c:v>94.286777036104269</c:v>
                </c:pt>
                <c:pt idx="120">
                  <c:v>94.306681692973768</c:v>
                </c:pt>
                <c:pt idx="121">
                  <c:v>94.326099723785831</c:v>
                </c:pt>
                <c:pt idx="122">
                  <c:v>94.345042699843631</c:v>
                </c:pt>
                <c:pt idx="123">
                  <c:v>94.363521830191289</c:v>
                </c:pt>
                <c:pt idx="124">
                  <c:v>94.381547975679197</c:v>
                </c:pt>
                <c:pt idx="125">
                  <c:v>94.399131662379091</c:v>
                </c:pt>
                <c:pt idx="126">
                  <c:v>94.416283094383701</c:v>
                </c:pt>
                <c:pt idx="127">
                  <c:v>94.433012166023644</c:v>
                </c:pt>
                <c:pt idx="128">
                  <c:v>94.449328473532077</c:v>
                </c:pt>
                <c:pt idx="129">
                  <c:v>94.465241326186401</c:v>
                </c:pt>
                <c:pt idx="130">
                  <c:v>94.480759756953773</c:v>
                </c:pt>
                <c:pt idx="131">
                  <c:v>94.495892532666403</c:v>
                </c:pt>
                <c:pt idx="132">
                  <c:v>94.510648163750176</c:v>
                </c:pt>
                <c:pt idx="133">
                  <c:v>94.525034913529964</c:v>
                </c:pt>
                <c:pt idx="134">
                  <c:v>94.539060807132358</c:v>
                </c:pt>
                <c:pt idx="135">
                  <c:v>94.552733640006352</c:v>
                </c:pt>
                <c:pt idx="136">
                  <c:v>94.566060986080942</c:v>
                </c:pt>
                <c:pt idx="137">
                  <c:v>94.579050205577204</c:v>
                </c:pt>
                <c:pt idx="138">
                  <c:v>94.591708452492568</c:v>
                </c:pt>
                <c:pt idx="139">
                  <c:v>94.604042681772242</c:v>
                </c:pt>
                <c:pt idx="140">
                  <c:v>94.616059656183822</c:v>
                </c:pt>
                <c:pt idx="141">
                  <c:v>94.627765952908689</c:v>
                </c:pt>
                <c:pt idx="142">
                  <c:v>94.639167969864175</c:v>
                </c:pt>
                <c:pt idx="143">
                  <c:v>94.650271931768884</c:v>
                </c:pt>
                <c:pt idx="144">
                  <c:v>94.661083895963444</c:v>
                </c:pt>
                <c:pt idx="145">
                  <c:v>94.671609757998112</c:v>
                </c:pt>
                <c:pt idx="146">
                  <c:v>94.68185525699802</c:v>
                </c:pt>
                <c:pt idx="147">
                  <c:v>94.691825980816276</c:v>
                </c:pt>
                <c:pt idx="148">
                  <c:v>94.701527370984806</c:v>
                </c:pt>
                <c:pt idx="149">
                  <c:v>94.71096472747179</c:v>
                </c:pt>
                <c:pt idx="150">
                  <c:v>94.720143213255042</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1.1324293778526548E-4</c:v>
                </c:pt>
                <c:pt idx="2">
                  <c:v>2.2667141646083913E-4</c:v>
                </c:pt>
                <c:pt idx="3">
                  <c:v>3.4022068049001928E-4</c:v>
                </c:pt>
                <c:pt idx="4">
                  <c:v>4.5386762180857544E-4</c:v>
                </c:pt>
                <c:pt idx="5">
                  <c:v>5.6759888523144587E-4</c:v>
                </c:pt>
                <c:pt idx="6">
                  <c:v>6.8140545972672452E-4</c:v>
                </c:pt>
                <c:pt idx="7">
                  <c:v>7.9528073006666651E-4</c:v>
                </c:pt>
                <c:pt idx="8">
                  <c:v>9.0921957073961611E-4</c:v>
                </c:pt>
                <c:pt idx="9">
                  <c:v>1.0232178580711999E-3</c:v>
                </c:pt>
                <c:pt idx="10">
                  <c:v>1.1372721806795661E-3</c:v>
                </c:pt>
                <c:pt idx="11">
                  <c:v>1.2513796551805335E-3</c:v>
                </c:pt>
                <c:pt idx="12">
                  <c:v>1.3655378024995091E-3</c:v>
                </c:pt>
                <c:pt idx="13">
                  <c:v>1.4797444613297204E-3</c:v>
                </c:pt>
                <c:pt idx="14">
                  <c:v>1.5939977255098553E-3</c:v>
                </c:pt>
                <c:pt idx="15">
                  <c:v>1.7082958974344391E-3</c:v>
                </c:pt>
                <c:pt idx="16">
                  <c:v>1.8226374525744096E-3</c:v>
                </c:pt>
                <c:pt idx="17">
                  <c:v>1.9370210119160458E-3</c:v>
                </c:pt>
                <c:pt idx="18">
                  <c:v>2.0514453201807199E-3</c:v>
                </c:pt>
                <c:pt idx="19">
                  <c:v>2.1659092283536799E-3</c:v>
                </c:pt>
                <c:pt idx="20">
                  <c:v>2.2804116794838247E-3</c:v>
                </c:pt>
                <c:pt idx="21">
                  <c:v>2.3949516970066778E-3</c:v>
                </c:pt>
                <c:pt idx="22">
                  <c:v>2.5095283750416943E-3</c:v>
                </c:pt>
                <c:pt idx="23">
                  <c:v>2.6241408702543196E-3</c:v>
                </c:pt>
                <c:pt idx="24">
                  <c:v>2.7387883949725055E-3</c:v>
                </c:pt>
                <c:pt idx="25">
                  <c:v>2.853470211319474E-3</c:v>
                </c:pt>
                <c:pt idx="26">
                  <c:v>2.9681856261775576E-3</c:v>
                </c:pt>
                <c:pt idx="27">
                  <c:v>3.0829339868376172E-3</c:v>
                </c:pt>
                <c:pt idx="28">
                  <c:v>3.197714677218493E-3</c:v>
                </c:pt>
                <c:pt idx="29">
                  <c:v>3.3125271145638992E-3</c:v>
                </c:pt>
                <c:pt idx="30">
                  <c:v>3.4273707465419384E-3</c:v>
                </c:pt>
                <c:pt idx="31">
                  <c:v>3.5422450486862185E-3</c:v>
                </c:pt>
                <c:pt idx="32">
                  <c:v>3.6571495221285415E-3</c:v>
                </c:pt>
                <c:pt idx="33">
                  <c:v>3.7720836915817722E-3</c:v>
                </c:pt>
                <c:pt idx="34">
                  <c:v>3.8870471035384905E-3</c:v>
                </c:pt>
                <c:pt idx="35">
                  <c:v>4.0020393246565974E-3</c:v>
                </c:pt>
                <c:pt idx="36">
                  <c:v>4.1170599403076635E-3</c:v>
                </c:pt>
                <c:pt idx="37">
                  <c:v>4.2321085532675082E-3</c:v>
                </c:pt>
                <c:pt idx="38">
                  <c:v>4.3471847825315687E-3</c:v>
                </c:pt>
                <c:pt idx="39">
                  <c:v>4.4622882622401914E-3</c:v>
                </c:pt>
                <c:pt idx="40">
                  <c:v>4.5774186407010449E-3</c:v>
                </c:pt>
                <c:pt idx="41">
                  <c:v>4.6925755794976686E-3</c:v>
                </c:pt>
                <c:pt idx="42">
                  <c:v>4.8077587526746349E-3</c:v>
                </c:pt>
                <c:pt idx="43">
                  <c:v>4.9229678459910544E-3</c:v>
                </c:pt>
                <c:pt idx="44">
                  <c:v>5.0382025562352361E-3</c:v>
                </c:pt>
                <c:pt idx="45">
                  <c:v>5.1534625905941978E-3</c:v>
                </c:pt>
                <c:pt idx="46">
                  <c:v>5.2687476660725173E-3</c:v>
                </c:pt>
                <c:pt idx="47">
                  <c:v>5.3967653733488791E-3</c:v>
                </c:pt>
                <c:pt idx="48">
                  <c:v>5.5126607058968956E-3</c:v>
                </c:pt>
                <c:pt idx="49">
                  <c:v>5.628616593443431E-3</c:v>
                </c:pt>
                <c:pt idx="50">
                  <c:v>5.7446330359884846E-3</c:v>
                </c:pt>
                <c:pt idx="51">
                  <c:v>5.8607100335320572E-3</c:v>
                </c:pt>
                <c:pt idx="52">
                  <c:v>5.976847586074148E-3</c:v>
                </c:pt>
                <c:pt idx="53">
                  <c:v>6.0930456936147568E-3</c:v>
                </c:pt>
                <c:pt idx="54">
                  <c:v>6.2093043561538839E-3</c:v>
                </c:pt>
                <c:pt idx="55">
                  <c:v>6.3256235736915307E-3</c:v>
                </c:pt>
                <c:pt idx="56">
                  <c:v>6.4420033462276975E-3</c:v>
                </c:pt>
                <c:pt idx="57">
                  <c:v>6.5584436737623798E-3</c:v>
                </c:pt>
                <c:pt idx="58">
                  <c:v>6.6749445562955811E-3</c:v>
                </c:pt>
                <c:pt idx="59">
                  <c:v>6.7915059938273006E-3</c:v>
                </c:pt>
                <c:pt idx="60">
                  <c:v>6.9081279863575399E-3</c:v>
                </c:pt>
                <c:pt idx="61">
                  <c:v>7.0248105338862974E-3</c:v>
                </c:pt>
                <c:pt idx="62">
                  <c:v>7.141553636413573E-3</c:v>
                </c:pt>
                <c:pt idx="63">
                  <c:v>7.2583572939393702E-3</c:v>
                </c:pt>
                <c:pt idx="64">
                  <c:v>7.375221506463683E-3</c:v>
                </c:pt>
                <c:pt idx="65">
                  <c:v>7.4921462739865122E-3</c:v>
                </c:pt>
                <c:pt idx="66">
                  <c:v>7.609131596507863E-3</c:v>
                </c:pt>
                <c:pt idx="67">
                  <c:v>7.7261774740277327E-3</c:v>
                </c:pt>
                <c:pt idx="68">
                  <c:v>7.8432839065461172E-3</c:v>
                </c:pt>
                <c:pt idx="69">
                  <c:v>7.9604508940630241E-3</c:v>
                </c:pt>
                <c:pt idx="70">
                  <c:v>8.0776784365784483E-3</c:v>
                </c:pt>
                <c:pt idx="71">
                  <c:v>8.1949665340923898E-3</c:v>
                </c:pt>
                <c:pt idx="72">
                  <c:v>8.312315186604852E-3</c:v>
                </c:pt>
                <c:pt idx="73">
                  <c:v>8.4297243941158315E-3</c:v>
                </c:pt>
                <c:pt idx="74">
                  <c:v>8.5471941566253318E-3</c:v>
                </c:pt>
                <c:pt idx="75">
                  <c:v>8.6647244741333458E-3</c:v>
                </c:pt>
                <c:pt idx="76">
                  <c:v>8.7823153466398841E-3</c:v>
                </c:pt>
                <c:pt idx="77">
                  <c:v>8.8999667741449361E-3</c:v>
                </c:pt>
                <c:pt idx="78">
                  <c:v>9.0176787566485089E-3</c:v>
                </c:pt>
                <c:pt idx="79">
                  <c:v>9.135451294150599E-3</c:v>
                </c:pt>
                <c:pt idx="80">
                  <c:v>9.2532843866512081E-3</c:v>
                </c:pt>
                <c:pt idx="81">
                  <c:v>9.3711780341503362E-3</c:v>
                </c:pt>
                <c:pt idx="82">
                  <c:v>9.4891322366479833E-3</c:v>
                </c:pt>
                <c:pt idx="83">
                  <c:v>9.6071469941441494E-3</c:v>
                </c:pt>
                <c:pt idx="84">
                  <c:v>9.725222306638831E-3</c:v>
                </c:pt>
                <c:pt idx="85">
                  <c:v>9.8433581741320334E-3</c:v>
                </c:pt>
                <c:pt idx="86">
                  <c:v>9.9615545966237531E-3</c:v>
                </c:pt>
                <c:pt idx="87">
                  <c:v>1.007981157411399E-2</c:v>
                </c:pt>
                <c:pt idx="88">
                  <c:v>1.0198129106602749E-2</c:v>
                </c:pt>
                <c:pt idx="89">
                  <c:v>1.0316507194090026E-2</c:v>
                </c:pt>
                <c:pt idx="90">
                  <c:v>1.043494583657582E-2</c:v>
                </c:pt>
                <c:pt idx="91">
                  <c:v>1.0553445034060133E-2</c:v>
                </c:pt>
                <c:pt idx="92">
                  <c:v>1.0672004786542965E-2</c:v>
                </c:pt>
                <c:pt idx="93">
                  <c:v>1.0790625094024314E-2</c:v>
                </c:pt>
                <c:pt idx="94">
                  <c:v>1.0909305956504184E-2</c:v>
                </c:pt>
                <c:pt idx="95">
                  <c:v>1.102804737398257E-2</c:v>
                </c:pt>
                <c:pt idx="96">
                  <c:v>1.1146849346459476E-2</c:v>
                </c:pt>
                <c:pt idx="97">
                  <c:v>1.12657118739349E-2</c:v>
                </c:pt>
                <c:pt idx="98">
                  <c:v>1.1384634956408842E-2</c:v>
                </c:pt>
                <c:pt idx="99">
                  <c:v>1.1503618593881307E-2</c:v>
                </c:pt>
                <c:pt idx="100">
                  <c:v>1.1622662786352284E-2</c:v>
                </c:pt>
                <c:pt idx="101">
                  <c:v>1.1741767533821782E-2</c:v>
                </c:pt>
                <c:pt idx="102">
                  <c:v>1.1860932836289799E-2</c:v>
                </c:pt>
                <c:pt idx="103">
                  <c:v>1.1980158693756333E-2</c:v>
                </c:pt>
                <c:pt idx="104">
                  <c:v>1.2099445106221388E-2</c:v>
                </c:pt>
                <c:pt idx="105">
                  <c:v>1.2218792073684958E-2</c:v>
                </c:pt>
                <c:pt idx="106">
                  <c:v>1.2338199596147049E-2</c:v>
                </c:pt>
                <c:pt idx="107">
                  <c:v>1.2457667673607658E-2</c:v>
                </c:pt>
                <c:pt idx="108">
                  <c:v>1.2577196306066785E-2</c:v>
                </c:pt>
                <c:pt idx="109">
                  <c:v>1.2696785493524433E-2</c:v>
                </c:pt>
                <c:pt idx="110">
                  <c:v>1.2816435235980597E-2</c:v>
                </c:pt>
                <c:pt idx="111">
                  <c:v>1.2936145533435282E-2</c:v>
                </c:pt>
                <c:pt idx="112">
                  <c:v>1.3055916385888487E-2</c:v>
                </c:pt>
                <c:pt idx="113">
                  <c:v>1.3175747793340204E-2</c:v>
                </c:pt>
                <c:pt idx="114">
                  <c:v>1.3295639755790444E-2</c:v>
                </c:pt>
                <c:pt idx="115">
                  <c:v>1.3415592273239199E-2</c:v>
                </c:pt>
                <c:pt idx="116">
                  <c:v>1.3535605345686477E-2</c:v>
                </c:pt>
                <c:pt idx="117">
                  <c:v>1.3655678973132274E-2</c:v>
                </c:pt>
                <c:pt idx="118">
                  <c:v>1.3775813155576582E-2</c:v>
                </c:pt>
                <c:pt idx="119">
                  <c:v>1.3896007893019419E-2</c:v>
                </c:pt>
                <c:pt idx="120">
                  <c:v>1.4016263185460764E-2</c:v>
                </c:pt>
                <c:pt idx="121">
                  <c:v>1.4136579032900637E-2</c:v>
                </c:pt>
                <c:pt idx="122">
                  <c:v>1.425695543533902E-2</c:v>
                </c:pt>
                <c:pt idx="123">
                  <c:v>1.4377392392775926E-2</c:v>
                </c:pt>
                <c:pt idx="124">
                  <c:v>1.4497889905211349E-2</c:v>
                </c:pt>
                <c:pt idx="125">
                  <c:v>1.4618447972645292E-2</c:v>
                </c:pt>
                <c:pt idx="126">
                  <c:v>1.4739066595077758E-2</c:v>
                </c:pt>
                <c:pt idx="127">
                  <c:v>1.4859745772508733E-2</c:v>
                </c:pt>
                <c:pt idx="128">
                  <c:v>1.4980485504938235E-2</c:v>
                </c:pt>
                <c:pt idx="129">
                  <c:v>1.5101285792366248E-2</c:v>
                </c:pt>
                <c:pt idx="130">
                  <c:v>1.5222146634792783E-2</c:v>
                </c:pt>
                <c:pt idx="131">
                  <c:v>1.5343068032217837E-2</c:v>
                </c:pt>
                <c:pt idx="132">
                  <c:v>1.5464049984641409E-2</c:v>
                </c:pt>
                <c:pt idx="133">
                  <c:v>1.5585092492063499E-2</c:v>
                </c:pt>
                <c:pt idx="134">
                  <c:v>1.5706195554484114E-2</c:v>
                </c:pt>
                <c:pt idx="135">
                  <c:v>1.5827359171903237E-2</c:v>
                </c:pt>
                <c:pt idx="136">
                  <c:v>1.5948583344320883E-2</c:v>
                </c:pt>
                <c:pt idx="137">
                  <c:v>1.6069868071737051E-2</c:v>
                </c:pt>
                <c:pt idx="138">
                  <c:v>1.6191213354151732E-2</c:v>
                </c:pt>
                <c:pt idx="139">
                  <c:v>1.6312619191564938E-2</c:v>
                </c:pt>
                <c:pt idx="140">
                  <c:v>1.6434085583976656E-2</c:v>
                </c:pt>
                <c:pt idx="141">
                  <c:v>1.6555612531386897E-2</c:v>
                </c:pt>
                <c:pt idx="142">
                  <c:v>1.667720003379565E-2</c:v>
                </c:pt>
                <c:pt idx="143">
                  <c:v>1.6798848091202925E-2</c:v>
                </c:pt>
                <c:pt idx="144">
                  <c:v>1.6920556703608723E-2</c:v>
                </c:pt>
                <c:pt idx="145">
                  <c:v>1.704232587101304E-2</c:v>
                </c:pt>
                <c:pt idx="146">
                  <c:v>1.7164155593415865E-2</c:v>
                </c:pt>
                <c:pt idx="147">
                  <c:v>1.7286045870817217E-2</c:v>
                </c:pt>
                <c:pt idx="148">
                  <c:v>1.7407996703217087E-2</c:v>
                </c:pt>
                <c:pt idx="149">
                  <c:v>1.7530008090615477E-2</c:v>
                </c:pt>
                <c:pt idx="150">
                  <c:v>1.7652080033012375E-2</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0.21092</c:v>
                </c:pt>
                <c:pt idx="1">
                  <c:v>0.21112607999999999</c:v>
                </c:pt>
                <c:pt idx="2">
                  <c:v>0.21133215999999999</c:v>
                </c:pt>
                <c:pt idx="3">
                  <c:v>0.21153823999999999</c:v>
                </c:pt>
                <c:pt idx="4">
                  <c:v>0.21174431999999999</c:v>
                </c:pt>
                <c:pt idx="5">
                  <c:v>0.21195039999999998</c:v>
                </c:pt>
                <c:pt idx="6">
                  <c:v>0.21215648000000001</c:v>
                </c:pt>
                <c:pt idx="7">
                  <c:v>0.21236256000000001</c:v>
                </c:pt>
                <c:pt idx="8">
                  <c:v>0.21256864</c:v>
                </c:pt>
                <c:pt idx="9">
                  <c:v>0.21277472</c:v>
                </c:pt>
                <c:pt idx="10">
                  <c:v>0.2129808</c:v>
                </c:pt>
                <c:pt idx="11">
                  <c:v>0.21318688</c:v>
                </c:pt>
                <c:pt idx="12">
                  <c:v>0.21339295999999999</c:v>
                </c:pt>
                <c:pt idx="13">
                  <c:v>0.21359903999999999</c:v>
                </c:pt>
                <c:pt idx="14">
                  <c:v>0.21380511999999999</c:v>
                </c:pt>
                <c:pt idx="15">
                  <c:v>0.21401119999999998</c:v>
                </c:pt>
                <c:pt idx="16">
                  <c:v>0.21421728000000001</c:v>
                </c:pt>
                <c:pt idx="17">
                  <c:v>0.21442336000000001</c:v>
                </c:pt>
                <c:pt idx="18">
                  <c:v>0.21462944</c:v>
                </c:pt>
                <c:pt idx="19">
                  <c:v>0.21483552</c:v>
                </c:pt>
                <c:pt idx="20">
                  <c:v>0.2150416</c:v>
                </c:pt>
                <c:pt idx="21">
                  <c:v>0.21524768</c:v>
                </c:pt>
                <c:pt idx="22">
                  <c:v>0.21545375999999999</c:v>
                </c:pt>
                <c:pt idx="23">
                  <c:v>0.21565983999999999</c:v>
                </c:pt>
                <c:pt idx="24">
                  <c:v>0.21586591999999999</c:v>
                </c:pt>
                <c:pt idx="25">
                  <c:v>0.21607199999999999</c:v>
                </c:pt>
                <c:pt idx="26">
                  <c:v>0.21627807999999998</c:v>
                </c:pt>
                <c:pt idx="27">
                  <c:v>0.21648416000000001</c:v>
                </c:pt>
                <c:pt idx="28">
                  <c:v>0.21669024000000001</c:v>
                </c:pt>
                <c:pt idx="29">
                  <c:v>0.21689632</c:v>
                </c:pt>
                <c:pt idx="30">
                  <c:v>0.2171024</c:v>
                </c:pt>
                <c:pt idx="31">
                  <c:v>0.21730848</c:v>
                </c:pt>
                <c:pt idx="32">
                  <c:v>0.21751456</c:v>
                </c:pt>
                <c:pt idx="33">
                  <c:v>0.21772063999999999</c:v>
                </c:pt>
                <c:pt idx="34">
                  <c:v>0.21792671999999999</c:v>
                </c:pt>
                <c:pt idx="35">
                  <c:v>0.21813279999999999</c:v>
                </c:pt>
                <c:pt idx="36">
                  <c:v>0.21833887999999999</c:v>
                </c:pt>
                <c:pt idx="37">
                  <c:v>0.21854496000000001</c:v>
                </c:pt>
                <c:pt idx="38">
                  <c:v>0.21875104000000001</c:v>
                </c:pt>
                <c:pt idx="39">
                  <c:v>0.21895712000000001</c:v>
                </c:pt>
                <c:pt idx="40">
                  <c:v>0.2191632</c:v>
                </c:pt>
                <c:pt idx="41">
                  <c:v>0.21936928</c:v>
                </c:pt>
                <c:pt idx="42">
                  <c:v>0.21957536</c:v>
                </c:pt>
                <c:pt idx="43">
                  <c:v>0.21978143999999999</c:v>
                </c:pt>
                <c:pt idx="44">
                  <c:v>0.21998751999999999</c:v>
                </c:pt>
                <c:pt idx="45">
                  <c:v>0.22019359999999999</c:v>
                </c:pt>
                <c:pt idx="46">
                  <c:v>0.22039967999999999</c:v>
                </c:pt>
                <c:pt idx="47">
                  <c:v>0.22060575999999998</c:v>
                </c:pt>
                <c:pt idx="48">
                  <c:v>0.22081184000000001</c:v>
                </c:pt>
                <c:pt idx="49">
                  <c:v>0.22101792000000001</c:v>
                </c:pt>
                <c:pt idx="50">
                  <c:v>0.221224</c:v>
                </c:pt>
                <c:pt idx="51">
                  <c:v>0.22143008</c:v>
                </c:pt>
                <c:pt idx="52">
                  <c:v>0.22163616</c:v>
                </c:pt>
                <c:pt idx="53">
                  <c:v>0.22184224</c:v>
                </c:pt>
                <c:pt idx="54">
                  <c:v>0.22204831999999999</c:v>
                </c:pt>
                <c:pt idx="55">
                  <c:v>0.22225439999999999</c:v>
                </c:pt>
                <c:pt idx="56">
                  <c:v>0.22246047999999999</c:v>
                </c:pt>
                <c:pt idx="57">
                  <c:v>0.22266655999999999</c:v>
                </c:pt>
                <c:pt idx="58">
                  <c:v>0.22287264000000001</c:v>
                </c:pt>
                <c:pt idx="59">
                  <c:v>0.22307872000000001</c:v>
                </c:pt>
                <c:pt idx="60">
                  <c:v>0.22328480000000001</c:v>
                </c:pt>
                <c:pt idx="61">
                  <c:v>0.22349088</c:v>
                </c:pt>
                <c:pt idx="62">
                  <c:v>0.22369696</c:v>
                </c:pt>
                <c:pt idx="63">
                  <c:v>0.22390304</c:v>
                </c:pt>
                <c:pt idx="64">
                  <c:v>0.22410911999999999</c:v>
                </c:pt>
                <c:pt idx="65">
                  <c:v>0.22431519999999999</c:v>
                </c:pt>
                <c:pt idx="66">
                  <c:v>0.22452127999999999</c:v>
                </c:pt>
                <c:pt idx="67">
                  <c:v>0.22472735999999999</c:v>
                </c:pt>
                <c:pt idx="68">
                  <c:v>0.22493343999999998</c:v>
                </c:pt>
                <c:pt idx="69">
                  <c:v>0.22513951999999998</c:v>
                </c:pt>
                <c:pt idx="70">
                  <c:v>0.22534560000000001</c:v>
                </c:pt>
                <c:pt idx="71">
                  <c:v>0.22555168</c:v>
                </c:pt>
                <c:pt idx="72">
                  <c:v>0.22575776</c:v>
                </c:pt>
                <c:pt idx="73">
                  <c:v>0.22596384</c:v>
                </c:pt>
                <c:pt idx="74">
                  <c:v>0.22616992</c:v>
                </c:pt>
                <c:pt idx="75">
                  <c:v>0.22637599999999999</c:v>
                </c:pt>
                <c:pt idx="76">
                  <c:v>0.22658207999999999</c:v>
                </c:pt>
                <c:pt idx="77">
                  <c:v>0.22678815999999999</c:v>
                </c:pt>
                <c:pt idx="78">
                  <c:v>0.22699424000000001</c:v>
                </c:pt>
                <c:pt idx="79">
                  <c:v>0.22720032000000001</c:v>
                </c:pt>
                <c:pt idx="80">
                  <c:v>0.22740640000000001</c:v>
                </c:pt>
                <c:pt idx="81">
                  <c:v>0.22761248000000001</c:v>
                </c:pt>
                <c:pt idx="82">
                  <c:v>0.22781856</c:v>
                </c:pt>
                <c:pt idx="83">
                  <c:v>0.22802464</c:v>
                </c:pt>
                <c:pt idx="84">
                  <c:v>0.22823072</c:v>
                </c:pt>
                <c:pt idx="85">
                  <c:v>0.2284368</c:v>
                </c:pt>
                <c:pt idx="86">
                  <c:v>0.22864287999999999</c:v>
                </c:pt>
                <c:pt idx="87">
                  <c:v>0.22884895999999999</c:v>
                </c:pt>
                <c:pt idx="88">
                  <c:v>0.22905503999999999</c:v>
                </c:pt>
                <c:pt idx="89">
                  <c:v>0.22926111999999998</c:v>
                </c:pt>
                <c:pt idx="90">
                  <c:v>0.22946720000000001</c:v>
                </c:pt>
                <c:pt idx="91">
                  <c:v>0.22967328000000001</c:v>
                </c:pt>
                <c:pt idx="92">
                  <c:v>0.22987936</c:v>
                </c:pt>
                <c:pt idx="93">
                  <c:v>0.23008544</c:v>
                </c:pt>
                <c:pt idx="94">
                  <c:v>0.23029152</c:v>
                </c:pt>
                <c:pt idx="95">
                  <c:v>0.2304976</c:v>
                </c:pt>
                <c:pt idx="96">
                  <c:v>0.23070367999999999</c:v>
                </c:pt>
                <c:pt idx="97">
                  <c:v>0.23090975999999999</c:v>
                </c:pt>
                <c:pt idx="98">
                  <c:v>0.23111583999999999</c:v>
                </c:pt>
                <c:pt idx="99">
                  <c:v>0.23132191999999999</c:v>
                </c:pt>
                <c:pt idx="100">
                  <c:v>0.23152800000000001</c:v>
                </c:pt>
                <c:pt idx="101">
                  <c:v>0.23173408000000001</c:v>
                </c:pt>
                <c:pt idx="102">
                  <c:v>0.23194016000000001</c:v>
                </c:pt>
                <c:pt idx="103">
                  <c:v>0.23214624</c:v>
                </c:pt>
                <c:pt idx="104">
                  <c:v>0.23235232</c:v>
                </c:pt>
                <c:pt idx="105">
                  <c:v>0.2325584</c:v>
                </c:pt>
                <c:pt idx="106">
                  <c:v>0.23276448</c:v>
                </c:pt>
                <c:pt idx="107">
                  <c:v>0.23297055999999999</c:v>
                </c:pt>
                <c:pt idx="108">
                  <c:v>0.23317663999999999</c:v>
                </c:pt>
                <c:pt idx="109">
                  <c:v>0.23338271999999999</c:v>
                </c:pt>
                <c:pt idx="110">
                  <c:v>0.23358879999999999</c:v>
                </c:pt>
                <c:pt idx="111">
                  <c:v>0.23379487999999998</c:v>
                </c:pt>
                <c:pt idx="112">
                  <c:v>0.23400096000000001</c:v>
                </c:pt>
                <c:pt idx="113">
                  <c:v>0.23420704000000001</c:v>
                </c:pt>
                <c:pt idx="114">
                  <c:v>0.23441312</c:v>
                </c:pt>
                <c:pt idx="115">
                  <c:v>0.2346192</c:v>
                </c:pt>
                <c:pt idx="116">
                  <c:v>0.23482528</c:v>
                </c:pt>
                <c:pt idx="117">
                  <c:v>0.23503135999999999</c:v>
                </c:pt>
                <c:pt idx="118">
                  <c:v>0.23523743999999999</c:v>
                </c:pt>
                <c:pt idx="119">
                  <c:v>0.23544351999999999</c:v>
                </c:pt>
                <c:pt idx="120">
                  <c:v>0.23564959999999999</c:v>
                </c:pt>
                <c:pt idx="121">
                  <c:v>0.23585568000000001</c:v>
                </c:pt>
                <c:pt idx="122">
                  <c:v>0.23606176000000001</c:v>
                </c:pt>
                <c:pt idx="123">
                  <c:v>0.23626784000000001</c:v>
                </c:pt>
                <c:pt idx="124">
                  <c:v>0.23647392</c:v>
                </c:pt>
                <c:pt idx="125">
                  <c:v>0.23668</c:v>
                </c:pt>
                <c:pt idx="126">
                  <c:v>0.23688608</c:v>
                </c:pt>
                <c:pt idx="127">
                  <c:v>0.23709216</c:v>
                </c:pt>
                <c:pt idx="128">
                  <c:v>0.23729823999999999</c:v>
                </c:pt>
                <c:pt idx="129">
                  <c:v>0.23750431999999999</c:v>
                </c:pt>
                <c:pt idx="130">
                  <c:v>0.23771039999999999</c:v>
                </c:pt>
                <c:pt idx="131">
                  <c:v>0.23791647999999999</c:v>
                </c:pt>
                <c:pt idx="132">
                  <c:v>0.23812255999999998</c:v>
                </c:pt>
                <c:pt idx="133">
                  <c:v>0.23832864000000001</c:v>
                </c:pt>
                <c:pt idx="134">
                  <c:v>0.23853472000000001</c:v>
                </c:pt>
                <c:pt idx="135">
                  <c:v>0.2387408</c:v>
                </c:pt>
                <c:pt idx="136">
                  <c:v>0.23894688</c:v>
                </c:pt>
                <c:pt idx="137">
                  <c:v>0.23915296</c:v>
                </c:pt>
                <c:pt idx="138">
                  <c:v>0.23935904</c:v>
                </c:pt>
                <c:pt idx="139">
                  <c:v>0.23956511999999999</c:v>
                </c:pt>
                <c:pt idx="140">
                  <c:v>0.23977119999999999</c:v>
                </c:pt>
                <c:pt idx="141">
                  <c:v>0.23997727999999999</c:v>
                </c:pt>
                <c:pt idx="142">
                  <c:v>0.24018336000000001</c:v>
                </c:pt>
                <c:pt idx="143">
                  <c:v>0.24038944000000001</c:v>
                </c:pt>
                <c:pt idx="144">
                  <c:v>0.24059552000000001</c:v>
                </c:pt>
                <c:pt idx="145">
                  <c:v>0.2408016</c:v>
                </c:pt>
                <c:pt idx="146">
                  <c:v>0.24100768</c:v>
                </c:pt>
                <c:pt idx="147">
                  <c:v>0.24121376</c:v>
                </c:pt>
                <c:pt idx="148">
                  <c:v>0.24141984</c:v>
                </c:pt>
                <c:pt idx="149">
                  <c:v>0.24162591999999999</c:v>
                </c:pt>
                <c:pt idx="150">
                  <c:v>0.24183199999999999</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1.8283074847214152E-6</c:v>
                </c:pt>
                <c:pt idx="2">
                  <c:v>5.1712344821625288E-6</c:v>
                </c:pt>
                <c:pt idx="3">
                  <c:v>9.5001643661878514E-6</c:v>
                </c:pt>
                <c:pt idx="4">
                  <c:v>1.4626459877771323E-5</c:v>
                </c:pt>
                <c:pt idx="5">
                  <c:v>2.0441099098043695E-5</c:v>
                </c:pt>
                <c:pt idx="6">
                  <c:v>2.6870522582872909E-5</c:v>
                </c:pt>
                <c:pt idx="7">
                  <c:v>3.3860728473116205E-5</c:v>
                </c:pt>
                <c:pt idx="8">
                  <c:v>4.136987585730023E-5</c:v>
                </c:pt>
                <c:pt idx="9">
                  <c:v>4.9364302087478198E-5</c:v>
                </c:pt>
                <c:pt idx="10">
                  <c:v>5.7816159148531678E-5</c:v>
                </c:pt>
                <c:pt idx="11">
                  <c:v>6.6701909210413064E-5</c:v>
                </c:pt>
                <c:pt idx="12">
                  <c:v>7.6001314929502798E-5</c:v>
                </c:pt>
                <c:pt idx="13">
                  <c:v>8.5696732985209557E-5</c:v>
                </c:pt>
                <c:pt idx="14">
                  <c:v>9.5772602877027533E-5</c:v>
                </c:pt>
                <c:pt idx="15">
                  <c:v>1.0621506660108619E-4</c:v>
                </c:pt>
                <c:pt idx="16">
                  <c:v>1.1701167902217057E-4</c:v>
                </c:pt>
                <c:pt idx="17">
                  <c:v>1.2815118288543354E-4</c:v>
                </c:pt>
                <c:pt idx="18">
                  <c:v>1.3962333101838836E-4</c:v>
                </c:pt>
                <c:pt idx="19">
                  <c:v>1.5141874370877385E-4</c:v>
                </c:pt>
                <c:pt idx="20">
                  <c:v>1.6352879278434956E-4</c:v>
                </c:pt>
                <c:pt idx="21">
                  <c:v>1.7594550629019417E-4</c:v>
                </c:pt>
                <c:pt idx="22">
                  <c:v>1.8866148928309013E-4</c:v>
                </c:pt>
                <c:pt idx="23">
                  <c:v>2.0166985739931772E-4</c:v>
                </c:pt>
                <c:pt idx="24">
                  <c:v>2.1496418066298324E-4</c:v>
                </c:pt>
                <c:pt idx="25">
                  <c:v>2.2853843559017678E-4</c:v>
                </c:pt>
                <c:pt idx="26">
                  <c:v>2.4238696407749818E-4</c:v>
                </c:pt>
                <c:pt idx="27">
                  <c:v>2.5650443788707183E-4</c:v>
                </c:pt>
                <c:pt idx="28">
                  <c:v>2.7088582778492958E-4</c:v>
                </c:pt>
                <c:pt idx="29">
                  <c:v>2.855263765769288E-4</c:v>
                </c:pt>
                <c:pt idx="30">
                  <c:v>3.004215754312352E-4</c:v>
                </c:pt>
                <c:pt idx="31">
                  <c:v>3.1556714298954598E-4</c:v>
                </c:pt>
                <c:pt idx="32">
                  <c:v>3.3095900685840184E-4</c:v>
                </c:pt>
                <c:pt idx="33">
                  <c:v>3.4659328714284587E-4</c:v>
                </c:pt>
                <c:pt idx="34">
                  <c:v>3.6246628174147003E-4</c:v>
                </c:pt>
                <c:pt idx="35">
                  <c:v>3.7857445316775247E-4</c:v>
                </c:pt>
                <c:pt idx="36">
                  <c:v>3.9491441669982559E-4</c:v>
                </c:pt>
                <c:pt idx="37">
                  <c:v>4.114829296913067E-4</c:v>
                </c:pt>
                <c:pt idx="38">
                  <c:v>4.2827688190088777E-4</c:v>
                </c:pt>
                <c:pt idx="39">
                  <c:v>4.4529328671913989E-4</c:v>
                </c:pt>
                <c:pt idx="40">
                  <c:v>4.6252927318825348E-4</c:v>
                </c:pt>
                <c:pt idx="41">
                  <c:v>4.7998207872488252E-4</c:v>
                </c:pt>
                <c:pt idx="42">
                  <c:v>4.9764904246838684E-4</c:v>
                </c:pt>
                <c:pt idx="43">
                  <c:v>5.155275991870214E-4</c:v>
                </c:pt>
                <c:pt idx="44">
                  <c:v>5.3361527368330451E-4</c:v>
                </c:pt>
                <c:pt idx="45">
                  <c:v>5.519096756471803E-4</c:v>
                </c:pt>
                <c:pt idx="46">
                  <c:v>5.7040849491192622E-4</c:v>
                </c:pt>
                <c:pt idx="47">
                  <c:v>6.9284716558927289E-4</c:v>
                </c:pt>
                <c:pt idx="48">
                  <c:v>7.1632767521890217E-4</c:v>
                </c:pt>
                <c:pt idx="49">
                  <c:v>7.4030251136705046E-4</c:v>
                </c:pt>
                <c:pt idx="50">
                  <c:v>7.6477167403371689E-4</c:v>
                </c:pt>
                <c:pt idx="51">
                  <c:v>7.897351632189019E-4</c:v>
                </c:pt>
                <c:pt idx="52">
                  <c:v>8.1519297892260656E-4</c:v>
                </c:pt>
                <c:pt idx="53">
                  <c:v>8.4114512114482807E-4</c:v>
                </c:pt>
                <c:pt idx="54">
                  <c:v>8.6759158988556891E-4</c:v>
                </c:pt>
                <c:pt idx="55">
                  <c:v>8.9453238514482778E-4</c:v>
                </c:pt>
                <c:pt idx="56">
                  <c:v>9.219675069226062E-4</c:v>
                </c:pt>
                <c:pt idx="57">
                  <c:v>9.4989695521890223E-4</c:v>
                </c:pt>
                <c:pt idx="58">
                  <c:v>9.7832073003371726E-4</c:v>
                </c:pt>
                <c:pt idx="59">
                  <c:v>1.0072388313670504E-3</c:v>
                </c:pt>
                <c:pt idx="60">
                  <c:v>1.0366512592189024E-3</c:v>
                </c:pt>
                <c:pt idx="61">
                  <c:v>1.0665580135892725E-3</c:v>
                </c:pt>
                <c:pt idx="62">
                  <c:v>1.096959094478161E-3</c:v>
                </c:pt>
                <c:pt idx="63">
                  <c:v>1.1278545018855689E-3</c:v>
                </c:pt>
                <c:pt idx="64">
                  <c:v>1.1592442358114954E-3</c:v>
                </c:pt>
                <c:pt idx="65">
                  <c:v>1.1911282962559391E-3</c:v>
                </c:pt>
                <c:pt idx="66">
                  <c:v>1.2235066832189025E-3</c:v>
                </c:pt>
                <c:pt idx="67">
                  <c:v>1.2563793967003839E-3</c:v>
                </c:pt>
                <c:pt idx="68">
                  <c:v>1.2897464367003836E-3</c:v>
                </c:pt>
                <c:pt idx="69">
                  <c:v>1.3236078032189023E-3</c:v>
                </c:pt>
                <c:pt idx="70">
                  <c:v>1.3579634962559387E-3</c:v>
                </c:pt>
                <c:pt idx="71">
                  <c:v>1.3928135158114952E-3</c:v>
                </c:pt>
                <c:pt idx="72">
                  <c:v>1.4281578618855683E-3</c:v>
                </c:pt>
                <c:pt idx="73">
                  <c:v>1.4639965344781618E-3</c:v>
                </c:pt>
                <c:pt idx="74">
                  <c:v>1.5003295335892731E-3</c:v>
                </c:pt>
                <c:pt idx="75">
                  <c:v>1.5371568592189018E-3</c:v>
                </c:pt>
                <c:pt idx="76">
                  <c:v>1.5744785113670509E-3</c:v>
                </c:pt>
                <c:pt idx="77">
                  <c:v>1.612294490033717E-3</c:v>
                </c:pt>
                <c:pt idx="78">
                  <c:v>1.6506047952189026E-3</c:v>
                </c:pt>
                <c:pt idx="79">
                  <c:v>1.6894094269226058E-3</c:v>
                </c:pt>
                <c:pt idx="80">
                  <c:v>1.7287083851448284E-3</c:v>
                </c:pt>
                <c:pt idx="81">
                  <c:v>1.76850166988557E-3</c:v>
                </c:pt>
                <c:pt idx="82">
                  <c:v>1.8087892811448278E-3</c:v>
                </c:pt>
                <c:pt idx="83">
                  <c:v>1.8495712189226065E-3</c:v>
                </c:pt>
                <c:pt idx="84">
                  <c:v>1.8908474832189019E-3</c:v>
                </c:pt>
                <c:pt idx="85">
                  <c:v>1.9326180740337168E-3</c:v>
                </c:pt>
                <c:pt idx="86">
                  <c:v>1.9748829913670508E-3</c:v>
                </c:pt>
                <c:pt idx="87">
                  <c:v>2.0176422352189013E-3</c:v>
                </c:pt>
                <c:pt idx="88">
                  <c:v>2.0608958055892733E-3</c:v>
                </c:pt>
                <c:pt idx="89">
                  <c:v>2.1046437024781614E-3</c:v>
                </c:pt>
                <c:pt idx="90">
                  <c:v>2.1488859258855693E-3</c:v>
                </c:pt>
                <c:pt idx="91">
                  <c:v>2.1936224758114936E-3</c:v>
                </c:pt>
                <c:pt idx="92">
                  <c:v>2.2388533522559395E-3</c:v>
                </c:pt>
                <c:pt idx="93">
                  <c:v>2.2845785552189032E-3</c:v>
                </c:pt>
                <c:pt idx="94">
                  <c:v>2.3307980847003828E-3</c:v>
                </c:pt>
                <c:pt idx="95">
                  <c:v>2.3775119407003845E-3</c:v>
                </c:pt>
                <c:pt idx="96">
                  <c:v>2.4247201232189025E-3</c:v>
                </c:pt>
                <c:pt idx="97">
                  <c:v>2.4724226322559396E-3</c:v>
                </c:pt>
                <c:pt idx="98">
                  <c:v>2.520619467811494E-3</c:v>
                </c:pt>
                <c:pt idx="99">
                  <c:v>2.569310629885569E-3</c:v>
                </c:pt>
                <c:pt idx="100">
                  <c:v>2.618496118478161E-3</c:v>
                </c:pt>
                <c:pt idx="101">
                  <c:v>2.6681759335892715E-3</c:v>
                </c:pt>
                <c:pt idx="102">
                  <c:v>2.7183500752189006E-3</c:v>
                </c:pt>
                <c:pt idx="103">
                  <c:v>2.7690185433670491E-3</c:v>
                </c:pt>
                <c:pt idx="104">
                  <c:v>2.8201813380337175E-3</c:v>
                </c:pt>
                <c:pt idx="105">
                  <c:v>2.871838459218901E-3</c:v>
                </c:pt>
                <c:pt idx="106">
                  <c:v>2.9239899069226066E-3</c:v>
                </c:pt>
                <c:pt idx="107">
                  <c:v>2.9766356811448264E-3</c:v>
                </c:pt>
                <c:pt idx="108">
                  <c:v>3.0297757818855691E-3</c:v>
                </c:pt>
                <c:pt idx="109">
                  <c:v>3.0834102091448286E-3</c:v>
                </c:pt>
                <c:pt idx="110">
                  <c:v>3.1375389629226037E-3</c:v>
                </c:pt>
                <c:pt idx="111">
                  <c:v>3.192162043218903E-3</c:v>
                </c:pt>
                <c:pt idx="112">
                  <c:v>3.2472794500337178E-3</c:v>
                </c:pt>
                <c:pt idx="113">
                  <c:v>3.3028911833670499E-3</c:v>
                </c:pt>
                <c:pt idx="114">
                  <c:v>3.3589972432189032E-3</c:v>
                </c:pt>
                <c:pt idx="115">
                  <c:v>3.415597629589272E-3</c:v>
                </c:pt>
                <c:pt idx="116">
                  <c:v>3.4726923424781616E-3</c:v>
                </c:pt>
                <c:pt idx="117">
                  <c:v>3.5302813818855693E-3</c:v>
                </c:pt>
                <c:pt idx="118">
                  <c:v>3.5883647478114952E-3</c:v>
                </c:pt>
                <c:pt idx="119">
                  <c:v>3.6469424402559396E-3</c:v>
                </c:pt>
                <c:pt idx="120">
                  <c:v>3.7060144592189008E-3</c:v>
                </c:pt>
                <c:pt idx="121">
                  <c:v>3.7655808047003842E-3</c:v>
                </c:pt>
                <c:pt idx="122">
                  <c:v>3.8256414767003817E-3</c:v>
                </c:pt>
                <c:pt idx="123">
                  <c:v>3.8861964752189017E-3</c:v>
                </c:pt>
                <c:pt idx="124">
                  <c:v>3.947245800255939E-3</c:v>
                </c:pt>
                <c:pt idx="125">
                  <c:v>4.0087894518114949E-3</c:v>
                </c:pt>
                <c:pt idx="126">
                  <c:v>4.0708274298855698E-3</c:v>
                </c:pt>
                <c:pt idx="127">
                  <c:v>4.1333597344781611E-3</c:v>
                </c:pt>
                <c:pt idx="128">
                  <c:v>4.1963863655892731E-3</c:v>
                </c:pt>
                <c:pt idx="129">
                  <c:v>4.2599073232189016E-3</c:v>
                </c:pt>
                <c:pt idx="130">
                  <c:v>4.3239226073670508E-3</c:v>
                </c:pt>
                <c:pt idx="131">
                  <c:v>4.3884322180337172E-3</c:v>
                </c:pt>
                <c:pt idx="132">
                  <c:v>4.4534361552189027E-3</c:v>
                </c:pt>
                <c:pt idx="133">
                  <c:v>4.5189344189226063E-3</c:v>
                </c:pt>
                <c:pt idx="134">
                  <c:v>4.5849270091448298E-3</c:v>
                </c:pt>
                <c:pt idx="135">
                  <c:v>4.6514139258855688E-3</c:v>
                </c:pt>
                <c:pt idx="136">
                  <c:v>4.718395169144826E-3</c:v>
                </c:pt>
                <c:pt idx="137">
                  <c:v>4.7858707389226074E-3</c:v>
                </c:pt>
                <c:pt idx="138">
                  <c:v>4.8538406352189017E-3</c:v>
                </c:pt>
                <c:pt idx="139">
                  <c:v>4.9223048580337185E-3</c:v>
                </c:pt>
                <c:pt idx="140">
                  <c:v>4.9912634073670499E-3</c:v>
                </c:pt>
                <c:pt idx="141">
                  <c:v>5.0607162832189021E-3</c:v>
                </c:pt>
                <c:pt idx="142">
                  <c:v>5.1306634855892708E-3</c:v>
                </c:pt>
                <c:pt idx="143">
                  <c:v>5.2011050144781601E-3</c:v>
                </c:pt>
                <c:pt idx="144">
                  <c:v>5.2720408698855694E-3</c:v>
                </c:pt>
                <c:pt idx="145">
                  <c:v>5.3434710518114924E-3</c:v>
                </c:pt>
                <c:pt idx="146">
                  <c:v>5.4153955602559379E-3</c:v>
                </c:pt>
                <c:pt idx="147">
                  <c:v>5.4878143952189033E-3</c:v>
                </c:pt>
                <c:pt idx="148">
                  <c:v>5.560727556700386E-3</c:v>
                </c:pt>
                <c:pt idx="149">
                  <c:v>5.6341350447003851E-3</c:v>
                </c:pt>
                <c:pt idx="150">
                  <c:v>5.7080368592189023E-3</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20"/>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594360</xdr:colOff>
          <xdr:row>30</xdr:row>
          <xdr:rowOff>91440</xdr:rowOff>
        </xdr:from>
        <xdr:to>
          <xdr:col>16</xdr:col>
          <xdr:colOff>220980</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510540</xdr:colOff>
          <xdr:row>56</xdr:row>
          <xdr:rowOff>0</xdr:rowOff>
        </xdr:from>
        <xdr:to>
          <xdr:col>8</xdr:col>
          <xdr:colOff>15240</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20</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20</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83°</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0.5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79"/>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60960</xdr:colOff>
          <xdr:row>154</xdr:row>
          <xdr:rowOff>137160</xdr:rowOff>
        </xdr:from>
        <xdr:to>
          <xdr:col>12</xdr:col>
          <xdr:colOff>396240</xdr:colOff>
          <xdr:row>157</xdr:row>
          <xdr:rowOff>22860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topLeftCell="A4" zoomScaleNormal="100" workbookViewId="0">
      <selection activeCell="H53" sqref="H53"/>
    </sheetView>
  </sheetViews>
  <sheetFormatPr defaultColWidth="8.88671875" defaultRowHeight="14.4" x14ac:dyDescent="0.3"/>
  <cols>
    <col min="1" max="5" width="8.88671875" style="57" customWidth="1"/>
    <col min="6" max="6" width="12.6640625" style="57" bestFit="1" customWidth="1"/>
    <col min="7" max="7" width="8.88671875" style="113" customWidth="1"/>
    <col min="8" max="8" width="12" style="57" bestFit="1" customWidth="1"/>
    <col min="9" max="9" width="4.21875" style="57" bestFit="1" customWidth="1"/>
    <col min="10" max="10" width="4.6640625" style="57" customWidth="1"/>
    <col min="11" max="21" width="8.88671875" style="57" customWidth="1"/>
    <col min="22" max="22" width="7.21875" style="57" customWidth="1"/>
    <col min="23" max="26" width="8.88671875" style="57" customWidth="1"/>
    <col min="27" max="27" width="1.6640625" style="114" customWidth="1"/>
    <col min="28" max="16384" width="8.88671875" style="57"/>
  </cols>
  <sheetData>
    <row r="1" spans="1:27" ht="46.95" customHeight="1" x14ac:dyDescent="0.3">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3">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3">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3">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3">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5" thickBot="1" x14ac:dyDescent="0.35">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ht="15" x14ac:dyDescent="0.35">
      <c r="A7" s="71"/>
      <c r="B7" s="72"/>
      <c r="C7" s="72"/>
      <c r="D7" s="72"/>
      <c r="E7" s="72"/>
      <c r="F7" s="72"/>
      <c r="G7" s="73" t="s">
        <v>4</v>
      </c>
      <c r="H7" s="116">
        <v>19.7</v>
      </c>
      <c r="I7" s="74" t="s">
        <v>10</v>
      </c>
      <c r="J7" s="67"/>
      <c r="K7" s="67"/>
      <c r="L7" s="67"/>
      <c r="M7" s="67"/>
      <c r="N7" s="67"/>
      <c r="O7" s="67"/>
      <c r="P7" s="67"/>
      <c r="Q7" s="67"/>
      <c r="R7" s="67"/>
      <c r="S7" s="67"/>
      <c r="T7" s="67"/>
      <c r="U7" s="67"/>
      <c r="V7" s="67"/>
      <c r="W7" s="67"/>
      <c r="X7" s="67"/>
      <c r="Y7" s="67"/>
      <c r="Z7" s="67"/>
      <c r="AA7" s="56"/>
    </row>
    <row r="8" spans="1:27" ht="15" x14ac:dyDescent="0.35">
      <c r="A8" s="75"/>
      <c r="B8" s="67"/>
      <c r="C8" s="67"/>
      <c r="D8" s="67"/>
      <c r="E8" s="67"/>
      <c r="F8" s="67"/>
      <c r="G8" s="76" t="s">
        <v>5</v>
      </c>
      <c r="H8" s="117">
        <v>20</v>
      </c>
      <c r="I8" s="77" t="s">
        <v>10</v>
      </c>
      <c r="J8" s="67"/>
      <c r="K8" s="67"/>
      <c r="L8" s="67"/>
      <c r="M8" s="67"/>
      <c r="N8" s="67"/>
      <c r="O8" s="67"/>
      <c r="P8" s="67"/>
      <c r="Q8" s="67"/>
      <c r="R8" s="67"/>
      <c r="S8" s="67"/>
      <c r="T8" s="67"/>
      <c r="U8" s="67"/>
      <c r="V8" s="67"/>
      <c r="W8" s="67"/>
      <c r="X8" s="67"/>
      <c r="Y8" s="67"/>
      <c r="Z8" s="67"/>
      <c r="AA8" s="56"/>
    </row>
    <row r="9" spans="1:27" ht="15" x14ac:dyDescent="0.35">
      <c r="A9" s="75"/>
      <c r="B9" s="67"/>
      <c r="C9" s="67"/>
      <c r="D9" s="67"/>
      <c r="E9" s="67"/>
      <c r="F9" s="67"/>
      <c r="G9" s="76" t="s">
        <v>6</v>
      </c>
      <c r="H9" s="117">
        <v>20.3</v>
      </c>
      <c r="I9" s="77" t="s">
        <v>10</v>
      </c>
      <c r="J9" s="67"/>
      <c r="K9" s="67"/>
      <c r="L9" s="67"/>
      <c r="M9" s="67"/>
      <c r="N9" s="67"/>
      <c r="O9" s="67"/>
      <c r="P9" s="67"/>
      <c r="Q9" s="67"/>
      <c r="R9" s="67"/>
      <c r="S9" s="67"/>
      <c r="T9" s="67"/>
      <c r="U9" s="67"/>
      <c r="V9" s="67"/>
      <c r="W9" s="67"/>
      <c r="X9" s="67"/>
      <c r="Y9" s="67"/>
      <c r="Z9" s="67"/>
      <c r="AA9" s="56"/>
    </row>
    <row r="10" spans="1:27" ht="15" x14ac:dyDescent="0.35">
      <c r="A10" s="75"/>
      <c r="B10" s="67"/>
      <c r="C10" s="67"/>
      <c r="D10" s="67"/>
      <c r="E10" s="67"/>
      <c r="F10" s="67"/>
      <c r="G10" s="76" t="s">
        <v>540</v>
      </c>
      <c r="H10" s="117">
        <v>210</v>
      </c>
      <c r="I10" s="77" t="s">
        <v>10</v>
      </c>
      <c r="J10" s="67"/>
      <c r="K10" s="67"/>
      <c r="L10" s="67"/>
      <c r="M10" s="67"/>
      <c r="N10" s="67"/>
      <c r="O10" s="67"/>
      <c r="P10" s="67"/>
      <c r="Q10" s="67"/>
      <c r="R10" s="67"/>
      <c r="S10" s="67"/>
      <c r="T10" s="67"/>
      <c r="U10" s="67"/>
      <c r="V10" s="67"/>
      <c r="W10" s="67"/>
      <c r="X10" s="67"/>
      <c r="Y10" s="67"/>
      <c r="Z10" s="67"/>
      <c r="AA10" s="56"/>
    </row>
    <row r="11" spans="1:27" ht="15" x14ac:dyDescent="0.35">
      <c r="A11" s="75"/>
      <c r="B11" s="67"/>
      <c r="C11" s="67"/>
      <c r="D11" s="67"/>
      <c r="E11" s="67"/>
      <c r="F11" s="67"/>
      <c r="G11" s="76" t="s">
        <v>7</v>
      </c>
      <c r="H11" s="117">
        <f>12*((2.5+0.3)*0.001)</f>
        <v>3.3599999999999998E-2</v>
      </c>
      <c r="I11" s="77" t="s">
        <v>11</v>
      </c>
      <c r="J11" s="67"/>
      <c r="K11" s="67"/>
      <c r="L11" s="67"/>
      <c r="M11" s="67"/>
      <c r="N11" s="67"/>
      <c r="O11" s="67"/>
      <c r="P11" s="67"/>
      <c r="Q11" s="67"/>
      <c r="R11" s="67"/>
      <c r="S11" s="67"/>
      <c r="T11" s="67"/>
      <c r="U11" s="67"/>
      <c r="V11" s="67"/>
      <c r="W11" s="67"/>
      <c r="X11" s="67"/>
      <c r="Y11" s="67"/>
      <c r="Z11" s="67"/>
      <c r="AA11" s="56"/>
    </row>
    <row r="12" spans="1:27" ht="15" x14ac:dyDescent="0.35">
      <c r="A12" s="75"/>
      <c r="B12" s="67"/>
      <c r="C12" s="67"/>
      <c r="D12" s="67"/>
      <c r="E12" s="67"/>
      <c r="F12" s="67"/>
      <c r="G12" s="76" t="s">
        <v>8</v>
      </c>
      <c r="H12" s="117">
        <v>100</v>
      </c>
      <c r="I12" s="77" t="s">
        <v>12</v>
      </c>
      <c r="J12" s="67"/>
      <c r="K12" s="67"/>
      <c r="L12" s="67"/>
      <c r="M12" s="67"/>
      <c r="N12" s="67"/>
      <c r="O12" s="67"/>
      <c r="P12" s="67"/>
      <c r="Q12" s="67"/>
      <c r="R12" s="67"/>
      <c r="S12" s="67"/>
      <c r="T12" s="67"/>
      <c r="U12" s="67"/>
      <c r="V12" s="67"/>
      <c r="W12" s="67"/>
      <c r="X12" s="67"/>
      <c r="Y12" s="67"/>
      <c r="Z12" s="67"/>
      <c r="AA12" s="56"/>
    </row>
    <row r="13" spans="1:27" ht="15" x14ac:dyDescent="0.35">
      <c r="A13" s="75"/>
      <c r="B13" s="67"/>
      <c r="C13" s="67"/>
      <c r="D13" s="67"/>
      <c r="E13" s="67"/>
      <c r="F13" s="67"/>
      <c r="G13" s="76" t="s">
        <v>75</v>
      </c>
      <c r="H13" s="118">
        <f>RT/1000</f>
        <v>220.04499999999999</v>
      </c>
      <c r="I13" s="77" t="s">
        <v>76</v>
      </c>
      <c r="J13" s="67"/>
      <c r="K13" s="67"/>
      <c r="L13" s="67"/>
      <c r="M13" s="67"/>
      <c r="N13" s="67"/>
      <c r="O13" s="67"/>
      <c r="P13" s="67"/>
      <c r="Q13" s="67"/>
      <c r="R13" s="67"/>
      <c r="S13" s="67"/>
      <c r="T13" s="67"/>
      <c r="U13" s="67"/>
      <c r="V13" s="67"/>
      <c r="W13" s="67"/>
      <c r="X13" s="67"/>
      <c r="Y13" s="67"/>
      <c r="Z13" s="67"/>
      <c r="AA13" s="56"/>
    </row>
    <row r="14" spans="1:27" x14ac:dyDescent="0.3">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ht="15" x14ac:dyDescent="0.35">
      <c r="A15" s="75"/>
      <c r="B15" s="67"/>
      <c r="C15" s="67"/>
      <c r="D15" s="67"/>
      <c r="E15" s="67"/>
      <c r="F15" s="67"/>
      <c r="G15" s="76" t="s">
        <v>14</v>
      </c>
      <c r="H15" s="119">
        <f>POUT</f>
        <v>7.0559999999999992</v>
      </c>
      <c r="I15" s="77" t="s">
        <v>38</v>
      </c>
      <c r="J15" s="67"/>
      <c r="K15" s="67"/>
      <c r="L15" s="67"/>
      <c r="M15" s="67"/>
      <c r="N15" s="67"/>
      <c r="O15" s="67"/>
      <c r="P15" s="67"/>
      <c r="Q15" s="67"/>
      <c r="R15" s="67"/>
      <c r="S15" s="67"/>
      <c r="T15" s="67"/>
      <c r="U15" s="67"/>
      <c r="V15" s="67"/>
      <c r="W15" s="67"/>
      <c r="X15" s="67"/>
      <c r="Y15" s="67"/>
      <c r="Z15" s="67"/>
      <c r="AA15" s="56"/>
    </row>
    <row r="16" spans="1:27" ht="15" x14ac:dyDescent="0.35">
      <c r="A16" s="78"/>
      <c r="B16" s="79"/>
      <c r="C16" s="79"/>
      <c r="D16" s="79"/>
      <c r="E16" s="79"/>
      <c r="F16" s="67"/>
      <c r="G16" s="80" t="s">
        <v>486</v>
      </c>
      <c r="H16" s="119">
        <f>Dc_max_IC*100</f>
        <v>93</v>
      </c>
      <c r="I16" s="77" t="s">
        <v>13</v>
      </c>
      <c r="J16" s="67"/>
      <c r="K16" s="67"/>
      <c r="L16" s="67"/>
      <c r="M16" s="67"/>
      <c r="N16" s="67"/>
      <c r="O16" s="67"/>
      <c r="P16" s="67"/>
      <c r="Q16" s="67"/>
      <c r="R16" s="67"/>
      <c r="S16" s="67"/>
      <c r="T16" s="67"/>
      <c r="U16" s="67"/>
      <c r="V16" s="67"/>
      <c r="W16" s="67"/>
      <c r="X16" s="67"/>
      <c r="Y16" s="67"/>
      <c r="Z16" s="67"/>
      <c r="AA16" s="56"/>
    </row>
    <row r="17" spans="1:27" ht="15" thickBot="1" x14ac:dyDescent="0.35">
      <c r="A17" s="78"/>
      <c r="B17" s="79"/>
      <c r="C17" s="79"/>
      <c r="D17" s="79"/>
      <c r="E17" s="79"/>
      <c r="F17" s="67"/>
      <c r="G17" s="80" t="s">
        <v>518</v>
      </c>
      <c r="H17" s="142">
        <f>Variable_Management!B39*100</f>
        <v>90.61904761904762</v>
      </c>
      <c r="I17" s="77" t="s">
        <v>13</v>
      </c>
      <c r="J17" s="67"/>
      <c r="K17" s="67"/>
      <c r="L17" s="67"/>
      <c r="M17" s="67"/>
      <c r="N17" s="67"/>
      <c r="O17" s="67"/>
      <c r="P17" s="67"/>
      <c r="Q17" s="67"/>
      <c r="R17" s="67"/>
      <c r="S17" s="67"/>
      <c r="T17" s="67"/>
      <c r="U17" s="67"/>
      <c r="V17" s="67"/>
      <c r="W17" s="67"/>
      <c r="X17" s="67"/>
      <c r="Y17" s="67"/>
      <c r="Z17" s="67"/>
      <c r="AA17" s="56"/>
    </row>
    <row r="18" spans="1:27" ht="15" thickBot="1" x14ac:dyDescent="0.35">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3">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5" thickBot="1" x14ac:dyDescent="0.35">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ht="15" x14ac:dyDescent="0.3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ht="15" x14ac:dyDescent="0.35">
      <c r="A22" s="75"/>
      <c r="B22" s="67"/>
      <c r="C22" s="67"/>
      <c r="D22" s="67"/>
      <c r="E22" s="67"/>
      <c r="F22" s="67"/>
      <c r="G22" s="76" t="s">
        <v>459</v>
      </c>
      <c r="H22" s="120">
        <f>IF(H18="CCM",Lopt_2*10^6,L_DCM*10^6)</f>
        <v>321.21527777777794</v>
      </c>
      <c r="I22" s="77" t="s">
        <v>542</v>
      </c>
      <c r="J22" s="67"/>
      <c r="K22" s="67"/>
      <c r="L22" s="67"/>
      <c r="M22" s="67"/>
      <c r="N22" s="67"/>
      <c r="O22" s="67"/>
      <c r="P22" s="67"/>
      <c r="Q22" s="67"/>
      <c r="R22" s="67"/>
      <c r="S22" s="67"/>
      <c r="T22" s="67"/>
      <c r="U22" s="67"/>
      <c r="V22" s="67"/>
      <c r="W22" s="67"/>
      <c r="X22" s="67"/>
      <c r="Y22" s="67"/>
      <c r="Z22" s="67"/>
      <c r="AA22" s="56"/>
    </row>
    <row r="23" spans="1:27" ht="15" x14ac:dyDescent="0.35">
      <c r="A23" s="75"/>
      <c r="B23" s="67"/>
      <c r="C23" s="67"/>
      <c r="D23" s="67"/>
      <c r="E23" s="67"/>
      <c r="F23" s="67"/>
      <c r="G23" s="76" t="s">
        <v>460</v>
      </c>
      <c r="H23" s="117">
        <v>820</v>
      </c>
      <c r="I23" s="77" t="s">
        <v>542</v>
      </c>
      <c r="J23" s="67"/>
      <c r="K23" s="67"/>
      <c r="L23" s="67"/>
      <c r="M23" s="67"/>
      <c r="N23" s="67"/>
      <c r="O23" s="67"/>
      <c r="P23" s="67"/>
      <c r="Q23" s="67"/>
      <c r="R23" s="67"/>
      <c r="S23" s="67"/>
      <c r="T23" s="67"/>
      <c r="U23" s="67"/>
      <c r="V23" s="67"/>
      <c r="W23" s="67"/>
      <c r="X23" s="67"/>
      <c r="Y23" s="67"/>
      <c r="Z23" s="67"/>
      <c r="AA23" s="56"/>
    </row>
    <row r="24" spans="1:27" ht="15" x14ac:dyDescent="0.35">
      <c r="A24" s="75"/>
      <c r="B24" s="67"/>
      <c r="C24" s="67"/>
      <c r="D24" s="67"/>
      <c r="E24" s="67"/>
      <c r="F24" s="67"/>
      <c r="G24" s="76" t="s">
        <v>81</v>
      </c>
      <c r="H24" s="117">
        <v>736</v>
      </c>
      <c r="I24" s="77" t="s">
        <v>105</v>
      </c>
      <c r="J24" s="67"/>
      <c r="K24" s="67"/>
      <c r="L24" s="67"/>
      <c r="M24" s="67"/>
      <c r="N24" s="67"/>
      <c r="O24" s="67"/>
      <c r="P24" s="67"/>
      <c r="Q24" s="67"/>
      <c r="R24" s="67"/>
      <c r="S24" s="67"/>
      <c r="T24" s="67"/>
      <c r="U24" s="67"/>
      <c r="V24" s="67"/>
      <c r="W24" s="67"/>
      <c r="X24" s="67"/>
      <c r="Y24" s="67"/>
      <c r="Z24" s="67"/>
      <c r="AA24" s="56"/>
    </row>
    <row r="25" spans="1:27" ht="15.6" thickBot="1" x14ac:dyDescent="0.4">
      <c r="A25" s="88"/>
      <c r="B25" s="83"/>
      <c r="C25" s="83"/>
      <c r="D25" s="83"/>
      <c r="E25" s="83"/>
      <c r="F25" s="83"/>
      <c r="G25" s="89" t="s">
        <v>106</v>
      </c>
      <c r="H25" s="121">
        <f>ILp_VINmin</f>
        <v>0.50682291132374702</v>
      </c>
      <c r="I25" s="85" t="s">
        <v>11</v>
      </c>
      <c r="J25" s="67"/>
      <c r="K25" s="67"/>
      <c r="L25" s="67"/>
      <c r="M25" s="67"/>
      <c r="N25" s="67"/>
      <c r="O25" s="67"/>
      <c r="P25" s="67"/>
      <c r="Q25" s="67"/>
      <c r="R25" s="67"/>
      <c r="S25" s="67"/>
      <c r="T25" s="67"/>
      <c r="U25" s="67"/>
      <c r="V25" s="67"/>
      <c r="W25" s="67"/>
      <c r="X25" s="67"/>
      <c r="Y25" s="67"/>
      <c r="Z25" s="67"/>
      <c r="AA25" s="56"/>
    </row>
    <row r="26" spans="1:27" x14ac:dyDescent="0.3">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5" thickBot="1" x14ac:dyDescent="0.35">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3">
      <c r="A28" s="71"/>
      <c r="B28" s="72"/>
      <c r="C28" s="72"/>
      <c r="D28" s="72"/>
      <c r="E28" s="72"/>
      <c r="F28" s="72"/>
      <c r="G28" s="73" t="s">
        <v>488</v>
      </c>
      <c r="H28" s="116">
        <v>20</v>
      </c>
      <c r="I28" s="74" t="s">
        <v>13</v>
      </c>
      <c r="J28" s="67"/>
      <c r="K28" s="67"/>
      <c r="L28" s="67"/>
      <c r="M28" s="67"/>
      <c r="N28" s="67"/>
      <c r="O28" s="67"/>
      <c r="P28" s="67"/>
      <c r="Q28" s="67"/>
      <c r="R28" s="67"/>
      <c r="S28" s="67"/>
      <c r="T28" s="67"/>
      <c r="U28" s="67"/>
      <c r="V28" s="67"/>
      <c r="W28" s="67"/>
      <c r="X28" s="67"/>
      <c r="Y28" s="67"/>
      <c r="Z28" s="67"/>
      <c r="AA28" s="56"/>
    </row>
    <row r="29" spans="1:27" ht="15.6" x14ac:dyDescent="0.35">
      <c r="A29" s="75"/>
      <c r="B29" s="67"/>
      <c r="C29" s="67"/>
      <c r="D29" s="67"/>
      <c r="E29" s="67"/>
      <c r="F29" s="67"/>
      <c r="G29" s="68" t="s">
        <v>203</v>
      </c>
      <c r="H29" s="118">
        <f>Ipk_selected</f>
        <v>0.60818749358849644</v>
      </c>
      <c r="I29" s="77" t="s">
        <v>11</v>
      </c>
      <c r="J29" s="67"/>
      <c r="K29" s="67"/>
      <c r="L29" s="67"/>
      <c r="M29" s="67"/>
      <c r="N29" s="67"/>
      <c r="O29" s="67"/>
      <c r="P29" s="67"/>
      <c r="Q29" s="67"/>
      <c r="R29" s="67"/>
      <c r="S29" s="67"/>
      <c r="T29" s="67"/>
      <c r="U29" s="67"/>
      <c r="V29" s="67"/>
      <c r="W29" s="67"/>
      <c r="X29" s="67"/>
      <c r="Y29" s="67"/>
      <c r="Z29" s="67"/>
      <c r="AA29" s="56"/>
    </row>
    <row r="30" spans="1:27" ht="15.6" x14ac:dyDescent="0.35">
      <c r="A30" s="75"/>
      <c r="B30" s="67"/>
      <c r="C30" s="67"/>
      <c r="D30" s="67"/>
      <c r="E30" s="67"/>
      <c r="F30" s="67"/>
      <c r="G30" s="68" t="s">
        <v>493</v>
      </c>
      <c r="H30" s="118">
        <f>Variable_Management!B135*1000</f>
        <v>57.728023750624509</v>
      </c>
      <c r="I30" s="77" t="s">
        <v>105</v>
      </c>
      <c r="J30" s="67"/>
      <c r="K30" s="67"/>
      <c r="L30" s="67"/>
      <c r="M30" s="67"/>
      <c r="N30" s="67"/>
      <c r="O30" s="67"/>
      <c r="P30" s="67"/>
      <c r="Q30" s="67"/>
      <c r="R30" s="67"/>
      <c r="S30" s="67"/>
      <c r="T30" s="67"/>
      <c r="U30" s="67"/>
      <c r="V30" s="67"/>
      <c r="W30" s="67"/>
      <c r="X30" s="67"/>
      <c r="Y30" s="67"/>
      <c r="Z30" s="67"/>
      <c r="AA30" s="56"/>
    </row>
    <row r="31" spans="1:27" ht="15.6" x14ac:dyDescent="0.35">
      <c r="A31" s="75"/>
      <c r="B31" s="67"/>
      <c r="C31" s="67"/>
      <c r="D31" s="67"/>
      <c r="E31" s="67"/>
      <c r="F31" s="67"/>
      <c r="G31" s="68" t="s">
        <v>166</v>
      </c>
      <c r="H31" s="122">
        <f>Variable_Management!B136</f>
        <v>2000</v>
      </c>
      <c r="I31" s="90" t="s">
        <v>36</v>
      </c>
      <c r="J31" s="67"/>
      <c r="K31" s="67"/>
      <c r="L31" s="67"/>
      <c r="M31" s="67"/>
      <c r="N31" s="67"/>
      <c r="O31" s="67"/>
      <c r="P31" s="67"/>
      <c r="Q31" s="67"/>
      <c r="R31" s="67"/>
      <c r="S31" s="67"/>
      <c r="T31" s="67"/>
      <c r="U31" s="67"/>
      <c r="V31" s="67"/>
      <c r="W31" s="67"/>
      <c r="X31" s="67"/>
      <c r="Y31" s="67"/>
      <c r="Z31" s="67"/>
      <c r="AA31" s="56"/>
    </row>
    <row r="32" spans="1:27" ht="15.6" x14ac:dyDescent="0.35">
      <c r="A32" s="75"/>
      <c r="B32" s="67"/>
      <c r="C32" s="67"/>
      <c r="D32" s="67"/>
      <c r="E32" s="67"/>
      <c r="F32" s="67"/>
      <c r="G32" s="68" t="s">
        <v>494</v>
      </c>
      <c r="H32" s="117">
        <v>40</v>
      </c>
      <c r="I32" s="77" t="s">
        <v>105</v>
      </c>
      <c r="J32" s="67"/>
      <c r="K32" s="67"/>
      <c r="L32" s="67"/>
      <c r="M32" s="67"/>
      <c r="N32" s="67"/>
      <c r="O32" s="67"/>
      <c r="P32" s="67"/>
      <c r="Q32" s="67"/>
      <c r="R32" s="67"/>
      <c r="S32" s="67"/>
      <c r="T32" s="67"/>
      <c r="U32" s="67"/>
      <c r="V32" s="67"/>
      <c r="W32" s="67"/>
      <c r="X32" s="67"/>
      <c r="Y32" s="67"/>
      <c r="Z32" s="67"/>
      <c r="AA32" s="56"/>
    </row>
    <row r="33" spans="1:27" ht="15.6" x14ac:dyDescent="0.35">
      <c r="A33" s="75"/>
      <c r="B33" s="67"/>
      <c r="C33" s="67"/>
      <c r="D33" s="67"/>
      <c r="E33" s="67"/>
      <c r="F33" s="67"/>
      <c r="G33" s="68" t="s">
        <v>169</v>
      </c>
      <c r="H33" s="117">
        <v>2000</v>
      </c>
      <c r="I33" s="90" t="s">
        <v>36</v>
      </c>
      <c r="J33" s="67"/>
      <c r="K33" s="67"/>
      <c r="L33" s="67"/>
      <c r="M33" s="67"/>
      <c r="N33" s="67"/>
      <c r="O33" s="67"/>
      <c r="P33" s="67"/>
      <c r="Q33" s="67"/>
      <c r="R33" s="67"/>
      <c r="S33" s="67"/>
      <c r="T33" s="67"/>
      <c r="U33" s="67"/>
      <c r="V33" s="67"/>
      <c r="W33" s="67"/>
      <c r="X33" s="67"/>
      <c r="Y33" s="67"/>
      <c r="Z33" s="67"/>
      <c r="AA33" s="56"/>
    </row>
    <row r="34" spans="1:27" x14ac:dyDescent="0.3">
      <c r="A34" s="75"/>
      <c r="B34" s="67"/>
      <c r="C34" s="67"/>
      <c r="D34" s="67"/>
      <c r="E34" s="67"/>
      <c r="F34" s="67"/>
      <c r="G34" s="68" t="s">
        <v>173</v>
      </c>
      <c r="H34" s="118">
        <f>IL_pk_max</f>
        <v>1.1450000000000002</v>
      </c>
      <c r="I34" s="90" t="s">
        <v>11</v>
      </c>
      <c r="J34" s="67"/>
      <c r="K34" s="67"/>
      <c r="L34" s="67"/>
      <c r="M34" s="67"/>
      <c r="N34" s="67"/>
      <c r="O34" s="67"/>
      <c r="P34" s="67"/>
      <c r="Q34" s="67"/>
      <c r="R34" s="67"/>
      <c r="S34" s="67"/>
      <c r="T34" s="67"/>
      <c r="U34" s="67"/>
      <c r="V34" s="67"/>
      <c r="W34" s="67"/>
      <c r="X34" s="67"/>
      <c r="Y34" s="67"/>
      <c r="Z34" s="67"/>
      <c r="AA34" s="56"/>
    </row>
    <row r="35" spans="1:27" ht="15" thickBot="1" x14ac:dyDescent="0.35">
      <c r="A35" s="88"/>
      <c r="B35" s="83"/>
      <c r="C35" s="83"/>
      <c r="D35" s="83"/>
      <c r="E35" s="83"/>
      <c r="F35" s="83"/>
      <c r="G35" s="91" t="s">
        <v>191</v>
      </c>
      <c r="H35" s="123">
        <f>Variable_Management!B145</f>
        <v>1.3167500000000001</v>
      </c>
      <c r="I35" s="92" t="s">
        <v>11</v>
      </c>
      <c r="J35" s="67"/>
      <c r="K35" s="67"/>
      <c r="L35" s="67"/>
      <c r="M35" s="67"/>
      <c r="N35" s="67"/>
      <c r="O35" s="67"/>
      <c r="P35" s="67"/>
      <c r="Q35" s="67"/>
      <c r="R35" s="67"/>
      <c r="S35" s="67"/>
      <c r="T35" s="67"/>
      <c r="U35" s="67"/>
      <c r="V35" s="67"/>
      <c r="W35" s="67"/>
      <c r="X35" s="67"/>
      <c r="Y35" s="67"/>
      <c r="Z35" s="67"/>
      <c r="AA35" s="56"/>
    </row>
    <row r="36" spans="1:27" x14ac:dyDescent="0.3">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5" thickBot="1" x14ac:dyDescent="0.35">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5.6" x14ac:dyDescent="0.35">
      <c r="A38" s="71"/>
      <c r="B38" s="72"/>
      <c r="C38" s="72"/>
      <c r="D38" s="72"/>
      <c r="E38" s="72"/>
      <c r="F38" s="72"/>
      <c r="G38" s="93" t="s">
        <v>541</v>
      </c>
      <c r="H38" s="116">
        <v>30</v>
      </c>
      <c r="I38" s="74" t="s">
        <v>186</v>
      </c>
      <c r="J38" s="67"/>
      <c r="K38" s="67"/>
      <c r="L38" s="67"/>
      <c r="M38" s="67"/>
      <c r="N38" s="67"/>
      <c r="O38" s="67"/>
      <c r="P38" s="67"/>
      <c r="Q38" s="67"/>
      <c r="R38" s="67"/>
      <c r="S38" s="67"/>
      <c r="T38" s="67"/>
      <c r="U38" s="67"/>
      <c r="V38" s="67"/>
      <c r="W38" s="67"/>
      <c r="X38" s="67"/>
      <c r="Y38" s="67"/>
      <c r="Z38" s="67"/>
      <c r="AA38" s="56"/>
    </row>
    <row r="39" spans="1:27" x14ac:dyDescent="0.3">
      <c r="A39" s="75"/>
      <c r="B39" s="67"/>
      <c r="C39" s="67"/>
      <c r="D39" s="67"/>
      <c r="E39" s="67"/>
      <c r="F39" s="67"/>
      <c r="G39" s="68" t="s">
        <v>187</v>
      </c>
      <c r="H39" s="143">
        <f>Cout_min*10^6</f>
        <v>10.149333333333333</v>
      </c>
      <c r="I39" s="77" t="s">
        <v>543</v>
      </c>
      <c r="J39" s="67"/>
      <c r="K39" s="67"/>
      <c r="L39" s="67"/>
      <c r="M39" s="67"/>
      <c r="N39" s="67"/>
      <c r="O39" s="67"/>
      <c r="P39" s="67"/>
      <c r="Q39" s="67"/>
      <c r="R39" s="67"/>
      <c r="S39" s="67"/>
      <c r="T39" s="67"/>
      <c r="U39" s="67"/>
      <c r="V39" s="67"/>
      <c r="W39" s="67"/>
      <c r="X39" s="67"/>
      <c r="Y39" s="67"/>
      <c r="Z39" s="67"/>
      <c r="AA39" s="56"/>
    </row>
    <row r="40" spans="1:27" ht="15.6" x14ac:dyDescent="0.35">
      <c r="A40" s="75"/>
      <c r="B40" s="67"/>
      <c r="C40" s="67"/>
      <c r="D40" s="67"/>
      <c r="E40" s="67"/>
      <c r="F40" s="67"/>
      <c r="G40" s="68" t="s">
        <v>195</v>
      </c>
      <c r="H40" s="118">
        <f>IRMS_COUT</f>
        <v>0.11130009594086061</v>
      </c>
      <c r="I40" s="77" t="s">
        <v>11</v>
      </c>
      <c r="J40" s="67"/>
      <c r="K40" s="67"/>
      <c r="L40" s="67"/>
      <c r="M40" s="67"/>
      <c r="N40" s="67"/>
      <c r="O40" s="67"/>
      <c r="P40" s="67"/>
      <c r="Q40" s="67"/>
      <c r="R40" s="67"/>
      <c r="S40" s="67"/>
      <c r="T40" s="67"/>
      <c r="U40" s="67"/>
      <c r="V40" s="67"/>
      <c r="W40" s="67"/>
      <c r="X40" s="67"/>
      <c r="Y40" s="67"/>
      <c r="Z40" s="67"/>
      <c r="AA40" s="56"/>
    </row>
    <row r="41" spans="1:27" ht="15.6" x14ac:dyDescent="0.35">
      <c r="A41" s="75"/>
      <c r="B41" s="67"/>
      <c r="C41" s="67"/>
      <c r="D41" s="67"/>
      <c r="E41" s="67"/>
      <c r="F41" s="67"/>
      <c r="G41" s="68" t="s">
        <v>188</v>
      </c>
      <c r="H41" s="117">
        <v>10</v>
      </c>
      <c r="I41" s="77" t="s">
        <v>543</v>
      </c>
      <c r="J41" s="67"/>
      <c r="K41" s="67"/>
      <c r="L41" s="67"/>
      <c r="M41" s="67"/>
      <c r="N41" s="67"/>
      <c r="O41" s="67"/>
      <c r="P41" s="67"/>
      <c r="Q41" s="67"/>
      <c r="R41" s="67"/>
      <c r="S41" s="67"/>
      <c r="T41" s="67"/>
      <c r="U41" s="67"/>
      <c r="V41" s="67"/>
      <c r="W41" s="67"/>
      <c r="X41" s="67"/>
      <c r="Y41" s="67"/>
      <c r="Z41" s="67"/>
      <c r="AA41" s="56"/>
    </row>
    <row r="42" spans="1:27" ht="16.2" thickBot="1" x14ac:dyDescent="0.4">
      <c r="A42" s="88"/>
      <c r="B42" s="83"/>
      <c r="C42" s="83"/>
      <c r="D42" s="83"/>
      <c r="E42" s="83"/>
      <c r="F42" s="83"/>
      <c r="G42" s="91" t="s">
        <v>198</v>
      </c>
      <c r="H42" s="124">
        <v>2</v>
      </c>
      <c r="I42" s="85" t="s">
        <v>105</v>
      </c>
      <c r="J42" s="67"/>
      <c r="K42" s="67"/>
      <c r="L42" s="67"/>
      <c r="M42" s="67"/>
      <c r="N42" s="67"/>
      <c r="O42" s="67"/>
      <c r="P42" s="67"/>
      <c r="Q42" s="67"/>
      <c r="R42" s="67"/>
      <c r="S42" s="67"/>
      <c r="T42" s="67"/>
      <c r="U42" s="67"/>
      <c r="V42" s="67"/>
      <c r="W42" s="67"/>
      <c r="X42" s="67"/>
      <c r="Y42" s="67"/>
      <c r="Z42" s="67"/>
      <c r="AA42" s="56"/>
    </row>
    <row r="43" spans="1:27" x14ac:dyDescent="0.3">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5" thickBot="1" x14ac:dyDescent="0.35">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5.6" x14ac:dyDescent="0.35">
      <c r="A45" s="71"/>
      <c r="B45" s="72"/>
      <c r="C45" s="72"/>
      <c r="D45" s="72"/>
      <c r="E45" s="72"/>
      <c r="F45" s="72"/>
      <c r="G45" s="93" t="s">
        <v>342</v>
      </c>
      <c r="H45" s="126">
        <f>Variable_Management!B161*(10^9)</f>
        <v>625</v>
      </c>
      <c r="I45" s="74" t="s">
        <v>218</v>
      </c>
      <c r="J45" s="67"/>
      <c r="K45" s="67"/>
      <c r="L45" s="67"/>
      <c r="M45" s="67"/>
      <c r="N45" s="67"/>
      <c r="O45" s="67"/>
      <c r="P45" s="67"/>
      <c r="Q45" s="67"/>
      <c r="R45" s="67"/>
      <c r="S45" s="67"/>
      <c r="T45" s="67"/>
      <c r="U45" s="67"/>
      <c r="V45" s="67"/>
      <c r="W45" s="67"/>
      <c r="X45" s="67"/>
      <c r="Y45" s="67"/>
      <c r="Z45" s="67"/>
      <c r="AA45" s="56"/>
    </row>
    <row r="46" spans="1:27" ht="15.6" x14ac:dyDescent="0.35">
      <c r="A46" s="75"/>
      <c r="B46" s="67"/>
      <c r="C46" s="67"/>
      <c r="D46" s="67"/>
      <c r="E46" s="67"/>
      <c r="F46" s="67"/>
      <c r="G46" s="68" t="s">
        <v>529</v>
      </c>
      <c r="H46" s="117">
        <v>91</v>
      </c>
      <c r="I46" s="77" t="s">
        <v>343</v>
      </c>
      <c r="J46" s="67"/>
      <c r="K46" s="67"/>
      <c r="L46" s="67"/>
      <c r="M46" s="67"/>
      <c r="N46" s="67"/>
      <c r="O46" s="67"/>
      <c r="P46" s="67"/>
      <c r="Q46" s="67"/>
      <c r="R46" s="67"/>
      <c r="S46" s="67"/>
      <c r="T46" s="67"/>
      <c r="U46" s="67"/>
      <c r="V46" s="67"/>
      <c r="W46" s="67"/>
      <c r="X46" s="67"/>
      <c r="Y46" s="67"/>
      <c r="Z46" s="67"/>
      <c r="AA46" s="56"/>
    </row>
    <row r="47" spans="1:27" ht="16.2" thickBot="1" x14ac:dyDescent="0.4">
      <c r="A47" s="88"/>
      <c r="B47" s="83"/>
      <c r="C47" s="83"/>
      <c r="D47" s="83"/>
      <c r="E47" s="83"/>
      <c r="F47" s="83"/>
      <c r="G47" s="91" t="s">
        <v>346</v>
      </c>
      <c r="H47" s="127">
        <f>Variable_Management!B163*(10^9)</f>
        <v>1004.203888596952</v>
      </c>
      <c r="I47" s="85" t="s">
        <v>218</v>
      </c>
      <c r="J47" s="67"/>
      <c r="K47" s="67"/>
      <c r="L47" s="67"/>
      <c r="M47" s="67"/>
      <c r="N47" s="67"/>
      <c r="O47" s="67"/>
      <c r="P47" s="67"/>
      <c r="Q47" s="67"/>
      <c r="R47" s="67"/>
      <c r="S47" s="67"/>
      <c r="T47" s="67"/>
      <c r="U47" s="67"/>
      <c r="V47" s="67"/>
      <c r="W47" s="67"/>
      <c r="X47" s="67"/>
      <c r="Y47" s="67"/>
      <c r="Z47" s="67"/>
      <c r="AA47" s="56"/>
    </row>
    <row r="48" spans="1:27" x14ac:dyDescent="0.3">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5" thickBot="1" x14ac:dyDescent="0.35">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5.6" x14ac:dyDescent="0.35">
      <c r="A50" s="71"/>
      <c r="B50" s="72"/>
      <c r="C50" s="72"/>
      <c r="D50" s="72"/>
      <c r="E50" s="72"/>
      <c r="F50" s="72"/>
      <c r="G50" s="93" t="s">
        <v>348</v>
      </c>
      <c r="H50" s="116">
        <v>19</v>
      </c>
      <c r="I50" s="74" t="s">
        <v>10</v>
      </c>
      <c r="J50" s="67"/>
      <c r="K50" s="67"/>
      <c r="L50" s="67"/>
      <c r="M50" s="67"/>
      <c r="N50" s="67"/>
      <c r="O50" s="67"/>
      <c r="P50" s="67"/>
      <c r="Q50" s="67"/>
      <c r="R50" s="67"/>
      <c r="S50" s="67"/>
      <c r="T50" s="67"/>
      <c r="U50" s="67"/>
      <c r="V50" s="67"/>
      <c r="W50" s="67"/>
      <c r="X50" s="67"/>
      <c r="Y50" s="67"/>
      <c r="Z50" s="67"/>
      <c r="AA50" s="56"/>
    </row>
    <row r="51" spans="1:27" ht="15.6" x14ac:dyDescent="0.35">
      <c r="A51" s="75"/>
      <c r="B51" s="67"/>
      <c r="C51" s="67"/>
      <c r="D51" s="67"/>
      <c r="E51" s="67"/>
      <c r="F51" s="67"/>
      <c r="G51" s="68" t="s">
        <v>347</v>
      </c>
      <c r="H51" s="117">
        <v>18</v>
      </c>
      <c r="I51" s="77" t="s">
        <v>10</v>
      </c>
      <c r="J51" s="67"/>
      <c r="K51" s="67"/>
      <c r="L51" s="67"/>
      <c r="M51" s="67"/>
      <c r="N51" s="67"/>
      <c r="O51" s="67"/>
      <c r="P51" s="67"/>
      <c r="Q51" s="115">
        <f>VIN_min</f>
        <v>19.7</v>
      </c>
      <c r="R51" s="67"/>
      <c r="S51" s="67"/>
      <c r="T51" s="67"/>
      <c r="U51" s="67"/>
      <c r="V51" s="67"/>
      <c r="W51" s="67"/>
      <c r="X51" s="67"/>
      <c r="Y51" s="67"/>
      <c r="Z51" s="67"/>
      <c r="AA51" s="56"/>
    </row>
    <row r="52" spans="1:27" ht="15.6" x14ac:dyDescent="0.35">
      <c r="A52" s="75"/>
      <c r="B52" s="67"/>
      <c r="C52" s="67"/>
      <c r="D52" s="67"/>
      <c r="E52" s="67"/>
      <c r="F52" s="67"/>
      <c r="G52" s="68" t="s">
        <v>463</v>
      </c>
      <c r="H52" s="125">
        <f>Ruvlo_top_calc/1000</f>
        <v>74.600000000000236</v>
      </c>
      <c r="I52" s="90" t="s">
        <v>215</v>
      </c>
      <c r="J52" s="67"/>
      <c r="K52" s="67"/>
      <c r="L52" s="67"/>
      <c r="M52" s="67"/>
      <c r="N52" s="67"/>
      <c r="O52" s="67"/>
      <c r="P52" s="67"/>
      <c r="Q52" s="67"/>
      <c r="R52" s="67"/>
      <c r="S52" s="67"/>
      <c r="T52" s="67"/>
      <c r="U52" s="67"/>
      <c r="V52" s="67"/>
      <c r="W52" s="67"/>
      <c r="X52" s="67"/>
      <c r="Y52" s="67"/>
      <c r="Z52" s="67"/>
      <c r="AA52" s="56"/>
    </row>
    <row r="53" spans="1:27" ht="15.6" x14ac:dyDescent="0.35">
      <c r="A53" s="75"/>
      <c r="B53" s="67"/>
      <c r="C53" s="67"/>
      <c r="D53" s="67"/>
      <c r="E53" s="67"/>
      <c r="F53" s="67"/>
      <c r="G53" s="68" t="s">
        <v>464</v>
      </c>
      <c r="H53" s="117">
        <v>62</v>
      </c>
      <c r="I53" s="90" t="s">
        <v>215</v>
      </c>
      <c r="J53" s="67"/>
      <c r="K53" s="67"/>
      <c r="L53" s="67"/>
      <c r="M53" s="67"/>
      <c r="N53" s="67"/>
      <c r="O53" s="67"/>
      <c r="P53" s="67"/>
      <c r="Q53" s="67"/>
      <c r="R53" s="67"/>
      <c r="S53" s="67"/>
      <c r="T53" s="67"/>
      <c r="U53" s="67"/>
      <c r="V53" s="67"/>
      <c r="W53" s="67"/>
      <c r="X53" s="67"/>
      <c r="Y53" s="67"/>
      <c r="Z53" s="67"/>
      <c r="AA53" s="56"/>
    </row>
    <row r="54" spans="1:27" ht="16.2" thickBot="1" x14ac:dyDescent="0.4">
      <c r="A54" s="88"/>
      <c r="B54" s="83"/>
      <c r="C54" s="83"/>
      <c r="D54" s="83"/>
      <c r="E54" s="83"/>
      <c r="F54" s="83"/>
      <c r="G54" s="91" t="s">
        <v>465</v>
      </c>
      <c r="H54" s="219">
        <f>IF(Ruvlo_bottom_calc/1000=0,"NA",Ruvlo_bottom_calc/1000)</f>
        <v>5.3142857142857149</v>
      </c>
      <c r="I54" s="92" t="s">
        <v>215</v>
      </c>
      <c r="J54" s="67"/>
      <c r="K54" s="67"/>
      <c r="L54" s="67"/>
      <c r="M54" s="67"/>
      <c r="N54" s="67"/>
      <c r="O54" s="67"/>
      <c r="P54" s="67"/>
      <c r="Q54" s="67"/>
      <c r="R54" s="67"/>
      <c r="S54" s="67"/>
      <c r="T54" s="67"/>
      <c r="U54" s="67"/>
      <c r="V54" s="67"/>
      <c r="W54" s="67"/>
      <c r="X54" s="67"/>
      <c r="Y54" s="67"/>
      <c r="Z54" s="67"/>
      <c r="AA54" s="56"/>
    </row>
    <row r="55" spans="1:27" x14ac:dyDescent="0.3">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5" thickBot="1" x14ac:dyDescent="0.35">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5.6" x14ac:dyDescent="0.35">
      <c r="A57" s="94"/>
      <c r="B57" s="72"/>
      <c r="C57" s="72"/>
      <c r="D57" s="72"/>
      <c r="E57" s="72"/>
      <c r="F57" s="72"/>
      <c r="G57" s="95" t="s">
        <v>489</v>
      </c>
      <c r="H57" s="128" t="str">
        <f>VIN_nom&amp;"V"</f>
        <v>20V</v>
      </c>
      <c r="I57" s="74"/>
      <c r="J57" s="67"/>
      <c r="K57" s="67"/>
      <c r="L57" s="67"/>
      <c r="M57" s="67"/>
      <c r="N57" s="67"/>
      <c r="O57" s="67"/>
      <c r="P57" s="67"/>
      <c r="Q57" s="67"/>
      <c r="R57" s="67"/>
      <c r="S57" s="67"/>
      <c r="T57" s="67"/>
      <c r="U57" s="67"/>
      <c r="V57" s="67"/>
      <c r="W57" s="67"/>
      <c r="X57" s="67"/>
      <c r="Y57" s="67"/>
      <c r="Z57" s="67"/>
      <c r="AA57" s="56"/>
    </row>
    <row r="58" spans="1:27" x14ac:dyDescent="0.3">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3">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5.6" x14ac:dyDescent="0.35">
      <c r="A60" s="96"/>
      <c r="B60" s="67"/>
      <c r="C60" s="67"/>
      <c r="D60" s="67"/>
      <c r="E60" s="67"/>
      <c r="F60" s="67"/>
      <c r="G60" s="68" t="s">
        <v>318</v>
      </c>
      <c r="H60" s="117">
        <v>100</v>
      </c>
      <c r="I60" s="90" t="s">
        <v>215</v>
      </c>
      <c r="J60" s="67"/>
      <c r="K60" s="67"/>
      <c r="L60" s="67"/>
      <c r="M60" s="67"/>
      <c r="N60" s="67"/>
      <c r="O60" s="67"/>
      <c r="P60" s="67"/>
      <c r="Q60" s="67"/>
      <c r="R60" s="67"/>
      <c r="S60" s="67"/>
      <c r="T60" s="67"/>
      <c r="U60" s="67"/>
      <c r="V60" s="67"/>
      <c r="W60" s="67"/>
      <c r="X60" s="67"/>
      <c r="Y60" s="67"/>
      <c r="Z60" s="67"/>
      <c r="AA60" s="56"/>
    </row>
    <row r="61" spans="1:27" ht="15.6" x14ac:dyDescent="0.35">
      <c r="A61" s="96"/>
      <c r="B61" s="67"/>
      <c r="C61" s="67"/>
      <c r="D61" s="67"/>
      <c r="E61" s="67"/>
      <c r="F61" s="67"/>
      <c r="G61" s="68" t="s">
        <v>294</v>
      </c>
      <c r="H61" s="125">
        <f>RFBB_calc/1000</f>
        <v>0.4784688995215311</v>
      </c>
      <c r="I61" s="90" t="s">
        <v>215</v>
      </c>
      <c r="J61" s="67"/>
      <c r="K61" s="67"/>
      <c r="L61" s="67"/>
      <c r="M61" s="67"/>
      <c r="N61" s="67"/>
      <c r="O61" s="67"/>
      <c r="P61" s="67"/>
      <c r="Q61" s="67"/>
      <c r="R61" s="67"/>
      <c r="S61" s="67"/>
      <c r="T61" s="67"/>
      <c r="U61" s="67"/>
      <c r="V61" s="67"/>
      <c r="W61" s="67"/>
      <c r="X61" s="67"/>
      <c r="Y61" s="67"/>
      <c r="Z61" s="67"/>
      <c r="AA61" s="56"/>
    </row>
    <row r="62" spans="1:27" ht="15.6" x14ac:dyDescent="0.35">
      <c r="A62" s="96"/>
      <c r="B62" s="67"/>
      <c r="C62" s="67"/>
      <c r="D62" s="67"/>
      <c r="E62" s="67"/>
      <c r="F62" s="67"/>
      <c r="G62" s="68" t="s">
        <v>530</v>
      </c>
      <c r="H62" s="117">
        <v>0.5</v>
      </c>
      <c r="I62" s="90" t="s">
        <v>215</v>
      </c>
      <c r="J62" s="67"/>
      <c r="K62" s="67"/>
      <c r="L62" s="67"/>
      <c r="M62" s="67"/>
      <c r="N62" s="67"/>
      <c r="O62" s="67"/>
      <c r="P62" s="67"/>
      <c r="Q62" s="67"/>
      <c r="R62" s="67"/>
      <c r="S62" s="67"/>
      <c r="T62" s="67"/>
      <c r="U62" s="67"/>
      <c r="V62" s="67"/>
      <c r="W62" s="67"/>
      <c r="X62" s="67"/>
      <c r="Y62" s="67"/>
      <c r="Z62" s="67"/>
      <c r="AA62" s="56"/>
    </row>
    <row r="63" spans="1:27" x14ac:dyDescent="0.3">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3">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3">
      <c r="A65" s="75"/>
      <c r="B65" s="67"/>
      <c r="C65" s="67"/>
      <c r="D65" s="67"/>
      <c r="E65" s="67"/>
      <c r="F65" s="67"/>
      <c r="G65" s="68" t="s">
        <v>550</v>
      </c>
      <c r="H65" s="220">
        <f>fcross_est/1000</f>
        <v>2.1350603487270354</v>
      </c>
      <c r="I65" s="77" t="s">
        <v>12</v>
      </c>
      <c r="J65" s="67"/>
      <c r="K65" s="67"/>
      <c r="L65" s="67"/>
      <c r="M65" s="67"/>
      <c r="N65" s="67"/>
      <c r="O65" s="67"/>
      <c r="P65" s="67"/>
      <c r="Q65" s="67"/>
      <c r="R65" s="67"/>
      <c r="S65" s="67"/>
      <c r="T65" s="67"/>
      <c r="U65" s="67"/>
      <c r="V65" s="67"/>
      <c r="W65" s="67"/>
      <c r="X65" s="67"/>
      <c r="Y65" s="67"/>
      <c r="Z65" s="67"/>
      <c r="AA65" s="56"/>
    </row>
    <row r="66" spans="1:27" ht="15.6" x14ac:dyDescent="0.35">
      <c r="A66" s="75"/>
      <c r="B66" s="67"/>
      <c r="C66" s="67"/>
      <c r="D66" s="67"/>
      <c r="E66" s="67"/>
      <c r="F66" s="67"/>
      <c r="G66" s="68" t="s">
        <v>551</v>
      </c>
      <c r="H66" s="117">
        <v>0.55000000000000004</v>
      </c>
      <c r="I66" s="77" t="s">
        <v>12</v>
      </c>
      <c r="J66" s="67"/>
      <c r="K66" s="67"/>
      <c r="L66" s="67"/>
      <c r="M66" s="67"/>
      <c r="N66" s="67"/>
      <c r="O66" s="67"/>
      <c r="P66" s="67"/>
      <c r="Q66" s="67"/>
      <c r="R66" s="67"/>
      <c r="S66" s="67"/>
      <c r="T66" s="67"/>
      <c r="U66" s="67"/>
      <c r="V66" s="67"/>
      <c r="W66" s="67"/>
      <c r="X66" s="67"/>
      <c r="Y66" s="67"/>
      <c r="Z66" s="67"/>
      <c r="AA66" s="56"/>
    </row>
    <row r="67" spans="1:27" x14ac:dyDescent="0.3">
      <c r="A67" s="75"/>
      <c r="B67" s="67"/>
      <c r="C67" s="67"/>
      <c r="D67" s="67"/>
      <c r="E67" s="67"/>
      <c r="F67" s="67"/>
      <c r="G67" s="68"/>
      <c r="H67" s="119"/>
      <c r="I67" s="77"/>
      <c r="J67" s="67"/>
      <c r="K67" s="67"/>
      <c r="L67" s="67" t="str">
        <f>Loop_Modeling!A68</f>
        <v>Crossover Frequency = 0.5 kHz</v>
      </c>
      <c r="M67" s="67"/>
      <c r="N67" s="67"/>
      <c r="O67" s="67"/>
      <c r="P67" s="67"/>
      <c r="Q67" s="67"/>
      <c r="R67" s="67"/>
      <c r="S67" s="67"/>
      <c r="T67" s="67"/>
      <c r="U67" s="67"/>
      <c r="V67" s="67"/>
      <c r="W67" s="67"/>
      <c r="X67" s="67"/>
      <c r="Y67" s="67"/>
      <c r="Z67" s="67"/>
      <c r="AA67" s="56"/>
    </row>
    <row r="68" spans="1:27" ht="15" thickBot="1" x14ac:dyDescent="0.35">
      <c r="A68" s="75"/>
      <c r="B68" s="67"/>
      <c r="C68" s="67"/>
      <c r="D68" s="67"/>
      <c r="E68" s="67"/>
      <c r="F68" s="99" t="s">
        <v>323</v>
      </c>
      <c r="G68" s="99"/>
      <c r="H68" s="130" t="s">
        <v>324</v>
      </c>
      <c r="I68" s="100"/>
      <c r="J68" s="67"/>
      <c r="K68" s="67"/>
      <c r="L68" s="67" t="str">
        <f>Loop_Modeling!A69</f>
        <v>Phase Margin = 83°</v>
      </c>
      <c r="M68" s="67"/>
      <c r="N68" s="67"/>
      <c r="O68" s="67"/>
      <c r="P68" s="67"/>
      <c r="Q68" s="67"/>
      <c r="R68" s="67"/>
      <c r="S68" s="67"/>
      <c r="T68" s="67"/>
      <c r="U68" s="67"/>
      <c r="V68" s="67"/>
      <c r="W68" s="67"/>
      <c r="X68" s="67"/>
      <c r="Y68" s="67"/>
      <c r="Z68" s="67"/>
      <c r="AA68" s="56"/>
    </row>
    <row r="69" spans="1:27" ht="16.2" thickBot="1" x14ac:dyDescent="0.4">
      <c r="A69" s="75"/>
      <c r="B69" s="67"/>
      <c r="C69" s="67"/>
      <c r="D69" s="67"/>
      <c r="E69" s="68" t="s">
        <v>322</v>
      </c>
      <c r="F69" s="141">
        <f>Rcomp_calc/1000</f>
        <v>10.200671539483462</v>
      </c>
      <c r="G69" s="135" t="s">
        <v>215</v>
      </c>
      <c r="H69" s="132">
        <v>10</v>
      </c>
      <c r="I69" s="90" t="s">
        <v>215</v>
      </c>
      <c r="J69" s="67"/>
      <c r="K69" s="67"/>
      <c r="L69" s="67"/>
      <c r="M69" s="67"/>
      <c r="N69" s="67"/>
      <c r="O69" s="67"/>
      <c r="P69" s="67"/>
      <c r="Q69" s="67"/>
      <c r="R69" s="67"/>
      <c r="S69" s="67"/>
      <c r="T69" s="67"/>
      <c r="U69" s="67"/>
      <c r="V69" s="67"/>
      <c r="W69" s="67"/>
      <c r="X69" s="67"/>
      <c r="Y69" s="67"/>
      <c r="Z69" s="67"/>
      <c r="AA69" s="56"/>
    </row>
    <row r="70" spans="1:27" ht="16.2" thickBot="1" x14ac:dyDescent="0.4">
      <c r="A70" s="75"/>
      <c r="B70" s="67"/>
      <c r="C70" s="67"/>
      <c r="D70" s="67"/>
      <c r="E70" s="68" t="s">
        <v>448</v>
      </c>
      <c r="F70" s="133">
        <f>CComp_calc*(10^9)</f>
        <v>294.79829564938166</v>
      </c>
      <c r="G70" s="135" t="s">
        <v>218</v>
      </c>
      <c r="H70" s="132">
        <v>1000</v>
      </c>
      <c r="I70" s="77" t="s">
        <v>218</v>
      </c>
      <c r="J70" s="67"/>
      <c r="K70" s="67"/>
      <c r="L70" s="67"/>
      <c r="M70" s="67"/>
      <c r="N70" s="67"/>
      <c r="O70" s="67"/>
      <c r="P70" s="67"/>
      <c r="Q70" s="67"/>
      <c r="R70" s="67"/>
      <c r="S70" s="67"/>
      <c r="T70" s="67"/>
      <c r="U70" s="67"/>
      <c r="V70" s="67"/>
      <c r="W70" s="67"/>
      <c r="X70" s="67"/>
      <c r="Y70" s="67"/>
      <c r="Z70" s="67"/>
      <c r="AA70" s="56"/>
    </row>
    <row r="71" spans="1:27" ht="16.2" thickBot="1" x14ac:dyDescent="0.4">
      <c r="A71" s="88"/>
      <c r="B71" s="83"/>
      <c r="C71" s="83"/>
      <c r="D71" s="83"/>
      <c r="E71" s="91" t="s">
        <v>449</v>
      </c>
      <c r="F71" s="131">
        <f>Variable_Management!B231*(10^12)</f>
        <v>1468.8237804005892</v>
      </c>
      <c r="G71" s="136" t="s">
        <v>217</v>
      </c>
      <c r="H71" s="124">
        <v>1000</v>
      </c>
      <c r="I71" s="85" t="s">
        <v>217</v>
      </c>
      <c r="J71" s="67"/>
      <c r="K71" s="67"/>
      <c r="L71" s="67"/>
      <c r="M71" s="67"/>
      <c r="N71" s="67"/>
      <c r="O71" s="67"/>
      <c r="P71" s="67"/>
      <c r="Q71" s="67"/>
      <c r="R71" s="67"/>
      <c r="S71" s="67"/>
      <c r="T71" s="67"/>
      <c r="U71" s="67"/>
      <c r="V71" s="67"/>
      <c r="W71" s="67"/>
      <c r="X71" s="67"/>
      <c r="Y71" s="67"/>
      <c r="Z71" s="67"/>
      <c r="AA71" s="56"/>
    </row>
    <row r="72" spans="1:27" x14ac:dyDescent="0.3">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3.4" x14ac:dyDescent="0.45">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3">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5" thickBot="1" x14ac:dyDescent="0.35">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ht="15.6" x14ac:dyDescent="0.35">
      <c r="A76" s="71"/>
      <c r="B76" s="72"/>
      <c r="C76" s="72"/>
      <c r="D76" s="72"/>
      <c r="E76" s="72"/>
      <c r="F76" s="72"/>
      <c r="G76" s="107" t="s">
        <v>387</v>
      </c>
      <c r="H76" s="116">
        <v>4.9000000000000004</v>
      </c>
      <c r="I76" s="108" t="s">
        <v>394</v>
      </c>
      <c r="J76" s="98"/>
      <c r="K76" s="98"/>
      <c r="L76" s="98"/>
      <c r="M76" s="98"/>
      <c r="N76" s="98"/>
      <c r="O76" s="98"/>
      <c r="P76" s="98"/>
      <c r="Q76" s="98"/>
      <c r="R76" s="98"/>
      <c r="S76" s="98"/>
      <c r="T76" s="98"/>
      <c r="U76" s="98"/>
      <c r="V76" s="98"/>
      <c r="W76" s="98"/>
      <c r="X76" s="98"/>
      <c r="Y76" s="98"/>
      <c r="Z76" s="98"/>
      <c r="AA76" s="56"/>
    </row>
    <row r="77" spans="1:27" ht="15.6" x14ac:dyDescent="0.35">
      <c r="A77" s="96"/>
      <c r="B77" s="67"/>
      <c r="C77" s="67"/>
      <c r="D77" s="67"/>
      <c r="E77" s="67"/>
      <c r="F77" s="67"/>
      <c r="G77" s="109" t="s">
        <v>388</v>
      </c>
      <c r="H77" s="117">
        <v>4.5</v>
      </c>
      <c r="I77" s="110" t="s">
        <v>395</v>
      </c>
      <c r="J77" s="98"/>
      <c r="K77" s="98"/>
      <c r="L77" s="98"/>
      <c r="M77" s="98"/>
      <c r="N77" s="98"/>
      <c r="O77" s="98"/>
      <c r="P77" s="98"/>
      <c r="Q77" s="98"/>
      <c r="R77" s="98"/>
      <c r="S77" s="98"/>
      <c r="T77" s="98"/>
      <c r="U77" s="98"/>
      <c r="V77" s="98"/>
      <c r="W77" s="98"/>
      <c r="X77" s="98"/>
      <c r="Y77" s="98"/>
      <c r="Z77" s="98"/>
      <c r="AA77" s="56"/>
    </row>
    <row r="78" spans="1:27" ht="15.6" x14ac:dyDescent="0.35">
      <c r="A78" s="96"/>
      <c r="B78" s="67"/>
      <c r="C78" s="67"/>
      <c r="D78" s="67"/>
      <c r="E78" s="67"/>
      <c r="F78" s="67"/>
      <c r="G78" s="109" t="s">
        <v>389</v>
      </c>
      <c r="H78" s="117">
        <v>2</v>
      </c>
      <c r="I78" s="110" t="s">
        <v>395</v>
      </c>
      <c r="J78" s="98"/>
      <c r="K78" s="98"/>
      <c r="L78" s="98"/>
      <c r="M78" s="98"/>
      <c r="N78" s="98"/>
      <c r="O78" s="98"/>
      <c r="P78" s="98"/>
      <c r="Q78" s="98"/>
      <c r="R78" s="98"/>
      <c r="S78" s="98"/>
      <c r="T78" s="98"/>
      <c r="U78" s="98"/>
      <c r="V78" s="98"/>
      <c r="W78" s="98"/>
      <c r="X78" s="98"/>
      <c r="Y78" s="98"/>
      <c r="Z78" s="98"/>
      <c r="AA78" s="56"/>
    </row>
    <row r="79" spans="1:27" ht="15.6" x14ac:dyDescent="0.35">
      <c r="A79" s="75"/>
      <c r="B79" s="67"/>
      <c r="C79" s="67"/>
      <c r="D79" s="67"/>
      <c r="E79" s="67"/>
      <c r="F79" s="67"/>
      <c r="G79" s="109" t="s">
        <v>390</v>
      </c>
      <c r="H79" s="117">
        <v>0.2</v>
      </c>
      <c r="I79" s="110" t="s">
        <v>395</v>
      </c>
      <c r="J79" s="98"/>
      <c r="K79" s="98"/>
      <c r="L79" s="98"/>
      <c r="M79" s="98"/>
      <c r="N79" s="98"/>
      <c r="O79" s="98"/>
      <c r="P79" s="98"/>
      <c r="Q79" s="98"/>
      <c r="R79" s="98"/>
      <c r="S79" s="98"/>
      <c r="T79" s="98"/>
      <c r="U79" s="98"/>
      <c r="V79" s="98"/>
      <c r="W79" s="98"/>
      <c r="X79" s="98"/>
      <c r="Y79" s="98"/>
      <c r="Z79" s="98"/>
      <c r="AA79" s="56"/>
    </row>
    <row r="80" spans="1:27" ht="15.6" x14ac:dyDescent="0.35">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ht="15.6" x14ac:dyDescent="0.35">
      <c r="A81" s="75"/>
      <c r="B81" s="67"/>
      <c r="C81" s="67"/>
      <c r="D81" s="67"/>
      <c r="E81" s="67"/>
      <c r="F81" s="67"/>
      <c r="G81" s="109" t="s">
        <v>392</v>
      </c>
      <c r="H81" s="117">
        <v>0.38</v>
      </c>
      <c r="I81" s="110" t="s">
        <v>397</v>
      </c>
      <c r="J81" s="98"/>
      <c r="K81" s="98"/>
      <c r="L81" s="98"/>
      <c r="M81" s="98"/>
      <c r="N81" s="98"/>
      <c r="O81" s="98"/>
      <c r="P81" s="98"/>
      <c r="Q81" s="98"/>
      <c r="R81" s="98"/>
      <c r="S81" s="98"/>
      <c r="T81" s="98"/>
      <c r="U81" s="98"/>
      <c r="V81" s="98"/>
      <c r="W81" s="98"/>
      <c r="X81" s="98"/>
      <c r="Y81" s="98"/>
      <c r="Z81" s="98"/>
      <c r="AA81" s="56"/>
    </row>
    <row r="82" spans="1:27" ht="16.2" thickBot="1" x14ac:dyDescent="0.4">
      <c r="A82" s="88"/>
      <c r="B82" s="83"/>
      <c r="C82" s="83"/>
      <c r="D82" s="83"/>
      <c r="E82" s="83"/>
      <c r="F82" s="83"/>
      <c r="G82" s="111" t="s">
        <v>393</v>
      </c>
      <c r="H82" s="124">
        <v>1.4</v>
      </c>
      <c r="I82" s="112" t="s">
        <v>10</v>
      </c>
      <c r="J82" s="98"/>
      <c r="K82" s="98"/>
      <c r="L82" s="98"/>
      <c r="M82" s="98"/>
      <c r="N82" s="98"/>
      <c r="O82" s="98"/>
      <c r="P82" s="98"/>
      <c r="Q82" s="98"/>
      <c r="R82" s="98"/>
      <c r="S82" s="98"/>
      <c r="T82" s="98"/>
      <c r="U82" s="98"/>
      <c r="V82" s="98"/>
      <c r="W82" s="98"/>
      <c r="X82" s="98"/>
      <c r="Y82" s="98"/>
      <c r="Z82" s="98"/>
      <c r="AA82" s="56"/>
    </row>
    <row r="83" spans="1:27" x14ac:dyDescent="0.3">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5" thickBot="1" x14ac:dyDescent="0.35">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5.6" x14ac:dyDescent="0.35">
      <c r="A85" s="71"/>
      <c r="B85" s="72"/>
      <c r="C85" s="72"/>
      <c r="D85" s="72"/>
      <c r="E85" s="72"/>
      <c r="F85" s="72"/>
      <c r="G85" s="93" t="s">
        <v>492</v>
      </c>
      <c r="H85" s="134">
        <f>IOUT</f>
        <v>3.3599999999999998E-2</v>
      </c>
      <c r="I85" s="74" t="s">
        <v>11</v>
      </c>
      <c r="J85" s="98"/>
      <c r="K85" s="98"/>
      <c r="L85" s="98"/>
      <c r="M85" s="98"/>
      <c r="N85" s="98"/>
      <c r="O85" s="98"/>
      <c r="P85" s="98"/>
      <c r="Q85" s="98"/>
      <c r="R85" s="98"/>
      <c r="S85" s="98"/>
      <c r="T85" s="98"/>
      <c r="U85" s="98"/>
      <c r="V85" s="98"/>
      <c r="W85" s="98"/>
      <c r="X85" s="98"/>
      <c r="Y85" s="98"/>
      <c r="Z85" s="98"/>
      <c r="AA85" s="56"/>
    </row>
    <row r="86" spans="1:27" ht="15.6" x14ac:dyDescent="0.35">
      <c r="A86" s="75"/>
      <c r="B86" s="67"/>
      <c r="C86" s="67"/>
      <c r="D86" s="67"/>
      <c r="E86" s="67"/>
      <c r="F86" s="67"/>
      <c r="G86" s="68" t="s">
        <v>400</v>
      </c>
      <c r="H86" s="117">
        <v>920</v>
      </c>
      <c r="I86" s="77" t="s">
        <v>186</v>
      </c>
      <c r="J86" s="98"/>
      <c r="K86" s="98"/>
      <c r="L86" s="98"/>
      <c r="M86" s="98"/>
      <c r="N86" s="98"/>
      <c r="O86" s="98"/>
      <c r="P86" s="98"/>
      <c r="Q86" s="98"/>
      <c r="R86" s="98"/>
      <c r="S86" s="98"/>
      <c r="T86" s="98"/>
      <c r="U86" s="98"/>
      <c r="V86" s="98"/>
      <c r="W86" s="98"/>
      <c r="X86" s="98"/>
      <c r="Y86" s="98"/>
      <c r="Z86" s="98"/>
      <c r="AA86" s="56"/>
    </row>
    <row r="87" spans="1:27" ht="15" thickBot="1" x14ac:dyDescent="0.35">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3">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3">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3">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3">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3">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3">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3">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3">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3">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3">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3">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3">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3">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2" operator="greaterThan">
      <formula>VIN_op_max_56</formula>
    </cfRule>
    <cfRule type="cellIs" dxfId="9" priority="17" operator="greaterThan">
      <formula>VIN_op_max</formula>
    </cfRule>
    <cfRule type="cellIs" dxfId="8" priority="18" operator="lessThan">
      <formula>VIN_op_min</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3" operator="greaterThan">
      <formula>VIN_op_max</formula>
    </cfRule>
    <cfRule type="cellIs" dxfId="4" priority="14" operator="lessThan">
      <formula>VIN_op_min</formula>
    </cfRule>
  </conditionalFormatting>
  <conditionalFormatting sqref="H17">
    <cfRule type="cellIs" dxfId="3" priority="6" operator="greaterThan">
      <formula>$H$16</formula>
    </cfRule>
  </conditionalFormatting>
  <conditionalFormatting sqref="H57">
    <cfRule type="expression" dxfId="1" priority="11">
      <formula>$H$8&gt;$H$9</formula>
    </cfRule>
    <cfRule type="expression" dxfId="0" priority="12">
      <formula>$H$8&lt;$H$7</formula>
    </cfRule>
  </conditionalFormatting>
  <dataValidations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594360</xdr:colOff>
                    <xdr:row>30</xdr:row>
                    <xdr:rowOff>91440</xdr:rowOff>
                  </from>
                  <to>
                    <xdr:col>16</xdr:col>
                    <xdr:colOff>220980</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510540</xdr:colOff>
                    <xdr:row>56</xdr:row>
                    <xdr:rowOff>0</xdr:rowOff>
                  </from>
                  <to>
                    <xdr:col>8</xdr:col>
                    <xdr:colOff>15240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defaultRowHeight="14.4" x14ac:dyDescent="0.3"/>
  <cols>
    <col min="1" max="1" width="28.88671875" customWidth="1"/>
    <col min="2" max="2" width="19.5546875" customWidth="1"/>
    <col min="3" max="3" width="10.88671875" customWidth="1"/>
    <col min="4" max="4" width="10" bestFit="1" customWidth="1"/>
    <col min="5" max="5" width="18.6640625" customWidth="1"/>
    <col min="6" max="6" width="14.6640625" customWidth="1"/>
    <col min="7" max="7" width="15.109375" customWidth="1"/>
    <col min="8" max="9" width="12.5546875" customWidth="1"/>
    <col min="11" max="11" width="12.88671875" bestFit="1" customWidth="1"/>
    <col min="12" max="14" width="12.21875" bestFit="1" customWidth="1"/>
  </cols>
  <sheetData>
    <row r="1" spans="1:17" ht="28.2" x14ac:dyDescent="0.5">
      <c r="A1" s="229" t="s">
        <v>15</v>
      </c>
      <c r="B1" s="229"/>
      <c r="C1" s="229"/>
      <c r="D1" s="229"/>
      <c r="E1" s="229"/>
      <c r="F1" s="229"/>
      <c r="G1" s="229"/>
      <c r="H1" s="229"/>
      <c r="I1" s="229"/>
      <c r="J1" s="229"/>
    </row>
    <row r="2" spans="1:17" x14ac:dyDescent="0.3">
      <c r="A2" s="5"/>
      <c r="B2" s="5" t="s">
        <v>16</v>
      </c>
      <c r="C2" s="6"/>
      <c r="D2" s="4"/>
      <c r="E2" s="5"/>
      <c r="F2" s="5"/>
      <c r="G2" s="5"/>
      <c r="H2" s="5"/>
      <c r="I2" s="5"/>
      <c r="J2" s="5"/>
    </row>
    <row r="3" spans="1:17" x14ac:dyDescent="0.3">
      <c r="A3" s="5"/>
      <c r="B3" s="5" t="s">
        <v>17</v>
      </c>
      <c r="C3" s="7"/>
      <c r="D3" s="4"/>
      <c r="E3" s="5"/>
      <c r="F3" s="14" t="s">
        <v>63</v>
      </c>
      <c r="G3" s="15" t="s">
        <v>64</v>
      </c>
      <c r="H3" s="26" t="s">
        <v>67</v>
      </c>
      <c r="I3" s="5"/>
      <c r="J3" s="5"/>
    </row>
    <row r="4" spans="1:17" x14ac:dyDescent="0.3">
      <c r="A4" s="5"/>
      <c r="B4" s="5" t="s">
        <v>18</v>
      </c>
      <c r="C4" s="8"/>
      <c r="D4" s="4"/>
      <c r="E4" s="5"/>
      <c r="F4" s="5"/>
      <c r="G4" s="5"/>
      <c r="H4" s="5"/>
      <c r="I4" s="5"/>
      <c r="J4" s="5"/>
    </row>
    <row r="5" spans="1:17" x14ac:dyDescent="0.3">
      <c r="A5" s="9" t="s">
        <v>19</v>
      </c>
      <c r="B5" s="9" t="s">
        <v>20</v>
      </c>
      <c r="C5" s="9" t="s">
        <v>21</v>
      </c>
      <c r="D5" s="4"/>
      <c r="E5" s="230" t="s">
        <v>22</v>
      </c>
      <c r="F5" s="230"/>
      <c r="G5" s="230"/>
      <c r="H5" s="230"/>
      <c r="I5" s="5"/>
      <c r="J5" s="9" t="s">
        <v>23</v>
      </c>
      <c r="K5" s="9" t="s">
        <v>71</v>
      </c>
      <c r="L5" s="4"/>
      <c r="M5" s="4"/>
      <c r="N5" s="4"/>
      <c r="O5" s="4"/>
      <c r="P5" s="4"/>
      <c r="Q5" s="4"/>
    </row>
    <row r="6" spans="1:17" ht="15.6" x14ac:dyDescent="0.3">
      <c r="A6" s="10" t="s">
        <v>24</v>
      </c>
      <c r="B6" s="9"/>
      <c r="C6" s="9"/>
      <c r="D6" s="9"/>
      <c r="E6" s="5"/>
      <c r="F6" s="5"/>
      <c r="G6" s="5"/>
      <c r="H6" s="5"/>
      <c r="I6" s="5"/>
      <c r="J6" s="9"/>
      <c r="K6" s="4"/>
      <c r="L6" s="4"/>
      <c r="M6" s="4"/>
      <c r="N6" s="4"/>
      <c r="O6" s="4"/>
      <c r="P6" s="4"/>
      <c r="Q6" s="4"/>
    </row>
    <row r="7" spans="1:17" x14ac:dyDescent="0.3">
      <c r="A7" t="s">
        <v>25</v>
      </c>
      <c r="B7" s="3">
        <f>'Design Converter'!H7</f>
        <v>19.7</v>
      </c>
      <c r="C7" t="s">
        <v>10</v>
      </c>
      <c r="E7" t="s">
        <v>28</v>
      </c>
    </row>
    <row r="8" spans="1:17" x14ac:dyDescent="0.3">
      <c r="A8" t="s">
        <v>26</v>
      </c>
      <c r="B8" s="3">
        <f>'Design Converter'!H8</f>
        <v>20</v>
      </c>
      <c r="C8" t="s">
        <v>10</v>
      </c>
      <c r="E8" t="s">
        <v>29</v>
      </c>
      <c r="K8">
        <f>IF(VIN_min&lt;VIN_min,1,IF(VIN_nom&gt;VIN_max,1,0))</f>
        <v>0</v>
      </c>
    </row>
    <row r="9" spans="1:17" x14ac:dyDescent="0.3">
      <c r="A9" t="s">
        <v>27</v>
      </c>
      <c r="B9" s="3">
        <f>'Design Converter'!H9</f>
        <v>20.3</v>
      </c>
      <c r="C9" t="s">
        <v>10</v>
      </c>
      <c r="E9" t="s">
        <v>30</v>
      </c>
    </row>
    <row r="10" spans="1:17" x14ac:dyDescent="0.3">
      <c r="A10" t="s">
        <v>68</v>
      </c>
      <c r="B10" s="3">
        <f>'Design Converter'!H12*1000</f>
        <v>100000</v>
      </c>
      <c r="C10" t="s">
        <v>69</v>
      </c>
      <c r="E10" t="s">
        <v>70</v>
      </c>
    </row>
    <row r="11" spans="1:17" x14ac:dyDescent="0.3">
      <c r="A11" t="s">
        <v>73</v>
      </c>
      <c r="B11" s="18">
        <f>((2.21*10^10)/Fsw)-955</f>
        <v>220045</v>
      </c>
      <c r="C11" s="2" t="s">
        <v>36</v>
      </c>
      <c r="E11" t="s">
        <v>74</v>
      </c>
    </row>
    <row r="13" spans="1:17" x14ac:dyDescent="0.3">
      <c r="A13" t="s">
        <v>31</v>
      </c>
      <c r="B13" s="3">
        <f>'Design Converter'!H10</f>
        <v>210</v>
      </c>
      <c r="C13" t="s">
        <v>10</v>
      </c>
      <c r="E13" t="s">
        <v>32</v>
      </c>
    </row>
    <row r="14" spans="1:17" x14ac:dyDescent="0.3">
      <c r="A14" t="s">
        <v>33</v>
      </c>
      <c r="B14" s="3">
        <f>'Design Converter'!H11</f>
        <v>3.3599999999999998E-2</v>
      </c>
      <c r="C14" t="s">
        <v>11</v>
      </c>
      <c r="E14" t="s">
        <v>34</v>
      </c>
    </row>
    <row r="15" spans="1:17" x14ac:dyDescent="0.3">
      <c r="A15" t="s">
        <v>35</v>
      </c>
      <c r="B15" s="1">
        <f>VOUT/IOUT</f>
        <v>6250</v>
      </c>
      <c r="C15" s="2" t="s">
        <v>36</v>
      </c>
      <c r="E15" t="s">
        <v>42</v>
      </c>
    </row>
    <row r="16" spans="1:17" x14ac:dyDescent="0.3">
      <c r="A16" t="s">
        <v>37</v>
      </c>
      <c r="B16" s="1">
        <f>VOUT*IOUT</f>
        <v>7.0559999999999992</v>
      </c>
      <c r="C16" s="2" t="s">
        <v>38</v>
      </c>
      <c r="E16" t="s">
        <v>41</v>
      </c>
    </row>
    <row r="17" spans="1:19" x14ac:dyDescent="0.3">
      <c r="A17" t="s">
        <v>39</v>
      </c>
      <c r="B17" s="11">
        <f>'Design Converter'!H14/100</f>
        <v>0.9</v>
      </c>
      <c r="E17" t="s">
        <v>40</v>
      </c>
    </row>
    <row r="19" spans="1:19" x14ac:dyDescent="0.3">
      <c r="A19" s="33" t="s">
        <v>519</v>
      </c>
    </row>
    <row r="20" spans="1:19" x14ac:dyDescent="0.3">
      <c r="A20" t="s">
        <v>43</v>
      </c>
      <c r="B20" s="1">
        <f>IF(B$36="DCM",B55,B39)</f>
        <v>0.90619047619047621</v>
      </c>
      <c r="E20" t="s">
        <v>44</v>
      </c>
    </row>
    <row r="21" spans="1:19" x14ac:dyDescent="0.3">
      <c r="A21" t="s">
        <v>45</v>
      </c>
      <c r="B21" s="12">
        <f>Constants!B20</f>
        <v>0.93</v>
      </c>
      <c r="E21" t="s">
        <v>46</v>
      </c>
      <c r="K21">
        <f>IF(((1-D_limit_nom)/Constants!B12)&lt;Fsw,1,0)</f>
        <v>0</v>
      </c>
    </row>
    <row r="23" spans="1:19" x14ac:dyDescent="0.3">
      <c r="A23" t="s">
        <v>82</v>
      </c>
      <c r="B23" s="1">
        <f>IF(B$36="DCM",B58,B42)</f>
        <v>0.90619047619047621</v>
      </c>
      <c r="E23" t="s">
        <v>506</v>
      </c>
    </row>
    <row r="24" spans="1:19" x14ac:dyDescent="0.3">
      <c r="B24" s="13">
        <f>IF(B$36="DCM",B59,B43)</f>
        <v>9.0619047619047619E-6</v>
      </c>
      <c r="C24" t="s">
        <v>54</v>
      </c>
      <c r="E24" t="s">
        <v>333</v>
      </c>
    </row>
    <row r="25" spans="1:19" x14ac:dyDescent="0.3">
      <c r="A25" t="s">
        <v>92</v>
      </c>
      <c r="B25" s="17">
        <f>IF(B$36="DCM",B60,B44)</f>
        <v>0.35817258883248726</v>
      </c>
      <c r="C25" t="s">
        <v>11</v>
      </c>
      <c r="E25" t="s">
        <v>95</v>
      </c>
      <c r="K25" t="s">
        <v>559</v>
      </c>
      <c r="L25" t="s">
        <v>560</v>
      </c>
      <c r="M25" t="s">
        <v>572</v>
      </c>
    </row>
    <row r="26" spans="1:19" x14ac:dyDescent="0.3">
      <c r="J26" t="s">
        <v>561</v>
      </c>
      <c r="K26" t="b">
        <f>Dc_CCM_VIN_min&lt;B58</f>
        <v>1</v>
      </c>
      <c r="L26" t="b">
        <f>Dc_CCM_VIN_nom&lt;Dc_DCM_VIN_nom</f>
        <v>1</v>
      </c>
      <c r="M26" t="b">
        <f>Dc_CCM_VIN_max&lt;B66</f>
        <v>1</v>
      </c>
    </row>
    <row r="27" spans="1:19" x14ac:dyDescent="0.3">
      <c r="A27" t="s">
        <v>83</v>
      </c>
      <c r="B27" s="1">
        <f>IF(B$36="DCM",B62,B46)</f>
        <v>0.90476190476190477</v>
      </c>
      <c r="E27" t="s">
        <v>507</v>
      </c>
      <c r="J27" t="s">
        <v>565</v>
      </c>
      <c r="K27" t="b">
        <f>AND(K26:M26)</f>
        <v>1</v>
      </c>
    </row>
    <row r="28" spans="1:19" x14ac:dyDescent="0.3">
      <c r="B28" s="13">
        <f>IF(B$36="DCM",B63,B47)</f>
        <v>9.047619047619047E-6</v>
      </c>
      <c r="C28" t="s">
        <v>54</v>
      </c>
      <c r="E28" t="s">
        <v>333</v>
      </c>
      <c r="J28" t="s">
        <v>566</v>
      </c>
      <c r="K28" t="b">
        <f>NOT(OR(K26:M26))</f>
        <v>0</v>
      </c>
    </row>
    <row r="29" spans="1:19" x14ac:dyDescent="0.3">
      <c r="A29" t="s">
        <v>93</v>
      </c>
      <c r="B29" s="17">
        <f>IF(B$36="DCM",B64,B48)</f>
        <v>0.35279999999999995</v>
      </c>
      <c r="C29" t="s">
        <v>11</v>
      </c>
      <c r="E29" t="s">
        <v>96</v>
      </c>
      <c r="J29" t="s">
        <v>562</v>
      </c>
      <c r="K29" t="b">
        <f>NOT(OR(K27:K28))</f>
        <v>0</v>
      </c>
    </row>
    <row r="30" spans="1:19" x14ac:dyDescent="0.3">
      <c r="J30" t="s">
        <v>567</v>
      </c>
      <c r="K30" t="b">
        <f>IF(Dc_Mode="CCM",K27,IF(Dc_Mode="DCM",K28,K29))</f>
        <v>1</v>
      </c>
      <c r="P30" t="s">
        <v>557</v>
      </c>
      <c r="Q30" t="s">
        <v>555</v>
      </c>
      <c r="R30" t="s">
        <v>556</v>
      </c>
      <c r="S30" t="s">
        <v>558</v>
      </c>
    </row>
    <row r="31" spans="1:19" x14ac:dyDescent="0.3">
      <c r="A31" t="s">
        <v>84</v>
      </c>
      <c r="B31" s="1">
        <f>IF(B$36="DCM",B66,B50)</f>
        <v>0.90333333333333332</v>
      </c>
      <c r="E31" t="s">
        <v>508</v>
      </c>
      <c r="K31" t="s">
        <v>554</v>
      </c>
      <c r="L31" s="137">
        <f>VIN_min/(Fsw*2*IOUT)*Dc_VIN_min*(1-Dc_VIN_min)</f>
        <v>2.4920880237015437E-4</v>
      </c>
      <c r="M31" s="137">
        <f>VIN_nom/(Fsw*2*IOUT)*Dc_VIN_nom*(1-Dc_VIN_nom)</f>
        <v>2.5645178706403194E-4</v>
      </c>
      <c r="N31" s="137">
        <f>VIN_max/(Fsw*2*IOUT)*Dc_VIN_max*(1-Dc_VIN_max)</f>
        <v>2.6378587962962966E-4</v>
      </c>
      <c r="P31" s="137">
        <f>Q31*0.9</f>
        <v>2.2428792213313893E-4</v>
      </c>
      <c r="Q31" s="137">
        <f>MIN(L31:N31)</f>
        <v>2.4920880237015437E-4</v>
      </c>
      <c r="R31" s="137">
        <f>MAX(L31:N31)</f>
        <v>2.6378587962962966E-4</v>
      </c>
      <c r="S31" s="137">
        <f>R31*1.1</f>
        <v>2.9016446759259267E-4</v>
      </c>
    </row>
    <row r="32" spans="1:19" x14ac:dyDescent="0.3">
      <c r="B32" s="13">
        <f>IF(B$36="DCM",B67,B51)</f>
        <v>9.0333333333333338E-6</v>
      </c>
      <c r="C32" t="s">
        <v>54</v>
      </c>
      <c r="E32" t="s">
        <v>333</v>
      </c>
    </row>
    <row r="33" spans="1:14" x14ac:dyDescent="0.3">
      <c r="A33" t="s">
        <v>94</v>
      </c>
      <c r="B33" s="17">
        <f>IF(B$36="DCM",B68,B52)</f>
        <v>0.34758620689655167</v>
      </c>
      <c r="C33" t="s">
        <v>11</v>
      </c>
      <c r="E33" t="s">
        <v>97</v>
      </c>
    </row>
    <row r="34" spans="1:14" x14ac:dyDescent="0.3">
      <c r="N34" t="s">
        <v>553</v>
      </c>
    </row>
    <row r="35" spans="1:14" x14ac:dyDescent="0.3">
      <c r="A35" t="s">
        <v>534</v>
      </c>
      <c r="B35" s="140" t="str">
        <f>IF(AND(K35&lt;Lm,L35&lt;Lm,M35&lt;Lm),"CCM",IF(AND(K35&gt;Lm,L35&gt;Lm,M35&gt;Lm),"DCM","CCM/DCM"))</f>
        <v>CCM</v>
      </c>
      <c r="E35" t="s">
        <v>517</v>
      </c>
      <c r="K35" s="137">
        <f>VIN_min/(Fsw*2*IOUT)*Dc_CCM_VIN_min*(1-Dc_CCM_VIN_min)</f>
        <v>2.4920880237015437E-4</v>
      </c>
      <c r="L35" s="137">
        <f>IF(AND(B50&lt;0.5,B42&gt;0.5),VIN_min/(Fsw*2*IOUT)*0.5*(1-0.5),VIN_min/(Fsw*2*IOUT)*Dc_CCM_VIN_nom*(1-Dc_CCM_VIN_nom))</f>
        <v>2.5260501025807145E-4</v>
      </c>
      <c r="M35" s="137">
        <f>VIN_min/(Fsw*2*IOUT)*Dc_CCM_VIN_max*(1-Dc_VIN_max)</f>
        <v>2.5598925264550264E-4</v>
      </c>
      <c r="N35" t="b">
        <f>IF(Dc_Mode="CCM",IF(Lm&lt;MAX(K35,L35,M35),TRUE,IF(Lm&gt;MIN(K35,L35,M35),TRUE,FALSE)))</f>
        <v>1</v>
      </c>
    </row>
    <row r="36" spans="1:14" x14ac:dyDescent="0.3">
      <c r="A36" t="s">
        <v>533</v>
      </c>
      <c r="B36" s="139" t="str">
        <f>'Design Converter'!H18</f>
        <v>CCM</v>
      </c>
      <c r="E36" t="s">
        <v>516</v>
      </c>
      <c r="K36" t="str">
        <f>IF(OR(B35="CCM",B35="CCM/DCM"),"CCM","DCM")</f>
        <v>CCM</v>
      </c>
      <c r="L36" t="str">
        <f>IF(B35="CCM/DCM","DCM","")</f>
        <v/>
      </c>
    </row>
    <row r="38" spans="1:14" x14ac:dyDescent="0.3">
      <c r="A38" s="33" t="s">
        <v>495</v>
      </c>
    </row>
    <row r="39" spans="1:14" x14ac:dyDescent="0.3">
      <c r="A39" t="s">
        <v>509</v>
      </c>
      <c r="B39" s="1">
        <f>1-VIN_min/VOUT</f>
        <v>0.90619047619047621</v>
      </c>
      <c r="E39" t="s">
        <v>44</v>
      </c>
    </row>
    <row r="42" spans="1:14" x14ac:dyDescent="0.3">
      <c r="A42" t="s">
        <v>510</v>
      </c>
      <c r="B42" s="1">
        <f>1-VIN_min/VOUT</f>
        <v>0.90619047619047621</v>
      </c>
      <c r="E42" t="s">
        <v>85</v>
      </c>
    </row>
    <row r="43" spans="1:14" x14ac:dyDescent="0.3">
      <c r="B43" s="13">
        <f>B42/Fsw</f>
        <v>9.0619047619047619E-6</v>
      </c>
      <c r="C43" t="s">
        <v>54</v>
      </c>
      <c r="E43" t="s">
        <v>333</v>
      </c>
    </row>
    <row r="44" spans="1:14" x14ac:dyDescent="0.3">
      <c r="A44" t="s">
        <v>511</v>
      </c>
      <c r="B44" s="17">
        <f>(VOUT*IOUT)/(VIN_min)</f>
        <v>0.35817258883248726</v>
      </c>
      <c r="C44" t="s">
        <v>11</v>
      </c>
      <c r="E44" t="s">
        <v>95</v>
      </c>
    </row>
    <row r="46" spans="1:14" x14ac:dyDescent="0.3">
      <c r="A46" t="s">
        <v>512</v>
      </c>
      <c r="B46" s="1">
        <f>1-VIN_nom/VOUT</f>
        <v>0.90476190476190477</v>
      </c>
      <c r="E46" t="s">
        <v>86</v>
      </c>
    </row>
    <row r="47" spans="1:14" x14ac:dyDescent="0.3">
      <c r="B47" s="13">
        <f>B46/Fsw</f>
        <v>9.047619047619047E-6</v>
      </c>
      <c r="C47" t="s">
        <v>54</v>
      </c>
      <c r="E47" t="s">
        <v>333</v>
      </c>
    </row>
    <row r="48" spans="1:14" x14ac:dyDescent="0.3">
      <c r="A48" t="s">
        <v>513</v>
      </c>
      <c r="B48" s="17">
        <f>(VOUT*IOUT)/(VIN_nom)</f>
        <v>0.35279999999999995</v>
      </c>
      <c r="C48" t="s">
        <v>11</v>
      </c>
      <c r="E48" t="s">
        <v>96</v>
      </c>
    </row>
    <row r="50" spans="1:5" x14ac:dyDescent="0.3">
      <c r="A50" t="s">
        <v>514</v>
      </c>
      <c r="B50" s="1">
        <f>1-VIN_max/VOUT</f>
        <v>0.90333333333333332</v>
      </c>
      <c r="E50" t="s">
        <v>87</v>
      </c>
    </row>
    <row r="51" spans="1:5" x14ac:dyDescent="0.3">
      <c r="B51" s="13">
        <f>B50/Fsw</f>
        <v>9.0333333333333338E-6</v>
      </c>
      <c r="C51" t="s">
        <v>54</v>
      </c>
      <c r="E51" t="s">
        <v>333</v>
      </c>
    </row>
    <row r="52" spans="1:5" x14ac:dyDescent="0.3">
      <c r="A52" t="s">
        <v>515</v>
      </c>
      <c r="B52" s="17">
        <f>(VOUT*IOUT)/(VIN_max)</f>
        <v>0.34758620689655167</v>
      </c>
      <c r="C52" t="s">
        <v>11</v>
      </c>
      <c r="E52" t="s">
        <v>97</v>
      </c>
    </row>
    <row r="54" spans="1:5" x14ac:dyDescent="0.3">
      <c r="A54" s="33" t="s">
        <v>496</v>
      </c>
    </row>
    <row r="55" spans="1:5" x14ac:dyDescent="0.3">
      <c r="A55" t="s">
        <v>497</v>
      </c>
      <c r="B55" s="1">
        <f>1/VIN_min*SQRT(2*Lm*(VOUT-VIN_min)*Fsw*IOUT)</f>
        <v>1.6437839312438938</v>
      </c>
      <c r="E55" t="s">
        <v>44</v>
      </c>
    </row>
    <row r="58" spans="1:5" x14ac:dyDescent="0.3">
      <c r="A58" t="s">
        <v>501</v>
      </c>
      <c r="B58" s="1">
        <f>1/VIN_min*SQRT(2*Lm*(VOUT-VIN_min)*Fsw*IOUT)</f>
        <v>1.6437839312438938</v>
      </c>
      <c r="E58" t="s">
        <v>498</v>
      </c>
    </row>
    <row r="59" spans="1:5" x14ac:dyDescent="0.3">
      <c r="B59" s="13">
        <f>B58/Fsw</f>
        <v>1.6437839312438938E-5</v>
      </c>
      <c r="C59" t="s">
        <v>54</v>
      </c>
      <c r="E59" t="s">
        <v>333</v>
      </c>
    </row>
    <row r="60" spans="1:5" x14ac:dyDescent="0.3">
      <c r="A60" t="s">
        <v>502</v>
      </c>
      <c r="B60" s="17">
        <f>(VOUT*IOUT)/(VIN_min)</f>
        <v>0.35817258883248726</v>
      </c>
      <c r="C60" t="s">
        <v>11</v>
      </c>
      <c r="E60" t="s">
        <v>95</v>
      </c>
    </row>
    <row r="62" spans="1:5" x14ac:dyDescent="0.3">
      <c r="A62" t="s">
        <v>503</v>
      </c>
      <c r="B62" s="1">
        <f>1/VIN_nom*SQRT(2*Lm*(VOUT-VIN_nom)*Fsw*IOUT)</f>
        <v>1.617850425719263</v>
      </c>
      <c r="E62" t="s">
        <v>499</v>
      </c>
    </row>
    <row r="63" spans="1:5" x14ac:dyDescent="0.3">
      <c r="B63" s="13">
        <f>B62/Fsw</f>
        <v>1.6178504257192629E-5</v>
      </c>
      <c r="C63" t="s">
        <v>54</v>
      </c>
      <c r="E63" t="s">
        <v>333</v>
      </c>
    </row>
    <row r="64" spans="1:5" x14ac:dyDescent="0.3">
      <c r="A64" t="s">
        <v>504</v>
      </c>
      <c r="B64" s="17">
        <f>(VOUT*IOUT)/(VIN_nom)</f>
        <v>0.35279999999999995</v>
      </c>
      <c r="C64" t="s">
        <v>11</v>
      </c>
      <c r="E64" t="s">
        <v>96</v>
      </c>
    </row>
    <row r="66" spans="1:5" x14ac:dyDescent="0.3">
      <c r="A66" t="s">
        <v>505</v>
      </c>
      <c r="B66" s="1">
        <f>1/VIN_max*SQRT(2*Lm*(VOUT-VIN_max)*Fsw*IOUT)</f>
        <v>1.5926824342925872</v>
      </c>
      <c r="E66" t="s">
        <v>500</v>
      </c>
    </row>
    <row r="67" spans="1:5" x14ac:dyDescent="0.3">
      <c r="B67" s="13">
        <f>B66/Fsw</f>
        <v>1.5926824342925873E-5</v>
      </c>
      <c r="C67" t="s">
        <v>54</v>
      </c>
      <c r="E67" t="s">
        <v>333</v>
      </c>
    </row>
    <row r="68" spans="1:5" x14ac:dyDescent="0.3">
      <c r="A68" t="s">
        <v>94</v>
      </c>
      <c r="B68" s="17">
        <f>(VOUT*IOUT)/(VIN_max)</f>
        <v>0.34758620689655167</v>
      </c>
      <c r="C68" t="s">
        <v>11</v>
      </c>
      <c r="E68" t="s">
        <v>97</v>
      </c>
    </row>
    <row r="70" spans="1:5" x14ac:dyDescent="0.3">
      <c r="A70" s="19" t="s">
        <v>77</v>
      </c>
    </row>
    <row r="71" spans="1:5" x14ac:dyDescent="0.3">
      <c r="A71" t="s">
        <v>99</v>
      </c>
      <c r="B71" s="3">
        <f>'Design Converter'!H21/100</f>
        <v>0.6</v>
      </c>
      <c r="E71" t="s">
        <v>122</v>
      </c>
    </row>
    <row r="72" spans="1:5" x14ac:dyDescent="0.3">
      <c r="A72" s="22" t="s">
        <v>107</v>
      </c>
    </row>
    <row r="73" spans="1:5" x14ac:dyDescent="0.3">
      <c r="A73" t="s">
        <v>90</v>
      </c>
      <c r="B73" s="25">
        <f>(VIN_min*Dc_VIN_min)/(IL_avg_VIN_min*ILrip*Fsw)</f>
        <v>8.3069600790051479E-4</v>
      </c>
      <c r="C73" t="s">
        <v>98</v>
      </c>
      <c r="E73" t="s">
        <v>91</v>
      </c>
    </row>
    <row r="74" spans="1:5" x14ac:dyDescent="0.3">
      <c r="A74" t="s">
        <v>569</v>
      </c>
      <c r="B74" s="25">
        <f>(VIN_nom*Dc_VIN_nom)/(IL_avg_VIN_nom*ILrip*Fsw)</f>
        <v>8.5483929021344001E-4</v>
      </c>
      <c r="C74" t="s">
        <v>98</v>
      </c>
      <c r="E74" t="s">
        <v>570</v>
      </c>
    </row>
    <row r="75" spans="1:5" x14ac:dyDescent="0.3">
      <c r="A75" t="s">
        <v>568</v>
      </c>
      <c r="B75" s="25">
        <f>(VIN_max*Dc_VIN_max)/(IL_avg_VIN_max*ILrip*Fsw)</f>
        <v>8.79286265432099E-4</v>
      </c>
      <c r="C75" t="s">
        <v>98</v>
      </c>
      <c r="E75" t="s">
        <v>571</v>
      </c>
    </row>
    <row r="76" spans="1:5" x14ac:dyDescent="0.3">
      <c r="A76" t="s">
        <v>100</v>
      </c>
      <c r="B76" s="25">
        <f>AVERAGE(B73:B75)</f>
        <v>8.549405211820179E-4</v>
      </c>
      <c r="C76" t="s">
        <v>98</v>
      </c>
      <c r="E76" t="s">
        <v>101</v>
      </c>
    </row>
    <row r="78" spans="1:5" x14ac:dyDescent="0.3">
      <c r="A78" s="22" t="s">
        <v>108</v>
      </c>
    </row>
    <row r="79" spans="1:5" x14ac:dyDescent="0.3">
      <c r="A79" t="s">
        <v>133</v>
      </c>
      <c r="B79" s="12">
        <v>0.33</v>
      </c>
      <c r="C79" t="s">
        <v>13</v>
      </c>
      <c r="E79" t="s">
        <v>132</v>
      </c>
    </row>
    <row r="80" spans="1:5" x14ac:dyDescent="0.3">
      <c r="A80" t="s">
        <v>109</v>
      </c>
      <c r="B80" s="1">
        <f>IF(Dc_VIN_max&lt;Dc_rip_max,VOUT*(1-Dc_rip_max),VOUT*(1-Dc_VIN_max))</f>
        <v>20.300000000000004</v>
      </c>
      <c r="C80" t="s">
        <v>10</v>
      </c>
      <c r="E80" t="s">
        <v>136</v>
      </c>
    </row>
    <row r="81" spans="1:5" x14ac:dyDescent="0.3">
      <c r="A81" t="s">
        <v>110</v>
      </c>
      <c r="B81" s="16">
        <f>(VOUT*IOUT)/(VIN_33)</f>
        <v>0.34758620689655162</v>
      </c>
      <c r="C81" t="s">
        <v>11</v>
      </c>
      <c r="E81" t="s">
        <v>135</v>
      </c>
    </row>
    <row r="82" spans="1:5" x14ac:dyDescent="0.3">
      <c r="A82" t="s">
        <v>111</v>
      </c>
      <c r="B82" s="25">
        <f>(VIN_33*0.33)/(IIN_33*ILrip*Fsw)</f>
        <v>3.2121527777777796E-4</v>
      </c>
      <c r="C82" t="s">
        <v>98</v>
      </c>
      <c r="E82" t="s">
        <v>134</v>
      </c>
    </row>
    <row r="84" spans="1:5" x14ac:dyDescent="0.3">
      <c r="A84" t="s">
        <v>102</v>
      </c>
      <c r="B84" s="21">
        <f>'Design Converter'!H23*10^-6</f>
        <v>8.1999999999999998E-4</v>
      </c>
      <c r="C84" t="s">
        <v>98</v>
      </c>
      <c r="E84" t="s">
        <v>103</v>
      </c>
    </row>
    <row r="85" spans="1:5" x14ac:dyDescent="0.3">
      <c r="A85" t="s">
        <v>104</v>
      </c>
      <c r="B85" s="3">
        <f>'Design Converter'!H24*10^-3</f>
        <v>0.73599999999999999</v>
      </c>
      <c r="C85" s="2" t="s">
        <v>36</v>
      </c>
      <c r="E85" t="s">
        <v>137</v>
      </c>
    </row>
    <row r="86" spans="1:5" x14ac:dyDescent="0.3">
      <c r="A86" t="s">
        <v>138</v>
      </c>
      <c r="B86" s="12">
        <v>0.2</v>
      </c>
      <c r="C86" s="2"/>
      <c r="E86" t="s">
        <v>139</v>
      </c>
    </row>
    <row r="88" spans="1:5" x14ac:dyDescent="0.3">
      <c r="A88" s="22" t="s">
        <v>573</v>
      </c>
      <c r="C88" s="2"/>
    </row>
    <row r="89" spans="1:5" x14ac:dyDescent="0.3">
      <c r="A89" t="s">
        <v>574</v>
      </c>
      <c r="B89" s="227">
        <f>VIN_min/(2*Fsw*IOUT)*(1-VIN_min/VOUT)*(1-(1-VIN_min/VOUT))</f>
        <v>2.4920880237015437E-4</v>
      </c>
      <c r="C89" s="2"/>
    </row>
    <row r="90" spans="1:5" x14ac:dyDescent="0.3">
      <c r="C90" s="2"/>
    </row>
    <row r="91" spans="1:5" x14ac:dyDescent="0.3">
      <c r="A91" s="22" t="s">
        <v>495</v>
      </c>
      <c r="C91" s="2"/>
    </row>
    <row r="92" spans="1:5" x14ac:dyDescent="0.3">
      <c r="A92" t="s">
        <v>115</v>
      </c>
      <c r="B92" s="16">
        <f>(VIN_min*Dc_VIN_min)/(Lm*Fsw)</f>
        <v>0.2177067363530778</v>
      </c>
      <c r="C92" t="s">
        <v>11</v>
      </c>
      <c r="E92" t="s">
        <v>116</v>
      </c>
    </row>
    <row r="93" spans="1:5" x14ac:dyDescent="0.3">
      <c r="A93" t="s">
        <v>113</v>
      </c>
      <c r="B93" s="16">
        <f>(IL_avg_VIN_min/EFF_est)+(ILrip_VINmin/2)</f>
        <v>0.50682291132374702</v>
      </c>
      <c r="C93" t="s">
        <v>11</v>
      </c>
      <c r="E93" t="s">
        <v>114</v>
      </c>
    </row>
    <row r="95" spans="1:5" x14ac:dyDescent="0.3">
      <c r="A95" t="s">
        <v>117</v>
      </c>
      <c r="B95" s="16">
        <f>(VIN_nom*Dc_VIN_nom)/(Lm*Fsw)</f>
        <v>0.22067363530778164</v>
      </c>
      <c r="C95" t="s">
        <v>11</v>
      </c>
      <c r="E95" t="s">
        <v>123</v>
      </c>
    </row>
    <row r="96" spans="1:5" x14ac:dyDescent="0.3">
      <c r="A96" t="s">
        <v>118</v>
      </c>
      <c r="B96" s="16">
        <f>(IL_avg_VIN_nom/EFF_est)+(ILrip_VINnom/2)</f>
        <v>0.50233681765389071</v>
      </c>
      <c r="C96" t="s">
        <v>11</v>
      </c>
      <c r="E96" t="s">
        <v>124</v>
      </c>
    </row>
    <row r="98" spans="1:5" x14ac:dyDescent="0.3">
      <c r="A98" t="s">
        <v>119</v>
      </c>
      <c r="B98" s="16">
        <f>(VIN_max*Dc_VIN_max)/(Lm*Fsw)</f>
        <v>0.22363008130081302</v>
      </c>
      <c r="C98" t="s">
        <v>11</v>
      </c>
      <c r="E98" t="s">
        <v>125</v>
      </c>
    </row>
    <row r="99" spans="1:5" x14ac:dyDescent="0.3">
      <c r="A99" t="s">
        <v>120</v>
      </c>
      <c r="B99" s="16">
        <f>(IL_avg_VIN_max/EFF_est)+(ILrip_VINmax/2)</f>
        <v>0.49802193720213062</v>
      </c>
      <c r="C99" t="s">
        <v>11</v>
      </c>
      <c r="E99" t="s">
        <v>126</v>
      </c>
    </row>
    <row r="100" spans="1:5" x14ac:dyDescent="0.3">
      <c r="C100" s="2"/>
    </row>
    <row r="101" spans="1:5" x14ac:dyDescent="0.3">
      <c r="A101" s="22" t="s">
        <v>496</v>
      </c>
      <c r="C101" s="2"/>
    </row>
    <row r="102" spans="1:5" x14ac:dyDescent="0.3">
      <c r="A102" t="s">
        <v>115</v>
      </c>
      <c r="B102" s="16">
        <f>(VIN_min*Dc_VIN_min)/(Lm*Fsw)</f>
        <v>0.2177067363530778</v>
      </c>
      <c r="C102" t="s">
        <v>11</v>
      </c>
      <c r="E102" t="s">
        <v>116</v>
      </c>
    </row>
    <row r="103" spans="1:5" x14ac:dyDescent="0.3">
      <c r="A103" t="s">
        <v>113</v>
      </c>
      <c r="B103" s="16">
        <f>B102</f>
        <v>0.2177067363530778</v>
      </c>
      <c r="C103" t="s">
        <v>11</v>
      </c>
      <c r="E103" t="s">
        <v>114</v>
      </c>
    </row>
    <row r="105" spans="1:5" x14ac:dyDescent="0.3">
      <c r="A105" t="s">
        <v>117</v>
      </c>
      <c r="B105" s="16">
        <f>(VIN_nom*Dc_VIN_nom)/(Lm*Fsw)</f>
        <v>0.22067363530778164</v>
      </c>
      <c r="C105" t="s">
        <v>11</v>
      </c>
      <c r="E105" t="s">
        <v>123</v>
      </c>
    </row>
    <row r="106" spans="1:5" x14ac:dyDescent="0.3">
      <c r="A106" t="s">
        <v>118</v>
      </c>
      <c r="B106" s="16">
        <f>B105</f>
        <v>0.22067363530778164</v>
      </c>
      <c r="C106" t="s">
        <v>11</v>
      </c>
      <c r="E106" t="s">
        <v>124</v>
      </c>
    </row>
    <row r="108" spans="1:5" x14ac:dyDescent="0.3">
      <c r="A108" t="s">
        <v>119</v>
      </c>
      <c r="B108" s="16">
        <f>(VIN_max*Dc_VIN_max)/(Lm*Fsw)</f>
        <v>0.22363008130081302</v>
      </c>
      <c r="C108" t="s">
        <v>11</v>
      </c>
      <c r="E108" t="s">
        <v>125</v>
      </c>
    </row>
    <row r="109" spans="1:5" x14ac:dyDescent="0.3">
      <c r="A109" t="s">
        <v>120</v>
      </c>
      <c r="B109" s="16">
        <f>B108</f>
        <v>0.22363008130081302</v>
      </c>
      <c r="C109" t="s">
        <v>11</v>
      </c>
      <c r="E109" t="s">
        <v>126</v>
      </c>
    </row>
    <row r="110" spans="1:5" x14ac:dyDescent="0.3">
      <c r="C110" s="2"/>
    </row>
    <row r="111" spans="1:5" x14ac:dyDescent="0.3">
      <c r="A111" s="22" t="s">
        <v>324</v>
      </c>
      <c r="B111" t="s">
        <v>112</v>
      </c>
    </row>
    <row r="112" spans="1:5" x14ac:dyDescent="0.3">
      <c r="A112" t="s">
        <v>115</v>
      </c>
      <c r="B112" s="16">
        <f>IF(B$36="CCM",B92,B102)</f>
        <v>0.2177067363530778</v>
      </c>
      <c r="C112" t="s">
        <v>11</v>
      </c>
      <c r="E112" t="s">
        <v>116</v>
      </c>
    </row>
    <row r="113" spans="1:13" x14ac:dyDescent="0.3">
      <c r="A113" t="s">
        <v>113</v>
      </c>
      <c r="B113" s="16">
        <f>IF(B$36="CCM",B93,B103)</f>
        <v>0.50682291132374702</v>
      </c>
      <c r="C113" t="s">
        <v>11</v>
      </c>
      <c r="E113" t="s">
        <v>114</v>
      </c>
    </row>
    <row r="115" spans="1:13" x14ac:dyDescent="0.3">
      <c r="A115" t="s">
        <v>117</v>
      </c>
      <c r="B115" s="16">
        <f>IF(B$36="CCM",B95,B105)</f>
        <v>0.22067363530778164</v>
      </c>
      <c r="C115" t="s">
        <v>11</v>
      </c>
      <c r="E115" t="s">
        <v>123</v>
      </c>
    </row>
    <row r="116" spans="1:13" x14ac:dyDescent="0.3">
      <c r="A116" t="s">
        <v>118</v>
      </c>
      <c r="B116" s="16">
        <f>IF(B$36="CCM",B96,B106)</f>
        <v>0.50233681765389071</v>
      </c>
      <c r="C116" t="s">
        <v>11</v>
      </c>
      <c r="E116" t="s">
        <v>124</v>
      </c>
    </row>
    <row r="118" spans="1:13" x14ac:dyDescent="0.3">
      <c r="A118" t="s">
        <v>119</v>
      </c>
      <c r="B118" s="16">
        <f>IF(B$36="CCM",B98,B108)</f>
        <v>0.22363008130081302</v>
      </c>
      <c r="C118" t="s">
        <v>11</v>
      </c>
      <c r="E118" t="s">
        <v>125</v>
      </c>
    </row>
    <row r="119" spans="1:13" x14ac:dyDescent="0.3">
      <c r="A119" t="s">
        <v>120</v>
      </c>
      <c r="B119" s="16">
        <f>IF(B$36="CCM",B99,B109)</f>
        <v>0.49802193720213062</v>
      </c>
      <c r="C119" t="s">
        <v>11</v>
      </c>
      <c r="E119" t="s">
        <v>126</v>
      </c>
    </row>
    <row r="121" spans="1:13" x14ac:dyDescent="0.3">
      <c r="A121" s="19" t="s">
        <v>121</v>
      </c>
    </row>
    <row r="122" spans="1:13" x14ac:dyDescent="0.3">
      <c r="A122" t="s">
        <v>128</v>
      </c>
      <c r="B122" s="3">
        <f>'Design Converter'!H28/100</f>
        <v>0.2</v>
      </c>
      <c r="E122" t="s">
        <v>129</v>
      </c>
    </row>
    <row r="123" spans="1:13" x14ac:dyDescent="0.3">
      <c r="A123" t="s">
        <v>130</v>
      </c>
      <c r="B123" s="17">
        <f>(1+Ipk_margin)*ILp_VINmin</f>
        <v>0.60818749358849644</v>
      </c>
      <c r="C123" t="s">
        <v>11</v>
      </c>
      <c r="E123" t="s">
        <v>131</v>
      </c>
    </row>
    <row r="124" spans="1:13" x14ac:dyDescent="0.3">
      <c r="B124" s="17"/>
    </row>
    <row r="125" spans="1:13" x14ac:dyDescent="0.3">
      <c r="A125" t="s">
        <v>142</v>
      </c>
      <c r="B125" s="12">
        <v>0.6</v>
      </c>
      <c r="E125" t="s">
        <v>143</v>
      </c>
      <c r="J125">
        <f>Fsw*Isl*Rsl_int*Lm</f>
        <v>3.2791799999999998</v>
      </c>
    </row>
    <row r="126" spans="1:13" x14ac:dyDescent="0.3">
      <c r="J126">
        <f>Isl</f>
        <v>2.9999999999999997E-5</v>
      </c>
      <c r="K126">
        <f>Fsw</f>
        <v>100000</v>
      </c>
      <c r="L126">
        <f>Lm</f>
        <v>8.1999999999999998E-4</v>
      </c>
      <c r="M126">
        <f>Rsl_int</f>
        <v>1333</v>
      </c>
    </row>
    <row r="127" spans="1:13" x14ac:dyDescent="0.3">
      <c r="A127" t="s">
        <v>140</v>
      </c>
      <c r="B127" s="25">
        <f>(1/B125)*((Fsw*Isl*Rsl_int*Lm)/(VOUT-VIN_min))</f>
        <v>2.8719390436153441E-2</v>
      </c>
      <c r="C127" s="2" t="s">
        <v>36</v>
      </c>
      <c r="E127" t="s">
        <v>141</v>
      </c>
    </row>
    <row r="128" spans="1:13" x14ac:dyDescent="0.3">
      <c r="A128" t="s">
        <v>148</v>
      </c>
      <c r="B128" s="25">
        <f>Vcl/Ipk_selected</f>
        <v>0.16442297984453566</v>
      </c>
      <c r="C128" s="2" t="s">
        <v>36</v>
      </c>
      <c r="E128" t="s">
        <v>149</v>
      </c>
    </row>
    <row r="130" spans="1:11" x14ac:dyDescent="0.3">
      <c r="A130" t="s">
        <v>155</v>
      </c>
      <c r="B130" s="12">
        <v>0.83299999999999996</v>
      </c>
      <c r="E130" t="s">
        <v>156</v>
      </c>
    </row>
    <row r="131" spans="1:11" x14ac:dyDescent="0.3">
      <c r="A131" t="s">
        <v>154</v>
      </c>
      <c r="B131" s="24">
        <f>(Lm*Fsw*(Vcl+(Dc_VIN_min*Isl*Rsl_int)))/((Dc_VIN_min*Kslope*VOUT)-(Dc_VIN_min*Kslope*VIN_min)+(Ipk_selected*Lm*Fsw))</f>
        <v>5.772802375062451E-2</v>
      </c>
      <c r="C131" s="2" t="s">
        <v>36</v>
      </c>
      <c r="E131" t="s">
        <v>165</v>
      </c>
    </row>
    <row r="132" spans="1:11" x14ac:dyDescent="0.3">
      <c r="A132" t="s">
        <v>157</v>
      </c>
      <c r="B132" s="16">
        <f>(Vcl-(Ipk_selected*Rcs_w_sl))/(Isl*Dc_VIN_min)</f>
        <v>2386.93518379944</v>
      </c>
      <c r="C132" s="2" t="s">
        <v>36</v>
      </c>
      <c r="E132" t="s">
        <v>164</v>
      </c>
    </row>
    <row r="134" spans="1:11" x14ac:dyDescent="0.3">
      <c r="A134" t="s">
        <v>152</v>
      </c>
      <c r="B134" s="1">
        <f>IF(AND(Rcs_wo_sl&gt;Rcs_max,OR(B36="CCM",B36="CCM/DCM")),1,0)</f>
        <v>1</v>
      </c>
      <c r="E134" t="s">
        <v>153</v>
      </c>
    </row>
    <row r="135" spans="1:11" x14ac:dyDescent="0.3">
      <c r="A135" t="s">
        <v>158</v>
      </c>
      <c r="B135" s="27">
        <f>IF(B134=0,Rcs_wo_sl,Rcs_w_sl)</f>
        <v>5.772802375062451E-2</v>
      </c>
      <c r="C135" s="2" t="s">
        <v>36</v>
      </c>
      <c r="E135" t="s">
        <v>162</v>
      </c>
    </row>
    <row r="136" spans="1:11" x14ac:dyDescent="0.3">
      <c r="A136" t="s">
        <v>159</v>
      </c>
      <c r="B136" s="1">
        <f>IF(K136&gt;Rsl_max,Rsl_max,K136)</f>
        <v>2000</v>
      </c>
      <c r="C136" s="2" t="s">
        <v>36</v>
      </c>
      <c r="E136" t="s">
        <v>163</v>
      </c>
      <c r="K136">
        <f>IF(B134=0,0,B132)</f>
        <v>2386.93518379944</v>
      </c>
    </row>
    <row r="138" spans="1:11" x14ac:dyDescent="0.3">
      <c r="A138" t="s">
        <v>160</v>
      </c>
      <c r="B138" s="28">
        <f>'Design Converter'!H32/1000</f>
        <v>0.04</v>
      </c>
      <c r="C138" s="2" t="s">
        <v>36</v>
      </c>
      <c r="E138" t="s">
        <v>167</v>
      </c>
    </row>
    <row r="139" spans="1:11" x14ac:dyDescent="0.3">
      <c r="A139" t="s">
        <v>161</v>
      </c>
      <c r="B139" s="3">
        <f>'Design Converter'!H33</f>
        <v>2000</v>
      </c>
      <c r="C139" s="2" t="s">
        <v>36</v>
      </c>
      <c r="E139" t="s">
        <v>168</v>
      </c>
    </row>
    <row r="141" spans="1:11" x14ac:dyDescent="0.3">
      <c r="A141" t="s">
        <v>172</v>
      </c>
      <c r="B141" s="1">
        <f>(Isl*(Rsl_int+R_sl)*Fsw)/(((VOUT-VIN_min)/Lm)*R_cs)</f>
        <v>1.0771387283236993</v>
      </c>
      <c r="C141" t="s">
        <v>180</v>
      </c>
      <c r="E141" t="s">
        <v>170</v>
      </c>
      <c r="K141">
        <f>IF(B141&lt;0.5,1,0)</f>
        <v>0</v>
      </c>
    </row>
    <row r="142" spans="1:11" x14ac:dyDescent="0.3">
      <c r="A142" t="s">
        <v>174</v>
      </c>
      <c r="B142" s="17">
        <f>(Vcl-(Isl*R_sl*Dc_VIN_min))/R_cs</f>
        <v>1.1407142857142858</v>
      </c>
      <c r="C142" t="s">
        <v>11</v>
      </c>
      <c r="E142" t="s">
        <v>176</v>
      </c>
      <c r="K142">
        <f>IF(IL_pk&lt;Ipk_selected,1,0)</f>
        <v>0</v>
      </c>
    </row>
    <row r="143" spans="1:11" x14ac:dyDescent="0.3">
      <c r="A143" t="s">
        <v>175</v>
      </c>
      <c r="B143" s="17">
        <f>(Vcl-(Isl*R_sl*Dc_VIN_max))/R_cs</f>
        <v>1.1450000000000002</v>
      </c>
      <c r="C143" t="s">
        <v>11</v>
      </c>
      <c r="E143" t="s">
        <v>177</v>
      </c>
    </row>
    <row r="144" spans="1:11" x14ac:dyDescent="0.3">
      <c r="A144" t="s">
        <v>178</v>
      </c>
      <c r="B144" s="1">
        <f>0.15</f>
        <v>0.15</v>
      </c>
      <c r="E144" t="s">
        <v>179</v>
      </c>
    </row>
    <row r="145" spans="1:5" x14ac:dyDescent="0.3">
      <c r="A145" t="s">
        <v>181</v>
      </c>
      <c r="B145" s="16">
        <f>(1+B144)*B143</f>
        <v>1.3167500000000001</v>
      </c>
      <c r="C145" t="s">
        <v>11</v>
      </c>
      <c r="E145" t="s">
        <v>182</v>
      </c>
    </row>
    <row r="147" spans="1:5" x14ac:dyDescent="0.3">
      <c r="A147" s="22" t="s">
        <v>183</v>
      </c>
    </row>
    <row r="148" spans="1:5" x14ac:dyDescent="0.3">
      <c r="A148" t="s">
        <v>184</v>
      </c>
    </row>
    <row r="150" spans="1:5" x14ac:dyDescent="0.3">
      <c r="A150" s="30" t="s">
        <v>185</v>
      </c>
    </row>
    <row r="152" spans="1:5" x14ac:dyDescent="0.3">
      <c r="A152" t="s">
        <v>190</v>
      </c>
      <c r="B152" s="31">
        <f>'Design Converter'!H38/1000</f>
        <v>0.03</v>
      </c>
      <c r="C152" t="s">
        <v>10</v>
      </c>
      <c r="E152" t="s">
        <v>189</v>
      </c>
    </row>
    <row r="153" spans="1:5" x14ac:dyDescent="0.3">
      <c r="A153" t="s">
        <v>192</v>
      </c>
      <c r="B153" s="1">
        <f>IOUT*Dc_VIN_min/(Fsw*Vout_rip_sel)</f>
        <v>1.0149333333333333E-5</v>
      </c>
      <c r="C153" t="s">
        <v>193</v>
      </c>
      <c r="E153" t="s">
        <v>194</v>
      </c>
    </row>
    <row r="154" spans="1:5" x14ac:dyDescent="0.3">
      <c r="A154" t="s">
        <v>196</v>
      </c>
      <c r="B154" s="16">
        <f>SQRT((1-Dc_VIN_min)*((IOUT^2)*(Dc_VIN_min/((1-Dc_VIN_min)^2))+((ILrip_VINmin^2)/3)))</f>
        <v>0.11130009594086061</v>
      </c>
      <c r="C154" t="s">
        <v>11</v>
      </c>
      <c r="E154" t="s">
        <v>197</v>
      </c>
    </row>
    <row r="155" spans="1:5" x14ac:dyDescent="0.3">
      <c r="A155" t="s">
        <v>202</v>
      </c>
      <c r="B155" s="3">
        <f>'Design Converter'!H41*(10^-6)</f>
        <v>9.9999999999999991E-6</v>
      </c>
      <c r="C155" t="s">
        <v>193</v>
      </c>
      <c r="E155" t="s">
        <v>200</v>
      </c>
    </row>
    <row r="156" spans="1:5" x14ac:dyDescent="0.3">
      <c r="A156" t="s">
        <v>199</v>
      </c>
      <c r="B156" s="3">
        <f>'Design Converter'!H42/1000</f>
        <v>2E-3</v>
      </c>
      <c r="C156" s="2" t="s">
        <v>36</v>
      </c>
      <c r="E156" t="s">
        <v>201</v>
      </c>
    </row>
    <row r="157" spans="1:5" x14ac:dyDescent="0.3">
      <c r="A157" t="s">
        <v>331</v>
      </c>
      <c r="B157">
        <f>SQRT((IOUT^2)+(IL_avg_VIN_min^2)-(2*IOUT*IL_avg_VIN_min)-(2*Dc_VIN_min*(IOUT^2))-(Dc_VIN_min*(IL_avg_VIN_min^2))+(2*Dc_VIN_min*IOUT*IL_avg_VIN_min))</f>
        <v>9.4125094341368815E-2</v>
      </c>
      <c r="E157" s="38" t="s">
        <v>332</v>
      </c>
    </row>
    <row r="159" spans="1:5" x14ac:dyDescent="0.3">
      <c r="A159" s="30" t="s">
        <v>350</v>
      </c>
    </row>
    <row r="160" spans="1:5" x14ac:dyDescent="0.3">
      <c r="A160" t="s">
        <v>335</v>
      </c>
      <c r="B160" s="12">
        <f>Iss</f>
        <v>9.9999999999999991E-6</v>
      </c>
      <c r="C160" t="s">
        <v>11</v>
      </c>
      <c r="E160" t="s">
        <v>337</v>
      </c>
    </row>
    <row r="161" spans="1:5" x14ac:dyDescent="0.3">
      <c r="A161" t="s">
        <v>338</v>
      </c>
      <c r="B161" s="1">
        <f>Iss*VOUT*Cout/(Vref*IOUT)</f>
        <v>6.2499999999999995E-7</v>
      </c>
      <c r="C161" t="s">
        <v>193</v>
      </c>
      <c r="E161" t="s">
        <v>339</v>
      </c>
    </row>
    <row r="162" spans="1:5" x14ac:dyDescent="0.3">
      <c r="A162" t="s">
        <v>340</v>
      </c>
      <c r="B162" s="3">
        <f>'Design Converter'!H46*(10^-3)</f>
        <v>9.0999999999999998E-2</v>
      </c>
      <c r="C162" t="s">
        <v>54</v>
      </c>
      <c r="E162" t="s">
        <v>341</v>
      </c>
    </row>
    <row r="163" spans="1:5" x14ac:dyDescent="0.3">
      <c r="A163" t="s">
        <v>344</v>
      </c>
      <c r="B163" s="1">
        <f>(tss*Iss)/(Vref*(1-(VIN_min/VOUT)))</f>
        <v>1.0042038885969519E-6</v>
      </c>
      <c r="C163" t="s">
        <v>193</v>
      </c>
      <c r="E163" t="s">
        <v>345</v>
      </c>
    </row>
    <row r="165" spans="1:5" x14ac:dyDescent="0.3">
      <c r="A165" s="30" t="s">
        <v>349</v>
      </c>
    </row>
    <row r="166" spans="1:5" x14ac:dyDescent="0.3">
      <c r="A166" t="s">
        <v>351</v>
      </c>
      <c r="B166" s="3">
        <f>'Design Converter'!H50</f>
        <v>19</v>
      </c>
      <c r="C166" t="s">
        <v>10</v>
      </c>
      <c r="E166" t="s">
        <v>353</v>
      </c>
    </row>
    <row r="167" spans="1:5" x14ac:dyDescent="0.3">
      <c r="A167" t="s">
        <v>352</v>
      </c>
      <c r="B167" s="3">
        <f>'Design Converter'!H51</f>
        <v>18</v>
      </c>
      <c r="C167" t="s">
        <v>10</v>
      </c>
      <c r="E167" t="s">
        <v>354</v>
      </c>
    </row>
    <row r="168" spans="1:5" x14ac:dyDescent="0.3">
      <c r="A168" t="s">
        <v>356</v>
      </c>
      <c r="B168" s="12">
        <f>UV_rise</f>
        <v>1.5</v>
      </c>
      <c r="C168" t="s">
        <v>10</v>
      </c>
      <c r="E168" t="s">
        <v>361</v>
      </c>
    </row>
    <row r="169" spans="1:5" x14ac:dyDescent="0.3">
      <c r="A169" t="s">
        <v>357</v>
      </c>
      <c r="B169" s="12">
        <f>UV_fall</f>
        <v>1.45</v>
      </c>
      <c r="C169" t="s">
        <v>10</v>
      </c>
      <c r="E169" t="s">
        <v>360</v>
      </c>
    </row>
    <row r="170" spans="1:5" x14ac:dyDescent="0.3">
      <c r="A170" t="s">
        <v>362</v>
      </c>
      <c r="B170" s="12">
        <f>UV_I_hyst</f>
        <v>4.9999999999999996E-6</v>
      </c>
      <c r="C170" t="s">
        <v>11</v>
      </c>
      <c r="E170" t="s">
        <v>364</v>
      </c>
    </row>
    <row r="171" spans="1:5" x14ac:dyDescent="0.3">
      <c r="A171" t="s">
        <v>365</v>
      </c>
      <c r="B171" s="18">
        <f>((Vuvlo_on*0.967)-Vuvlo_off)/(UV_I_hyst)</f>
        <v>74600.000000000233</v>
      </c>
      <c r="C171" s="2" t="s">
        <v>36</v>
      </c>
      <c r="E171" t="s">
        <v>466</v>
      </c>
    </row>
    <row r="172" spans="1:5" x14ac:dyDescent="0.3">
      <c r="A172" t="s">
        <v>365</v>
      </c>
      <c r="B172" s="3">
        <f>'Design Converter'!H53*1000</f>
        <v>62000</v>
      </c>
      <c r="C172" s="2" t="s">
        <v>36</v>
      </c>
      <c r="E172" t="s">
        <v>467</v>
      </c>
    </row>
    <row r="173" spans="1:5" x14ac:dyDescent="0.3">
      <c r="A173" t="s">
        <v>366</v>
      </c>
      <c r="B173" s="18">
        <f>UV_rise*Ruvlo_top/(Vuvlo_on-UV_rise)</f>
        <v>5314.2857142857147</v>
      </c>
      <c r="C173" s="2" t="s">
        <v>36</v>
      </c>
      <c r="E173" t="s">
        <v>468</v>
      </c>
    </row>
    <row r="174" spans="1:5" x14ac:dyDescent="0.3">
      <c r="A174" t="s">
        <v>367</v>
      </c>
      <c r="B174" s="17">
        <f>UV_rise*(Ruvlo_top+Ruvlo_bottom_calc)/Ruvlo_bottom_calc</f>
        <v>18.999999999999996</v>
      </c>
      <c r="E174" t="s">
        <v>369</v>
      </c>
    </row>
    <row r="175" spans="1:5" x14ac:dyDescent="0.3">
      <c r="A175" t="s">
        <v>368</v>
      </c>
      <c r="B175" s="17">
        <f>Ruvlo_top*((UV_fall/Ruvlo_top)-(UV_I_hyst)+(UV_fall/Ruvlo_bottom_calc))</f>
        <v>18.056666666666665</v>
      </c>
      <c r="E175" t="s">
        <v>370</v>
      </c>
    </row>
    <row r="178" spans="1:5" x14ac:dyDescent="0.3">
      <c r="A178" s="30" t="s">
        <v>204</v>
      </c>
    </row>
    <row r="179" spans="1:5" x14ac:dyDescent="0.3">
      <c r="A179" s="34" t="s">
        <v>232</v>
      </c>
      <c r="B179" s="3" t="str">
        <f>'Design Converter'!H57</f>
        <v>20V</v>
      </c>
      <c r="C179" t="s">
        <v>10</v>
      </c>
      <c r="E179" t="s">
        <v>276</v>
      </c>
    </row>
    <row r="180" spans="1:5" x14ac:dyDescent="0.3">
      <c r="A180" s="34"/>
    </row>
    <row r="181" spans="1:5" x14ac:dyDescent="0.3">
      <c r="A181" s="33" t="s">
        <v>291</v>
      </c>
    </row>
    <row r="182" spans="1:5" x14ac:dyDescent="0.3">
      <c r="A182" t="s">
        <v>224</v>
      </c>
      <c r="B182" s="3">
        <f>'Design Converter'!H60*(10^3)</f>
        <v>100000</v>
      </c>
      <c r="C182" s="2" t="s">
        <v>36</v>
      </c>
      <c r="E182" t="s">
        <v>277</v>
      </c>
    </row>
    <row r="183" spans="1:5" x14ac:dyDescent="0.3">
      <c r="A183" t="s">
        <v>281</v>
      </c>
      <c r="B183" s="18">
        <f>(RFBT*Vref)/(VOUT-Vref)</f>
        <v>478.46889952153111</v>
      </c>
      <c r="C183" s="2" t="s">
        <v>36</v>
      </c>
      <c r="E183" t="s">
        <v>284</v>
      </c>
    </row>
    <row r="184" spans="1:5" x14ac:dyDescent="0.3">
      <c r="A184" t="s">
        <v>225</v>
      </c>
      <c r="B184" s="3">
        <f>'Design Converter'!H62*(10^3)</f>
        <v>500</v>
      </c>
      <c r="C184" s="2" t="s">
        <v>36</v>
      </c>
      <c r="E184" t="s">
        <v>285</v>
      </c>
    </row>
    <row r="185" spans="1:5" x14ac:dyDescent="0.3">
      <c r="A185" t="s">
        <v>286</v>
      </c>
      <c r="B185" s="1">
        <f>VOUT/(RFBB+RFBT)</f>
        <v>2.08955223880597E-3</v>
      </c>
      <c r="C185" s="2" t="s">
        <v>11</v>
      </c>
      <c r="E185" t="s">
        <v>287</v>
      </c>
    </row>
    <row r="186" spans="1:5" x14ac:dyDescent="0.3">
      <c r="C186" s="2"/>
    </row>
    <row r="187" spans="1:5" x14ac:dyDescent="0.3">
      <c r="A187" s="33" t="s">
        <v>292</v>
      </c>
      <c r="E187" t="s">
        <v>457</v>
      </c>
    </row>
    <row r="189" spans="1:5" x14ac:dyDescent="0.3">
      <c r="A189" t="s">
        <v>470</v>
      </c>
      <c r="B189">
        <f>(Gcomp*(VIN_min/VOUT)*(VOUT/IOUT))/(2*R_cs*Acs)</f>
        <v>1062.6860119047619</v>
      </c>
    </row>
    <row r="191" spans="1:5" x14ac:dyDescent="0.3">
      <c r="A191" t="s">
        <v>471</v>
      </c>
      <c r="B191" s="12">
        <f>2/(Cout*(VOUT/IOUT))</f>
        <v>32</v>
      </c>
      <c r="C191" t="s">
        <v>454</v>
      </c>
      <c r="E191" t="s">
        <v>453</v>
      </c>
    </row>
    <row r="192" spans="1:5" x14ac:dyDescent="0.3">
      <c r="A192" t="s">
        <v>472</v>
      </c>
      <c r="B192" s="1">
        <f>B191/(2*PI())</f>
        <v>5.0929581789406511</v>
      </c>
      <c r="C192" t="s">
        <v>69</v>
      </c>
      <c r="E192" t="s">
        <v>288</v>
      </c>
    </row>
    <row r="194" spans="1:5" x14ac:dyDescent="0.3">
      <c r="A194" t="s">
        <v>473</v>
      </c>
      <c r="B194" s="12">
        <f>1/(Cout*Resr)</f>
        <v>50000000.000000007</v>
      </c>
      <c r="C194" t="s">
        <v>455</v>
      </c>
      <c r="E194" t="s">
        <v>456</v>
      </c>
    </row>
    <row r="195" spans="1:5" x14ac:dyDescent="0.3">
      <c r="A195" t="s">
        <v>474</v>
      </c>
      <c r="B195" s="1">
        <f>B194/(2*PI())</f>
        <v>7957747.1545947678</v>
      </c>
      <c r="C195" t="s">
        <v>69</v>
      </c>
      <c r="E195" t="s">
        <v>290</v>
      </c>
    </row>
    <row r="197" spans="1:5" x14ac:dyDescent="0.3">
      <c r="A197" t="s">
        <v>475</v>
      </c>
      <c r="B197" s="12">
        <f>((VOUT/IOUT)*((VIN_min/VOUT)^2))/(Lm)</f>
        <v>67074.899065317164</v>
      </c>
      <c r="E197" t="s">
        <v>452</v>
      </c>
    </row>
    <row r="198" spans="1:5" x14ac:dyDescent="0.3">
      <c r="A198" t="s">
        <v>476</v>
      </c>
      <c r="B198" s="18">
        <f>B197/(2*PI())</f>
        <v>10675.301743635177</v>
      </c>
      <c r="C198" t="s">
        <v>69</v>
      </c>
      <c r="E198" t="s">
        <v>289</v>
      </c>
    </row>
    <row r="199" spans="1:5" x14ac:dyDescent="0.3">
      <c r="B199">
        <f>Fsw/10</f>
        <v>10000</v>
      </c>
      <c r="C199" t="s">
        <v>69</v>
      </c>
      <c r="E199" t="s">
        <v>297</v>
      </c>
    </row>
    <row r="200" spans="1:5" x14ac:dyDescent="0.3">
      <c r="B200">
        <f>IF((B198/5)&lt;(B199),0,1)</f>
        <v>0</v>
      </c>
      <c r="E200" t="s">
        <v>299</v>
      </c>
    </row>
    <row r="202" spans="1:5" x14ac:dyDescent="0.3">
      <c r="A202" t="s">
        <v>477</v>
      </c>
      <c r="B202" s="1">
        <f>(Isl*(Rsl_int+R_sl)*Fsw)</f>
        <v>9999</v>
      </c>
      <c r="C202" t="s">
        <v>180</v>
      </c>
      <c r="E202" t="s">
        <v>248</v>
      </c>
    </row>
    <row r="203" spans="1:5" x14ac:dyDescent="0.3">
      <c r="A203" t="s">
        <v>478</v>
      </c>
      <c r="B203" s="1">
        <f>(R_cs*VIN_min*Acs)/Lm</f>
        <v>960.97560975609758</v>
      </c>
      <c r="C203" t="s">
        <v>180</v>
      </c>
      <c r="E203" t="s">
        <v>249</v>
      </c>
    </row>
    <row r="204" spans="1:5" x14ac:dyDescent="0.3">
      <c r="B204" s="1"/>
    </row>
    <row r="205" spans="1:5" x14ac:dyDescent="0.3">
      <c r="A205" t="s">
        <v>479</v>
      </c>
      <c r="B205" s="1">
        <f>2*PI()*Fsw</f>
        <v>628318.53071795858</v>
      </c>
      <c r="C205" t="s">
        <v>251</v>
      </c>
    </row>
    <row r="206" spans="1:5" x14ac:dyDescent="0.3">
      <c r="A206" t="s">
        <v>480</v>
      </c>
      <c r="B206" s="1">
        <f>1/(PI()*(((VIN_min/VOUT)*(1+(B202/B203)))-0.5))</f>
        <v>0.55853405218601393</v>
      </c>
    </row>
    <row r="212" spans="1:5" x14ac:dyDescent="0.3">
      <c r="A212" t="s">
        <v>293</v>
      </c>
      <c r="B212" s="17">
        <f>IF(B200=0,fz_rhp/5,Fsw/10)</f>
        <v>2135.0603487270355</v>
      </c>
      <c r="C212" t="s">
        <v>69</v>
      </c>
      <c r="E212" t="s">
        <v>298</v>
      </c>
    </row>
    <row r="213" spans="1:5" x14ac:dyDescent="0.3">
      <c r="A213" t="s">
        <v>295</v>
      </c>
      <c r="B213" s="3">
        <f>'Design Converter'!H66*1000</f>
        <v>550</v>
      </c>
      <c r="C213" t="s">
        <v>69</v>
      </c>
      <c r="E213" t="s">
        <v>296</v>
      </c>
    </row>
    <row r="215" spans="1:5" x14ac:dyDescent="0.3">
      <c r="A215" t="s">
        <v>304</v>
      </c>
      <c r="B215" s="20">
        <f>Gplant_fc_dB</f>
        <v>19.870745964025339</v>
      </c>
      <c r="C215" t="s">
        <v>275</v>
      </c>
      <c r="E215" t="s">
        <v>305</v>
      </c>
    </row>
    <row r="216" spans="1:5" x14ac:dyDescent="0.3">
      <c r="A216" t="s">
        <v>300</v>
      </c>
      <c r="B216" s="20">
        <f>10^(B215/20)</f>
        <v>9.8522925290749104</v>
      </c>
      <c r="C216" t="s">
        <v>180</v>
      </c>
      <c r="E216" t="s">
        <v>301</v>
      </c>
    </row>
    <row r="217" spans="1:5" x14ac:dyDescent="0.3">
      <c r="A217" t="s">
        <v>306</v>
      </c>
      <c r="B217" s="20">
        <f>1/B216</f>
        <v>0.10149921929834292</v>
      </c>
      <c r="C217" t="s">
        <v>180</v>
      </c>
      <c r="E217" t="s">
        <v>307</v>
      </c>
    </row>
    <row r="219" spans="1:5" x14ac:dyDescent="0.3">
      <c r="A219" t="s">
        <v>313</v>
      </c>
      <c r="B219">
        <f>fcross/10</f>
        <v>55</v>
      </c>
      <c r="C219" t="s">
        <v>69</v>
      </c>
      <c r="E219" t="s">
        <v>311</v>
      </c>
    </row>
    <row r="220" spans="1:5" x14ac:dyDescent="0.3">
      <c r="A220" t="s">
        <v>314</v>
      </c>
      <c r="B220" s="35">
        <f>SQRT(B192*fcross)</f>
        <v>52.925674284012274</v>
      </c>
      <c r="C220" t="s">
        <v>69</v>
      </c>
      <c r="E220" t="s">
        <v>312</v>
      </c>
    </row>
    <row r="221" spans="1:5" x14ac:dyDescent="0.3">
      <c r="A221" t="s">
        <v>310</v>
      </c>
      <c r="B221" s="35">
        <f>B220</f>
        <v>52.925674284012274</v>
      </c>
      <c r="C221" t="s">
        <v>69</v>
      </c>
    </row>
    <row r="223" spans="1:5" x14ac:dyDescent="0.3">
      <c r="A223" t="s">
        <v>317</v>
      </c>
      <c r="B223" s="32">
        <f>fz_rhp</f>
        <v>10675.301743635177</v>
      </c>
      <c r="C223" t="s">
        <v>69</v>
      </c>
      <c r="E223" t="s">
        <v>490</v>
      </c>
    </row>
    <row r="224" spans="1:5" x14ac:dyDescent="0.3">
      <c r="E224" t="s">
        <v>491</v>
      </c>
    </row>
    <row r="227" spans="1:5" x14ac:dyDescent="0.3">
      <c r="A227" t="s">
        <v>308</v>
      </c>
      <c r="B227" s="23">
        <f>(Gea_mid_calc*(RFBT+RFBB)/(RFBB*gm_ea))</f>
        <v>10200.671539483463</v>
      </c>
      <c r="C227" s="2" t="s">
        <v>36</v>
      </c>
      <c r="E227" t="s">
        <v>309</v>
      </c>
    </row>
    <row r="228" spans="1:5" x14ac:dyDescent="0.3">
      <c r="A228" t="s">
        <v>214</v>
      </c>
      <c r="B228" s="3">
        <f>'Design Converter'!H69*1000</f>
        <v>10000</v>
      </c>
      <c r="C228" s="2" t="s">
        <v>36</v>
      </c>
      <c r="E228" t="s">
        <v>221</v>
      </c>
    </row>
    <row r="229" spans="1:5" x14ac:dyDescent="0.3">
      <c r="A229" t="s">
        <v>315</v>
      </c>
      <c r="B229" s="36">
        <f>1/(2*PI()*fz_ea_est*Rcomp_calc)</f>
        <v>2.9479829564938165E-7</v>
      </c>
      <c r="C229" s="2" t="s">
        <v>193</v>
      </c>
    </row>
    <row r="230" spans="1:5" x14ac:dyDescent="0.3">
      <c r="A230" t="s">
        <v>219</v>
      </c>
      <c r="B230" s="3">
        <f>'Design Converter'!H70*(10^-9)</f>
        <v>1.0000000000000002E-6</v>
      </c>
      <c r="C230" t="s">
        <v>193</v>
      </c>
      <c r="E230" t="s">
        <v>222</v>
      </c>
    </row>
    <row r="231" spans="1:5" x14ac:dyDescent="0.3">
      <c r="A231" t="s">
        <v>316</v>
      </c>
      <c r="B231" s="36">
        <f>(CComp_calc)/((CComp_calc*Rcomp_calc*2*PI()*fp_ea_est)-1)</f>
        <v>1.4688237804005891E-9</v>
      </c>
      <c r="C231" t="s">
        <v>193</v>
      </c>
    </row>
    <row r="232" spans="1:5" x14ac:dyDescent="0.3">
      <c r="A232" t="s">
        <v>220</v>
      </c>
      <c r="B232" s="3">
        <f>'Design Converter'!H71*(10^-12)</f>
        <v>1.0000000000000001E-9</v>
      </c>
      <c r="C232" t="s">
        <v>193</v>
      </c>
      <c r="E232" t="s">
        <v>223</v>
      </c>
    </row>
    <row r="235" spans="1:5" x14ac:dyDescent="0.3">
      <c r="A235" s="30" t="s">
        <v>379</v>
      </c>
    </row>
    <row r="236" spans="1:5" x14ac:dyDescent="0.3">
      <c r="A236" s="30" t="s">
        <v>398</v>
      </c>
    </row>
    <row r="237" spans="1:5" x14ac:dyDescent="0.3">
      <c r="A237" s="52" t="s">
        <v>461</v>
      </c>
      <c r="E237" t="s">
        <v>462</v>
      </c>
    </row>
    <row r="238" spans="1:5" x14ac:dyDescent="0.3">
      <c r="A238" t="s">
        <v>380</v>
      </c>
      <c r="B238">
        <f>'Design Converter'!H86/1000</f>
        <v>0.92</v>
      </c>
      <c r="C238" t="s">
        <v>10</v>
      </c>
      <c r="E238" t="s">
        <v>381</v>
      </c>
    </row>
    <row r="239" spans="1:5" x14ac:dyDescent="0.3">
      <c r="A239" t="s">
        <v>411</v>
      </c>
      <c r="B239">
        <f>'Design Converter'!H87*(10^-9)</f>
        <v>1E-8</v>
      </c>
      <c r="C239" t="s">
        <v>409</v>
      </c>
      <c r="E239" t="s">
        <v>410</v>
      </c>
    </row>
    <row r="242" spans="1:8" x14ac:dyDescent="0.3">
      <c r="A242" s="30" t="s">
        <v>401</v>
      </c>
    </row>
    <row r="243" spans="1:8" ht="15.6" x14ac:dyDescent="0.35">
      <c r="A243" t="s">
        <v>412</v>
      </c>
      <c r="B243" s="3">
        <f>'Design Converter'!H76*(10^-3)</f>
        <v>4.9000000000000007E-3</v>
      </c>
      <c r="C243" s="2" t="s">
        <v>36</v>
      </c>
      <c r="E243" s="44" t="s">
        <v>387</v>
      </c>
    </row>
    <row r="244" spans="1:8" ht="15.6" x14ac:dyDescent="0.35">
      <c r="A244" t="s">
        <v>402</v>
      </c>
      <c r="B244" s="3">
        <f>'Design Converter'!H77*(10^-9)</f>
        <v>4.5000000000000006E-9</v>
      </c>
      <c r="C244" t="s">
        <v>193</v>
      </c>
      <c r="E244" s="44" t="s">
        <v>388</v>
      </c>
    </row>
    <row r="245" spans="1:8" ht="15.6" x14ac:dyDescent="0.35">
      <c r="A245" t="s">
        <v>404</v>
      </c>
      <c r="B245" s="3">
        <f>'Design Converter'!H78*(10^-9)</f>
        <v>2.0000000000000001E-9</v>
      </c>
      <c r="C245" t="s">
        <v>193</v>
      </c>
      <c r="E245" s="44" t="s">
        <v>389</v>
      </c>
    </row>
    <row r="246" spans="1:8" ht="15.6" x14ac:dyDescent="0.35">
      <c r="A246" t="s">
        <v>403</v>
      </c>
      <c r="B246" s="3">
        <f>'Design Converter'!H79*(10^-9)</f>
        <v>2.0000000000000003E-10</v>
      </c>
      <c r="C246" t="s">
        <v>193</v>
      </c>
      <c r="E246" s="44" t="s">
        <v>390</v>
      </c>
    </row>
    <row r="247" spans="1:8" ht="15.6" x14ac:dyDescent="0.35">
      <c r="A247" t="s">
        <v>405</v>
      </c>
      <c r="B247" s="3">
        <f>'Design Converter'!H80</f>
        <v>1.5</v>
      </c>
      <c r="C247" s="2" t="s">
        <v>36</v>
      </c>
      <c r="E247" s="44" t="s">
        <v>391</v>
      </c>
    </row>
    <row r="248" spans="1:8" x14ac:dyDescent="0.3">
      <c r="A248" t="s">
        <v>413</v>
      </c>
      <c r="B248" s="12">
        <v>1.5</v>
      </c>
      <c r="C248" s="2"/>
      <c r="E248" s="44" t="s">
        <v>414</v>
      </c>
      <c r="H248" t="s">
        <v>423</v>
      </c>
    </row>
    <row r="249" spans="1:8" ht="15.6" x14ac:dyDescent="0.35">
      <c r="A249" t="s">
        <v>406</v>
      </c>
      <c r="B249" s="3">
        <f>'Design Converter'!H81</f>
        <v>0.38</v>
      </c>
      <c r="C249" s="2" t="s">
        <v>397</v>
      </c>
      <c r="E249" s="44" t="s">
        <v>392</v>
      </c>
    </row>
    <row r="250" spans="1:8" ht="15.6" x14ac:dyDescent="0.35">
      <c r="A250" t="s">
        <v>407</v>
      </c>
      <c r="B250" s="3">
        <f>'Design Converter'!H82</f>
        <v>1.4</v>
      </c>
      <c r="C250" s="2" t="s">
        <v>10</v>
      </c>
      <c r="E250" s="44" t="s">
        <v>393</v>
      </c>
    </row>
    <row r="251" spans="1:8" x14ac:dyDescent="0.3">
      <c r="A251" t="s">
        <v>419</v>
      </c>
      <c r="B251" s="12">
        <f>Vcc</f>
        <v>6.75</v>
      </c>
      <c r="C251" s="2" t="s">
        <v>10</v>
      </c>
      <c r="E251" s="44" t="s">
        <v>424</v>
      </c>
    </row>
    <row r="252" spans="1:8" x14ac:dyDescent="0.3">
      <c r="C252" s="2"/>
      <c r="E252" s="44"/>
    </row>
    <row r="253" spans="1:8" x14ac:dyDescent="0.3">
      <c r="C253" s="2"/>
      <c r="E253" s="44"/>
    </row>
    <row r="254" spans="1:8" x14ac:dyDescent="0.3">
      <c r="A254" t="s">
        <v>415</v>
      </c>
      <c r="B254" s="27">
        <f>Vth+(((VOUT*IOUT)/VIN_min)/gfs)</f>
        <v>2.3425594442960191</v>
      </c>
      <c r="C254" s="2" t="s">
        <v>10</v>
      </c>
      <c r="E254" s="44" t="s">
        <v>416</v>
      </c>
    </row>
    <row r="255" spans="1:8" x14ac:dyDescent="0.3">
      <c r="A255" t="s">
        <v>425</v>
      </c>
      <c r="B255" s="1">
        <f>(Qgd+(Qgs/2))*((Rgate+B248)/(Vcc-B254))</f>
        <v>1.4294010141207065E-9</v>
      </c>
      <c r="C255" s="2" t="s">
        <v>54</v>
      </c>
      <c r="E255" s="44" t="s">
        <v>417</v>
      </c>
    </row>
    <row r="256" spans="1:8" ht="15" thickBot="1" x14ac:dyDescent="0.35">
      <c r="A256" t="s">
        <v>426</v>
      </c>
      <c r="B256" s="1">
        <f>(Qgd+(Qgs/2))*((B248+Rgate)/B254)</f>
        <v>2.6893661184735754E-9</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60960</xdr:colOff>
                <xdr:row>154</xdr:row>
                <xdr:rowOff>137160</xdr:rowOff>
              </from>
              <to>
                <xdr:col>12</xdr:col>
                <xdr:colOff>396240</xdr:colOff>
                <xdr:row>157</xdr:row>
                <xdr:rowOff>22860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defaultRowHeight="14.4" x14ac:dyDescent="0.3"/>
  <cols>
    <col min="10" max="10" width="10" bestFit="1" customWidth="1"/>
    <col min="25" max="25" width="12" bestFit="1" customWidth="1"/>
    <col min="39" max="39" width="11" bestFit="1" customWidth="1"/>
  </cols>
  <sheetData>
    <row r="1" spans="1:46" ht="28.2" x14ac:dyDescent="0.5">
      <c r="A1" s="229" t="s">
        <v>15</v>
      </c>
      <c r="B1" s="229"/>
      <c r="C1" s="229"/>
      <c r="D1" s="229"/>
      <c r="E1" s="229"/>
      <c r="F1" s="229"/>
      <c r="G1" s="229"/>
      <c r="H1" s="229"/>
      <c r="I1" s="229"/>
      <c r="J1" s="229"/>
      <c r="K1" s="229"/>
      <c r="L1" s="229"/>
      <c r="M1" s="229"/>
    </row>
    <row r="4" spans="1:46" ht="15" thickBot="1" x14ac:dyDescent="0.35">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28.8" x14ac:dyDescent="0.3">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5.6" x14ac:dyDescent="0.3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3">
      <c r="Q7">
        <v>0</v>
      </c>
      <c r="R7" s="39">
        <f t="shared" ref="R7:R70" si="0">VOUT</f>
        <v>210</v>
      </c>
      <c r="S7" s="37">
        <f t="shared" ref="S7:S38" si="1">Q7*$O$12</f>
        <v>0</v>
      </c>
      <c r="T7" s="37">
        <f t="shared" ref="T7:T70" si="2">VIN_var</f>
        <v>20</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0.21092</v>
      </c>
      <c r="AN7" s="40">
        <f>AL7+AM7</f>
        <v>0.21092</v>
      </c>
      <c r="AO7" s="39">
        <f t="shared" ref="AO7:AO38" si="14">(AF7^2)*R_cs</f>
        <v>0</v>
      </c>
      <c r="AP7" s="37">
        <f t="shared" ref="AP7:AP38" si="15">Qg_tot*Vcc*Fsw</f>
        <v>3.0375000000000007E-3</v>
      </c>
      <c r="AQ7" s="40">
        <f t="shared" ref="AQ7:AQ38" si="16">IQ*T7</f>
        <v>8.9999999999999993E-3</v>
      </c>
      <c r="AR7" s="39">
        <f>AO7+AN7+AI7+AD7+AP7+AQ7</f>
        <v>0.2229575</v>
      </c>
      <c r="AS7" s="37">
        <f>R7*S7</f>
        <v>0</v>
      </c>
      <c r="AT7" s="40">
        <f>(AS7/(AS7+AR7))*100</f>
        <v>0</v>
      </c>
    </row>
    <row r="8" spans="1:46" x14ac:dyDescent="0.3">
      <c r="M8">
        <f>Fsw</f>
        <v>100000</v>
      </c>
      <c r="Q8">
        <v>1</v>
      </c>
      <c r="R8" s="39">
        <f t="shared" si="0"/>
        <v>210</v>
      </c>
      <c r="S8" s="37">
        <f t="shared" si="1"/>
        <v>2.24E-4</v>
      </c>
      <c r="T8" s="37">
        <f t="shared" si="2"/>
        <v>20</v>
      </c>
      <c r="U8" s="40">
        <f t="shared" si="3"/>
        <v>2.6133333333333334E-3</v>
      </c>
      <c r="V8" s="39">
        <f t="shared" si="4"/>
        <v>1</v>
      </c>
      <c r="W8" s="37">
        <f t="shared" si="5"/>
        <v>0.13209693410522441</v>
      </c>
      <c r="X8" s="40">
        <f t="shared" si="6"/>
        <v>5.7010255771728427E-2</v>
      </c>
      <c r="Y8" s="39">
        <f t="shared" si="7"/>
        <v>3.2218764415908395E-2</v>
      </c>
      <c r="Z8" s="37">
        <f t="shared" ref="Z8:Z15" si="17">CHOOSE(V8,Y8,U8+(0.5*Y8))</f>
        <v>3.2218764415908395E-2</v>
      </c>
      <c r="AA8" s="37">
        <f t="shared" ref="AA8:AA15" si="18">CHOOSE(V8,Z8*SQRT((W8+X8)/3),SQRT((U8^2)+((Y8^2)/12)))</f>
        <v>8.089138558034609E-3</v>
      </c>
      <c r="AB8" s="37">
        <v>0</v>
      </c>
      <c r="AC8" s="37">
        <f t="shared" si="8"/>
        <v>4.8159543681756521E-5</v>
      </c>
      <c r="AD8" s="40">
        <f t="shared" ref="AD8:AD71" si="19">AB8+AC8</f>
        <v>4.8159543681756521E-5</v>
      </c>
      <c r="AE8" s="39">
        <f>U8*W8</f>
        <v>3.4521332112831982E-4</v>
      </c>
      <c r="AF8" s="37">
        <f t="shared" ref="AF8:AF71" si="20">CHOOSE(V8,Z8*SQRT(W8/3),SQRT(W8*((Z8^2)+((Y8^2)/3)-(Z8*Y8))))</f>
        <v>6.7607460474444223E-3</v>
      </c>
      <c r="AG8" s="37">
        <f t="shared" si="9"/>
        <v>2.2396766687837337E-7</v>
      </c>
      <c r="AH8" s="37">
        <f t="shared" si="10"/>
        <v>1.1301897011838711E-4</v>
      </c>
      <c r="AI8" s="40">
        <f t="shared" ref="AI8:AI71" si="21">AG8+AH8</f>
        <v>1.1324293778526548E-4</v>
      </c>
      <c r="AJ8" s="39">
        <f t="shared" ref="AJ8:AJ71" si="22">X8*U8</f>
        <v>1.4898680175011697E-4</v>
      </c>
      <c r="AK8" s="37">
        <f t="shared" si="11"/>
        <v>4.4414497062385885E-3</v>
      </c>
      <c r="AL8" s="37">
        <f t="shared" si="12"/>
        <v>2.0608000000000001E-4</v>
      </c>
      <c r="AM8" s="37">
        <f t="shared" si="13"/>
        <v>0.21092</v>
      </c>
      <c r="AN8" s="40">
        <f t="shared" ref="AN8:AN71" si="23">AL8+AM8</f>
        <v>0.21112607999999999</v>
      </c>
      <c r="AO8" s="39">
        <f t="shared" si="14"/>
        <v>1.8283074847214152E-6</v>
      </c>
      <c r="AP8" s="37">
        <f t="shared" si="15"/>
        <v>3.0375000000000007E-3</v>
      </c>
      <c r="AQ8" s="40">
        <f t="shared" si="16"/>
        <v>8.9999999999999993E-3</v>
      </c>
      <c r="AR8" s="39">
        <f t="shared" ref="AR8:AR71" si="24">AO8+AN8+AI8+AD8+AP8+AQ8</f>
        <v>0.22332681078895172</v>
      </c>
      <c r="AS8" s="37">
        <f t="shared" ref="AS8:AS71" si="25">R8*S8</f>
        <v>4.7039999999999998E-2</v>
      </c>
      <c r="AT8" s="40">
        <f t="shared" ref="AT8:AT71" si="26">(AS8/(AS8+AR8))*100</f>
        <v>17.398585226764173</v>
      </c>
    </row>
    <row r="9" spans="1:46" x14ac:dyDescent="0.3">
      <c r="N9" s="37" t="s">
        <v>233</v>
      </c>
      <c r="O9" s="37">
        <f>VIN_var</f>
        <v>20</v>
      </c>
      <c r="P9" t="s">
        <v>10</v>
      </c>
      <c r="Q9">
        <v>2</v>
      </c>
      <c r="R9" s="39">
        <f t="shared" si="0"/>
        <v>210</v>
      </c>
      <c r="S9" s="37">
        <f t="shared" si="1"/>
        <v>4.4799999999999999E-4</v>
      </c>
      <c r="T9" s="37">
        <f t="shared" si="2"/>
        <v>20</v>
      </c>
      <c r="U9" s="40">
        <f t="shared" si="3"/>
        <v>5.2266666666666668E-3</v>
      </c>
      <c r="V9" s="39">
        <f t="shared" si="4"/>
        <v>1</v>
      </c>
      <c r="W9" s="37">
        <f t="shared" si="5"/>
        <v>0.1868132757595134</v>
      </c>
      <c r="X9" s="40">
        <f t="shared" si="6"/>
        <v>8.0624676906737358E-2</v>
      </c>
      <c r="Y9" s="39">
        <f t="shared" si="7"/>
        <v>4.5564213599881311E-2</v>
      </c>
      <c r="Z9" s="37">
        <f t="shared" si="17"/>
        <v>4.5564213599881311E-2</v>
      </c>
      <c r="AA9" s="37">
        <f t="shared" si="18"/>
        <v>1.3604255231883805E-2</v>
      </c>
      <c r="AB9" s="37">
        <v>0</v>
      </c>
      <c r="AC9" s="37">
        <f t="shared" si="8"/>
        <v>1.3621575966487907E-4</v>
      </c>
      <c r="AD9" s="40">
        <f t="shared" si="19"/>
        <v>1.3621575966487907E-4</v>
      </c>
      <c r="AE9" s="39">
        <f t="shared" ref="AE9:AE72" si="27">U9*W9</f>
        <v>9.7641072130305671E-4</v>
      </c>
      <c r="AF9" s="37">
        <f t="shared" si="20"/>
        <v>1.1370174231473466E-2</v>
      </c>
      <c r="AG9" s="37">
        <f t="shared" si="9"/>
        <v>6.3347622406490982E-7</v>
      </c>
      <c r="AH9" s="37">
        <f t="shared" si="10"/>
        <v>2.2603794023677421E-4</v>
      </c>
      <c r="AI9" s="40">
        <f t="shared" si="21"/>
        <v>2.2667141646083913E-4</v>
      </c>
      <c r="AJ9" s="39">
        <f t="shared" si="22"/>
        <v>4.2139831129921391E-4</v>
      </c>
      <c r="AK9" s="37">
        <f t="shared" si="11"/>
        <v>7.4695982730113835E-3</v>
      </c>
      <c r="AL9" s="37">
        <f t="shared" si="12"/>
        <v>4.1216000000000001E-4</v>
      </c>
      <c r="AM9" s="37">
        <f t="shared" si="13"/>
        <v>0.21092</v>
      </c>
      <c r="AN9" s="40">
        <f t="shared" si="23"/>
        <v>0.21133215999999999</v>
      </c>
      <c r="AO9" s="39">
        <f t="shared" si="14"/>
        <v>5.1712344821625288E-6</v>
      </c>
      <c r="AP9" s="37">
        <f t="shared" si="15"/>
        <v>3.0375000000000007E-3</v>
      </c>
      <c r="AQ9" s="40">
        <f t="shared" si="16"/>
        <v>8.9999999999999993E-3</v>
      </c>
      <c r="AR9" s="39">
        <f t="shared" si="24"/>
        <v>0.22373771841060788</v>
      </c>
      <c r="AS9" s="37">
        <f t="shared" si="25"/>
        <v>9.4079999999999997E-2</v>
      </c>
      <c r="AT9" s="40">
        <f t="shared" si="26"/>
        <v>29.601873825817464</v>
      </c>
    </row>
    <row r="10" spans="1:46" x14ac:dyDescent="0.3">
      <c r="N10" s="37"/>
      <c r="O10" s="37"/>
      <c r="Q10">
        <v>3</v>
      </c>
      <c r="R10" s="39">
        <f t="shared" si="0"/>
        <v>210</v>
      </c>
      <c r="S10" s="37">
        <f t="shared" si="1"/>
        <v>6.7199999999999996E-4</v>
      </c>
      <c r="T10" s="37">
        <f t="shared" si="2"/>
        <v>20</v>
      </c>
      <c r="U10" s="40">
        <f t="shared" si="3"/>
        <v>7.8399999999999997E-3</v>
      </c>
      <c r="V10" s="39">
        <f t="shared" si="4"/>
        <v>1</v>
      </c>
      <c r="W10" s="37">
        <f t="shared" si="5"/>
        <v>0.2287986013943267</v>
      </c>
      <c r="X10" s="40">
        <f t="shared" si="6"/>
        <v>9.8744659549130462E-2</v>
      </c>
      <c r="Y10" s="39">
        <f t="shared" si="7"/>
        <v>5.5804536925445541E-2</v>
      </c>
      <c r="Z10" s="37">
        <f t="shared" si="17"/>
        <v>5.5804536925445541E-2</v>
      </c>
      <c r="AA10" s="37">
        <f t="shared" si="18"/>
        <v>1.8439248427724882E-2</v>
      </c>
      <c r="AB10" s="37">
        <v>0</v>
      </c>
      <c r="AC10" s="37">
        <f t="shared" si="8"/>
        <v>2.5024432957840493E-4</v>
      </c>
      <c r="AD10" s="40">
        <f t="shared" si="19"/>
        <v>2.5024432957840493E-4</v>
      </c>
      <c r="AE10" s="39">
        <f t="shared" si="27"/>
        <v>1.7937810349315214E-3</v>
      </c>
      <c r="AF10" s="37">
        <f t="shared" si="20"/>
        <v>1.5411168325428682E-2</v>
      </c>
      <c r="AG10" s="37">
        <f t="shared" si="9"/>
        <v>1.1637701348580118E-6</v>
      </c>
      <c r="AH10" s="37">
        <f t="shared" si="10"/>
        <v>3.3905691035516128E-4</v>
      </c>
      <c r="AI10" s="40">
        <f t="shared" si="21"/>
        <v>3.4022068049001928E-4</v>
      </c>
      <c r="AJ10" s="39">
        <f t="shared" si="22"/>
        <v>7.7415813086518278E-4</v>
      </c>
      <c r="AK10" s="37">
        <f t="shared" si="11"/>
        <v>1.0124315948480586E-2</v>
      </c>
      <c r="AL10" s="37">
        <f t="shared" si="12"/>
        <v>6.1824000000000004E-4</v>
      </c>
      <c r="AM10" s="37">
        <f t="shared" si="13"/>
        <v>0.21092</v>
      </c>
      <c r="AN10" s="40">
        <f t="shared" si="23"/>
        <v>0.21153823999999999</v>
      </c>
      <c r="AO10" s="39">
        <f t="shared" si="14"/>
        <v>9.5001643661878514E-6</v>
      </c>
      <c r="AP10" s="37">
        <f t="shared" si="15"/>
        <v>3.0375000000000007E-3</v>
      </c>
      <c r="AQ10" s="40">
        <f t="shared" si="16"/>
        <v>8.9999999999999993E-3</v>
      </c>
      <c r="AR10" s="39">
        <f t="shared" si="24"/>
        <v>0.22417570517443461</v>
      </c>
      <c r="AS10" s="37">
        <f t="shared" si="25"/>
        <v>0.14112</v>
      </c>
      <c r="AT10" s="40">
        <f t="shared" si="26"/>
        <v>38.63171616885365</v>
      </c>
    </row>
    <row r="11" spans="1:46" x14ac:dyDescent="0.3">
      <c r="N11" s="37" t="s">
        <v>325</v>
      </c>
      <c r="O11" s="37">
        <v>150</v>
      </c>
      <c r="Q11">
        <v>4</v>
      </c>
      <c r="R11" s="39">
        <f t="shared" si="0"/>
        <v>210</v>
      </c>
      <c r="S11" s="37">
        <f t="shared" si="1"/>
        <v>8.9599999999999999E-4</v>
      </c>
      <c r="T11" s="37">
        <f t="shared" si="2"/>
        <v>20</v>
      </c>
      <c r="U11" s="40">
        <f t="shared" si="3"/>
        <v>1.0453333333333334E-2</v>
      </c>
      <c r="V11" s="39">
        <f t="shared" si="4"/>
        <v>1</v>
      </c>
      <c r="W11" s="37">
        <f t="shared" si="5"/>
        <v>0.26419386821044882</v>
      </c>
      <c r="X11" s="40">
        <f t="shared" si="6"/>
        <v>0.11402051154345685</v>
      </c>
      <c r="Y11" s="39">
        <f t="shared" si="7"/>
        <v>6.443752883181679E-2</v>
      </c>
      <c r="Z11" s="37">
        <f t="shared" si="17"/>
        <v>6.443752883181679E-2</v>
      </c>
      <c r="AA11" s="37">
        <f t="shared" si="18"/>
        <v>2.287953891337537E-2</v>
      </c>
      <c r="AB11" s="37">
        <v>0</v>
      </c>
      <c r="AC11" s="37">
        <f t="shared" si="8"/>
        <v>3.8527634945405216E-4</v>
      </c>
      <c r="AD11" s="40">
        <f t="shared" si="19"/>
        <v>3.8527634945405216E-4</v>
      </c>
      <c r="AE11" s="39">
        <f t="shared" si="27"/>
        <v>2.7617065690265586E-3</v>
      </c>
      <c r="AF11" s="37">
        <f t="shared" si="20"/>
        <v>1.9122277504112398E-2</v>
      </c>
      <c r="AG11" s="37">
        <f t="shared" si="9"/>
        <v>1.7917413350269874E-6</v>
      </c>
      <c r="AH11" s="37">
        <f t="shared" si="10"/>
        <v>4.5207588047354842E-4</v>
      </c>
      <c r="AI11" s="40">
        <f t="shared" si="21"/>
        <v>4.5386762180857544E-4</v>
      </c>
      <c r="AJ11" s="39">
        <f t="shared" si="22"/>
        <v>1.1918944140009357E-3</v>
      </c>
      <c r="AK11" s="37">
        <f t="shared" si="11"/>
        <v>1.2562316822321222E-2</v>
      </c>
      <c r="AL11" s="37">
        <f t="shared" si="12"/>
        <v>8.2432000000000002E-4</v>
      </c>
      <c r="AM11" s="37">
        <f t="shared" si="13"/>
        <v>0.21092</v>
      </c>
      <c r="AN11" s="40">
        <f t="shared" si="23"/>
        <v>0.21174431999999999</v>
      </c>
      <c r="AO11" s="39">
        <f t="shared" si="14"/>
        <v>1.4626459877771323E-5</v>
      </c>
      <c r="AP11" s="37">
        <f t="shared" si="15"/>
        <v>3.0375000000000007E-3</v>
      </c>
      <c r="AQ11" s="40">
        <f t="shared" si="16"/>
        <v>8.9999999999999993E-3</v>
      </c>
      <c r="AR11" s="39">
        <f t="shared" si="24"/>
        <v>0.22463559043114037</v>
      </c>
      <c r="AS11" s="37">
        <f t="shared" si="25"/>
        <v>0.18815999999999999</v>
      </c>
      <c r="AT11" s="40">
        <f t="shared" si="26"/>
        <v>45.581882258838597</v>
      </c>
    </row>
    <row r="12" spans="1:46" x14ac:dyDescent="0.3">
      <c r="N12" s="37" t="s">
        <v>326</v>
      </c>
      <c r="O12" s="37">
        <f>IOUT/(O11)</f>
        <v>2.24E-4</v>
      </c>
      <c r="Q12">
        <v>5</v>
      </c>
      <c r="R12" s="39">
        <f t="shared" si="0"/>
        <v>210</v>
      </c>
      <c r="S12" s="37">
        <f t="shared" si="1"/>
        <v>1.1199999999999999E-3</v>
      </c>
      <c r="T12" s="37">
        <f t="shared" si="2"/>
        <v>20</v>
      </c>
      <c r="U12" s="40">
        <f t="shared" si="3"/>
        <v>1.3066666666666666E-2</v>
      </c>
      <c r="V12" s="39">
        <f t="shared" si="4"/>
        <v>1</v>
      </c>
      <c r="W12" s="37">
        <f t="shared" si="5"/>
        <v>0.2953777242785921</v>
      </c>
      <c r="X12" s="40">
        <f t="shared" si="6"/>
        <v>0.12747880732023448</v>
      </c>
      <c r="Y12" s="39">
        <f t="shared" si="7"/>
        <v>7.2043347385022452E-2</v>
      </c>
      <c r="Z12" s="37">
        <f t="shared" si="17"/>
        <v>7.2043347385022452E-2</v>
      </c>
      <c r="AA12" s="37">
        <f t="shared" si="18"/>
        <v>2.7047664931482984E-2</v>
      </c>
      <c r="AB12" s="37">
        <v>0</v>
      </c>
      <c r="AC12" s="37">
        <f t="shared" si="8"/>
        <v>5.3844006718888992E-4</v>
      </c>
      <c r="AD12" s="40">
        <f t="shared" si="19"/>
        <v>5.3844006718888992E-4</v>
      </c>
      <c r="AE12" s="39">
        <f t="shared" si="27"/>
        <v>3.8596022639069364E-3</v>
      </c>
      <c r="AF12" s="37">
        <f t="shared" si="20"/>
        <v>2.2605916868180604E-2</v>
      </c>
      <c r="AG12" s="37">
        <f t="shared" si="9"/>
        <v>2.5040346395103531E-6</v>
      </c>
      <c r="AH12" s="37">
        <f t="shared" si="10"/>
        <v>5.6509485059193546E-4</v>
      </c>
      <c r="AI12" s="40">
        <f t="shared" si="21"/>
        <v>5.6759888523144587E-4</v>
      </c>
      <c r="AJ12" s="39">
        <f t="shared" si="22"/>
        <v>1.6657230823177304E-3</v>
      </c>
      <c r="AK12" s="37">
        <f t="shared" si="11"/>
        <v>1.4850882155437162E-2</v>
      </c>
      <c r="AL12" s="37">
        <f t="shared" si="12"/>
        <v>1.0303999999999999E-3</v>
      </c>
      <c r="AM12" s="37">
        <f t="shared" si="13"/>
        <v>0.21092</v>
      </c>
      <c r="AN12" s="40">
        <f t="shared" si="23"/>
        <v>0.21195039999999998</v>
      </c>
      <c r="AO12" s="39">
        <f t="shared" si="14"/>
        <v>2.0441099098043695E-5</v>
      </c>
      <c r="AP12" s="37">
        <f t="shared" si="15"/>
        <v>3.0375000000000007E-3</v>
      </c>
      <c r="AQ12" s="40">
        <f t="shared" si="16"/>
        <v>8.9999999999999993E-3</v>
      </c>
      <c r="AR12" s="39">
        <f t="shared" si="24"/>
        <v>0.22511438005151838</v>
      </c>
      <c r="AS12" s="37">
        <f t="shared" si="25"/>
        <v>0.23519999999999999</v>
      </c>
      <c r="AT12" s="40">
        <f t="shared" si="26"/>
        <v>51.095514325161083</v>
      </c>
    </row>
    <row r="13" spans="1:46" x14ac:dyDescent="0.3">
      <c r="Q13">
        <v>6</v>
      </c>
      <c r="R13" s="39">
        <f t="shared" si="0"/>
        <v>210</v>
      </c>
      <c r="S13" s="37">
        <f t="shared" si="1"/>
        <v>1.3439999999999999E-3</v>
      </c>
      <c r="T13" s="37">
        <f t="shared" si="2"/>
        <v>20</v>
      </c>
      <c r="U13" s="40">
        <f t="shared" si="3"/>
        <v>1.5679999999999999E-2</v>
      </c>
      <c r="V13" s="39">
        <f t="shared" si="4"/>
        <v>1</v>
      </c>
      <c r="W13" s="37">
        <f t="shared" si="5"/>
        <v>0.32357008514385255</v>
      </c>
      <c r="X13" s="40">
        <f t="shared" si="6"/>
        <v>0.13964603674629425</v>
      </c>
      <c r="Y13" s="39">
        <f t="shared" si="7"/>
        <v>7.8919532961915256E-2</v>
      </c>
      <c r="Z13" s="37">
        <f t="shared" si="17"/>
        <v>7.8919532961915256E-2</v>
      </c>
      <c r="AA13" s="37">
        <f t="shared" si="18"/>
        <v>3.1010995805693092E-2</v>
      </c>
      <c r="AB13" s="37">
        <v>0</v>
      </c>
      <c r="AC13" s="37">
        <f t="shared" si="8"/>
        <v>7.0779784959348587E-4</v>
      </c>
      <c r="AD13" s="40">
        <f t="shared" si="19"/>
        <v>7.0779784959348587E-4</v>
      </c>
      <c r="AE13" s="39">
        <f t="shared" si="27"/>
        <v>5.0735789350556081E-3</v>
      </c>
      <c r="AF13" s="37">
        <f t="shared" si="20"/>
        <v>2.5918392399449135E-2</v>
      </c>
      <c r="AG13" s="37">
        <f t="shared" si="9"/>
        <v>3.291639016401932E-6</v>
      </c>
      <c r="AH13" s="37">
        <f t="shared" si="10"/>
        <v>6.7811382071032256E-4</v>
      </c>
      <c r="AI13" s="40">
        <f t="shared" si="21"/>
        <v>6.8140545972672452E-4</v>
      </c>
      <c r="AJ13" s="39">
        <f t="shared" si="22"/>
        <v>2.1896498561818937E-3</v>
      </c>
      <c r="AK13" s="37">
        <f t="shared" si="11"/>
        <v>1.7027001975946671E-2</v>
      </c>
      <c r="AL13" s="37">
        <f t="shared" si="12"/>
        <v>1.2364800000000001E-3</v>
      </c>
      <c r="AM13" s="37">
        <f t="shared" si="13"/>
        <v>0.21092</v>
      </c>
      <c r="AN13" s="40">
        <f t="shared" si="23"/>
        <v>0.21215648000000001</v>
      </c>
      <c r="AO13" s="39">
        <f t="shared" si="14"/>
        <v>2.6870522582872909E-5</v>
      </c>
      <c r="AP13" s="37">
        <f t="shared" si="15"/>
        <v>3.0375000000000007E-3</v>
      </c>
      <c r="AQ13" s="40">
        <f t="shared" si="16"/>
        <v>8.9999999999999993E-3</v>
      </c>
      <c r="AR13" s="39">
        <f t="shared" si="24"/>
        <v>0.22561005383190311</v>
      </c>
      <c r="AS13" s="37">
        <f t="shared" si="25"/>
        <v>0.28223999999999999</v>
      </c>
      <c r="AT13" s="40">
        <f t="shared" si="26"/>
        <v>55.575459305439125</v>
      </c>
    </row>
    <row r="14" spans="1:46" x14ac:dyDescent="0.3">
      <c r="Q14">
        <v>7</v>
      </c>
      <c r="R14" s="39">
        <f t="shared" si="0"/>
        <v>210</v>
      </c>
      <c r="S14" s="37">
        <f t="shared" si="1"/>
        <v>1.5679999999999999E-3</v>
      </c>
      <c r="T14" s="37">
        <f t="shared" si="2"/>
        <v>20</v>
      </c>
      <c r="U14" s="40">
        <f t="shared" si="3"/>
        <v>1.8293333333333335E-2</v>
      </c>
      <c r="V14" s="39">
        <f t="shared" si="4"/>
        <v>1</v>
      </c>
      <c r="W14" s="37">
        <f t="shared" si="5"/>
        <v>0.34949563659651028</v>
      </c>
      <c r="X14" s="40">
        <f t="shared" si="6"/>
        <v>0.15083495895217811</v>
      </c>
      <c r="Y14" s="39">
        <f t="shared" si="7"/>
        <v>8.5242838194270795E-2</v>
      </c>
      <c r="Z14" s="37">
        <f t="shared" si="17"/>
        <v>8.5242838194270795E-2</v>
      </c>
      <c r="AA14" s="37">
        <f t="shared" si="18"/>
        <v>3.4811745871426644E-2</v>
      </c>
      <c r="AB14" s="37">
        <v>0</v>
      </c>
      <c r="AC14" s="37">
        <f t="shared" si="8"/>
        <v>8.9192723085395741E-4</v>
      </c>
      <c r="AD14" s="40">
        <f t="shared" si="19"/>
        <v>8.9192723085395741E-4</v>
      </c>
      <c r="AE14" s="39">
        <f t="shared" si="27"/>
        <v>6.3934401788054958E-3</v>
      </c>
      <c r="AF14" s="37">
        <f t="shared" si="20"/>
        <v>2.9094986025566417E-2</v>
      </c>
      <c r="AG14" s="37">
        <f t="shared" si="9"/>
        <v>4.1479392379567352E-6</v>
      </c>
      <c r="AH14" s="37">
        <f t="shared" si="10"/>
        <v>7.9113279082870976E-4</v>
      </c>
      <c r="AI14" s="40">
        <f t="shared" si="21"/>
        <v>7.9528073006666651E-4</v>
      </c>
      <c r="AJ14" s="39">
        <f t="shared" si="22"/>
        <v>2.7592741824318452E-3</v>
      </c>
      <c r="AK14" s="37">
        <f t="shared" si="11"/>
        <v>1.91138546292705E-2</v>
      </c>
      <c r="AL14" s="37">
        <f t="shared" si="12"/>
        <v>1.4425600000000001E-3</v>
      </c>
      <c r="AM14" s="37">
        <f t="shared" si="13"/>
        <v>0.21092</v>
      </c>
      <c r="AN14" s="40">
        <f t="shared" si="23"/>
        <v>0.21236256000000001</v>
      </c>
      <c r="AO14" s="39">
        <f t="shared" si="14"/>
        <v>3.3860728473116205E-5</v>
      </c>
      <c r="AP14" s="37">
        <f t="shared" si="15"/>
        <v>3.0375000000000007E-3</v>
      </c>
      <c r="AQ14" s="40">
        <f t="shared" si="16"/>
        <v>8.9999999999999993E-3</v>
      </c>
      <c r="AR14" s="39">
        <f t="shared" si="24"/>
        <v>0.22612112868939374</v>
      </c>
      <c r="AS14" s="37">
        <f t="shared" si="25"/>
        <v>0.32928000000000002</v>
      </c>
      <c r="AT14" s="40">
        <f t="shared" si="26"/>
        <v>59.28687987671497</v>
      </c>
    </row>
    <row r="15" spans="1:46" x14ac:dyDescent="0.3">
      <c r="O15">
        <f>0.205*2.5/(Lm*Fsw)</f>
        <v>6.2499999999999995E-3</v>
      </c>
      <c r="Q15">
        <v>8</v>
      </c>
      <c r="R15" s="39">
        <f t="shared" si="0"/>
        <v>210</v>
      </c>
      <c r="S15" s="37">
        <f t="shared" si="1"/>
        <v>1.792E-3</v>
      </c>
      <c r="T15" s="37">
        <f t="shared" si="2"/>
        <v>20</v>
      </c>
      <c r="U15" s="40">
        <f t="shared" si="3"/>
        <v>2.0906666666666667E-2</v>
      </c>
      <c r="V15" s="39">
        <f t="shared" si="4"/>
        <v>1</v>
      </c>
      <c r="W15" s="37">
        <f t="shared" si="5"/>
        <v>0.37362655151902679</v>
      </c>
      <c r="X15" s="40">
        <f t="shared" si="6"/>
        <v>0.16124935381347472</v>
      </c>
      <c r="Y15" s="39">
        <f t="shared" si="7"/>
        <v>9.1128427199762621E-2</v>
      </c>
      <c r="Z15" s="37">
        <f t="shared" si="17"/>
        <v>9.1128427199762621E-2</v>
      </c>
      <c r="AA15" s="37">
        <f t="shared" si="18"/>
        <v>3.847864450983042E-2</v>
      </c>
      <c r="AB15" s="37">
        <v>0</v>
      </c>
      <c r="AC15" s="37">
        <f t="shared" si="8"/>
        <v>1.0897260773190325E-3</v>
      </c>
      <c r="AD15" s="40">
        <f t="shared" si="19"/>
        <v>1.0897260773190325E-3</v>
      </c>
      <c r="AE15" s="39">
        <f t="shared" si="27"/>
        <v>7.8112857704244537E-3</v>
      </c>
      <c r="AF15" s="37">
        <f t="shared" si="20"/>
        <v>3.2159709209389716E-2</v>
      </c>
      <c r="AG15" s="37">
        <f t="shared" si="9"/>
        <v>5.0678097925192786E-6</v>
      </c>
      <c r="AH15" s="37">
        <f t="shared" si="10"/>
        <v>9.0415176094709685E-4</v>
      </c>
      <c r="AI15" s="40">
        <f t="shared" si="21"/>
        <v>9.0921957073961611E-4</v>
      </c>
      <c r="AJ15" s="39">
        <f t="shared" si="22"/>
        <v>3.3711864903937113E-3</v>
      </c>
      <c r="AK15" s="37">
        <f t="shared" si="11"/>
        <v>2.1127214366342694E-2</v>
      </c>
      <c r="AL15" s="37">
        <f t="shared" si="12"/>
        <v>1.64864E-3</v>
      </c>
      <c r="AM15" s="37">
        <f t="shared" si="13"/>
        <v>0.21092</v>
      </c>
      <c r="AN15" s="40">
        <f t="shared" si="23"/>
        <v>0.21256864</v>
      </c>
      <c r="AO15" s="39">
        <f t="shared" si="14"/>
        <v>4.136987585730023E-5</v>
      </c>
      <c r="AP15" s="37">
        <f t="shared" si="15"/>
        <v>3.0375000000000007E-3</v>
      </c>
      <c r="AQ15" s="40">
        <f t="shared" si="16"/>
        <v>8.9999999999999993E-3</v>
      </c>
      <c r="AR15" s="39">
        <f t="shared" si="24"/>
        <v>0.22664645552391594</v>
      </c>
      <c r="AS15" s="37">
        <f t="shared" si="25"/>
        <v>0.37631999999999999</v>
      </c>
      <c r="AT15" s="40">
        <f t="shared" si="26"/>
        <v>62.41143210413199</v>
      </c>
    </row>
    <row r="16" spans="1:46" x14ac:dyDescent="0.3">
      <c r="Q16">
        <v>9</v>
      </c>
      <c r="R16" s="39">
        <f t="shared" si="0"/>
        <v>210</v>
      </c>
      <c r="S16" s="37">
        <f t="shared" si="1"/>
        <v>2.016E-3</v>
      </c>
      <c r="T16" s="37">
        <f t="shared" si="2"/>
        <v>20</v>
      </c>
      <c r="U16" s="40">
        <f t="shared" si="3"/>
        <v>2.3519999999999999E-2</v>
      </c>
      <c r="V16" s="39">
        <f t="shared" si="4"/>
        <v>1</v>
      </c>
      <c r="W16" s="37">
        <f t="shared" si="5"/>
        <v>0.39629080231567321</v>
      </c>
      <c r="X16" s="40">
        <f t="shared" si="6"/>
        <v>0.17103076731518527</v>
      </c>
      <c r="Y16" s="39">
        <f t="shared" si="7"/>
        <v>9.6656293247725178E-2</v>
      </c>
      <c r="Z16" s="37">
        <f t="shared" ref="Z16:Z79" si="28">CHOOSE(V16,Y16,U16+(0.5*Y16))</f>
        <v>9.6656293247725178E-2</v>
      </c>
      <c r="AA16" s="37">
        <f t="shared" ref="AA16:AA79" si="29">CHOOSE(V16,Z16*SQRT((W16+X16)/3),SQRT((U16^2)+((Y16^2)/12)))</f>
        <v>4.2032396915941156E-2</v>
      </c>
      <c r="AB16" s="37">
        <v>0</v>
      </c>
      <c r="AC16" s="37">
        <f t="shared" si="8"/>
        <v>1.3003076794074256E-3</v>
      </c>
      <c r="AD16" s="40">
        <f t="shared" si="19"/>
        <v>1.3003076794074256E-3</v>
      </c>
      <c r="AE16" s="39">
        <f t="shared" si="27"/>
        <v>9.3207596704646331E-3</v>
      </c>
      <c r="AF16" s="37">
        <f t="shared" si="20"/>
        <v>3.5129866953732616E-2</v>
      </c>
      <c r="AG16" s="37">
        <f t="shared" si="9"/>
        <v>6.0471270057160796E-6</v>
      </c>
      <c r="AH16" s="37">
        <f t="shared" si="10"/>
        <v>1.0171707310654837E-3</v>
      </c>
      <c r="AI16" s="40">
        <f t="shared" si="21"/>
        <v>1.0232178580711999E-3</v>
      </c>
      <c r="AJ16" s="39">
        <f t="shared" si="22"/>
        <v>4.0226436472531575E-3</v>
      </c>
      <c r="AK16" s="37">
        <f t="shared" si="11"/>
        <v>2.3078449651401298E-2</v>
      </c>
      <c r="AL16" s="37">
        <f t="shared" si="12"/>
        <v>1.85472E-3</v>
      </c>
      <c r="AM16" s="37">
        <f t="shared" si="13"/>
        <v>0.21092</v>
      </c>
      <c r="AN16" s="40">
        <f t="shared" si="23"/>
        <v>0.21277472</v>
      </c>
      <c r="AO16" s="39">
        <f t="shared" si="14"/>
        <v>4.9364302087478198E-5</v>
      </c>
      <c r="AP16" s="37">
        <f t="shared" si="15"/>
        <v>3.0375000000000007E-3</v>
      </c>
      <c r="AQ16" s="40">
        <f t="shared" si="16"/>
        <v>8.9999999999999993E-3</v>
      </c>
      <c r="AR16" s="39">
        <f t="shared" si="24"/>
        <v>0.22718510983956611</v>
      </c>
      <c r="AS16" s="37">
        <f t="shared" si="25"/>
        <v>0.42336000000000001</v>
      </c>
      <c r="AT16" s="40">
        <f t="shared" si="26"/>
        <v>65.077731520325571</v>
      </c>
    </row>
    <row r="17" spans="17:46" x14ac:dyDescent="0.3">
      <c r="Q17">
        <v>10</v>
      </c>
      <c r="R17" s="39">
        <f t="shared" si="0"/>
        <v>210</v>
      </c>
      <c r="S17" s="37">
        <f t="shared" si="1"/>
        <v>2.2399999999999998E-3</v>
      </c>
      <c r="T17" s="37">
        <f t="shared" si="2"/>
        <v>20</v>
      </c>
      <c r="U17" s="40">
        <f t="shared" si="3"/>
        <v>2.6133333333333331E-2</v>
      </c>
      <c r="V17" s="39">
        <f t="shared" si="4"/>
        <v>1</v>
      </c>
      <c r="W17" s="37">
        <f t="shared" si="5"/>
        <v>0.41772718369768558</v>
      </c>
      <c r="X17" s="40">
        <f t="shared" si="6"/>
        <v>0.18028225822742217</v>
      </c>
      <c r="Y17" s="39">
        <f t="shared" si="7"/>
        <v>0.10188467895065502</v>
      </c>
      <c r="Z17" s="37">
        <f t="shared" si="28"/>
        <v>0.10188467895065502</v>
      </c>
      <c r="AA17" s="37">
        <f t="shared" si="29"/>
        <v>4.54885689637353E-2</v>
      </c>
      <c r="AB17" s="37">
        <v>0</v>
      </c>
      <c r="AC17" s="37">
        <f t="shared" si="8"/>
        <v>1.5229384910872175E-3</v>
      </c>
      <c r="AD17" s="40">
        <f t="shared" si="19"/>
        <v>1.5229384910872175E-3</v>
      </c>
      <c r="AE17" s="39">
        <f t="shared" si="27"/>
        <v>1.0916603733966182E-2</v>
      </c>
      <c r="AF17" s="37">
        <f t="shared" si="20"/>
        <v>3.8018468915953098E-2</v>
      </c>
      <c r="AG17" s="37">
        <f t="shared" si="9"/>
        <v>7.0824794956951314E-6</v>
      </c>
      <c r="AH17" s="37">
        <f t="shared" si="10"/>
        <v>1.1301897011838709E-3</v>
      </c>
      <c r="AI17" s="40">
        <f t="shared" si="21"/>
        <v>1.1372721806795661E-3</v>
      </c>
      <c r="AJ17" s="39">
        <f t="shared" si="22"/>
        <v>4.7113763483432993E-3</v>
      </c>
      <c r="AK17" s="37">
        <f t="shared" si="11"/>
        <v>2.4976107135724939E-2</v>
      </c>
      <c r="AL17" s="37">
        <f t="shared" si="12"/>
        <v>2.0607999999999998E-3</v>
      </c>
      <c r="AM17" s="37">
        <f t="shared" si="13"/>
        <v>0.21092</v>
      </c>
      <c r="AN17" s="40">
        <f t="shared" si="23"/>
        <v>0.2129808</v>
      </c>
      <c r="AO17" s="39">
        <f t="shared" si="14"/>
        <v>5.7816159148531678E-5</v>
      </c>
      <c r="AP17" s="37">
        <f t="shared" si="15"/>
        <v>3.0375000000000007E-3</v>
      </c>
      <c r="AQ17" s="40">
        <f t="shared" si="16"/>
        <v>8.9999999999999993E-3</v>
      </c>
      <c r="AR17" s="39">
        <f t="shared" si="24"/>
        <v>0.22773632683091535</v>
      </c>
      <c r="AS17" s="37">
        <f t="shared" si="25"/>
        <v>0.47039999999999998</v>
      </c>
      <c r="AT17" s="40">
        <f t="shared" si="26"/>
        <v>67.379390231032659</v>
      </c>
    </row>
    <row r="18" spans="17:46" x14ac:dyDescent="0.3">
      <c r="Q18">
        <v>11</v>
      </c>
      <c r="R18" s="39">
        <f t="shared" si="0"/>
        <v>210</v>
      </c>
      <c r="S18" s="37">
        <f t="shared" si="1"/>
        <v>2.464E-3</v>
      </c>
      <c r="T18" s="37">
        <f t="shared" si="2"/>
        <v>20</v>
      </c>
      <c r="U18" s="40">
        <f t="shared" si="3"/>
        <v>2.8746666666666667E-2</v>
      </c>
      <c r="V18" s="39">
        <f t="shared" si="4"/>
        <v>1</v>
      </c>
      <c r="W18" s="37">
        <f t="shared" si="5"/>
        <v>0.43811596638333095</v>
      </c>
      <c r="X18" s="40">
        <f t="shared" si="6"/>
        <v>0.18908162759701649</v>
      </c>
      <c r="Y18" s="39">
        <f t="shared" si="7"/>
        <v>0.10685755277642218</v>
      </c>
      <c r="Z18" s="37">
        <f t="shared" si="28"/>
        <v>0.10685755277642218</v>
      </c>
      <c r="AA18" s="37">
        <f t="shared" si="29"/>
        <v>4.8859249117978454E-2</v>
      </c>
      <c r="AB18" s="37">
        <v>0</v>
      </c>
      <c r="AC18" s="37">
        <f t="shared" si="8"/>
        <v>1.7569985011382913E-3</v>
      </c>
      <c r="AD18" s="40">
        <f t="shared" si="19"/>
        <v>1.7569985011382913E-3</v>
      </c>
      <c r="AE18" s="39">
        <f t="shared" si="27"/>
        <v>1.2594373646966153E-2</v>
      </c>
      <c r="AF18" s="37">
        <f t="shared" si="20"/>
        <v>4.0835618401835506E-2</v>
      </c>
      <c r="AG18" s="37">
        <f t="shared" si="9"/>
        <v>8.170983878275602E-6</v>
      </c>
      <c r="AH18" s="37">
        <f t="shared" si="10"/>
        <v>1.2432086713022579E-3</v>
      </c>
      <c r="AI18" s="40">
        <f t="shared" si="21"/>
        <v>1.2513796551805335E-3</v>
      </c>
      <c r="AJ18" s="39">
        <f t="shared" si="22"/>
        <v>5.4354665213222344E-3</v>
      </c>
      <c r="AK18" s="37">
        <f t="shared" si="11"/>
        <v>2.6826824152559534E-2</v>
      </c>
      <c r="AL18" s="37">
        <f t="shared" si="12"/>
        <v>2.2668800000000002E-3</v>
      </c>
      <c r="AM18" s="37">
        <f t="shared" si="13"/>
        <v>0.21092</v>
      </c>
      <c r="AN18" s="40">
        <f t="shared" si="23"/>
        <v>0.21318688</v>
      </c>
      <c r="AO18" s="39">
        <f t="shared" si="14"/>
        <v>6.6701909210413064E-5</v>
      </c>
      <c r="AP18" s="37">
        <f t="shared" si="15"/>
        <v>3.0375000000000007E-3</v>
      </c>
      <c r="AQ18" s="40">
        <f t="shared" si="16"/>
        <v>8.9999999999999993E-3</v>
      </c>
      <c r="AR18" s="39">
        <f t="shared" si="24"/>
        <v>0.22829946006552923</v>
      </c>
      <c r="AS18" s="37">
        <f t="shared" si="25"/>
        <v>0.51744000000000001</v>
      </c>
      <c r="AT18" s="40">
        <f t="shared" si="26"/>
        <v>69.386163359859182</v>
      </c>
    </row>
    <row r="19" spans="17:46" x14ac:dyDescent="0.3">
      <c r="Q19">
        <v>12</v>
      </c>
      <c r="R19" s="39">
        <f t="shared" si="0"/>
        <v>210</v>
      </c>
      <c r="S19" s="37">
        <f t="shared" si="1"/>
        <v>2.6879999999999999E-3</v>
      </c>
      <c r="T19" s="37">
        <f t="shared" si="2"/>
        <v>20</v>
      </c>
      <c r="U19" s="40">
        <f t="shared" si="3"/>
        <v>3.1359999999999999E-2</v>
      </c>
      <c r="V19" s="39">
        <f t="shared" si="4"/>
        <v>1</v>
      </c>
      <c r="W19" s="37">
        <f t="shared" si="5"/>
        <v>0.4575972027886534</v>
      </c>
      <c r="X19" s="40">
        <f t="shared" si="6"/>
        <v>0.19748931909826092</v>
      </c>
      <c r="Y19" s="39">
        <f t="shared" si="7"/>
        <v>0.11160907385089108</v>
      </c>
      <c r="Z19" s="37">
        <f t="shared" si="28"/>
        <v>0.11160907385089108</v>
      </c>
      <c r="AA19" s="37">
        <f t="shared" si="29"/>
        <v>5.2154070412910591E-2</v>
      </c>
      <c r="AB19" s="37">
        <v>0</v>
      </c>
      <c r="AC19" s="37">
        <f t="shared" si="8"/>
        <v>2.001954636627239E-3</v>
      </c>
      <c r="AD19" s="40">
        <f t="shared" si="19"/>
        <v>2.001954636627239E-3</v>
      </c>
      <c r="AE19" s="39">
        <f t="shared" si="27"/>
        <v>1.4350248279452171E-2</v>
      </c>
      <c r="AF19" s="37">
        <f t="shared" si="20"/>
        <v>4.3589366515671801E-2</v>
      </c>
      <c r="AG19" s="37">
        <f t="shared" si="9"/>
        <v>9.3101610788640946E-6</v>
      </c>
      <c r="AH19" s="37">
        <f t="shared" si="10"/>
        <v>1.3562276414206451E-3</v>
      </c>
      <c r="AI19" s="40">
        <f t="shared" si="21"/>
        <v>1.3655378024995091E-3</v>
      </c>
      <c r="AJ19" s="39">
        <f t="shared" si="22"/>
        <v>6.1932650469214623E-3</v>
      </c>
      <c r="AK19" s="37">
        <f t="shared" si="11"/>
        <v>2.8635889848182938E-2</v>
      </c>
      <c r="AL19" s="37">
        <f t="shared" si="12"/>
        <v>2.4729600000000002E-3</v>
      </c>
      <c r="AM19" s="37">
        <f t="shared" si="13"/>
        <v>0.21092</v>
      </c>
      <c r="AN19" s="40">
        <f t="shared" si="23"/>
        <v>0.21339295999999999</v>
      </c>
      <c r="AO19" s="39">
        <f t="shared" si="14"/>
        <v>7.6001314929502798E-5</v>
      </c>
      <c r="AP19" s="37">
        <f t="shared" si="15"/>
        <v>3.0375000000000007E-3</v>
      </c>
      <c r="AQ19" s="40">
        <f t="shared" si="16"/>
        <v>8.9999999999999993E-3</v>
      </c>
      <c r="AR19" s="39">
        <f t="shared" si="24"/>
        <v>0.22887395375405625</v>
      </c>
      <c r="AS19" s="37">
        <f t="shared" si="25"/>
        <v>0.56447999999999998</v>
      </c>
      <c r="AT19" s="40">
        <f t="shared" si="26"/>
        <v>71.151091808258855</v>
      </c>
    </row>
    <row r="20" spans="17:46" x14ac:dyDescent="0.3">
      <c r="Q20">
        <v>13</v>
      </c>
      <c r="R20" s="39">
        <f t="shared" si="0"/>
        <v>210</v>
      </c>
      <c r="S20" s="37">
        <f t="shared" si="1"/>
        <v>2.9120000000000001E-3</v>
      </c>
      <c r="T20" s="37">
        <f t="shared" si="2"/>
        <v>20</v>
      </c>
      <c r="U20" s="40">
        <f t="shared" si="3"/>
        <v>3.3973333333333335E-2</v>
      </c>
      <c r="V20" s="39">
        <f t="shared" si="4"/>
        <v>1</v>
      </c>
      <c r="W20" s="37">
        <f t="shared" si="5"/>
        <v>0.47628226924797445</v>
      </c>
      <c r="X20" s="40">
        <f t="shared" si="6"/>
        <v>0.2055534004122837</v>
      </c>
      <c r="Y20" s="39">
        <f t="shared" si="7"/>
        <v>0.11616640713365231</v>
      </c>
      <c r="Z20" s="37">
        <f t="shared" si="28"/>
        <v>0.11616640713365231</v>
      </c>
      <c r="AA20" s="37">
        <f t="shared" si="29"/>
        <v>5.5380871878266534E-2</v>
      </c>
      <c r="AB20" s="37">
        <v>0</v>
      </c>
      <c r="AC20" s="37">
        <f t="shared" si="8"/>
        <v>2.257342153917772E-3</v>
      </c>
      <c r="AD20" s="40">
        <f t="shared" si="19"/>
        <v>2.257342153917772E-3</v>
      </c>
      <c r="AE20" s="39">
        <f t="shared" si="27"/>
        <v>1.6180896293917852E-2</v>
      </c>
      <c r="AF20" s="37">
        <f t="shared" si="20"/>
        <v>4.6286264967377082E-2</v>
      </c>
      <c r="AG20" s="37">
        <f t="shared" si="9"/>
        <v>1.0497849790688172E-5</v>
      </c>
      <c r="AH20" s="37">
        <f t="shared" si="10"/>
        <v>1.4692466115390321E-3</v>
      </c>
      <c r="AI20" s="40">
        <f t="shared" si="21"/>
        <v>1.4797444613297204E-3</v>
      </c>
      <c r="AJ20" s="39">
        <f t="shared" si="22"/>
        <v>6.9833341900066518E-3</v>
      </c>
      <c r="AK20" s="37">
        <f t="shared" si="11"/>
        <v>3.0407608346707155E-2</v>
      </c>
      <c r="AL20" s="37">
        <f t="shared" si="12"/>
        <v>2.6790400000000002E-3</v>
      </c>
      <c r="AM20" s="37">
        <f t="shared" si="13"/>
        <v>0.21092</v>
      </c>
      <c r="AN20" s="40">
        <f t="shared" si="23"/>
        <v>0.21359903999999999</v>
      </c>
      <c r="AO20" s="39">
        <f t="shared" si="14"/>
        <v>8.5696732985209557E-5</v>
      </c>
      <c r="AP20" s="37">
        <f t="shared" si="15"/>
        <v>3.0375000000000007E-3</v>
      </c>
      <c r="AQ20" s="40">
        <f t="shared" si="16"/>
        <v>8.9999999999999993E-3</v>
      </c>
      <c r="AR20" s="39">
        <f t="shared" si="24"/>
        <v>0.22945932334823269</v>
      </c>
      <c r="AS20" s="37">
        <f t="shared" si="25"/>
        <v>0.61152000000000006</v>
      </c>
      <c r="AT20" s="40">
        <f t="shared" si="26"/>
        <v>72.715224146691867</v>
      </c>
    </row>
    <row r="21" spans="17:46" x14ac:dyDescent="0.3">
      <c r="Q21">
        <v>14</v>
      </c>
      <c r="R21" s="39">
        <f t="shared" si="0"/>
        <v>210</v>
      </c>
      <c r="S21" s="37">
        <f t="shared" si="1"/>
        <v>3.1359999999999999E-3</v>
      </c>
      <c r="T21" s="37">
        <f t="shared" si="2"/>
        <v>20</v>
      </c>
      <c r="U21" s="40">
        <f t="shared" si="3"/>
        <v>3.658666666666667E-2</v>
      </c>
      <c r="V21" s="39">
        <f t="shared" si="4"/>
        <v>1</v>
      </c>
      <c r="W21" s="37">
        <f t="shared" si="5"/>
        <v>0.49426146926500347</v>
      </c>
      <c r="X21" s="40">
        <f t="shared" si="6"/>
        <v>0.2133128446301594</v>
      </c>
      <c r="Y21" s="39">
        <f t="shared" si="7"/>
        <v>0.12055157786951305</v>
      </c>
      <c r="Z21" s="37">
        <f t="shared" si="28"/>
        <v>0.12055157786951305</v>
      </c>
      <c r="AA21" s="37">
        <f t="shared" si="29"/>
        <v>5.8546144624011941E-2</v>
      </c>
      <c r="AB21" s="37">
        <v>0</v>
      </c>
      <c r="AC21" s="37">
        <f t="shared" si="8"/>
        <v>2.5227511730470916E-3</v>
      </c>
      <c r="AD21" s="40">
        <f t="shared" si="19"/>
        <v>2.5227511730470916E-3</v>
      </c>
      <c r="AE21" s="39">
        <f t="shared" si="27"/>
        <v>1.8083379622175596E-2</v>
      </c>
      <c r="AF21" s="37">
        <f t="shared" si="20"/>
        <v>4.8931738901511444E-2</v>
      </c>
      <c r="AG21" s="37">
        <f t="shared" si="9"/>
        <v>1.1732143852435874E-5</v>
      </c>
      <c r="AH21" s="37">
        <f t="shared" si="10"/>
        <v>1.5822655816574195E-3</v>
      </c>
      <c r="AI21" s="40">
        <f t="shared" si="21"/>
        <v>1.5939977255098553E-3</v>
      </c>
      <c r="AJ21" s="39">
        <f t="shared" si="22"/>
        <v>7.8044059422020988E-3</v>
      </c>
      <c r="AK21" s="37">
        <f t="shared" si="11"/>
        <v>3.214554367886837E-2</v>
      </c>
      <c r="AL21" s="37">
        <f t="shared" si="12"/>
        <v>2.8851200000000001E-3</v>
      </c>
      <c r="AM21" s="37">
        <f t="shared" si="13"/>
        <v>0.21092</v>
      </c>
      <c r="AN21" s="40">
        <f t="shared" si="23"/>
        <v>0.21380511999999999</v>
      </c>
      <c r="AO21" s="39">
        <f t="shared" si="14"/>
        <v>9.5772602877027533E-5</v>
      </c>
      <c r="AP21" s="37">
        <f t="shared" si="15"/>
        <v>3.0375000000000007E-3</v>
      </c>
      <c r="AQ21" s="40">
        <f t="shared" si="16"/>
        <v>8.9999999999999993E-3</v>
      </c>
      <c r="AR21" s="39">
        <f t="shared" si="24"/>
        <v>0.23005514150143397</v>
      </c>
      <c r="AS21" s="37">
        <f t="shared" si="25"/>
        <v>0.65856000000000003</v>
      </c>
      <c r="AT21" s="40">
        <f t="shared" si="26"/>
        <v>74.110823599885421</v>
      </c>
    </row>
    <row r="22" spans="17:46" x14ac:dyDescent="0.3">
      <c r="Q22">
        <v>15</v>
      </c>
      <c r="R22" s="39">
        <f t="shared" si="0"/>
        <v>210</v>
      </c>
      <c r="S22" s="37">
        <f t="shared" si="1"/>
        <v>3.3600000000000001E-3</v>
      </c>
      <c r="T22" s="37">
        <f t="shared" si="2"/>
        <v>20</v>
      </c>
      <c r="U22" s="40">
        <f t="shared" si="3"/>
        <v>3.9199999999999999E-2</v>
      </c>
      <c r="V22" s="39">
        <f t="shared" si="4"/>
        <v>1</v>
      </c>
      <c r="W22" s="37">
        <f t="shared" si="5"/>
        <v>0.51160922587459268</v>
      </c>
      <c r="X22" s="40">
        <f t="shared" si="6"/>
        <v>0.22079977116692945</v>
      </c>
      <c r="Y22" s="39">
        <f t="shared" si="7"/>
        <v>0.12478273801819334</v>
      </c>
      <c r="Z22" s="37">
        <f t="shared" si="28"/>
        <v>0.12478273801819334</v>
      </c>
      <c r="AA22" s="37">
        <f t="shared" si="29"/>
        <v>6.1655343085463742E-2</v>
      </c>
      <c r="AB22" s="37">
        <v>0</v>
      </c>
      <c r="AC22" s="37">
        <f t="shared" si="8"/>
        <v>2.7978166596058737E-3</v>
      </c>
      <c r="AD22" s="40">
        <f t="shared" si="19"/>
        <v>2.7978166596058737E-3</v>
      </c>
      <c r="AE22" s="39">
        <f t="shared" si="27"/>
        <v>2.0055081654284032E-2</v>
      </c>
      <c r="AF22" s="37">
        <f t="shared" si="20"/>
        <v>5.1530347029950754E-2</v>
      </c>
      <c r="AG22" s="37">
        <f t="shared" si="9"/>
        <v>1.3011345658633059E-5</v>
      </c>
      <c r="AH22" s="37">
        <f t="shared" si="10"/>
        <v>1.6952845517758061E-3</v>
      </c>
      <c r="AI22" s="40">
        <f t="shared" si="21"/>
        <v>1.7082958974344391E-3</v>
      </c>
      <c r="AJ22" s="39">
        <f t="shared" si="22"/>
        <v>8.6553510297436333E-3</v>
      </c>
      <c r="AK22" s="37">
        <f t="shared" si="11"/>
        <v>3.3852690675322802E-2</v>
      </c>
      <c r="AL22" s="37">
        <f t="shared" si="12"/>
        <v>3.0912000000000001E-3</v>
      </c>
      <c r="AM22" s="37">
        <f t="shared" si="13"/>
        <v>0.21092</v>
      </c>
      <c r="AN22" s="40">
        <f t="shared" si="23"/>
        <v>0.21401119999999998</v>
      </c>
      <c r="AO22" s="39">
        <f t="shared" si="14"/>
        <v>1.0621506660108619E-4</v>
      </c>
      <c r="AP22" s="37">
        <f t="shared" si="15"/>
        <v>3.0375000000000007E-3</v>
      </c>
      <c r="AQ22" s="40">
        <f t="shared" si="16"/>
        <v>8.9999999999999993E-3</v>
      </c>
      <c r="AR22" s="39">
        <f t="shared" si="24"/>
        <v>0.23066102762364138</v>
      </c>
      <c r="AS22" s="37">
        <f t="shared" si="25"/>
        <v>0.7056</v>
      </c>
      <c r="AT22" s="40">
        <f t="shared" si="26"/>
        <v>75.363598310922896</v>
      </c>
    </row>
    <row r="23" spans="17:46" x14ac:dyDescent="0.3">
      <c r="Q23">
        <v>16</v>
      </c>
      <c r="R23" s="39">
        <f t="shared" si="0"/>
        <v>210</v>
      </c>
      <c r="S23" s="37">
        <f t="shared" si="1"/>
        <v>3.5839999999999999E-3</v>
      </c>
      <c r="T23" s="37">
        <f t="shared" si="2"/>
        <v>20</v>
      </c>
      <c r="U23" s="40">
        <f t="shared" si="3"/>
        <v>4.1813333333333334E-2</v>
      </c>
      <c r="V23" s="39">
        <f t="shared" si="4"/>
        <v>1</v>
      </c>
      <c r="W23" s="37">
        <f t="shared" si="5"/>
        <v>0.52838773642089765</v>
      </c>
      <c r="X23" s="40">
        <f t="shared" si="6"/>
        <v>0.22804102308691371</v>
      </c>
      <c r="Y23" s="39">
        <f t="shared" si="7"/>
        <v>0.12887505766363358</v>
      </c>
      <c r="Z23" s="37">
        <f t="shared" si="28"/>
        <v>0.12887505766363358</v>
      </c>
      <c r="AA23" s="37">
        <f t="shared" si="29"/>
        <v>6.4713108464276872E-2</v>
      </c>
      <c r="AB23" s="37">
        <v>0</v>
      </c>
      <c r="AC23" s="37">
        <f t="shared" si="8"/>
        <v>3.0822107956324173E-3</v>
      </c>
      <c r="AD23" s="40">
        <f t="shared" si="19"/>
        <v>3.0822107956324173E-3</v>
      </c>
      <c r="AE23" s="39">
        <f t="shared" si="27"/>
        <v>2.2093652552212469E-2</v>
      </c>
      <c r="AF23" s="37">
        <f t="shared" si="20"/>
        <v>5.4085968379555378E-2</v>
      </c>
      <c r="AG23" s="37">
        <f t="shared" si="9"/>
        <v>1.4333930680215896E-5</v>
      </c>
      <c r="AH23" s="37">
        <f t="shared" si="10"/>
        <v>1.8083035218941937E-3</v>
      </c>
      <c r="AI23" s="40">
        <f t="shared" si="21"/>
        <v>1.8226374525744096E-3</v>
      </c>
      <c r="AJ23" s="39">
        <f t="shared" si="22"/>
        <v>9.5351553120074858E-3</v>
      </c>
      <c r="AK23" s="37">
        <f t="shared" si="11"/>
        <v>3.5531597649908708E-2</v>
      </c>
      <c r="AL23" s="37">
        <f t="shared" si="12"/>
        <v>3.2972800000000001E-3</v>
      </c>
      <c r="AM23" s="37">
        <f t="shared" si="13"/>
        <v>0.21092</v>
      </c>
      <c r="AN23" s="40">
        <f t="shared" si="23"/>
        <v>0.21421728000000001</v>
      </c>
      <c r="AO23" s="39">
        <f t="shared" si="14"/>
        <v>1.1701167902217057E-4</v>
      </c>
      <c r="AP23" s="37">
        <f t="shared" si="15"/>
        <v>3.0375000000000007E-3</v>
      </c>
      <c r="AQ23" s="40">
        <f t="shared" si="16"/>
        <v>8.9999999999999993E-3</v>
      </c>
      <c r="AR23" s="39">
        <f t="shared" si="24"/>
        <v>0.23127663992722902</v>
      </c>
      <c r="AS23" s="37">
        <f t="shared" si="25"/>
        <v>0.75263999999999998</v>
      </c>
      <c r="AT23" s="40">
        <f t="shared" si="26"/>
        <v>76.494285131275518</v>
      </c>
    </row>
    <row r="24" spans="17:46" x14ac:dyDescent="0.3">
      <c r="Q24">
        <v>17</v>
      </c>
      <c r="R24" s="39">
        <f t="shared" si="0"/>
        <v>210</v>
      </c>
      <c r="S24" s="37">
        <f t="shared" si="1"/>
        <v>3.8079999999999998E-3</v>
      </c>
      <c r="T24" s="37">
        <f t="shared" si="2"/>
        <v>20</v>
      </c>
      <c r="U24" s="40">
        <f t="shared" si="3"/>
        <v>4.4426666666666663E-2</v>
      </c>
      <c r="V24" s="39">
        <f t="shared" si="4"/>
        <v>1</v>
      </c>
      <c r="W24" s="37">
        <f t="shared" si="5"/>
        <v>0.54464961213609608</v>
      </c>
      <c r="X24" s="40">
        <f t="shared" si="6"/>
        <v>0.23505930629031516</v>
      </c>
      <c r="Y24" s="39">
        <f t="shared" si="7"/>
        <v>0.13284136881368197</v>
      </c>
      <c r="Z24" s="37">
        <f t="shared" si="28"/>
        <v>0.13284136881368197</v>
      </c>
      <c r="AA24" s="37">
        <f t="shared" si="29"/>
        <v>6.7723433075108308E-2</v>
      </c>
      <c r="AB24" s="37">
        <v>0</v>
      </c>
      <c r="AC24" s="37">
        <f t="shared" si="8"/>
        <v>3.3756370531843041E-3</v>
      </c>
      <c r="AD24" s="40">
        <f t="shared" si="19"/>
        <v>3.3756370531843041E-3</v>
      </c>
      <c r="AE24" s="39">
        <f t="shared" si="27"/>
        <v>2.4196966768499625E-2</v>
      </c>
      <c r="AF24" s="37">
        <f t="shared" si="20"/>
        <v>5.6601939649943429E-2</v>
      </c>
      <c r="AG24" s="37">
        <f t="shared" si="9"/>
        <v>1.569851990346561E-5</v>
      </c>
      <c r="AH24" s="37">
        <f t="shared" si="10"/>
        <v>1.9213224920125802E-3</v>
      </c>
      <c r="AI24" s="40">
        <f t="shared" si="21"/>
        <v>1.9370210119160458E-3</v>
      </c>
      <c r="AJ24" s="39">
        <f t="shared" si="22"/>
        <v>1.0442901447457733E-2</v>
      </c>
      <c r="AK24" s="37">
        <f t="shared" si="11"/>
        <v>3.7184456636380148E-2</v>
      </c>
      <c r="AL24" s="37">
        <f t="shared" si="12"/>
        <v>3.5033600000000001E-3</v>
      </c>
      <c r="AM24" s="37">
        <f t="shared" si="13"/>
        <v>0.21092</v>
      </c>
      <c r="AN24" s="40">
        <f t="shared" si="23"/>
        <v>0.21442336000000001</v>
      </c>
      <c r="AO24" s="39">
        <f t="shared" si="14"/>
        <v>1.2815118288543354E-4</v>
      </c>
      <c r="AP24" s="37">
        <f t="shared" si="15"/>
        <v>3.0375000000000007E-3</v>
      </c>
      <c r="AQ24" s="40">
        <f t="shared" si="16"/>
        <v>8.9999999999999993E-3</v>
      </c>
      <c r="AR24" s="39">
        <f t="shared" si="24"/>
        <v>0.23190166924798578</v>
      </c>
      <c r="AS24" s="37">
        <f t="shared" si="25"/>
        <v>0.79967999999999995</v>
      </c>
      <c r="AT24" s="40">
        <f t="shared" si="26"/>
        <v>77.519795459622685</v>
      </c>
    </row>
    <row r="25" spans="17:46" x14ac:dyDescent="0.3">
      <c r="Q25">
        <v>18</v>
      </c>
      <c r="R25" s="39">
        <f t="shared" si="0"/>
        <v>210</v>
      </c>
      <c r="S25" s="37">
        <f t="shared" si="1"/>
        <v>4.032E-3</v>
      </c>
      <c r="T25" s="37">
        <f t="shared" si="2"/>
        <v>20</v>
      </c>
      <c r="U25" s="40">
        <f t="shared" si="3"/>
        <v>4.7039999999999998E-2</v>
      </c>
      <c r="V25" s="39">
        <f t="shared" si="4"/>
        <v>1</v>
      </c>
      <c r="W25" s="37">
        <f t="shared" si="5"/>
        <v>0.56043982727854025</v>
      </c>
      <c r="X25" s="40">
        <f t="shared" si="6"/>
        <v>0.24187403072021213</v>
      </c>
      <c r="Y25" s="39">
        <f t="shared" si="7"/>
        <v>0.13669264079964397</v>
      </c>
      <c r="Z25" s="37">
        <f t="shared" si="28"/>
        <v>0.13669264079964397</v>
      </c>
      <c r="AA25" s="37">
        <f t="shared" si="29"/>
        <v>7.068978378227242E-2</v>
      </c>
      <c r="AB25" s="37">
        <v>0</v>
      </c>
      <c r="AC25" s="37">
        <f t="shared" si="8"/>
        <v>3.6778255109517367E-3</v>
      </c>
      <c r="AD25" s="40">
        <f t="shared" si="19"/>
        <v>3.6778255109517367E-3</v>
      </c>
      <c r="AE25" s="39">
        <f t="shared" si="27"/>
        <v>2.6363089475182531E-2</v>
      </c>
      <c r="AF25" s="37">
        <f t="shared" si="20"/>
        <v>5.9081158379467383E-2</v>
      </c>
      <c r="AG25" s="37">
        <f t="shared" si="9"/>
        <v>1.7103858049752577E-5</v>
      </c>
      <c r="AH25" s="37">
        <f t="shared" si="10"/>
        <v>2.0343414621309674E-3</v>
      </c>
      <c r="AI25" s="40">
        <f t="shared" si="21"/>
        <v>2.0514453201807199E-3</v>
      </c>
      <c r="AJ25" s="39">
        <f t="shared" si="22"/>
        <v>1.1377754405078778E-2</v>
      </c>
      <c r="AK25" s="37">
        <f t="shared" si="11"/>
        <v>3.8813171162953387E-2</v>
      </c>
      <c r="AL25" s="37">
        <f t="shared" si="12"/>
        <v>3.70944E-3</v>
      </c>
      <c r="AM25" s="37">
        <f t="shared" si="13"/>
        <v>0.21092</v>
      </c>
      <c r="AN25" s="40">
        <f t="shared" si="23"/>
        <v>0.21462944</v>
      </c>
      <c r="AO25" s="39">
        <f t="shared" si="14"/>
        <v>1.3962333101838836E-4</v>
      </c>
      <c r="AP25" s="37">
        <f t="shared" si="15"/>
        <v>3.0375000000000007E-3</v>
      </c>
      <c r="AQ25" s="40">
        <f t="shared" si="16"/>
        <v>8.9999999999999993E-3</v>
      </c>
      <c r="AR25" s="39">
        <f t="shared" si="24"/>
        <v>0.23253583416215087</v>
      </c>
      <c r="AS25" s="37">
        <f t="shared" si="25"/>
        <v>0.84672000000000003</v>
      </c>
      <c r="AT25" s="40">
        <f t="shared" si="26"/>
        <v>78.454058175865839</v>
      </c>
    </row>
    <row r="26" spans="17:46" x14ac:dyDescent="0.3">
      <c r="Q26">
        <v>19</v>
      </c>
      <c r="R26" s="39">
        <f t="shared" si="0"/>
        <v>210</v>
      </c>
      <c r="S26" s="37">
        <f t="shared" si="1"/>
        <v>4.2560000000000002E-3</v>
      </c>
      <c r="T26" s="37">
        <f t="shared" si="2"/>
        <v>20</v>
      </c>
      <c r="U26" s="40">
        <f t="shared" si="3"/>
        <v>4.9653333333333334E-2</v>
      </c>
      <c r="V26" s="39">
        <f t="shared" si="4"/>
        <v>1</v>
      </c>
      <c r="W26" s="37">
        <f t="shared" si="5"/>
        <v>0.57579718651622458</v>
      </c>
      <c r="X26" s="40">
        <f t="shared" si="6"/>
        <v>0.24850194365437062</v>
      </c>
      <c r="Y26" s="39">
        <f t="shared" si="7"/>
        <v>0.1404383381746889</v>
      </c>
      <c r="Z26" s="37">
        <f t="shared" si="28"/>
        <v>0.1404383381746889</v>
      </c>
      <c r="AA26" s="37">
        <f t="shared" si="29"/>
        <v>7.3615196415287645E-2</v>
      </c>
      <c r="AB26" s="37">
        <v>0</v>
      </c>
      <c r="AC26" s="37">
        <f t="shared" si="8"/>
        <v>3.9885290974403746E-3</v>
      </c>
      <c r="AD26" s="40">
        <f t="shared" si="19"/>
        <v>3.9885290974403746E-3</v>
      </c>
      <c r="AE26" s="39">
        <f t="shared" si="27"/>
        <v>2.8590249634485605E-2</v>
      </c>
      <c r="AF26" s="37">
        <f t="shared" si="20"/>
        <v>6.1526161855907653E-2</v>
      </c>
      <c r="AG26" s="37">
        <f t="shared" si="9"/>
        <v>1.8548796104324799E-5</v>
      </c>
      <c r="AH26" s="37">
        <f t="shared" si="10"/>
        <v>2.1473604322493549E-3</v>
      </c>
      <c r="AI26" s="40">
        <f t="shared" si="21"/>
        <v>2.1659092283536799E-3</v>
      </c>
      <c r="AJ26" s="39">
        <f t="shared" si="22"/>
        <v>1.2338949842251682E-2</v>
      </c>
      <c r="AK26" s="37">
        <f t="shared" si="11"/>
        <v>4.0419408092425516E-2</v>
      </c>
      <c r="AL26" s="37">
        <f t="shared" si="12"/>
        <v>3.9155200000000005E-3</v>
      </c>
      <c r="AM26" s="37">
        <f t="shared" si="13"/>
        <v>0.21092</v>
      </c>
      <c r="AN26" s="40">
        <f t="shared" si="23"/>
        <v>0.21483552</v>
      </c>
      <c r="AO26" s="39">
        <f t="shared" si="14"/>
        <v>1.5141874370877385E-4</v>
      </c>
      <c r="AP26" s="37">
        <f t="shared" si="15"/>
        <v>3.0375000000000007E-3</v>
      </c>
      <c r="AQ26" s="40">
        <f t="shared" si="16"/>
        <v>8.9999999999999993E-3</v>
      </c>
      <c r="AR26" s="39">
        <f t="shared" si="24"/>
        <v>0.23317887706950285</v>
      </c>
      <c r="AS26" s="37">
        <f t="shared" si="25"/>
        <v>0.89376</v>
      </c>
      <c r="AT26" s="40">
        <f t="shared" si="26"/>
        <v>79.308649136689439</v>
      </c>
    </row>
    <row r="27" spans="17:46" x14ac:dyDescent="0.3">
      <c r="Q27">
        <v>20</v>
      </c>
      <c r="R27" s="39">
        <f t="shared" si="0"/>
        <v>210</v>
      </c>
      <c r="S27" s="37">
        <f t="shared" si="1"/>
        <v>4.4799999999999996E-3</v>
      </c>
      <c r="T27" s="37">
        <f t="shared" si="2"/>
        <v>20</v>
      </c>
      <c r="U27" s="40">
        <f t="shared" si="3"/>
        <v>5.2266666666666663E-2</v>
      </c>
      <c r="V27" s="39">
        <f t="shared" si="4"/>
        <v>1</v>
      </c>
      <c r="W27" s="37">
        <f t="shared" si="5"/>
        <v>0.5907554485571842</v>
      </c>
      <c r="X27" s="40">
        <f t="shared" si="6"/>
        <v>0.25495761464046895</v>
      </c>
      <c r="Y27" s="39">
        <f t="shared" si="7"/>
        <v>0.1440866947700449</v>
      </c>
      <c r="Z27" s="37">
        <f t="shared" si="28"/>
        <v>0.1440866947700449</v>
      </c>
      <c r="AA27" s="37">
        <f t="shared" si="29"/>
        <v>7.6502349153252769E-2</v>
      </c>
      <c r="AB27" s="37">
        <v>0</v>
      </c>
      <c r="AC27" s="37">
        <f t="shared" si="8"/>
        <v>4.3075205375111194E-3</v>
      </c>
      <c r="AD27" s="40">
        <f t="shared" si="19"/>
        <v>4.3075205375111194E-3</v>
      </c>
      <c r="AE27" s="39">
        <f t="shared" si="27"/>
        <v>3.0876818111255491E-2</v>
      </c>
      <c r="AF27" s="37">
        <f t="shared" si="20"/>
        <v>6.3939188449719464E-2</v>
      </c>
      <c r="AG27" s="37">
        <f t="shared" si="9"/>
        <v>2.0032277116082825E-5</v>
      </c>
      <c r="AH27" s="37">
        <f t="shared" si="10"/>
        <v>2.2603794023677419E-3</v>
      </c>
      <c r="AI27" s="40">
        <f t="shared" si="21"/>
        <v>2.2804116794838247E-3</v>
      </c>
      <c r="AJ27" s="39">
        <f t="shared" si="22"/>
        <v>1.3325784658541843E-2</v>
      </c>
      <c r="AK27" s="37">
        <f t="shared" si="11"/>
        <v>4.2004637914847633E-2</v>
      </c>
      <c r="AL27" s="37">
        <f t="shared" si="12"/>
        <v>4.1215999999999996E-3</v>
      </c>
      <c r="AM27" s="37">
        <f t="shared" si="13"/>
        <v>0.21092</v>
      </c>
      <c r="AN27" s="40">
        <f t="shared" si="23"/>
        <v>0.2150416</v>
      </c>
      <c r="AO27" s="39">
        <f t="shared" si="14"/>
        <v>1.6352879278434956E-4</v>
      </c>
      <c r="AP27" s="37">
        <f t="shared" si="15"/>
        <v>3.0375000000000007E-3</v>
      </c>
      <c r="AQ27" s="40">
        <f t="shared" si="16"/>
        <v>8.9999999999999993E-3</v>
      </c>
      <c r="AR27" s="39">
        <f t="shared" si="24"/>
        <v>0.23383056100977931</v>
      </c>
      <c r="AS27" s="37">
        <f t="shared" si="25"/>
        <v>0.94079999999999997</v>
      </c>
      <c r="AT27" s="40">
        <f t="shared" si="26"/>
        <v>80.093267724214044</v>
      </c>
    </row>
    <row r="28" spans="17:46" x14ac:dyDescent="0.3">
      <c r="Q28">
        <v>21</v>
      </c>
      <c r="R28" s="39">
        <f t="shared" si="0"/>
        <v>210</v>
      </c>
      <c r="S28" s="37">
        <f t="shared" si="1"/>
        <v>4.7039999999999998E-3</v>
      </c>
      <c r="T28" s="37">
        <f t="shared" si="2"/>
        <v>20</v>
      </c>
      <c r="U28" s="40">
        <f t="shared" si="3"/>
        <v>5.4879999999999998E-2</v>
      </c>
      <c r="V28" s="39">
        <f t="shared" si="4"/>
        <v>1</v>
      </c>
      <c r="W28" s="37">
        <f t="shared" si="5"/>
        <v>0.60534419960878449</v>
      </c>
      <c r="X28" s="40">
        <f t="shared" si="6"/>
        <v>0.2612538124627386</v>
      </c>
      <c r="Y28" s="39">
        <f t="shared" si="7"/>
        <v>0.14764492673384988</v>
      </c>
      <c r="Z28" s="37">
        <f t="shared" si="28"/>
        <v>0.14764492673384988</v>
      </c>
      <c r="AA28" s="37">
        <f t="shared" si="29"/>
        <v>7.9353620378833395E-2</v>
      </c>
      <c r="AB28" s="37">
        <v>0</v>
      </c>
      <c r="AC28" s="37">
        <f t="shared" si="8"/>
        <v>4.63458984147981E-3</v>
      </c>
      <c r="AD28" s="40">
        <f t="shared" si="19"/>
        <v>4.63458984147981E-3</v>
      </c>
      <c r="AE28" s="39">
        <f t="shared" si="27"/>
        <v>3.3221289674530093E-2</v>
      </c>
      <c r="AF28" s="37">
        <f t="shared" si="20"/>
        <v>6.6322225967279283E-2</v>
      </c>
      <c r="AG28" s="37">
        <f t="shared" si="9"/>
        <v>2.1553324520548788E-5</v>
      </c>
      <c r="AH28" s="37">
        <f t="shared" si="10"/>
        <v>2.3733983724861288E-3</v>
      </c>
      <c r="AI28" s="40">
        <f t="shared" si="21"/>
        <v>2.3949516970066778E-3</v>
      </c>
      <c r="AJ28" s="39">
        <f t="shared" si="22"/>
        <v>1.4337609227955093E-2</v>
      </c>
      <c r="AK28" s="37">
        <f t="shared" si="11"/>
        <v>4.3570166513029855E-2</v>
      </c>
      <c r="AL28" s="37">
        <f t="shared" si="12"/>
        <v>4.3276800000000004E-3</v>
      </c>
      <c r="AM28" s="37">
        <f t="shared" si="13"/>
        <v>0.21092</v>
      </c>
      <c r="AN28" s="40">
        <f t="shared" si="23"/>
        <v>0.21524768</v>
      </c>
      <c r="AO28" s="39">
        <f t="shared" si="14"/>
        <v>1.7594550629019417E-4</v>
      </c>
      <c r="AP28" s="37">
        <f t="shared" si="15"/>
        <v>3.0375000000000007E-3</v>
      </c>
      <c r="AQ28" s="40">
        <f t="shared" si="16"/>
        <v>8.9999999999999993E-3</v>
      </c>
      <c r="AR28" s="39">
        <f t="shared" si="24"/>
        <v>0.23449066704477667</v>
      </c>
      <c r="AS28" s="37">
        <f t="shared" si="25"/>
        <v>0.98783999999999994</v>
      </c>
      <c r="AT28" s="40">
        <f t="shared" si="26"/>
        <v>80.816102109938569</v>
      </c>
    </row>
    <row r="29" spans="17:46" x14ac:dyDescent="0.3">
      <c r="Q29">
        <v>22</v>
      </c>
      <c r="R29" s="39">
        <f t="shared" si="0"/>
        <v>210</v>
      </c>
      <c r="S29" s="37">
        <f t="shared" si="1"/>
        <v>4.9280000000000001E-3</v>
      </c>
      <c r="T29" s="37">
        <f t="shared" si="2"/>
        <v>20</v>
      </c>
      <c r="U29" s="40">
        <f t="shared" si="3"/>
        <v>5.7493333333333334E-2</v>
      </c>
      <c r="V29" s="39">
        <f t="shared" si="4"/>
        <v>1</v>
      </c>
      <c r="W29" s="37">
        <f t="shared" si="5"/>
        <v>0.6195895415515017</v>
      </c>
      <c r="X29" s="40">
        <f t="shared" si="6"/>
        <v>0.26740180214327963</v>
      </c>
      <c r="Y29" s="39">
        <f t="shared" si="7"/>
        <v>0.15111940037841506</v>
      </c>
      <c r="Z29" s="37">
        <f t="shared" si="28"/>
        <v>0.15111940037841506</v>
      </c>
      <c r="AA29" s="37">
        <f t="shared" si="29"/>
        <v>8.2171134870592619E-2</v>
      </c>
      <c r="AB29" s="37">
        <v>0</v>
      </c>
      <c r="AC29" s="37">
        <f t="shared" si="8"/>
        <v>4.9695422187579453E-3</v>
      </c>
      <c r="AD29" s="40">
        <f t="shared" si="19"/>
        <v>4.9695422187579453E-3</v>
      </c>
      <c r="AE29" s="39">
        <f t="shared" si="27"/>
        <v>3.5622268042267674E-2</v>
      </c>
      <c r="AF29" s="37">
        <f t="shared" si="20"/>
        <v>6.8677050257544212E-2</v>
      </c>
      <c r="AG29" s="37">
        <f t="shared" si="9"/>
        <v>2.3111032437178543E-5</v>
      </c>
      <c r="AH29" s="37">
        <f t="shared" si="10"/>
        <v>2.4864173426045158E-3</v>
      </c>
      <c r="AI29" s="40">
        <f t="shared" si="21"/>
        <v>2.5095283750416943E-3</v>
      </c>
      <c r="AJ29" s="39">
        <f t="shared" si="22"/>
        <v>1.5373820944557623E-2</v>
      </c>
      <c r="AK29" s="37">
        <f t="shared" si="11"/>
        <v>4.5117160525058167E-2</v>
      </c>
      <c r="AL29" s="37">
        <f t="shared" si="12"/>
        <v>4.5337600000000004E-3</v>
      </c>
      <c r="AM29" s="37">
        <f t="shared" si="13"/>
        <v>0.21092</v>
      </c>
      <c r="AN29" s="40">
        <f t="shared" si="23"/>
        <v>0.21545375999999999</v>
      </c>
      <c r="AO29" s="39">
        <f t="shared" si="14"/>
        <v>1.8866148928309013E-4</v>
      </c>
      <c r="AP29" s="37">
        <f t="shared" si="15"/>
        <v>3.0375000000000007E-3</v>
      </c>
      <c r="AQ29" s="40">
        <f t="shared" si="16"/>
        <v>8.9999999999999993E-3</v>
      </c>
      <c r="AR29" s="39">
        <f t="shared" si="24"/>
        <v>0.23515899208308275</v>
      </c>
      <c r="AS29" s="37">
        <f t="shared" si="25"/>
        <v>1.03488</v>
      </c>
      <c r="AT29" s="40">
        <f t="shared" si="26"/>
        <v>81.484112413164453</v>
      </c>
    </row>
    <row r="30" spans="17:46" x14ac:dyDescent="0.3">
      <c r="Q30">
        <v>23</v>
      </c>
      <c r="R30" s="39">
        <f t="shared" si="0"/>
        <v>210</v>
      </c>
      <c r="S30" s="37">
        <f t="shared" si="1"/>
        <v>5.1520000000000003E-3</v>
      </c>
      <c r="T30" s="37">
        <f t="shared" si="2"/>
        <v>20</v>
      </c>
      <c r="U30" s="40">
        <f t="shared" si="3"/>
        <v>6.0106666666666669E-2</v>
      </c>
      <c r="V30" s="39">
        <f t="shared" si="4"/>
        <v>1</v>
      </c>
      <c r="W30" s="37">
        <f t="shared" si="5"/>
        <v>0.63351464071479835</v>
      </c>
      <c r="X30" s="40">
        <f t="shared" si="6"/>
        <v>0.27341158178217612</v>
      </c>
      <c r="Y30" s="39">
        <f t="shared" si="7"/>
        <v>0.1545157660279996</v>
      </c>
      <c r="Z30" s="37">
        <f t="shared" si="28"/>
        <v>0.1545157660279996</v>
      </c>
      <c r="AA30" s="37">
        <f t="shared" si="29"/>
        <v>8.4956801106747012E-2</v>
      </c>
      <c r="AB30" s="37">
        <v>0</v>
      </c>
      <c r="AC30" s="37">
        <f t="shared" si="8"/>
        <v>5.3121963279584485E-3</v>
      </c>
      <c r="AD30" s="40">
        <f t="shared" si="19"/>
        <v>5.3121963279584485E-3</v>
      </c>
      <c r="AE30" s="39">
        <f t="shared" si="27"/>
        <v>3.8078453337897479E-2</v>
      </c>
      <c r="AF30" s="37">
        <f t="shared" si="20"/>
        <v>7.1005256389812033E-2</v>
      </c>
      <c r="AG30" s="37">
        <f t="shared" si="9"/>
        <v>2.4704557531416423E-5</v>
      </c>
      <c r="AH30" s="37">
        <f t="shared" si="10"/>
        <v>2.5994363127229032E-3</v>
      </c>
      <c r="AI30" s="40">
        <f t="shared" si="21"/>
        <v>2.6241408702543196E-3</v>
      </c>
      <c r="AJ30" s="39">
        <f t="shared" si="22"/>
        <v>1.6433858808987335E-2</v>
      </c>
      <c r="AK30" s="37">
        <f t="shared" si="11"/>
        <v>4.664666782642065E-2</v>
      </c>
      <c r="AL30" s="37">
        <f t="shared" si="12"/>
        <v>4.7398400000000004E-3</v>
      </c>
      <c r="AM30" s="37">
        <f t="shared" si="13"/>
        <v>0.21092</v>
      </c>
      <c r="AN30" s="40">
        <f t="shared" si="23"/>
        <v>0.21565983999999999</v>
      </c>
      <c r="AO30" s="39">
        <f t="shared" si="14"/>
        <v>2.0166985739931772E-4</v>
      </c>
      <c r="AP30" s="37">
        <f t="shared" si="15"/>
        <v>3.0375000000000007E-3</v>
      </c>
      <c r="AQ30" s="40">
        <f t="shared" si="16"/>
        <v>8.9999999999999993E-3</v>
      </c>
      <c r="AR30" s="39">
        <f t="shared" si="24"/>
        <v>0.23583534705561207</v>
      </c>
      <c r="AS30" s="37">
        <f t="shared" si="25"/>
        <v>1.08192</v>
      </c>
      <c r="AT30" s="40">
        <f t="shared" si="26"/>
        <v>82.103252505667186</v>
      </c>
    </row>
    <row r="31" spans="17:46" x14ac:dyDescent="0.3">
      <c r="Q31">
        <v>24</v>
      </c>
      <c r="R31" s="39">
        <f t="shared" si="0"/>
        <v>210</v>
      </c>
      <c r="S31" s="37">
        <f t="shared" si="1"/>
        <v>5.3759999999999997E-3</v>
      </c>
      <c r="T31" s="37">
        <f t="shared" si="2"/>
        <v>20</v>
      </c>
      <c r="U31" s="40">
        <f t="shared" si="3"/>
        <v>6.2719999999999998E-2</v>
      </c>
      <c r="V31" s="39">
        <f t="shared" si="4"/>
        <v>1</v>
      </c>
      <c r="W31" s="37">
        <f t="shared" si="5"/>
        <v>0.6471401702877051</v>
      </c>
      <c r="X31" s="40">
        <f t="shared" si="6"/>
        <v>0.2792920734925885</v>
      </c>
      <c r="Y31" s="39">
        <f t="shared" si="7"/>
        <v>0.15783906592383051</v>
      </c>
      <c r="Z31" s="37">
        <f t="shared" si="28"/>
        <v>0.15783906592383051</v>
      </c>
      <c r="AA31" s="37">
        <f t="shared" si="29"/>
        <v>8.7712341702212662E-2</v>
      </c>
      <c r="AB31" s="37">
        <v>0</v>
      </c>
      <c r="AC31" s="37">
        <f t="shared" si="8"/>
        <v>5.6623827967478861E-3</v>
      </c>
      <c r="AD31" s="40">
        <f t="shared" si="19"/>
        <v>5.6623827967478861E-3</v>
      </c>
      <c r="AE31" s="39">
        <f t="shared" si="27"/>
        <v>4.0588631480444864E-2</v>
      </c>
      <c r="AF31" s="37">
        <f t="shared" si="20"/>
        <v>7.3308284092417422E-2</v>
      </c>
      <c r="AG31" s="37">
        <f t="shared" si="9"/>
        <v>2.6333112131215453E-5</v>
      </c>
      <c r="AH31" s="37">
        <f t="shared" si="10"/>
        <v>2.7124552828412902E-3</v>
      </c>
      <c r="AI31" s="40">
        <f t="shared" si="21"/>
        <v>2.7387883949725055E-3</v>
      </c>
      <c r="AJ31" s="39">
        <f t="shared" si="22"/>
        <v>1.751719884945515E-2</v>
      </c>
      <c r="AK31" s="37">
        <f t="shared" si="11"/>
        <v>4.8159634241874541E-2</v>
      </c>
      <c r="AL31" s="37">
        <f t="shared" si="12"/>
        <v>4.9459200000000004E-3</v>
      </c>
      <c r="AM31" s="37">
        <f t="shared" si="13"/>
        <v>0.21092</v>
      </c>
      <c r="AN31" s="40">
        <f t="shared" si="23"/>
        <v>0.21586591999999999</v>
      </c>
      <c r="AO31" s="39">
        <f t="shared" si="14"/>
        <v>2.1496418066298324E-4</v>
      </c>
      <c r="AP31" s="37">
        <f t="shared" si="15"/>
        <v>3.0375000000000007E-3</v>
      </c>
      <c r="AQ31" s="40">
        <f t="shared" si="16"/>
        <v>8.9999999999999993E-3</v>
      </c>
      <c r="AR31" s="39">
        <f t="shared" si="24"/>
        <v>0.23651955537238339</v>
      </c>
      <c r="AS31" s="37">
        <f t="shared" si="25"/>
        <v>1.12896</v>
      </c>
      <c r="AT31" s="40">
        <f t="shared" si="26"/>
        <v>82.678645429599158</v>
      </c>
    </row>
    <row r="32" spans="17:46" x14ac:dyDescent="0.3">
      <c r="Q32">
        <v>25</v>
      </c>
      <c r="R32" s="39">
        <f t="shared" si="0"/>
        <v>210</v>
      </c>
      <c r="S32" s="37">
        <f t="shared" si="1"/>
        <v>5.5999999999999999E-3</v>
      </c>
      <c r="T32" s="37">
        <f t="shared" si="2"/>
        <v>20</v>
      </c>
      <c r="U32" s="40">
        <f t="shared" si="3"/>
        <v>6.5333333333333327E-2</v>
      </c>
      <c r="V32" s="39">
        <f t="shared" si="4"/>
        <v>1</v>
      </c>
      <c r="W32" s="37">
        <f t="shared" si="5"/>
        <v>0.66048467052612203</v>
      </c>
      <c r="X32" s="40">
        <f t="shared" si="6"/>
        <v>0.28505127885864212</v>
      </c>
      <c r="Y32" s="39">
        <f t="shared" si="7"/>
        <v>0.16109382207954195</v>
      </c>
      <c r="Z32" s="37">
        <f t="shared" si="28"/>
        <v>0.16109382207954195</v>
      </c>
      <c r="AA32" s="37">
        <f t="shared" si="29"/>
        <v>9.043931847590006E-2</v>
      </c>
      <c r="AB32" s="37">
        <v>0</v>
      </c>
      <c r="AC32" s="37">
        <f t="shared" si="8"/>
        <v>6.0199429602195648E-3</v>
      </c>
      <c r="AD32" s="40">
        <f t="shared" si="19"/>
        <v>6.0199429602195648E-3</v>
      </c>
      <c r="AE32" s="39">
        <f t="shared" si="27"/>
        <v>4.315166514103997E-2</v>
      </c>
      <c r="AF32" s="37">
        <f t="shared" si="20"/>
        <v>7.5587438703493715E-2</v>
      </c>
      <c r="AG32" s="37">
        <f t="shared" si="9"/>
        <v>2.7995958359796661E-5</v>
      </c>
      <c r="AH32" s="37">
        <f t="shared" si="10"/>
        <v>2.8254742529596772E-3</v>
      </c>
      <c r="AI32" s="40">
        <f t="shared" si="21"/>
        <v>2.853470211319474E-3</v>
      </c>
      <c r="AJ32" s="39">
        <f t="shared" si="22"/>
        <v>1.8623350218764618E-2</v>
      </c>
      <c r="AK32" s="37">
        <f t="shared" si="11"/>
        <v>4.9656917308979774E-2</v>
      </c>
      <c r="AL32" s="37">
        <f t="shared" si="12"/>
        <v>5.1520000000000003E-3</v>
      </c>
      <c r="AM32" s="37">
        <f t="shared" si="13"/>
        <v>0.21092</v>
      </c>
      <c r="AN32" s="40">
        <f t="shared" si="23"/>
        <v>0.21607199999999999</v>
      </c>
      <c r="AO32" s="39">
        <f t="shared" si="14"/>
        <v>2.2853843559017678E-4</v>
      </c>
      <c r="AP32" s="37">
        <f t="shared" si="15"/>
        <v>3.0375000000000007E-3</v>
      </c>
      <c r="AQ32" s="40">
        <f t="shared" si="16"/>
        <v>8.9999999999999993E-3</v>
      </c>
      <c r="AR32" s="39">
        <f t="shared" si="24"/>
        <v>0.23721145160712923</v>
      </c>
      <c r="AS32" s="37">
        <f t="shared" si="25"/>
        <v>1.1759999999999999</v>
      </c>
      <c r="AT32" s="40">
        <f t="shared" si="26"/>
        <v>83.214723363770631</v>
      </c>
    </row>
    <row r="33" spans="17:46" x14ac:dyDescent="0.3">
      <c r="Q33">
        <v>26</v>
      </c>
      <c r="R33" s="39">
        <f t="shared" si="0"/>
        <v>210</v>
      </c>
      <c r="S33" s="37">
        <f t="shared" si="1"/>
        <v>5.8240000000000002E-3</v>
      </c>
      <c r="T33" s="37">
        <f t="shared" si="2"/>
        <v>20</v>
      </c>
      <c r="U33" s="40">
        <f t="shared" si="3"/>
        <v>6.7946666666666669E-2</v>
      </c>
      <c r="V33" s="39">
        <f t="shared" si="4"/>
        <v>1</v>
      </c>
      <c r="W33" s="37">
        <f t="shared" si="5"/>
        <v>0.67356484468831956</v>
      </c>
      <c r="X33" s="40">
        <f t="shared" si="6"/>
        <v>0.29069640665495894</v>
      </c>
      <c r="Y33" s="39">
        <f t="shared" si="7"/>
        <v>0.16428410846056574</v>
      </c>
      <c r="Z33" s="37">
        <f t="shared" si="28"/>
        <v>0.16428410846056574</v>
      </c>
      <c r="AA33" s="37">
        <f t="shared" si="29"/>
        <v>9.3139153272119149E-2</v>
      </c>
      <c r="AB33" s="37">
        <v>0</v>
      </c>
      <c r="AC33" s="37">
        <f t="shared" si="8"/>
        <v>6.3847277779740148E-3</v>
      </c>
      <c r="AD33" s="40">
        <f t="shared" si="19"/>
        <v>6.3847277779740148E-3</v>
      </c>
      <c r="AE33" s="39">
        <f t="shared" si="27"/>
        <v>4.5766485980422357E-2</v>
      </c>
      <c r="AF33" s="37">
        <f t="shared" si="20"/>
        <v>7.7843908573101944E-2</v>
      </c>
      <c r="AG33" s="37">
        <f t="shared" si="9"/>
        <v>2.9692403099493529E-5</v>
      </c>
      <c r="AH33" s="37">
        <f t="shared" si="10"/>
        <v>2.9384932230780642E-3</v>
      </c>
      <c r="AI33" s="40">
        <f t="shared" si="21"/>
        <v>2.9681856261775576E-3</v>
      </c>
      <c r="AJ33" s="39">
        <f t="shared" si="22"/>
        <v>1.9751851844182277E-2</v>
      </c>
      <c r="AK33" s="37">
        <f t="shared" si="11"/>
        <v>5.1139297710369937E-2</v>
      </c>
      <c r="AL33" s="37">
        <f t="shared" si="12"/>
        <v>5.3580800000000003E-3</v>
      </c>
      <c r="AM33" s="37">
        <f t="shared" si="13"/>
        <v>0.21092</v>
      </c>
      <c r="AN33" s="40">
        <f t="shared" si="23"/>
        <v>0.21627807999999998</v>
      </c>
      <c r="AO33" s="39">
        <f t="shared" si="14"/>
        <v>2.4238696407749818E-4</v>
      </c>
      <c r="AP33" s="37">
        <f t="shared" si="15"/>
        <v>3.0375000000000007E-3</v>
      </c>
      <c r="AQ33" s="40">
        <f t="shared" si="16"/>
        <v>8.9999999999999993E-3</v>
      </c>
      <c r="AR33" s="39">
        <f t="shared" si="24"/>
        <v>0.23791088036822908</v>
      </c>
      <c r="AS33" s="37">
        <f t="shared" si="25"/>
        <v>1.2230400000000001</v>
      </c>
      <c r="AT33" s="40">
        <f t="shared" si="26"/>
        <v>83.715340223603945</v>
      </c>
    </row>
    <row r="34" spans="17:46" x14ac:dyDescent="0.3">
      <c r="Q34">
        <v>27</v>
      </c>
      <c r="R34" s="39">
        <f t="shared" si="0"/>
        <v>210</v>
      </c>
      <c r="S34" s="37">
        <f t="shared" si="1"/>
        <v>6.0479999999999996E-3</v>
      </c>
      <c r="T34" s="37">
        <f t="shared" si="2"/>
        <v>20</v>
      </c>
      <c r="U34" s="40">
        <f t="shared" si="3"/>
        <v>7.0559999999999998E-2</v>
      </c>
      <c r="V34" s="39">
        <f t="shared" si="4"/>
        <v>1</v>
      </c>
      <c r="W34" s="37">
        <f t="shared" si="5"/>
        <v>0.68639580418298007</v>
      </c>
      <c r="X34" s="40">
        <f t="shared" si="6"/>
        <v>0.29623397864739143</v>
      </c>
      <c r="Y34" s="39">
        <f t="shared" si="7"/>
        <v>0.1674136107763366</v>
      </c>
      <c r="Z34" s="37">
        <f t="shared" si="28"/>
        <v>0.1674136107763366</v>
      </c>
      <c r="AA34" s="37">
        <f t="shared" si="29"/>
        <v>9.5813145390612087E-2</v>
      </c>
      <c r="AB34" s="37">
        <v>0</v>
      </c>
      <c r="AC34" s="37">
        <f t="shared" si="8"/>
        <v>6.7565968986169319E-3</v>
      </c>
      <c r="AD34" s="40">
        <f t="shared" si="19"/>
        <v>6.7565968986169319E-3</v>
      </c>
      <c r="AE34" s="39">
        <f t="shared" si="27"/>
        <v>4.843208794315107E-2</v>
      </c>
      <c r="AF34" s="37">
        <f t="shared" si="20"/>
        <v>8.0078779630915933E-2</v>
      </c>
      <c r="AG34" s="37">
        <f t="shared" si="9"/>
        <v>3.1421793641166304E-5</v>
      </c>
      <c r="AH34" s="37">
        <f t="shared" si="10"/>
        <v>3.0515121931964507E-3</v>
      </c>
      <c r="AI34" s="40">
        <f t="shared" si="21"/>
        <v>3.0829339868376172E-3</v>
      </c>
      <c r="AJ34" s="39">
        <f t="shared" si="22"/>
        <v>2.0902269533359937E-2</v>
      </c>
      <c r="AK34" s="37">
        <f t="shared" si="11"/>
        <v>5.2607488843944783E-2</v>
      </c>
      <c r="AL34" s="37">
        <f t="shared" si="12"/>
        <v>5.5641599999999994E-3</v>
      </c>
      <c r="AM34" s="37">
        <f t="shared" si="13"/>
        <v>0.21092</v>
      </c>
      <c r="AN34" s="40">
        <f t="shared" si="23"/>
        <v>0.21648416000000001</v>
      </c>
      <c r="AO34" s="39">
        <f t="shared" si="14"/>
        <v>2.5650443788707183E-4</v>
      </c>
      <c r="AP34" s="37">
        <f t="shared" si="15"/>
        <v>3.0375000000000007E-3</v>
      </c>
      <c r="AQ34" s="40">
        <f t="shared" si="16"/>
        <v>8.9999999999999993E-3</v>
      </c>
      <c r="AR34" s="39">
        <f t="shared" si="24"/>
        <v>0.23861769532334165</v>
      </c>
      <c r="AS34" s="37">
        <f t="shared" si="25"/>
        <v>1.2700799999999999</v>
      </c>
      <c r="AT34" s="40">
        <f t="shared" si="26"/>
        <v>84.183862939341097</v>
      </c>
    </row>
    <row r="35" spans="17:46" x14ac:dyDescent="0.3">
      <c r="Q35">
        <v>28</v>
      </c>
      <c r="R35" s="39">
        <f t="shared" si="0"/>
        <v>210</v>
      </c>
      <c r="S35" s="37">
        <f t="shared" si="1"/>
        <v>6.2719999999999998E-3</v>
      </c>
      <c r="T35" s="37">
        <f t="shared" si="2"/>
        <v>20</v>
      </c>
      <c r="U35" s="40">
        <f t="shared" si="3"/>
        <v>7.317333333333334E-2</v>
      </c>
      <c r="V35" s="39">
        <f t="shared" si="4"/>
        <v>1</v>
      </c>
      <c r="W35" s="37">
        <f t="shared" si="5"/>
        <v>0.69899127319302057</v>
      </c>
      <c r="X35" s="40">
        <f t="shared" si="6"/>
        <v>0.30166991790435621</v>
      </c>
      <c r="Y35" s="39">
        <f t="shared" si="7"/>
        <v>0.17048567638854159</v>
      </c>
      <c r="Z35" s="37">
        <f t="shared" si="28"/>
        <v>0.17048567638854159</v>
      </c>
      <c r="AA35" s="37">
        <f t="shared" si="29"/>
        <v>9.8462486282514319E-2</v>
      </c>
      <c r="AB35" s="37">
        <v>0</v>
      </c>
      <c r="AC35" s="37">
        <f t="shared" si="8"/>
        <v>7.1354178468316593E-3</v>
      </c>
      <c r="AD35" s="40">
        <f t="shared" si="19"/>
        <v>7.1354178468316593E-3</v>
      </c>
      <c r="AE35" s="39">
        <f t="shared" si="27"/>
        <v>5.1147521430443967E-2</v>
      </c>
      <c r="AF35" s="37">
        <f t="shared" si="20"/>
        <v>8.2293047668823394E-2</v>
      </c>
      <c r="AG35" s="37">
        <f t="shared" si="9"/>
        <v>3.3183513903653875E-5</v>
      </c>
      <c r="AH35" s="37">
        <f t="shared" si="10"/>
        <v>3.164531163314839E-3</v>
      </c>
      <c r="AI35" s="40">
        <f t="shared" si="21"/>
        <v>3.197714677218493E-3</v>
      </c>
      <c r="AJ35" s="39">
        <f t="shared" si="22"/>
        <v>2.2074193459454761E-2</v>
      </c>
      <c r="AK35" s="37">
        <f t="shared" si="11"/>
        <v>5.4062144891884212E-2</v>
      </c>
      <c r="AL35" s="37">
        <f t="shared" si="12"/>
        <v>5.7702400000000003E-3</v>
      </c>
      <c r="AM35" s="37">
        <f t="shared" si="13"/>
        <v>0.21092</v>
      </c>
      <c r="AN35" s="40">
        <f t="shared" si="23"/>
        <v>0.21669024000000001</v>
      </c>
      <c r="AO35" s="39">
        <f t="shared" si="14"/>
        <v>2.7088582778492958E-4</v>
      </c>
      <c r="AP35" s="37">
        <f t="shared" si="15"/>
        <v>3.0375000000000007E-3</v>
      </c>
      <c r="AQ35" s="40">
        <f t="shared" si="16"/>
        <v>8.9999999999999993E-3</v>
      </c>
      <c r="AR35" s="39">
        <f t="shared" si="24"/>
        <v>0.23933175835183509</v>
      </c>
      <c r="AS35" s="37">
        <f t="shared" si="25"/>
        <v>1.3171200000000001</v>
      </c>
      <c r="AT35" s="40">
        <f t="shared" si="26"/>
        <v>84.623245978065569</v>
      </c>
    </row>
    <row r="36" spans="17:46" x14ac:dyDescent="0.3">
      <c r="Q36">
        <v>29</v>
      </c>
      <c r="R36" s="39">
        <f t="shared" si="0"/>
        <v>210</v>
      </c>
      <c r="S36" s="37">
        <f t="shared" si="1"/>
        <v>6.496E-3</v>
      </c>
      <c r="T36" s="37">
        <f t="shared" si="2"/>
        <v>20</v>
      </c>
      <c r="U36" s="40">
        <f t="shared" si="3"/>
        <v>7.5786666666666669E-2</v>
      </c>
      <c r="V36" s="39">
        <f t="shared" si="4"/>
        <v>1</v>
      </c>
      <c r="W36" s="37">
        <f t="shared" si="5"/>
        <v>0.71136376067382012</v>
      </c>
      <c r="X36" s="40">
        <f t="shared" si="6"/>
        <v>0.30700962302764867</v>
      </c>
      <c r="Y36" s="39">
        <f t="shared" si="7"/>
        <v>0.17350335626190735</v>
      </c>
      <c r="Z36" s="37">
        <f t="shared" si="28"/>
        <v>0.17350335626190735</v>
      </c>
      <c r="AA36" s="37">
        <f t="shared" si="29"/>
        <v>0.10108827202325686</v>
      </c>
      <c r="AB36" s="37">
        <v>0</v>
      </c>
      <c r="AC36" s="37">
        <f t="shared" si="8"/>
        <v>7.5210653131169104E-3</v>
      </c>
      <c r="AD36" s="40">
        <f t="shared" si="19"/>
        <v>7.5210653131169104E-3</v>
      </c>
      <c r="AE36" s="39">
        <f t="shared" si="27"/>
        <v>5.3911888208933251E-2</v>
      </c>
      <c r="AF36" s="37">
        <f t="shared" si="20"/>
        <v>8.4487628765537143E-2</v>
      </c>
      <c r="AG36" s="37">
        <f t="shared" si="9"/>
        <v>3.4976981130673781E-5</v>
      </c>
      <c r="AH36" s="37">
        <f t="shared" si="10"/>
        <v>3.2775501334332256E-3</v>
      </c>
      <c r="AI36" s="40">
        <f t="shared" si="21"/>
        <v>3.3125271145638992E-3</v>
      </c>
      <c r="AJ36" s="39">
        <f t="shared" si="22"/>
        <v>2.3267235963855402E-2</v>
      </c>
      <c r="AK36" s="37">
        <f t="shared" si="11"/>
        <v>5.5503867669062103E-2</v>
      </c>
      <c r="AL36" s="37">
        <f t="shared" si="12"/>
        <v>5.9763200000000002E-3</v>
      </c>
      <c r="AM36" s="37">
        <f t="shared" si="13"/>
        <v>0.21092</v>
      </c>
      <c r="AN36" s="40">
        <f t="shared" si="23"/>
        <v>0.21689632</v>
      </c>
      <c r="AO36" s="39">
        <f t="shared" si="14"/>
        <v>2.855263765769288E-4</v>
      </c>
      <c r="AP36" s="37">
        <f t="shared" si="15"/>
        <v>3.0375000000000007E-3</v>
      </c>
      <c r="AQ36" s="40">
        <f t="shared" si="16"/>
        <v>8.9999999999999993E-3</v>
      </c>
      <c r="AR36" s="39">
        <f t="shared" si="24"/>
        <v>0.24005293880425774</v>
      </c>
      <c r="AS36" s="37">
        <f t="shared" si="25"/>
        <v>1.36416</v>
      </c>
      <c r="AT36" s="40">
        <f t="shared" si="26"/>
        <v>85.036092591100314</v>
      </c>
    </row>
    <row r="37" spans="17:46" x14ac:dyDescent="0.3">
      <c r="Q37">
        <v>30</v>
      </c>
      <c r="R37" s="39">
        <f t="shared" si="0"/>
        <v>210</v>
      </c>
      <c r="S37" s="37">
        <f t="shared" si="1"/>
        <v>6.7200000000000003E-3</v>
      </c>
      <c r="T37" s="37">
        <f t="shared" si="2"/>
        <v>20</v>
      </c>
      <c r="U37" s="40">
        <f t="shared" si="3"/>
        <v>7.8399999999999997E-2</v>
      </c>
      <c r="V37" s="39">
        <f t="shared" si="4"/>
        <v>1</v>
      </c>
      <c r="W37" s="37">
        <f t="shared" si="5"/>
        <v>0.72352470586704909</v>
      </c>
      <c r="X37" s="40">
        <f t="shared" si="6"/>
        <v>0.31225803095314753</v>
      </c>
      <c r="Y37" s="39">
        <f t="shared" si="7"/>
        <v>0.17646944045537782</v>
      </c>
      <c r="Z37" s="37">
        <f t="shared" si="28"/>
        <v>0.17646944045537782</v>
      </c>
      <c r="AA37" s="37">
        <f t="shared" si="29"/>
        <v>0.10369151396360871</v>
      </c>
      <c r="AB37" s="37">
        <v>0</v>
      </c>
      <c r="AC37" s="37">
        <f t="shared" si="8"/>
        <v>7.9134205300960304E-3</v>
      </c>
      <c r="AD37" s="40">
        <f t="shared" si="19"/>
        <v>7.9134205300960304E-3</v>
      </c>
      <c r="AE37" s="39">
        <f t="shared" si="27"/>
        <v>5.6724336939976645E-2</v>
      </c>
      <c r="AF37" s="37">
        <f t="shared" si="20"/>
        <v>8.6663368188530959E-2</v>
      </c>
      <c r="AG37" s="37">
        <f t="shared" si="9"/>
        <v>3.6801642990326316E-5</v>
      </c>
      <c r="AH37" s="37">
        <f t="shared" si="10"/>
        <v>3.3905691035516121E-3</v>
      </c>
      <c r="AI37" s="40">
        <f t="shared" si="21"/>
        <v>3.4273707465419384E-3</v>
      </c>
      <c r="AJ37" s="39">
        <f t="shared" si="22"/>
        <v>2.4481029626726766E-2</v>
      </c>
      <c r="AK37" s="37">
        <f t="shared" si="11"/>
        <v>5.6933212471143593E-2</v>
      </c>
      <c r="AL37" s="37">
        <f t="shared" si="12"/>
        <v>6.1824000000000002E-3</v>
      </c>
      <c r="AM37" s="37">
        <f t="shared" si="13"/>
        <v>0.21092</v>
      </c>
      <c r="AN37" s="40">
        <f t="shared" si="23"/>
        <v>0.2171024</v>
      </c>
      <c r="AO37" s="39">
        <f t="shared" si="14"/>
        <v>3.004215754312352E-4</v>
      </c>
      <c r="AP37" s="37">
        <f t="shared" si="15"/>
        <v>3.0375000000000007E-3</v>
      </c>
      <c r="AQ37" s="40">
        <f t="shared" si="16"/>
        <v>8.9999999999999993E-3</v>
      </c>
      <c r="AR37" s="39">
        <f t="shared" si="24"/>
        <v>0.24078111285206918</v>
      </c>
      <c r="AS37" s="37">
        <f t="shared" si="25"/>
        <v>1.4112</v>
      </c>
      <c r="AT37" s="40">
        <f t="shared" si="26"/>
        <v>85.424705465526074</v>
      </c>
    </row>
    <row r="38" spans="17:46" x14ac:dyDescent="0.3">
      <c r="Q38">
        <v>31</v>
      </c>
      <c r="R38" s="39">
        <f t="shared" si="0"/>
        <v>210</v>
      </c>
      <c r="S38" s="37">
        <f t="shared" si="1"/>
        <v>6.9439999999999997E-3</v>
      </c>
      <c r="T38" s="37">
        <f t="shared" si="2"/>
        <v>20</v>
      </c>
      <c r="U38" s="40">
        <f t="shared" si="3"/>
        <v>8.1013333333333326E-2</v>
      </c>
      <c r="V38" s="39">
        <f t="shared" si="4"/>
        <v>1</v>
      </c>
      <c r="W38" s="37">
        <f t="shared" si="5"/>
        <v>0.73548460215017419</v>
      </c>
      <c r="X38" s="40">
        <f t="shared" si="6"/>
        <v>0.31741967040165414</v>
      </c>
      <c r="Y38" s="39">
        <f t="shared" si="7"/>
        <v>0.17938648832931078</v>
      </c>
      <c r="Z38" s="37">
        <f t="shared" si="28"/>
        <v>0.17938648832931078</v>
      </c>
      <c r="AA38" s="37">
        <f t="shared" si="29"/>
        <v>0.10627314787671369</v>
      </c>
      <c r="AB38" s="37">
        <v>0</v>
      </c>
      <c r="AC38" s="37">
        <f t="shared" si="8"/>
        <v>8.3123707222846292E-3</v>
      </c>
      <c r="AD38" s="40">
        <f t="shared" si="19"/>
        <v>8.3123707222846292E-3</v>
      </c>
      <c r="AE38" s="39">
        <f t="shared" si="27"/>
        <v>5.9584059235526107E-2</v>
      </c>
      <c r="AF38" s="37">
        <f t="shared" si="20"/>
        <v>8.8821048038956671E-2</v>
      </c>
      <c r="AG38" s="37">
        <f t="shared" si="9"/>
        <v>3.8656975016219384E-5</v>
      </c>
      <c r="AH38" s="37">
        <f t="shared" si="10"/>
        <v>3.5035880736699991E-3</v>
      </c>
      <c r="AI38" s="40">
        <f t="shared" si="21"/>
        <v>3.5422450486862185E-3</v>
      </c>
      <c r="AJ38" s="39">
        <f t="shared" si="22"/>
        <v>2.5715225564806005E-2</v>
      </c>
      <c r="AK38" s="37">
        <f t="shared" si="11"/>
        <v>5.8350693096887944E-2</v>
      </c>
      <c r="AL38" s="37">
        <f t="shared" si="12"/>
        <v>6.3884800000000002E-3</v>
      </c>
      <c r="AM38" s="37">
        <f t="shared" si="13"/>
        <v>0.21092</v>
      </c>
      <c r="AN38" s="40">
        <f t="shared" si="23"/>
        <v>0.21730848</v>
      </c>
      <c r="AO38" s="39">
        <f t="shared" si="14"/>
        <v>3.1556714298954598E-4</v>
      </c>
      <c r="AP38" s="37">
        <f t="shared" si="15"/>
        <v>3.0375000000000007E-3</v>
      </c>
      <c r="AQ38" s="40">
        <f t="shared" si="16"/>
        <v>8.9999999999999993E-3</v>
      </c>
      <c r="AR38" s="39">
        <f t="shared" si="24"/>
        <v>0.24151616291396041</v>
      </c>
      <c r="AS38" s="37">
        <f t="shared" si="25"/>
        <v>1.45824</v>
      </c>
      <c r="AT38" s="40">
        <f t="shared" si="26"/>
        <v>85.791128858158132</v>
      </c>
    </row>
    <row r="39" spans="17:46" x14ac:dyDescent="0.3">
      <c r="Q39">
        <v>32</v>
      </c>
      <c r="R39" s="39">
        <f t="shared" si="0"/>
        <v>210</v>
      </c>
      <c r="S39" s="37">
        <f t="shared" ref="S39:S70" si="30">Q39*$O$12</f>
        <v>7.1679999999999999E-3</v>
      </c>
      <c r="T39" s="37">
        <f t="shared" si="2"/>
        <v>20</v>
      </c>
      <c r="U39" s="40">
        <f t="shared" ref="U39:U70" si="31">(R39*S39)/(T39*EFF_est)</f>
        <v>8.3626666666666669E-2</v>
      </c>
      <c r="V39" s="39">
        <f t="shared" ref="V39:V70" si="32">IF((S39*R39/T39)&lt;((T39*(1-(T39/R39)))/(2*Lm*Fsw)),1,2)</f>
        <v>1</v>
      </c>
      <c r="W39" s="37">
        <f t="shared" ref="W39:W70" si="33">CHOOSE(V39,SQRT((2*S39*Lm*Fsw*(R39-T39))/((T39)^2)),1-(T39/R39))</f>
        <v>0.74725310303805359</v>
      </c>
      <c r="X39" s="40">
        <f t="shared" ref="X39:X70" si="34">CHOOSE(V39,(Lm*W39*Fsw)/(R39-T39),1-W39)</f>
        <v>0.32249870762694943</v>
      </c>
      <c r="Y39" s="39">
        <f t="shared" ref="Y39:Y70" si="35">(T39*W39)/(Lm*Fsw)</f>
        <v>0.18225685439952524</v>
      </c>
      <c r="Z39" s="37">
        <f t="shared" si="28"/>
        <v>0.18225685439952524</v>
      </c>
      <c r="AA39" s="37">
        <f t="shared" si="29"/>
        <v>0.10883404185507044</v>
      </c>
      <c r="AB39" s="37">
        <v>0</v>
      </c>
      <c r="AC39" s="37">
        <f t="shared" ref="AC39:AC70" si="36">(AA39^2)*Rdcr</f>
        <v>8.7178086185522603E-3</v>
      </c>
      <c r="AD39" s="40">
        <f t="shared" si="19"/>
        <v>8.7178086185522603E-3</v>
      </c>
      <c r="AE39" s="39">
        <f t="shared" si="27"/>
        <v>6.2490286163395629E-2</v>
      </c>
      <c r="AF39" s="37">
        <f t="shared" si="20"/>
        <v>9.0961393851787725E-2</v>
      </c>
      <c r="AG39" s="37">
        <f t="shared" ref="AG39:AG70" si="37">(AF39^2)*RDS_on</f>
        <v>4.0542478340154229E-5</v>
      </c>
      <c r="AH39" s="37">
        <f t="shared" ref="AH39:AH70" si="38">((R39*U39)/2)*Fsw*(tr_sw+tf_sw)</f>
        <v>3.6166070437883874E-3</v>
      </c>
      <c r="AI39" s="40">
        <f t="shared" si="21"/>
        <v>3.6571495221285415E-3</v>
      </c>
      <c r="AJ39" s="39">
        <f t="shared" si="22"/>
        <v>2.696949192314969E-2</v>
      </c>
      <c r="AK39" s="37">
        <f t="shared" ref="AK39:AK70" si="39">CHOOSE(V39,Z39*SQRT(X39/3),SQRT(X39*((Z39^2)+((Y39^2)/3)-(Y39*Z39))))</f>
        <v>5.9756786184091068E-2</v>
      </c>
      <c r="AL39" s="37">
        <f t="shared" ref="AL39:AL70" si="40">S39*Vd_rect</f>
        <v>6.5945600000000002E-3</v>
      </c>
      <c r="AM39" s="37">
        <f t="shared" ref="AM39:AM70" si="41">CHOOSE(V39,(R39+Vd_rect)*Qrr*Fsw,(R39+Vd_rect)*Qrr*Fsw)</f>
        <v>0.21092</v>
      </c>
      <c r="AN39" s="40">
        <f t="shared" si="23"/>
        <v>0.21751456</v>
      </c>
      <c r="AO39" s="39">
        <f t="shared" ref="AO39:AO70" si="42">(AF39^2)*R_cs</f>
        <v>3.3095900685840184E-4</v>
      </c>
      <c r="AP39" s="37">
        <f t="shared" ref="AP39:AP70" si="43">Qg_tot*Vcc*Fsw</f>
        <v>3.0375000000000007E-3</v>
      </c>
      <c r="AQ39" s="40">
        <f t="shared" ref="AQ39:AQ70" si="44">IQ*T39</f>
        <v>8.9999999999999993E-3</v>
      </c>
      <c r="AR39" s="39">
        <f t="shared" si="24"/>
        <v>0.24225797714753919</v>
      </c>
      <c r="AS39" s="37">
        <f t="shared" si="25"/>
        <v>1.50528</v>
      </c>
      <c r="AT39" s="40">
        <f t="shared" si="26"/>
        <v>86.137183837173552</v>
      </c>
    </row>
    <row r="40" spans="17:46" x14ac:dyDescent="0.3">
      <c r="Q40">
        <v>33</v>
      </c>
      <c r="R40" s="39">
        <f t="shared" si="0"/>
        <v>210</v>
      </c>
      <c r="S40" s="37">
        <f t="shared" si="30"/>
        <v>7.3920000000000001E-3</v>
      </c>
      <c r="T40" s="37">
        <f t="shared" si="2"/>
        <v>20</v>
      </c>
      <c r="U40" s="40">
        <f t="shared" si="31"/>
        <v>8.6239999999999997E-2</v>
      </c>
      <c r="V40" s="39">
        <f t="shared" si="32"/>
        <v>1</v>
      </c>
      <c r="W40" s="37">
        <f t="shared" si="33"/>
        <v>0.75883911338306753</v>
      </c>
      <c r="X40" s="40">
        <f t="shared" si="34"/>
        <v>0.32749898577585018</v>
      </c>
      <c r="Y40" s="39">
        <f t="shared" si="35"/>
        <v>0.18508271058123599</v>
      </c>
      <c r="Z40" s="37">
        <f t="shared" si="28"/>
        <v>0.18508271058123599</v>
      </c>
      <c r="AA40" s="37">
        <f t="shared" si="29"/>
        <v>0.11137500316194339</v>
      </c>
      <c r="AB40" s="37">
        <v>0</v>
      </c>
      <c r="AC40" s="37">
        <f t="shared" si="36"/>
        <v>9.1296320183816542E-3</v>
      </c>
      <c r="AD40" s="40">
        <f t="shared" si="19"/>
        <v>9.1296320183816542E-3</v>
      </c>
      <c r="AE40" s="39">
        <f t="shared" si="27"/>
        <v>6.544228513815574E-2</v>
      </c>
      <c r="AF40" s="37">
        <f t="shared" si="20"/>
        <v>9.3085080322096447E-2</v>
      </c>
      <c r="AG40" s="37">
        <f t="shared" si="37"/>
        <v>4.2457677674998627E-5</v>
      </c>
      <c r="AH40" s="37">
        <f t="shared" si="38"/>
        <v>3.7296260139067735E-3</v>
      </c>
      <c r="AI40" s="40">
        <f t="shared" si="21"/>
        <v>3.7720836915817722E-3</v>
      </c>
      <c r="AJ40" s="39">
        <f t="shared" si="22"/>
        <v>2.8243512533309319E-2</v>
      </c>
      <c r="AK40" s="37">
        <f t="shared" si="39"/>
        <v>6.115193497144434E-2</v>
      </c>
      <c r="AL40" s="37">
        <f t="shared" si="40"/>
        <v>6.8006400000000002E-3</v>
      </c>
      <c r="AM40" s="37">
        <f t="shared" si="41"/>
        <v>0.21092</v>
      </c>
      <c r="AN40" s="40">
        <f t="shared" si="23"/>
        <v>0.21772063999999999</v>
      </c>
      <c r="AO40" s="39">
        <f t="shared" si="42"/>
        <v>3.4659328714284587E-4</v>
      </c>
      <c r="AP40" s="37">
        <f t="shared" si="43"/>
        <v>3.0375000000000007E-3</v>
      </c>
      <c r="AQ40" s="40">
        <f t="shared" si="44"/>
        <v>8.9999999999999993E-3</v>
      </c>
      <c r="AR40" s="39">
        <f t="shared" si="24"/>
        <v>0.24300644899710627</v>
      </c>
      <c r="AS40" s="37">
        <f t="shared" si="25"/>
        <v>1.5523199999999999</v>
      </c>
      <c r="AT40" s="40">
        <f t="shared" si="26"/>
        <v>86.464497911627547</v>
      </c>
    </row>
    <row r="41" spans="17:46" x14ac:dyDescent="0.3">
      <c r="Q41">
        <v>34</v>
      </c>
      <c r="R41" s="39">
        <f t="shared" si="0"/>
        <v>210</v>
      </c>
      <c r="S41" s="37">
        <f t="shared" si="30"/>
        <v>7.6159999999999995E-3</v>
      </c>
      <c r="T41" s="37">
        <f t="shared" si="2"/>
        <v>20</v>
      </c>
      <c r="U41" s="40">
        <f t="shared" si="31"/>
        <v>8.8853333333333326E-2</v>
      </c>
      <c r="V41" s="39">
        <f t="shared" si="32"/>
        <v>1</v>
      </c>
      <c r="W41" s="37">
        <f t="shared" si="33"/>
        <v>0.77025086822411304</v>
      </c>
      <c r="X41" s="40">
        <f t="shared" si="34"/>
        <v>0.33242405891777504</v>
      </c>
      <c r="Y41" s="39">
        <f t="shared" si="35"/>
        <v>0.18786606542051537</v>
      </c>
      <c r="Z41" s="37">
        <f t="shared" si="28"/>
        <v>0.18786606542051537</v>
      </c>
      <c r="AA41" s="37">
        <f t="shared" si="29"/>
        <v>0.11389678420306686</v>
      </c>
      <c r="AB41" s="37">
        <v>0</v>
      </c>
      <c r="AC41" s="37">
        <f t="shared" si="36"/>
        <v>9.5477434045247844E-3</v>
      </c>
      <c r="AD41" s="40">
        <f t="shared" si="19"/>
        <v>9.5477434045247844E-3</v>
      </c>
      <c r="AE41" s="39">
        <f t="shared" si="27"/>
        <v>6.8439357144606514E-2</v>
      </c>
      <c r="AF41" s="37">
        <f t="shared" si="20"/>
        <v>9.5192736296089056E-2</v>
      </c>
      <c r="AG41" s="37">
        <f t="shared" si="37"/>
        <v>4.4402119513330086E-5</v>
      </c>
      <c r="AH41" s="37">
        <f t="shared" si="38"/>
        <v>3.8426449840251605E-3</v>
      </c>
      <c r="AI41" s="40">
        <f t="shared" si="21"/>
        <v>3.8870471035384905E-3</v>
      </c>
      <c r="AJ41" s="39">
        <f t="shared" si="22"/>
        <v>2.9536985715040702E-2</v>
      </c>
      <c r="AK41" s="37">
        <f t="shared" si="39"/>
        <v>6.2536552577378529E-2</v>
      </c>
      <c r="AL41" s="37">
        <f t="shared" si="40"/>
        <v>7.0067200000000001E-3</v>
      </c>
      <c r="AM41" s="37">
        <f t="shared" si="41"/>
        <v>0.21092</v>
      </c>
      <c r="AN41" s="40">
        <f t="shared" si="23"/>
        <v>0.21792671999999999</v>
      </c>
      <c r="AO41" s="39">
        <f t="shared" si="42"/>
        <v>3.6246628174147003E-4</v>
      </c>
      <c r="AP41" s="37">
        <f t="shared" si="43"/>
        <v>3.0375000000000007E-3</v>
      </c>
      <c r="AQ41" s="40">
        <f t="shared" si="44"/>
        <v>8.9999999999999993E-3</v>
      </c>
      <c r="AR41" s="39">
        <f t="shared" si="24"/>
        <v>0.24376147678980473</v>
      </c>
      <c r="AS41" s="37">
        <f t="shared" si="25"/>
        <v>1.5993599999999999</v>
      </c>
      <c r="AT41" s="40">
        <f t="shared" si="26"/>
        <v>86.774530064379263</v>
      </c>
    </row>
    <row r="42" spans="17:46" x14ac:dyDescent="0.3">
      <c r="Q42">
        <v>35</v>
      </c>
      <c r="R42" s="39">
        <f t="shared" si="0"/>
        <v>210</v>
      </c>
      <c r="S42" s="37">
        <f t="shared" si="30"/>
        <v>7.8399999999999997E-3</v>
      </c>
      <c r="T42" s="37">
        <f t="shared" si="2"/>
        <v>20</v>
      </c>
      <c r="U42" s="40">
        <f t="shared" si="31"/>
        <v>9.1466666666666654E-2</v>
      </c>
      <c r="V42" s="39">
        <f t="shared" si="32"/>
        <v>1</v>
      </c>
      <c r="W42" s="37">
        <f t="shared" si="33"/>
        <v>0.78149600126936025</v>
      </c>
      <c r="X42" s="40">
        <f t="shared" si="34"/>
        <v>0.3372772216004607</v>
      </c>
      <c r="Y42" s="39">
        <f t="shared" si="35"/>
        <v>0.19060878079740495</v>
      </c>
      <c r="Z42" s="37">
        <f t="shared" si="28"/>
        <v>0.19060878079740495</v>
      </c>
      <c r="AA42" s="37">
        <f t="shared" si="29"/>
        <v>0.1164000877540978</v>
      </c>
      <c r="AB42" s="37">
        <v>0</v>
      </c>
      <c r="AC42" s="37">
        <f t="shared" si="36"/>
        <v>9.9720495958629876E-3</v>
      </c>
      <c r="AD42" s="40">
        <f t="shared" si="19"/>
        <v>9.9720495958629876E-3</v>
      </c>
      <c r="AE42" s="39">
        <f t="shared" si="27"/>
        <v>7.1480834249437478E-2</v>
      </c>
      <c r="AF42" s="37">
        <f t="shared" si="20"/>
        <v>9.7284949140110114E-2</v>
      </c>
      <c r="AG42" s="37">
        <f t="shared" si="37"/>
        <v>4.6375370513049687E-5</v>
      </c>
      <c r="AH42" s="37">
        <f t="shared" si="38"/>
        <v>3.9556639541435479E-3</v>
      </c>
      <c r="AI42" s="40">
        <f t="shared" si="21"/>
        <v>4.0020393246565974E-3</v>
      </c>
      <c r="AJ42" s="39">
        <f t="shared" si="22"/>
        <v>3.08496232023888E-2</v>
      </c>
      <c r="AK42" s="37">
        <f t="shared" si="39"/>
        <v>6.3911024870266758E-2</v>
      </c>
      <c r="AL42" s="37">
        <f t="shared" si="40"/>
        <v>7.2128000000000001E-3</v>
      </c>
      <c r="AM42" s="37">
        <f t="shared" si="41"/>
        <v>0.21092</v>
      </c>
      <c r="AN42" s="40">
        <f t="shared" si="23"/>
        <v>0.21813279999999999</v>
      </c>
      <c r="AO42" s="39">
        <f t="shared" si="42"/>
        <v>3.7857445316775247E-4</v>
      </c>
      <c r="AP42" s="37">
        <f t="shared" si="43"/>
        <v>3.0375000000000007E-3</v>
      </c>
      <c r="AQ42" s="40">
        <f t="shared" si="44"/>
        <v>8.9999999999999993E-3</v>
      </c>
      <c r="AR42" s="39">
        <f t="shared" si="24"/>
        <v>0.24452296337368731</v>
      </c>
      <c r="AS42" s="37">
        <f t="shared" si="25"/>
        <v>1.6463999999999999</v>
      </c>
      <c r="AT42" s="40">
        <f t="shared" si="26"/>
        <v>87.068591999251936</v>
      </c>
    </row>
    <row r="43" spans="17:46" x14ac:dyDescent="0.3">
      <c r="Q43">
        <v>36</v>
      </c>
      <c r="R43" s="39">
        <f t="shared" si="0"/>
        <v>210</v>
      </c>
      <c r="S43" s="37">
        <f t="shared" si="30"/>
        <v>8.064E-3</v>
      </c>
      <c r="T43" s="37">
        <f t="shared" si="2"/>
        <v>20</v>
      </c>
      <c r="U43" s="40">
        <f t="shared" si="31"/>
        <v>9.4079999999999997E-2</v>
      </c>
      <c r="V43" s="39">
        <f t="shared" si="32"/>
        <v>1</v>
      </c>
      <c r="W43" s="37">
        <f t="shared" si="33"/>
        <v>0.79258160463134641</v>
      </c>
      <c r="X43" s="40">
        <f t="shared" si="34"/>
        <v>0.34206153463037053</v>
      </c>
      <c r="Y43" s="39">
        <f t="shared" si="35"/>
        <v>0.19331258649545036</v>
      </c>
      <c r="Z43" s="37">
        <f t="shared" si="28"/>
        <v>0.19331258649545036</v>
      </c>
      <c r="AA43" s="37">
        <f t="shared" si="29"/>
        <v>0.11888557155514608</v>
      </c>
      <c r="AB43" s="37">
        <v>0</v>
      </c>
      <c r="AC43" s="37">
        <f t="shared" si="36"/>
        <v>1.0402461435259407E-2</v>
      </c>
      <c r="AD43" s="40">
        <f t="shared" si="19"/>
        <v>1.0402461435259407E-2</v>
      </c>
      <c r="AE43" s="39">
        <f t="shared" si="27"/>
        <v>7.4566077363717065E-2</v>
      </c>
      <c r="AF43" s="37">
        <f t="shared" si="20"/>
        <v>9.9362268580662147E-2</v>
      </c>
      <c r="AG43" s="37">
        <f t="shared" si="37"/>
        <v>4.8377016045728637E-5</v>
      </c>
      <c r="AH43" s="37">
        <f t="shared" si="38"/>
        <v>4.0686829242619349E-3</v>
      </c>
      <c r="AI43" s="40">
        <f t="shared" si="21"/>
        <v>4.1170599403076635E-3</v>
      </c>
      <c r="AJ43" s="39">
        <f t="shared" si="22"/>
        <v>3.218114917802526E-2</v>
      </c>
      <c r="AK43" s="37">
        <f t="shared" si="39"/>
        <v>6.5275712991112678E-2</v>
      </c>
      <c r="AL43" s="37">
        <f t="shared" si="40"/>
        <v>7.4188800000000001E-3</v>
      </c>
      <c r="AM43" s="37">
        <f t="shared" si="41"/>
        <v>0.21092</v>
      </c>
      <c r="AN43" s="40">
        <f t="shared" si="23"/>
        <v>0.21833887999999999</v>
      </c>
      <c r="AO43" s="39">
        <f t="shared" si="42"/>
        <v>3.9491441669982559E-4</v>
      </c>
      <c r="AP43" s="37">
        <f t="shared" si="43"/>
        <v>3.0375000000000007E-3</v>
      </c>
      <c r="AQ43" s="40">
        <f t="shared" si="44"/>
        <v>8.9999999999999993E-3</v>
      </c>
      <c r="AR43" s="39">
        <f t="shared" si="24"/>
        <v>0.24529081579226691</v>
      </c>
      <c r="AS43" s="37">
        <f t="shared" si="25"/>
        <v>1.6934400000000001</v>
      </c>
      <c r="AT43" s="40">
        <f t="shared" si="26"/>
        <v>87.347866253829139</v>
      </c>
    </row>
    <row r="44" spans="17:46" x14ac:dyDescent="0.3">
      <c r="Q44">
        <v>37</v>
      </c>
      <c r="R44" s="39">
        <f t="shared" si="0"/>
        <v>210</v>
      </c>
      <c r="S44" s="37">
        <f t="shared" si="30"/>
        <v>8.2880000000000002E-3</v>
      </c>
      <c r="T44" s="37">
        <f t="shared" si="2"/>
        <v>20</v>
      </c>
      <c r="U44" s="40">
        <f t="shared" si="31"/>
        <v>9.6693333333333339E-2</v>
      </c>
      <c r="V44" s="39">
        <f t="shared" si="32"/>
        <v>1</v>
      </c>
      <c r="W44" s="37">
        <f t="shared" si="33"/>
        <v>0.80351428114253198</v>
      </c>
      <c r="X44" s="40">
        <f t="shared" si="34"/>
        <v>0.34677984765098752</v>
      </c>
      <c r="Y44" s="39">
        <f t="shared" si="35"/>
        <v>0.19597909296159319</v>
      </c>
      <c r="Z44" s="37">
        <f t="shared" si="28"/>
        <v>0.19597909296159319</v>
      </c>
      <c r="AA44" s="37">
        <f t="shared" si="29"/>
        <v>0.12135385236443412</v>
      </c>
      <c r="AB44" s="37">
        <v>0</v>
      </c>
      <c r="AC44" s="37">
        <f t="shared" si="36"/>
        <v>1.0838893507995009E-2</v>
      </c>
      <c r="AD44" s="40">
        <f t="shared" si="19"/>
        <v>1.0838893507995009E-2</v>
      </c>
      <c r="AE44" s="39">
        <f t="shared" si="27"/>
        <v>7.7694474224608567E-2</v>
      </c>
      <c r="AF44" s="37">
        <f t="shared" si="20"/>
        <v>0.10142521009237628</v>
      </c>
      <c r="AG44" s="37">
        <f t="shared" si="37"/>
        <v>5.0406658887185072E-5</v>
      </c>
      <c r="AH44" s="37">
        <f t="shared" si="38"/>
        <v>4.1817018943803227E-3</v>
      </c>
      <c r="AI44" s="40">
        <f t="shared" si="21"/>
        <v>4.2321085532675082E-3</v>
      </c>
      <c r="AJ44" s="39">
        <f t="shared" si="22"/>
        <v>3.353129940219949E-2</v>
      </c>
      <c r="AK44" s="37">
        <f t="shared" si="39"/>
        <v>6.663095557926664E-2</v>
      </c>
      <c r="AL44" s="37">
        <f t="shared" si="40"/>
        <v>7.6249600000000009E-3</v>
      </c>
      <c r="AM44" s="37">
        <f t="shared" si="41"/>
        <v>0.21092</v>
      </c>
      <c r="AN44" s="40">
        <f t="shared" si="23"/>
        <v>0.21854496000000001</v>
      </c>
      <c r="AO44" s="39">
        <f t="shared" si="42"/>
        <v>4.114829296913067E-4</v>
      </c>
      <c r="AP44" s="37">
        <f t="shared" si="43"/>
        <v>3.0375000000000007E-3</v>
      </c>
      <c r="AQ44" s="40">
        <f t="shared" si="44"/>
        <v>8.9999999999999993E-3</v>
      </c>
      <c r="AR44" s="39">
        <f t="shared" si="24"/>
        <v>0.24606494499095385</v>
      </c>
      <c r="AS44" s="37">
        <f t="shared" si="25"/>
        <v>1.74048</v>
      </c>
      <c r="AT44" s="40">
        <f t="shared" si="26"/>
        <v>87.613421704280938</v>
      </c>
    </row>
    <row r="45" spans="17:46" x14ac:dyDescent="0.3">
      <c r="Q45">
        <v>38</v>
      </c>
      <c r="R45" s="39">
        <f t="shared" si="0"/>
        <v>210</v>
      </c>
      <c r="S45" s="37">
        <f t="shared" si="30"/>
        <v>8.5120000000000005E-3</v>
      </c>
      <c r="T45" s="37">
        <f t="shared" si="2"/>
        <v>20</v>
      </c>
      <c r="U45" s="40">
        <f t="shared" si="31"/>
        <v>9.9306666666666668E-2</v>
      </c>
      <c r="V45" s="39">
        <f t="shared" si="32"/>
        <v>1</v>
      </c>
      <c r="W45" s="37">
        <f t="shared" si="33"/>
        <v>0.81430019034751544</v>
      </c>
      <c r="X45" s="40">
        <f t="shared" si="34"/>
        <v>0.35143481899208562</v>
      </c>
      <c r="Y45" s="39">
        <f t="shared" si="35"/>
        <v>0.19860980252378424</v>
      </c>
      <c r="Z45" s="37">
        <f t="shared" si="28"/>
        <v>0.19860980252378424</v>
      </c>
      <c r="AA45" s="37">
        <f t="shared" si="29"/>
        <v>0.12380550954762698</v>
      </c>
      <c r="AB45" s="37">
        <v>0</v>
      </c>
      <c r="AC45" s="37">
        <f t="shared" si="36"/>
        <v>1.1281263887039801E-2</v>
      </c>
      <c r="AD45" s="40">
        <f t="shared" si="19"/>
        <v>1.1281263887039801E-2</v>
      </c>
      <c r="AE45" s="39">
        <f t="shared" si="27"/>
        <v>8.0865437569443935E-2</v>
      </c>
      <c r="AF45" s="37">
        <f t="shared" si="20"/>
        <v>0.10347425789790518</v>
      </c>
      <c r="AG45" s="37">
        <f t="shared" si="37"/>
        <v>5.2463918032858753E-5</v>
      </c>
      <c r="AH45" s="37">
        <f t="shared" si="38"/>
        <v>4.2947208644987097E-3</v>
      </c>
      <c r="AI45" s="40">
        <f t="shared" si="21"/>
        <v>4.3471847825315687E-3</v>
      </c>
      <c r="AJ45" s="39">
        <f t="shared" si="22"/>
        <v>3.4899820424707385E-2</v>
      </c>
      <c r="AK45" s="37">
        <f t="shared" si="39"/>
        <v>6.7977070743195214E-2</v>
      </c>
      <c r="AL45" s="37">
        <f t="shared" si="40"/>
        <v>7.8310400000000009E-3</v>
      </c>
      <c r="AM45" s="37">
        <f t="shared" si="41"/>
        <v>0.21092</v>
      </c>
      <c r="AN45" s="40">
        <f t="shared" si="23"/>
        <v>0.21875104000000001</v>
      </c>
      <c r="AO45" s="39">
        <f t="shared" si="42"/>
        <v>4.2827688190088777E-4</v>
      </c>
      <c r="AP45" s="37">
        <f t="shared" si="43"/>
        <v>3.0375000000000007E-3</v>
      </c>
      <c r="AQ45" s="40">
        <f t="shared" si="44"/>
        <v>8.9999999999999993E-3</v>
      </c>
      <c r="AR45" s="39">
        <f t="shared" si="24"/>
        <v>0.24684526555147226</v>
      </c>
      <c r="AS45" s="37">
        <f t="shared" si="25"/>
        <v>1.78752</v>
      </c>
      <c r="AT45" s="40">
        <f t="shared" si="26"/>
        <v>87.866226889960302</v>
      </c>
    </row>
    <row r="46" spans="17:46" x14ac:dyDescent="0.3">
      <c r="Q46">
        <v>39</v>
      </c>
      <c r="R46" s="39">
        <f t="shared" si="0"/>
        <v>210</v>
      </c>
      <c r="S46" s="37">
        <f t="shared" si="30"/>
        <v>8.7360000000000007E-3</v>
      </c>
      <c r="T46" s="37">
        <f t="shared" si="2"/>
        <v>20</v>
      </c>
      <c r="U46" s="40">
        <f t="shared" si="31"/>
        <v>0.10192000000000001</v>
      </c>
      <c r="V46" s="39">
        <f t="shared" si="32"/>
        <v>1</v>
      </c>
      <c r="W46" s="37">
        <f t="shared" si="33"/>
        <v>0.82494508908169162</v>
      </c>
      <c r="X46" s="40">
        <f t="shared" si="34"/>
        <v>0.3560289331826248</v>
      </c>
      <c r="Y46" s="39">
        <f t="shared" si="35"/>
        <v>0.20120611928821747</v>
      </c>
      <c r="Z46" s="37">
        <f t="shared" si="28"/>
        <v>0.20120611928821747</v>
      </c>
      <c r="AA46" s="37">
        <f t="shared" si="29"/>
        <v>0.12624108826681696</v>
      </c>
      <c r="AB46" s="37">
        <v>0</v>
      </c>
      <c r="AC46" s="37">
        <f t="shared" si="36"/>
        <v>1.1729493901957638E-2</v>
      </c>
      <c r="AD46" s="40">
        <f t="shared" si="19"/>
        <v>1.1729493901957638E-2</v>
      </c>
      <c r="AE46" s="39">
        <f t="shared" si="27"/>
        <v>8.4078403479206018E-2</v>
      </c>
      <c r="AF46" s="37">
        <f t="shared" si="20"/>
        <v>0.10550986763321475</v>
      </c>
      <c r="AG46" s="37">
        <f t="shared" si="37"/>
        <v>5.4548427623094643E-5</v>
      </c>
      <c r="AH46" s="37">
        <f t="shared" si="38"/>
        <v>4.4077398346170967E-3</v>
      </c>
      <c r="AI46" s="40">
        <f t="shared" si="21"/>
        <v>4.4622882622401914E-3</v>
      </c>
      <c r="AJ46" s="39">
        <f t="shared" si="22"/>
        <v>3.6286468869973124E-2</v>
      </c>
      <c r="AK46" s="37">
        <f t="shared" si="39"/>
        <v>6.9314357811435953E-2</v>
      </c>
      <c r="AL46" s="37">
        <f t="shared" si="40"/>
        <v>8.0371200000000018E-3</v>
      </c>
      <c r="AM46" s="37">
        <f t="shared" si="41"/>
        <v>0.21092</v>
      </c>
      <c r="AN46" s="40">
        <f t="shared" si="23"/>
        <v>0.21895712000000001</v>
      </c>
      <c r="AO46" s="39">
        <f t="shared" si="42"/>
        <v>4.4529328671913989E-4</v>
      </c>
      <c r="AP46" s="37">
        <f t="shared" si="43"/>
        <v>3.0375000000000007E-3</v>
      </c>
      <c r="AQ46" s="40">
        <f t="shared" si="44"/>
        <v>8.9999999999999993E-3</v>
      </c>
      <c r="AR46" s="39">
        <f t="shared" si="24"/>
        <v>0.24763169545091696</v>
      </c>
      <c r="AS46" s="37">
        <f t="shared" si="25"/>
        <v>1.8345600000000002</v>
      </c>
      <c r="AT46" s="40">
        <f t="shared" si="26"/>
        <v>88.107161507178617</v>
      </c>
    </row>
    <row r="47" spans="17:46" x14ac:dyDescent="0.3">
      <c r="Q47">
        <v>40</v>
      </c>
      <c r="R47" s="39">
        <f t="shared" si="0"/>
        <v>210</v>
      </c>
      <c r="S47" s="37">
        <f t="shared" si="30"/>
        <v>8.9599999999999992E-3</v>
      </c>
      <c r="T47" s="37">
        <f t="shared" si="2"/>
        <v>20</v>
      </c>
      <c r="U47" s="40">
        <f t="shared" si="31"/>
        <v>0.10453333333333333</v>
      </c>
      <c r="V47" s="39">
        <f t="shared" si="32"/>
        <v>1</v>
      </c>
      <c r="W47" s="37">
        <f t="shared" si="33"/>
        <v>0.83545436739537116</v>
      </c>
      <c r="X47" s="40">
        <f t="shared" si="34"/>
        <v>0.36056451645484433</v>
      </c>
      <c r="Y47" s="39">
        <f t="shared" si="35"/>
        <v>0.20376935790131004</v>
      </c>
      <c r="Z47" s="37">
        <f t="shared" si="28"/>
        <v>0.20376935790131004</v>
      </c>
      <c r="AA47" s="37">
        <f t="shared" si="29"/>
        <v>0.12866110232291661</v>
      </c>
      <c r="AB47" s="37">
        <v>0</v>
      </c>
      <c r="AC47" s="37">
        <f t="shared" si="36"/>
        <v>1.218350792869774E-2</v>
      </c>
      <c r="AD47" s="40">
        <f t="shared" si="19"/>
        <v>1.218350792869774E-2</v>
      </c>
      <c r="AE47" s="39">
        <f t="shared" si="27"/>
        <v>8.7332829871729453E-2</v>
      </c>
      <c r="AF47" s="37">
        <f t="shared" si="20"/>
        <v>0.10753246872320163</v>
      </c>
      <c r="AG47" s="37">
        <f t="shared" si="37"/>
        <v>5.6659835965561058E-5</v>
      </c>
      <c r="AH47" s="37">
        <f t="shared" si="38"/>
        <v>4.5207588047354837E-3</v>
      </c>
      <c r="AI47" s="40">
        <f t="shared" si="21"/>
        <v>4.5774186407010449E-3</v>
      </c>
      <c r="AJ47" s="39">
        <f t="shared" si="22"/>
        <v>3.7691010786746394E-2</v>
      </c>
      <c r="AK47" s="37">
        <f t="shared" si="39"/>
        <v>7.0643098893251294E-2</v>
      </c>
      <c r="AL47" s="37">
        <f t="shared" si="40"/>
        <v>8.2431999999999991E-3</v>
      </c>
      <c r="AM47" s="37">
        <f t="shared" si="41"/>
        <v>0.21092</v>
      </c>
      <c r="AN47" s="40">
        <f t="shared" si="23"/>
        <v>0.2191632</v>
      </c>
      <c r="AO47" s="39">
        <f t="shared" si="42"/>
        <v>4.6252927318825348E-4</v>
      </c>
      <c r="AP47" s="37">
        <f t="shared" si="43"/>
        <v>3.0375000000000007E-3</v>
      </c>
      <c r="AQ47" s="40">
        <f t="shared" si="44"/>
        <v>8.9999999999999993E-3</v>
      </c>
      <c r="AR47" s="39">
        <f t="shared" si="24"/>
        <v>0.24842415584258706</v>
      </c>
      <c r="AS47" s="37">
        <f t="shared" si="25"/>
        <v>1.8815999999999999</v>
      </c>
      <c r="AT47" s="40">
        <f t="shared" si="26"/>
        <v>88.337026359012512</v>
      </c>
    </row>
    <row r="48" spans="17:46" x14ac:dyDescent="0.3">
      <c r="Q48">
        <v>41</v>
      </c>
      <c r="R48" s="39">
        <f t="shared" si="0"/>
        <v>210</v>
      </c>
      <c r="S48" s="37">
        <f t="shared" si="30"/>
        <v>9.1839999999999995E-3</v>
      </c>
      <c r="T48" s="37">
        <f t="shared" si="2"/>
        <v>20</v>
      </c>
      <c r="U48" s="40">
        <f t="shared" si="31"/>
        <v>0.10714666666666667</v>
      </c>
      <c r="V48" s="39">
        <f t="shared" si="32"/>
        <v>1</v>
      </c>
      <c r="W48" s="37">
        <f t="shared" si="33"/>
        <v>0.84583308045973227</v>
      </c>
      <c r="X48" s="40">
        <f t="shared" si="34"/>
        <v>0.36504375051420024</v>
      </c>
      <c r="Y48" s="39">
        <f t="shared" si="35"/>
        <v>0.206300751331642</v>
      </c>
      <c r="Z48" s="37">
        <f t="shared" si="28"/>
        <v>0.206300751331642</v>
      </c>
      <c r="AA48" s="37">
        <f t="shared" si="29"/>
        <v>0.13106603669683786</v>
      </c>
      <c r="AB48" s="37">
        <v>0</v>
      </c>
      <c r="AC48" s="37">
        <f t="shared" si="36"/>
        <v>1.2643233197906801E-2</v>
      </c>
      <c r="AD48" s="40">
        <f t="shared" si="19"/>
        <v>1.2643233197906801E-2</v>
      </c>
      <c r="AE48" s="39">
        <f t="shared" si="27"/>
        <v>9.0628195127658781E-2</v>
      </c>
      <c r="AF48" s="37">
        <f t="shared" si="20"/>
        <v>0.1095424665055615</v>
      </c>
      <c r="AG48" s="37">
        <f t="shared" si="37"/>
        <v>5.8797804643798117E-5</v>
      </c>
      <c r="AH48" s="37">
        <f t="shared" si="38"/>
        <v>4.6337777748538707E-3</v>
      </c>
      <c r="AI48" s="40">
        <f t="shared" si="21"/>
        <v>4.6925755794976686E-3</v>
      </c>
      <c r="AJ48" s="39">
        <f t="shared" si="22"/>
        <v>3.9113221055094842E-2</v>
      </c>
      <c r="AK48" s="37">
        <f t="shared" si="39"/>
        <v>7.1963560273896859E-2</v>
      </c>
      <c r="AL48" s="37">
        <f t="shared" si="40"/>
        <v>8.44928E-3</v>
      </c>
      <c r="AM48" s="37">
        <f t="shared" si="41"/>
        <v>0.21092</v>
      </c>
      <c r="AN48" s="40">
        <f t="shared" si="23"/>
        <v>0.21936928</v>
      </c>
      <c r="AO48" s="39">
        <f t="shared" si="42"/>
        <v>4.7998207872488252E-4</v>
      </c>
      <c r="AP48" s="37">
        <f t="shared" si="43"/>
        <v>3.0375000000000007E-3</v>
      </c>
      <c r="AQ48" s="40">
        <f t="shared" si="44"/>
        <v>8.9999999999999993E-3</v>
      </c>
      <c r="AR48" s="39">
        <f t="shared" si="24"/>
        <v>0.24922257085612937</v>
      </c>
      <c r="AS48" s="37">
        <f t="shared" si="25"/>
        <v>1.9286399999999999</v>
      </c>
      <c r="AT48" s="40">
        <f t="shared" si="26"/>
        <v>88.556551997761801</v>
      </c>
    </row>
    <row r="49" spans="17:46" x14ac:dyDescent="0.3">
      <c r="Q49">
        <v>42</v>
      </c>
      <c r="R49" s="39">
        <f t="shared" si="0"/>
        <v>210</v>
      </c>
      <c r="S49" s="37">
        <f t="shared" si="30"/>
        <v>9.4079999999999997E-3</v>
      </c>
      <c r="T49" s="37">
        <f t="shared" si="2"/>
        <v>20</v>
      </c>
      <c r="U49" s="40">
        <f t="shared" si="31"/>
        <v>0.10976</v>
      </c>
      <c r="V49" s="39">
        <f t="shared" si="32"/>
        <v>1</v>
      </c>
      <c r="W49" s="37">
        <f t="shared" si="33"/>
        <v>0.85608597699062916</v>
      </c>
      <c r="X49" s="40">
        <f t="shared" si="34"/>
        <v>0.36946868480648204</v>
      </c>
      <c r="Y49" s="39">
        <f t="shared" si="35"/>
        <v>0.20880145780259249</v>
      </c>
      <c r="Z49" s="37">
        <f t="shared" si="28"/>
        <v>0.20880145780259249</v>
      </c>
      <c r="AA49" s="37">
        <f t="shared" si="29"/>
        <v>0.13345634982793023</v>
      </c>
      <c r="AB49" s="37">
        <v>0</v>
      </c>
      <c r="AC49" s="37">
        <f t="shared" si="36"/>
        <v>1.3108599619714641E-2</v>
      </c>
      <c r="AD49" s="40">
        <f t="shared" si="19"/>
        <v>1.3108599619714641E-2</v>
      </c>
      <c r="AE49" s="39">
        <f t="shared" si="27"/>
        <v>9.3963996834491456E-2</v>
      </c>
      <c r="AF49" s="37">
        <f t="shared" si="20"/>
        <v>0.11154024413506396</v>
      </c>
      <c r="AG49" s="37">
        <f t="shared" si="37"/>
        <v>6.0962007702377395E-5</v>
      </c>
      <c r="AH49" s="37">
        <f t="shared" si="38"/>
        <v>4.7467967449722577E-3</v>
      </c>
      <c r="AI49" s="40">
        <f t="shared" si="21"/>
        <v>4.8077587526746349E-3</v>
      </c>
      <c r="AJ49" s="39">
        <f t="shared" si="22"/>
        <v>4.055288284435947E-2</v>
      </c>
      <c r="AK49" s="37">
        <f t="shared" si="39"/>
        <v>7.327599366562848E-2</v>
      </c>
      <c r="AL49" s="37">
        <f t="shared" si="40"/>
        <v>8.6553600000000008E-3</v>
      </c>
      <c r="AM49" s="37">
        <f t="shared" si="41"/>
        <v>0.21092</v>
      </c>
      <c r="AN49" s="40">
        <f t="shared" si="23"/>
        <v>0.21957536</v>
      </c>
      <c r="AO49" s="39">
        <f t="shared" si="42"/>
        <v>4.9764904246838684E-4</v>
      </c>
      <c r="AP49" s="37">
        <f t="shared" si="43"/>
        <v>3.0375000000000007E-3</v>
      </c>
      <c r="AQ49" s="40">
        <f t="shared" si="44"/>
        <v>8.9999999999999993E-3</v>
      </c>
      <c r="AR49" s="39">
        <f t="shared" si="24"/>
        <v>0.25002686741485763</v>
      </c>
      <c r="AS49" s="37">
        <f t="shared" si="25"/>
        <v>1.9756799999999999</v>
      </c>
      <c r="AT49" s="40">
        <f t="shared" si="26"/>
        <v>88.766406256127425</v>
      </c>
    </row>
    <row r="50" spans="17:46" x14ac:dyDescent="0.3">
      <c r="Q50">
        <v>43</v>
      </c>
      <c r="R50" s="39">
        <f t="shared" si="0"/>
        <v>210</v>
      </c>
      <c r="S50" s="37">
        <f t="shared" si="30"/>
        <v>9.6319999999999999E-3</v>
      </c>
      <c r="T50" s="37">
        <f t="shared" si="2"/>
        <v>20</v>
      </c>
      <c r="U50" s="40">
        <f t="shared" si="31"/>
        <v>0.11237333333333334</v>
      </c>
      <c r="V50" s="39">
        <f t="shared" si="32"/>
        <v>1</v>
      </c>
      <c r="W50" s="37">
        <f t="shared" si="33"/>
        <v>0.86621752464378132</v>
      </c>
      <c r="X50" s="40">
        <f t="shared" si="34"/>
        <v>0.37384124747784248</v>
      </c>
      <c r="Y50" s="39">
        <f t="shared" si="35"/>
        <v>0.21127256698628813</v>
      </c>
      <c r="Z50" s="37">
        <f t="shared" si="28"/>
        <v>0.21127256698628813</v>
      </c>
      <c r="AA50" s="37">
        <f t="shared" si="29"/>
        <v>0.13583247566244289</v>
      </c>
      <c r="AB50" s="37">
        <v>0</v>
      </c>
      <c r="AC50" s="37">
        <f t="shared" si="36"/>
        <v>1.357953962321687E-2</v>
      </c>
      <c r="AD50" s="40">
        <f t="shared" si="19"/>
        <v>1.357953962321687E-2</v>
      </c>
      <c r="AE50" s="39">
        <f t="shared" si="27"/>
        <v>9.7339750635970529E-2</v>
      </c>
      <c r="AF50" s="37">
        <f t="shared" si="20"/>
        <v>0.11352616429561749</v>
      </c>
      <c r="AG50" s="37">
        <f t="shared" si="37"/>
        <v>6.3152130900410135E-5</v>
      </c>
      <c r="AH50" s="37">
        <f t="shared" si="38"/>
        <v>4.8598157150906447E-3</v>
      </c>
      <c r="AI50" s="40">
        <f t="shared" si="21"/>
        <v>4.9229678459910544E-3</v>
      </c>
      <c r="AJ50" s="39">
        <f t="shared" si="22"/>
        <v>4.2009787116576755E-2</v>
      </c>
      <c r="AK50" s="37">
        <f t="shared" si="39"/>
        <v>7.4580637332437708E-2</v>
      </c>
      <c r="AL50" s="37">
        <f t="shared" si="40"/>
        <v>8.8614399999999999E-3</v>
      </c>
      <c r="AM50" s="37">
        <f t="shared" si="41"/>
        <v>0.21092</v>
      </c>
      <c r="AN50" s="40">
        <f t="shared" si="23"/>
        <v>0.21978143999999999</v>
      </c>
      <c r="AO50" s="39">
        <f t="shared" si="42"/>
        <v>5.155275991870214E-4</v>
      </c>
      <c r="AP50" s="37">
        <f t="shared" si="43"/>
        <v>3.0375000000000007E-3</v>
      </c>
      <c r="AQ50" s="40">
        <f t="shared" si="44"/>
        <v>8.9999999999999993E-3</v>
      </c>
      <c r="AR50" s="39">
        <f t="shared" si="24"/>
        <v>0.25083697506839492</v>
      </c>
      <c r="AS50" s="37">
        <f t="shared" si="25"/>
        <v>2.0227200000000001</v>
      </c>
      <c r="AT50" s="40">
        <f t="shared" si="26"/>
        <v>88.967200830282735</v>
      </c>
    </row>
    <row r="51" spans="17:46" x14ac:dyDescent="0.3">
      <c r="Q51">
        <v>44</v>
      </c>
      <c r="R51" s="39">
        <f t="shared" si="0"/>
        <v>210</v>
      </c>
      <c r="S51" s="37">
        <f t="shared" si="30"/>
        <v>9.8560000000000002E-3</v>
      </c>
      <c r="T51" s="37">
        <f t="shared" si="2"/>
        <v>20</v>
      </c>
      <c r="U51" s="40">
        <f t="shared" si="31"/>
        <v>0.11498666666666667</v>
      </c>
      <c r="V51" s="39">
        <f t="shared" si="32"/>
        <v>1</v>
      </c>
      <c r="W51" s="37">
        <f t="shared" si="33"/>
        <v>0.87623193276666189</v>
      </c>
      <c r="X51" s="40">
        <f t="shared" si="34"/>
        <v>0.37816325519403299</v>
      </c>
      <c r="Y51" s="39">
        <f t="shared" si="35"/>
        <v>0.21371510555284437</v>
      </c>
      <c r="Z51" s="37">
        <f t="shared" si="28"/>
        <v>0.21371510555284437</v>
      </c>
      <c r="AA51" s="37">
        <f t="shared" si="29"/>
        <v>0.13819482550002163</v>
      </c>
      <c r="AB51" s="37">
        <v>0</v>
      </c>
      <c r="AC51" s="37">
        <f t="shared" si="36"/>
        <v>1.405598800910633E-2</v>
      </c>
      <c r="AD51" s="40">
        <f t="shared" si="19"/>
        <v>1.405598800910633E-2</v>
      </c>
      <c r="AE51" s="39">
        <f t="shared" si="27"/>
        <v>0.10075498917572923</v>
      </c>
      <c r="AF51" s="37">
        <f t="shared" si="20"/>
        <v>0.11550057074353622</v>
      </c>
      <c r="AG51" s="37">
        <f t="shared" si="37"/>
        <v>6.5367871026204816E-5</v>
      </c>
      <c r="AH51" s="37">
        <f t="shared" si="38"/>
        <v>4.9728346852090316E-3</v>
      </c>
      <c r="AI51" s="40">
        <f t="shared" si="21"/>
        <v>5.0382025562352361E-3</v>
      </c>
      <c r="AJ51" s="39">
        <f t="shared" si="22"/>
        <v>4.3483732170577875E-2</v>
      </c>
      <c r="AK51" s="37">
        <f t="shared" si="39"/>
        <v>7.5877717103895598E-2</v>
      </c>
      <c r="AL51" s="37">
        <f t="shared" si="40"/>
        <v>9.0675200000000008E-3</v>
      </c>
      <c r="AM51" s="37">
        <f t="shared" si="41"/>
        <v>0.21092</v>
      </c>
      <c r="AN51" s="40">
        <f t="shared" si="23"/>
        <v>0.21998751999999999</v>
      </c>
      <c r="AO51" s="39">
        <f t="shared" si="42"/>
        <v>5.3361527368330451E-4</v>
      </c>
      <c r="AP51" s="37">
        <f t="shared" si="43"/>
        <v>3.0375000000000007E-3</v>
      </c>
      <c r="AQ51" s="40">
        <f t="shared" si="44"/>
        <v>8.9999999999999993E-3</v>
      </c>
      <c r="AR51" s="39">
        <f t="shared" si="24"/>
        <v>0.25165282583902487</v>
      </c>
      <c r="AS51" s="37">
        <f t="shared" si="25"/>
        <v>2.06976</v>
      </c>
      <c r="AT51" s="40">
        <f t="shared" si="26"/>
        <v>89.159497051194663</v>
      </c>
    </row>
    <row r="52" spans="17:46" x14ac:dyDescent="0.3">
      <c r="Q52">
        <v>45</v>
      </c>
      <c r="R52" s="39">
        <f t="shared" si="0"/>
        <v>210</v>
      </c>
      <c r="S52" s="37">
        <f t="shared" si="30"/>
        <v>1.008E-2</v>
      </c>
      <c r="T52" s="37">
        <f t="shared" si="2"/>
        <v>20</v>
      </c>
      <c r="U52" s="40">
        <f t="shared" si="31"/>
        <v>0.1176</v>
      </c>
      <c r="V52" s="39">
        <f t="shared" si="32"/>
        <v>1</v>
      </c>
      <c r="W52" s="37">
        <f t="shared" si="33"/>
        <v>0.88613317283577642</v>
      </c>
      <c r="X52" s="40">
        <f t="shared" si="34"/>
        <v>0.38243642196070349</v>
      </c>
      <c r="Y52" s="39">
        <f t="shared" si="35"/>
        <v>0.21613004215506745</v>
      </c>
      <c r="Z52" s="37">
        <f t="shared" si="28"/>
        <v>0.21613004215506745</v>
      </c>
      <c r="AA52" s="37">
        <f t="shared" si="29"/>
        <v>0.14054378966228259</v>
      </c>
      <c r="AB52" s="37">
        <v>0</v>
      </c>
      <c r="AC52" s="37">
        <f t="shared" si="36"/>
        <v>1.4537881814100045E-2</v>
      </c>
      <c r="AD52" s="40">
        <f t="shared" si="19"/>
        <v>1.4537881814100045E-2</v>
      </c>
      <c r="AE52" s="39">
        <f t="shared" si="27"/>
        <v>0.1042092611254873</v>
      </c>
      <c r="AF52" s="37">
        <f t="shared" si="20"/>
        <v>0.11746378970210142</v>
      </c>
      <c r="AG52" s="37">
        <f t="shared" si="37"/>
        <v>6.7608935266779598E-5</v>
      </c>
      <c r="AH52" s="37">
        <f t="shared" si="38"/>
        <v>5.0858536553274186E-3</v>
      </c>
      <c r="AI52" s="40">
        <f t="shared" si="21"/>
        <v>5.1534625905941978E-3</v>
      </c>
      <c r="AJ52" s="39">
        <f t="shared" si="22"/>
        <v>4.4974523222578729E-2</v>
      </c>
      <c r="AK52" s="37">
        <f t="shared" si="39"/>
        <v>7.7167447291305549E-2</v>
      </c>
      <c r="AL52" s="37">
        <f t="shared" si="40"/>
        <v>9.2736000000000016E-3</v>
      </c>
      <c r="AM52" s="37">
        <f t="shared" si="41"/>
        <v>0.21092</v>
      </c>
      <c r="AN52" s="40">
        <f t="shared" si="23"/>
        <v>0.22019359999999999</v>
      </c>
      <c r="AO52" s="39">
        <f t="shared" si="42"/>
        <v>5.519096756471803E-4</v>
      </c>
      <c r="AP52" s="37">
        <f t="shared" si="43"/>
        <v>3.0375000000000007E-3</v>
      </c>
      <c r="AQ52" s="40">
        <f t="shared" si="44"/>
        <v>8.9999999999999993E-3</v>
      </c>
      <c r="AR52" s="39">
        <f t="shared" si="24"/>
        <v>0.25247435408034141</v>
      </c>
      <c r="AS52" s="37">
        <f t="shared" si="25"/>
        <v>2.1168</v>
      </c>
      <c r="AT52" s="40">
        <f t="shared" si="26"/>
        <v>89.343810958594446</v>
      </c>
    </row>
    <row r="53" spans="17:46" x14ac:dyDescent="0.3">
      <c r="Q53">
        <v>46</v>
      </c>
      <c r="R53" s="39">
        <f t="shared" si="0"/>
        <v>210</v>
      </c>
      <c r="S53" s="37">
        <f t="shared" si="30"/>
        <v>1.0304000000000001E-2</v>
      </c>
      <c r="T53" s="37">
        <f t="shared" si="2"/>
        <v>20</v>
      </c>
      <c r="U53" s="40">
        <f t="shared" si="31"/>
        <v>0.12021333333333334</v>
      </c>
      <c r="V53" s="39">
        <f t="shared" si="32"/>
        <v>1</v>
      </c>
      <c r="W53" s="37">
        <f t="shared" si="33"/>
        <v>0.89592499686078642</v>
      </c>
      <c r="X53" s="40">
        <f t="shared" si="34"/>
        <v>0.38666236706623414</v>
      </c>
      <c r="Y53" s="39">
        <f t="shared" si="35"/>
        <v>0.21851829191726496</v>
      </c>
      <c r="Z53" s="37">
        <f t="shared" si="28"/>
        <v>0.21851829191726496</v>
      </c>
      <c r="AA53" s="37">
        <f t="shared" si="29"/>
        <v>0.14287973900417272</v>
      </c>
      <c r="AB53" s="37">
        <v>0</v>
      </c>
      <c r="AC53" s="37">
        <f t="shared" si="36"/>
        <v>1.502516018597478E-2</v>
      </c>
      <c r="AD53" s="40">
        <f t="shared" si="19"/>
        <v>1.502516018597478E-2</v>
      </c>
      <c r="AE53" s="39">
        <f t="shared" si="27"/>
        <v>0.10770213028929135</v>
      </c>
      <c r="AF53" s="37">
        <f t="shared" si="20"/>
        <v>0.11941613112472768</v>
      </c>
      <c r="AG53" s="37">
        <f t="shared" si="37"/>
        <v>6.9875040626710971E-5</v>
      </c>
      <c r="AH53" s="37">
        <f t="shared" si="38"/>
        <v>5.1988726254458065E-3</v>
      </c>
      <c r="AI53" s="40">
        <f t="shared" si="21"/>
        <v>5.2687476660725173E-3</v>
      </c>
      <c r="AJ53" s="39">
        <f t="shared" si="22"/>
        <v>4.6481972019588896E-2</v>
      </c>
      <c r="AK53" s="37">
        <f t="shared" si="39"/>
        <v>7.8450031517535809E-2</v>
      </c>
      <c r="AL53" s="37">
        <f t="shared" si="40"/>
        <v>9.4796800000000007E-3</v>
      </c>
      <c r="AM53" s="37">
        <f t="shared" si="41"/>
        <v>0.21092</v>
      </c>
      <c r="AN53" s="40">
        <f t="shared" si="23"/>
        <v>0.22039967999999999</v>
      </c>
      <c r="AO53" s="39">
        <f t="shared" si="42"/>
        <v>5.7040849491192622E-4</v>
      </c>
      <c r="AP53" s="37">
        <f t="shared" si="43"/>
        <v>3.0375000000000007E-3</v>
      </c>
      <c r="AQ53" s="40">
        <f t="shared" si="44"/>
        <v>8.9999999999999993E-3</v>
      </c>
      <c r="AR53" s="39">
        <f t="shared" si="24"/>
        <v>0.2533014963469592</v>
      </c>
      <c r="AS53" s="37">
        <f t="shared" si="25"/>
        <v>2.16384</v>
      </c>
      <c r="AT53" s="40">
        <f t="shared" si="26"/>
        <v>89.520617773937715</v>
      </c>
    </row>
    <row r="54" spans="17:46" x14ac:dyDescent="0.3">
      <c r="Q54">
        <v>47</v>
      </c>
      <c r="R54" s="39">
        <f t="shared" si="0"/>
        <v>210</v>
      </c>
      <c r="S54" s="37">
        <f t="shared" si="30"/>
        <v>1.0527999999999999E-2</v>
      </c>
      <c r="T54" s="37">
        <f t="shared" si="2"/>
        <v>20</v>
      </c>
      <c r="U54" s="40">
        <f t="shared" si="31"/>
        <v>0.12282666666666667</v>
      </c>
      <c r="V54" s="39">
        <f t="shared" si="32"/>
        <v>2</v>
      </c>
      <c r="W54" s="37">
        <f t="shared" si="33"/>
        <v>0.90476190476190477</v>
      </c>
      <c r="X54" s="40">
        <f t="shared" si="34"/>
        <v>9.5238095238095233E-2</v>
      </c>
      <c r="Y54" s="39">
        <f t="shared" si="35"/>
        <v>0.22067363530778164</v>
      </c>
      <c r="Z54" s="37">
        <f t="shared" si="28"/>
        <v>0.2331634843205575</v>
      </c>
      <c r="AA54" s="37">
        <f t="shared" si="29"/>
        <v>0.13836351092119781</v>
      </c>
      <c r="AB54" s="37">
        <v>0</v>
      </c>
      <c r="AC54" s="37">
        <f t="shared" si="36"/>
        <v>1.4090323409668152E-2</v>
      </c>
      <c r="AD54" s="40">
        <f t="shared" si="19"/>
        <v>1.4090323409668152E-2</v>
      </c>
      <c r="AE54" s="39">
        <f t="shared" si="27"/>
        <v>0.11112888888888889</v>
      </c>
      <c r="AF54" s="37">
        <f t="shared" si="20"/>
        <v>0.13160995076259174</v>
      </c>
      <c r="AG54" s="37">
        <f t="shared" si="37"/>
        <v>8.4873777784685939E-5</v>
      </c>
      <c r="AH54" s="37">
        <f t="shared" si="38"/>
        <v>5.3118915955641935E-3</v>
      </c>
      <c r="AI54" s="40">
        <f t="shared" si="21"/>
        <v>5.3967653733488791E-3</v>
      </c>
      <c r="AJ54" s="39">
        <f t="shared" si="22"/>
        <v>1.1697777777777777E-2</v>
      </c>
      <c r="AK54" s="37">
        <f t="shared" si="39"/>
        <v>4.2699906495314632E-2</v>
      </c>
      <c r="AL54" s="37">
        <f t="shared" si="40"/>
        <v>9.6857599999999999E-3</v>
      </c>
      <c r="AM54" s="37">
        <f t="shared" si="41"/>
        <v>0.21092</v>
      </c>
      <c r="AN54" s="40">
        <f t="shared" si="23"/>
        <v>0.22060575999999998</v>
      </c>
      <c r="AO54" s="39">
        <f t="shared" si="42"/>
        <v>6.9284716558927289E-4</v>
      </c>
      <c r="AP54" s="37">
        <f t="shared" si="43"/>
        <v>3.0375000000000007E-3</v>
      </c>
      <c r="AQ54" s="40">
        <f t="shared" si="44"/>
        <v>8.9999999999999993E-3</v>
      </c>
      <c r="AR54" s="39">
        <f t="shared" si="24"/>
        <v>0.25282319594860625</v>
      </c>
      <c r="AS54" s="37">
        <f t="shared" si="25"/>
        <v>2.21088</v>
      </c>
      <c r="AT54" s="40">
        <f t="shared" si="26"/>
        <v>89.738082234728708</v>
      </c>
    </row>
    <row r="55" spans="17:46" x14ac:dyDescent="0.3">
      <c r="Q55">
        <v>48</v>
      </c>
      <c r="R55" s="39">
        <f t="shared" si="0"/>
        <v>210</v>
      </c>
      <c r="S55" s="37">
        <f t="shared" si="30"/>
        <v>1.0751999999999999E-2</v>
      </c>
      <c r="T55" s="37">
        <f t="shared" si="2"/>
        <v>20</v>
      </c>
      <c r="U55" s="40">
        <f t="shared" si="31"/>
        <v>0.12544</v>
      </c>
      <c r="V55" s="39">
        <f t="shared" si="32"/>
        <v>2</v>
      </c>
      <c r="W55" s="37">
        <f t="shared" si="33"/>
        <v>0.90476190476190477</v>
      </c>
      <c r="X55" s="40">
        <f t="shared" si="34"/>
        <v>9.5238095238095233E-2</v>
      </c>
      <c r="Y55" s="39">
        <f t="shared" si="35"/>
        <v>0.22067363530778164</v>
      </c>
      <c r="Z55" s="37">
        <f t="shared" si="28"/>
        <v>0.2357768176538908</v>
      </c>
      <c r="AA55" s="37">
        <f t="shared" si="29"/>
        <v>0.14068853794817823</v>
      </c>
      <c r="AB55" s="37">
        <v>0</v>
      </c>
      <c r="AC55" s="37">
        <f t="shared" si="36"/>
        <v>1.4567842826557046E-2</v>
      </c>
      <c r="AD55" s="40">
        <f t="shared" si="19"/>
        <v>1.4567842826557046E-2</v>
      </c>
      <c r="AE55" s="39">
        <f t="shared" si="27"/>
        <v>0.11349333333333333</v>
      </c>
      <c r="AF55" s="37">
        <f t="shared" si="20"/>
        <v>0.13382149259544429</v>
      </c>
      <c r="AG55" s="37">
        <f t="shared" si="37"/>
        <v>8.7750140214315519E-5</v>
      </c>
      <c r="AH55" s="37">
        <f t="shared" si="38"/>
        <v>5.4249105656825804E-3</v>
      </c>
      <c r="AI55" s="40">
        <f t="shared" si="21"/>
        <v>5.5126607058968956E-3</v>
      </c>
      <c r="AJ55" s="39">
        <f t="shared" si="22"/>
        <v>1.1946666666666666E-2</v>
      </c>
      <c r="AK55" s="37">
        <f t="shared" si="39"/>
        <v>4.3417425413345576E-2</v>
      </c>
      <c r="AL55" s="37">
        <f t="shared" si="40"/>
        <v>9.8918400000000007E-3</v>
      </c>
      <c r="AM55" s="37">
        <f t="shared" si="41"/>
        <v>0.21092</v>
      </c>
      <c r="AN55" s="40">
        <f t="shared" si="23"/>
        <v>0.22081184000000001</v>
      </c>
      <c r="AO55" s="39">
        <f t="shared" si="42"/>
        <v>7.1632767521890217E-4</v>
      </c>
      <c r="AP55" s="37">
        <f t="shared" si="43"/>
        <v>3.0375000000000007E-3</v>
      </c>
      <c r="AQ55" s="40">
        <f t="shared" si="44"/>
        <v>8.9999999999999993E-3</v>
      </c>
      <c r="AR55" s="39">
        <f t="shared" si="24"/>
        <v>0.25364617120767285</v>
      </c>
      <c r="AS55" s="37">
        <f t="shared" si="25"/>
        <v>2.2579199999999999</v>
      </c>
      <c r="AT55" s="40">
        <f t="shared" si="26"/>
        <v>89.900876428602785</v>
      </c>
    </row>
    <row r="56" spans="17:46" x14ac:dyDescent="0.3">
      <c r="Q56">
        <v>49</v>
      </c>
      <c r="R56" s="39">
        <f t="shared" si="0"/>
        <v>210</v>
      </c>
      <c r="S56" s="37">
        <f t="shared" si="30"/>
        <v>1.0976E-2</v>
      </c>
      <c r="T56" s="37">
        <f t="shared" si="2"/>
        <v>20</v>
      </c>
      <c r="U56" s="40">
        <f t="shared" si="31"/>
        <v>0.12805333333333332</v>
      </c>
      <c r="V56" s="39">
        <f t="shared" si="32"/>
        <v>2</v>
      </c>
      <c r="W56" s="37">
        <f t="shared" si="33"/>
        <v>0.90476190476190477</v>
      </c>
      <c r="X56" s="40">
        <f t="shared" si="34"/>
        <v>9.5238095238095233E-2</v>
      </c>
      <c r="Y56" s="39">
        <f t="shared" si="35"/>
        <v>0.22067363530778164</v>
      </c>
      <c r="Z56" s="37">
        <f t="shared" si="28"/>
        <v>0.23839015098722416</v>
      </c>
      <c r="AA56" s="37">
        <f t="shared" si="29"/>
        <v>0.14302352005098237</v>
      </c>
      <c r="AB56" s="37">
        <v>0</v>
      </c>
      <c r="AC56" s="37">
        <f t="shared" si="36"/>
        <v>1.5055415283801485E-2</v>
      </c>
      <c r="AD56" s="40">
        <f t="shared" si="19"/>
        <v>1.5055415283801485E-2</v>
      </c>
      <c r="AE56" s="39">
        <f t="shared" si="27"/>
        <v>0.11585777777777777</v>
      </c>
      <c r="AF56" s="37">
        <f t="shared" si="20"/>
        <v>0.1360425035941939</v>
      </c>
      <c r="AG56" s="37">
        <f t="shared" si="37"/>
        <v>9.0687057642463686E-5</v>
      </c>
      <c r="AH56" s="37">
        <f t="shared" si="38"/>
        <v>5.5379295358009674E-3</v>
      </c>
      <c r="AI56" s="40">
        <f t="shared" si="21"/>
        <v>5.628616593443431E-3</v>
      </c>
      <c r="AJ56" s="39">
        <f t="shared" si="22"/>
        <v>1.2195555555555553E-2</v>
      </c>
      <c r="AK56" s="37">
        <f t="shared" si="39"/>
        <v>4.4138016534474002E-2</v>
      </c>
      <c r="AL56" s="37">
        <f t="shared" si="40"/>
        <v>1.009792E-2</v>
      </c>
      <c r="AM56" s="37">
        <f t="shared" si="41"/>
        <v>0.21092</v>
      </c>
      <c r="AN56" s="40">
        <f t="shared" si="23"/>
        <v>0.22101792000000001</v>
      </c>
      <c r="AO56" s="39">
        <f t="shared" si="42"/>
        <v>7.4030251136705046E-4</v>
      </c>
      <c r="AP56" s="37">
        <f t="shared" si="43"/>
        <v>3.0375000000000007E-3</v>
      </c>
      <c r="AQ56" s="40">
        <f t="shared" si="44"/>
        <v>8.9999999999999993E-3</v>
      </c>
      <c r="AR56" s="39">
        <f t="shared" si="24"/>
        <v>0.25447975438861198</v>
      </c>
      <c r="AS56" s="37">
        <f t="shared" si="25"/>
        <v>2.3049599999999999</v>
      </c>
      <c r="AT56" s="40">
        <f t="shared" si="26"/>
        <v>90.057208654657273</v>
      </c>
    </row>
    <row r="57" spans="17:46" x14ac:dyDescent="0.3">
      <c r="Q57">
        <v>50</v>
      </c>
      <c r="R57" s="39">
        <f t="shared" si="0"/>
        <v>210</v>
      </c>
      <c r="S57" s="37">
        <f t="shared" si="30"/>
        <v>1.12E-2</v>
      </c>
      <c r="T57" s="37">
        <f t="shared" si="2"/>
        <v>20</v>
      </c>
      <c r="U57" s="40">
        <f t="shared" si="31"/>
        <v>0.13066666666666665</v>
      </c>
      <c r="V57" s="39">
        <f t="shared" si="32"/>
        <v>2</v>
      </c>
      <c r="W57" s="37">
        <f t="shared" si="33"/>
        <v>0.90476190476190477</v>
      </c>
      <c r="X57" s="40">
        <f t="shared" si="34"/>
        <v>9.5238095238095233E-2</v>
      </c>
      <c r="Y57" s="39">
        <f t="shared" si="35"/>
        <v>0.22067363530778164</v>
      </c>
      <c r="Z57" s="37">
        <f t="shared" si="28"/>
        <v>0.24100348432055746</v>
      </c>
      <c r="AA57" s="37">
        <f t="shared" si="29"/>
        <v>0.14536797751834396</v>
      </c>
      <c r="AB57" s="37">
        <v>0</v>
      </c>
      <c r="AC57" s="37">
        <f t="shared" si="36"/>
        <v>1.5553040781401484E-2</v>
      </c>
      <c r="AD57" s="40">
        <f t="shared" si="19"/>
        <v>1.5553040781401484E-2</v>
      </c>
      <c r="AE57" s="39">
        <f t="shared" si="27"/>
        <v>0.11822222222222221</v>
      </c>
      <c r="AF57" s="37">
        <f t="shared" si="20"/>
        <v>0.13827252746240998</v>
      </c>
      <c r="AG57" s="37">
        <f t="shared" si="37"/>
        <v>9.3684530069130319E-5</v>
      </c>
      <c r="AH57" s="37">
        <f t="shared" si="38"/>
        <v>5.6509485059193544E-3</v>
      </c>
      <c r="AI57" s="40">
        <f t="shared" si="21"/>
        <v>5.7446330359884846E-3</v>
      </c>
      <c r="AJ57" s="39">
        <f t="shared" si="22"/>
        <v>1.2444444444444442E-2</v>
      </c>
      <c r="AK57" s="37">
        <f t="shared" si="39"/>
        <v>4.4861531816589077E-2</v>
      </c>
      <c r="AL57" s="37">
        <f t="shared" si="40"/>
        <v>1.0304000000000001E-2</v>
      </c>
      <c r="AM57" s="37">
        <f t="shared" si="41"/>
        <v>0.21092</v>
      </c>
      <c r="AN57" s="40">
        <f t="shared" si="23"/>
        <v>0.221224</v>
      </c>
      <c r="AO57" s="39">
        <f t="shared" si="42"/>
        <v>7.6477167403371689E-4</v>
      </c>
      <c r="AP57" s="37">
        <f t="shared" si="43"/>
        <v>3.0375000000000007E-3</v>
      </c>
      <c r="AQ57" s="40">
        <f t="shared" si="44"/>
        <v>8.9999999999999993E-3</v>
      </c>
      <c r="AR57" s="39">
        <f t="shared" si="24"/>
        <v>0.25532394549142368</v>
      </c>
      <c r="AS57" s="37">
        <f t="shared" si="25"/>
        <v>2.3519999999999999</v>
      </c>
      <c r="AT57" s="40">
        <f t="shared" si="26"/>
        <v>90.20743295312694</v>
      </c>
    </row>
    <row r="58" spans="17:46" x14ac:dyDescent="0.3">
      <c r="Q58">
        <v>51</v>
      </c>
      <c r="R58" s="39">
        <f t="shared" si="0"/>
        <v>210</v>
      </c>
      <c r="S58" s="37">
        <f t="shared" si="30"/>
        <v>1.1424E-2</v>
      </c>
      <c r="T58" s="37">
        <f t="shared" si="2"/>
        <v>20</v>
      </c>
      <c r="U58" s="40">
        <f t="shared" si="31"/>
        <v>0.13327999999999998</v>
      </c>
      <c r="V58" s="39">
        <f t="shared" si="32"/>
        <v>2</v>
      </c>
      <c r="W58" s="37">
        <f t="shared" si="33"/>
        <v>0.90476190476190477</v>
      </c>
      <c r="X58" s="40">
        <f t="shared" si="34"/>
        <v>9.5238095238095233E-2</v>
      </c>
      <c r="Y58" s="39">
        <f t="shared" si="35"/>
        <v>0.22067363530778164</v>
      </c>
      <c r="Z58" s="37">
        <f t="shared" si="28"/>
        <v>0.24361681765389082</v>
      </c>
      <c r="AA58" s="37">
        <f t="shared" si="29"/>
        <v>0.1477214592061559</v>
      </c>
      <c r="AB58" s="37">
        <v>0</v>
      </c>
      <c r="AC58" s="37">
        <f t="shared" si="36"/>
        <v>1.6060719319357042E-2</v>
      </c>
      <c r="AD58" s="40">
        <f t="shared" si="19"/>
        <v>1.6060719319357042E-2</v>
      </c>
      <c r="AE58" s="39">
        <f t="shared" si="27"/>
        <v>0.12058666666666665</v>
      </c>
      <c r="AF58" s="37">
        <f t="shared" si="20"/>
        <v>0.14051113507645061</v>
      </c>
      <c r="AG58" s="37">
        <f t="shared" si="37"/>
        <v>9.6742557494315499E-5</v>
      </c>
      <c r="AH58" s="37">
        <f t="shared" si="38"/>
        <v>5.7639674760377414E-3</v>
      </c>
      <c r="AI58" s="40">
        <f t="shared" si="21"/>
        <v>5.8607100335320572E-3</v>
      </c>
      <c r="AJ58" s="39">
        <f t="shared" si="22"/>
        <v>1.2693333333333331E-2</v>
      </c>
      <c r="AK58" s="37">
        <f t="shared" si="39"/>
        <v>4.558783203359671E-2</v>
      </c>
      <c r="AL58" s="37">
        <f t="shared" si="40"/>
        <v>1.051008E-2</v>
      </c>
      <c r="AM58" s="37">
        <f t="shared" si="41"/>
        <v>0.21092</v>
      </c>
      <c r="AN58" s="40">
        <f t="shared" si="23"/>
        <v>0.22143008</v>
      </c>
      <c r="AO58" s="39">
        <f t="shared" si="42"/>
        <v>7.897351632189019E-4</v>
      </c>
      <c r="AP58" s="37">
        <f t="shared" si="43"/>
        <v>3.0375000000000007E-3</v>
      </c>
      <c r="AQ58" s="40">
        <f t="shared" si="44"/>
        <v>8.9999999999999993E-3</v>
      </c>
      <c r="AR58" s="39">
        <f t="shared" si="24"/>
        <v>0.256178744516108</v>
      </c>
      <c r="AS58" s="37">
        <f t="shared" si="25"/>
        <v>2.3990399999999998</v>
      </c>
      <c r="AT58" s="40">
        <f t="shared" si="26"/>
        <v>90.351877974453103</v>
      </c>
    </row>
    <row r="59" spans="17:46" x14ac:dyDescent="0.3">
      <c r="Q59">
        <v>52</v>
      </c>
      <c r="R59" s="39">
        <f t="shared" si="0"/>
        <v>210</v>
      </c>
      <c r="S59" s="37">
        <f t="shared" si="30"/>
        <v>1.1648E-2</v>
      </c>
      <c r="T59" s="37">
        <f t="shared" si="2"/>
        <v>20</v>
      </c>
      <c r="U59" s="40">
        <f t="shared" si="31"/>
        <v>0.13589333333333334</v>
      </c>
      <c r="V59" s="39">
        <f t="shared" si="32"/>
        <v>2</v>
      </c>
      <c r="W59" s="37">
        <f t="shared" si="33"/>
        <v>0.90476190476190477</v>
      </c>
      <c r="X59" s="40">
        <f t="shared" si="34"/>
        <v>9.5238095238095233E-2</v>
      </c>
      <c r="Y59" s="39">
        <f t="shared" si="35"/>
        <v>0.22067363530778164</v>
      </c>
      <c r="Z59" s="37">
        <f t="shared" si="28"/>
        <v>0.24623015098722417</v>
      </c>
      <c r="AA59" s="37">
        <f t="shared" si="29"/>
        <v>0.1500835405847038</v>
      </c>
      <c r="AB59" s="37">
        <v>0</v>
      </c>
      <c r="AC59" s="37">
        <f t="shared" si="36"/>
        <v>1.657845089766816E-2</v>
      </c>
      <c r="AD59" s="40">
        <f t="shared" si="19"/>
        <v>1.657845089766816E-2</v>
      </c>
      <c r="AE59" s="39">
        <f t="shared" si="27"/>
        <v>0.12295111111111112</v>
      </c>
      <c r="AF59" s="37">
        <f t="shared" si="20"/>
        <v>0.14275792262801096</v>
      </c>
      <c r="AG59" s="37">
        <f t="shared" si="37"/>
        <v>9.9861139918019321E-5</v>
      </c>
      <c r="AH59" s="37">
        <f t="shared" si="38"/>
        <v>5.8769864461561284E-3</v>
      </c>
      <c r="AI59" s="40">
        <f t="shared" si="21"/>
        <v>5.976847586074148E-3</v>
      </c>
      <c r="AJ59" s="39">
        <f t="shared" si="22"/>
        <v>1.2942222222222221E-2</v>
      </c>
      <c r="AK59" s="37">
        <f t="shared" si="39"/>
        <v>4.6316786172782759E-2</v>
      </c>
      <c r="AL59" s="37">
        <f t="shared" si="40"/>
        <v>1.0716160000000001E-2</v>
      </c>
      <c r="AM59" s="37">
        <f t="shared" si="41"/>
        <v>0.21092</v>
      </c>
      <c r="AN59" s="40">
        <f t="shared" si="23"/>
        <v>0.22163616</v>
      </c>
      <c r="AO59" s="39">
        <f t="shared" si="42"/>
        <v>8.1519297892260656E-4</v>
      </c>
      <c r="AP59" s="37">
        <f t="shared" si="43"/>
        <v>3.0375000000000007E-3</v>
      </c>
      <c r="AQ59" s="40">
        <f t="shared" si="44"/>
        <v>8.9999999999999993E-3</v>
      </c>
      <c r="AR59" s="39">
        <f t="shared" si="24"/>
        <v>0.2570441514626649</v>
      </c>
      <c r="AS59" s="37">
        <f t="shared" si="25"/>
        <v>2.4460800000000003</v>
      </c>
      <c r="AT59" s="40">
        <f t="shared" si="26"/>
        <v>90.490849215209806</v>
      </c>
    </row>
    <row r="60" spans="17:46" x14ac:dyDescent="0.3">
      <c r="Q60">
        <v>53</v>
      </c>
      <c r="R60" s="39">
        <f t="shared" si="0"/>
        <v>210</v>
      </c>
      <c r="S60" s="37">
        <f t="shared" si="30"/>
        <v>1.1872000000000001E-2</v>
      </c>
      <c r="T60" s="37">
        <f t="shared" si="2"/>
        <v>20</v>
      </c>
      <c r="U60" s="40">
        <f t="shared" si="31"/>
        <v>0.13850666666666667</v>
      </c>
      <c r="V60" s="39">
        <f t="shared" si="32"/>
        <v>2</v>
      </c>
      <c r="W60" s="37">
        <f t="shared" si="33"/>
        <v>0.90476190476190477</v>
      </c>
      <c r="X60" s="40">
        <f t="shared" si="34"/>
        <v>9.5238095238095233E-2</v>
      </c>
      <c r="Y60" s="39">
        <f t="shared" si="35"/>
        <v>0.22067363530778164</v>
      </c>
      <c r="Z60" s="37">
        <f t="shared" si="28"/>
        <v>0.24884348432055747</v>
      </c>
      <c r="AA60" s="37">
        <f t="shared" si="29"/>
        <v>0.15245382193014084</v>
      </c>
      <c r="AB60" s="37">
        <v>0</v>
      </c>
      <c r="AC60" s="37">
        <f t="shared" si="36"/>
        <v>1.710623551633482E-2</v>
      </c>
      <c r="AD60" s="40">
        <f t="shared" si="19"/>
        <v>1.710623551633482E-2</v>
      </c>
      <c r="AE60" s="39">
        <f t="shared" si="27"/>
        <v>0.12531555555555557</v>
      </c>
      <c r="AF60" s="37">
        <f t="shared" si="20"/>
        <v>0.14501250990387243</v>
      </c>
      <c r="AG60" s="37">
        <f t="shared" si="37"/>
        <v>1.0304027734024145E-4</v>
      </c>
      <c r="AH60" s="37">
        <f t="shared" si="38"/>
        <v>5.9900054162745154E-3</v>
      </c>
      <c r="AI60" s="40">
        <f t="shared" si="21"/>
        <v>6.0930456936147568E-3</v>
      </c>
      <c r="AJ60" s="39">
        <f t="shared" si="22"/>
        <v>1.319111111111111E-2</v>
      </c>
      <c r="AK60" s="37">
        <f t="shared" si="39"/>
        <v>4.7048270876689925E-2</v>
      </c>
      <c r="AL60" s="37">
        <f t="shared" si="40"/>
        <v>1.0922240000000001E-2</v>
      </c>
      <c r="AM60" s="37">
        <f t="shared" si="41"/>
        <v>0.21092</v>
      </c>
      <c r="AN60" s="40">
        <f t="shared" si="23"/>
        <v>0.22184224</v>
      </c>
      <c r="AO60" s="39">
        <f t="shared" si="42"/>
        <v>8.4114512114482807E-4</v>
      </c>
      <c r="AP60" s="37">
        <f t="shared" si="43"/>
        <v>3.0375000000000007E-3</v>
      </c>
      <c r="AQ60" s="40">
        <f t="shared" si="44"/>
        <v>8.9999999999999993E-3</v>
      </c>
      <c r="AR60" s="39">
        <f t="shared" si="24"/>
        <v>0.25792016633109438</v>
      </c>
      <c r="AS60" s="37">
        <f t="shared" si="25"/>
        <v>2.4931200000000002</v>
      </c>
      <c r="AT60" s="40">
        <f t="shared" si="26"/>
        <v>90.624631021833906</v>
      </c>
    </row>
    <row r="61" spans="17:46" x14ac:dyDescent="0.3">
      <c r="Q61">
        <v>54</v>
      </c>
      <c r="R61" s="39">
        <f t="shared" si="0"/>
        <v>210</v>
      </c>
      <c r="S61" s="37">
        <f t="shared" si="30"/>
        <v>1.2095999999999999E-2</v>
      </c>
      <c r="T61" s="37">
        <f t="shared" si="2"/>
        <v>20</v>
      </c>
      <c r="U61" s="40">
        <f t="shared" si="31"/>
        <v>0.14112</v>
      </c>
      <c r="V61" s="39">
        <f t="shared" si="32"/>
        <v>2</v>
      </c>
      <c r="W61" s="37">
        <f t="shared" si="33"/>
        <v>0.90476190476190477</v>
      </c>
      <c r="X61" s="40">
        <f t="shared" si="34"/>
        <v>9.5238095238095233E-2</v>
      </c>
      <c r="Y61" s="39">
        <f t="shared" si="35"/>
        <v>0.22067363530778164</v>
      </c>
      <c r="Z61" s="37">
        <f t="shared" si="28"/>
        <v>0.25145681765389083</v>
      </c>
      <c r="AA61" s="37">
        <f t="shared" si="29"/>
        <v>0.15483192664949946</v>
      </c>
      <c r="AB61" s="37">
        <v>0</v>
      </c>
      <c r="AC61" s="37">
        <f t="shared" si="36"/>
        <v>1.7644073175357041E-2</v>
      </c>
      <c r="AD61" s="40">
        <f t="shared" si="19"/>
        <v>1.7644073175357041E-2</v>
      </c>
      <c r="AE61" s="39">
        <f t="shared" si="27"/>
        <v>0.12767999999999999</v>
      </c>
      <c r="AF61" s="37">
        <f t="shared" si="20"/>
        <v>0.1472745386926716</v>
      </c>
      <c r="AG61" s="37">
        <f t="shared" si="37"/>
        <v>1.0627996976098221E-4</v>
      </c>
      <c r="AH61" s="37">
        <f t="shared" si="38"/>
        <v>6.1030243863929015E-3</v>
      </c>
      <c r="AI61" s="40">
        <f t="shared" si="21"/>
        <v>6.2093043561538839E-3</v>
      </c>
      <c r="AJ61" s="39">
        <f t="shared" si="22"/>
        <v>1.3439999999999999E-2</v>
      </c>
      <c r="AK61" s="37">
        <f t="shared" si="39"/>
        <v>4.778216992620532E-2</v>
      </c>
      <c r="AL61" s="37">
        <f t="shared" si="40"/>
        <v>1.1128319999999999E-2</v>
      </c>
      <c r="AM61" s="37">
        <f t="shared" si="41"/>
        <v>0.21092</v>
      </c>
      <c r="AN61" s="40">
        <f t="shared" si="23"/>
        <v>0.22204831999999999</v>
      </c>
      <c r="AO61" s="39">
        <f t="shared" si="42"/>
        <v>8.6759158988556891E-4</v>
      </c>
      <c r="AP61" s="37">
        <f t="shared" si="43"/>
        <v>3.0375000000000007E-3</v>
      </c>
      <c r="AQ61" s="40">
        <f t="shared" si="44"/>
        <v>8.9999999999999993E-3</v>
      </c>
      <c r="AR61" s="39">
        <f t="shared" si="24"/>
        <v>0.25880678912139649</v>
      </c>
      <c r="AS61" s="37">
        <f t="shared" si="25"/>
        <v>2.5401599999999998</v>
      </c>
      <c r="AT61" s="40">
        <f t="shared" si="26"/>
        <v>90.753488389812702</v>
      </c>
    </row>
    <row r="62" spans="17:46" x14ac:dyDescent="0.3">
      <c r="Q62">
        <v>55</v>
      </c>
      <c r="R62" s="39">
        <f t="shared" si="0"/>
        <v>210</v>
      </c>
      <c r="S62" s="37">
        <f t="shared" si="30"/>
        <v>1.2319999999999999E-2</v>
      </c>
      <c r="T62" s="37">
        <f t="shared" si="2"/>
        <v>20</v>
      </c>
      <c r="U62" s="40">
        <f t="shared" si="31"/>
        <v>0.14373333333333332</v>
      </c>
      <c r="V62" s="39">
        <f t="shared" si="32"/>
        <v>2</v>
      </c>
      <c r="W62" s="37">
        <f t="shared" si="33"/>
        <v>0.90476190476190477</v>
      </c>
      <c r="X62" s="40">
        <f t="shared" si="34"/>
        <v>9.5238095238095233E-2</v>
      </c>
      <c r="Y62" s="39">
        <f t="shared" si="35"/>
        <v>0.22067363530778164</v>
      </c>
      <c r="Z62" s="37">
        <f t="shared" si="28"/>
        <v>0.25407015098722413</v>
      </c>
      <c r="AA62" s="37">
        <f t="shared" si="29"/>
        <v>0.15721749972921936</v>
      </c>
      <c r="AB62" s="37">
        <v>0</v>
      </c>
      <c r="AC62" s="37">
        <f t="shared" si="36"/>
        <v>1.8191963874734818E-2</v>
      </c>
      <c r="AD62" s="40">
        <f t="shared" si="19"/>
        <v>1.8191963874734818E-2</v>
      </c>
      <c r="AE62" s="39">
        <f t="shared" si="27"/>
        <v>0.13004444444444443</v>
      </c>
      <c r="AF62" s="37">
        <f t="shared" si="20"/>
        <v>0.14954367130915536</v>
      </c>
      <c r="AG62" s="37">
        <f t="shared" si="37"/>
        <v>1.0958021718024142E-4</v>
      </c>
      <c r="AH62" s="37">
        <f t="shared" si="38"/>
        <v>6.2160433565112893E-3</v>
      </c>
      <c r="AI62" s="40">
        <f t="shared" si="21"/>
        <v>6.3256235736915307E-3</v>
      </c>
      <c r="AJ62" s="39">
        <f t="shared" si="22"/>
        <v>1.3688888888888888E-2</v>
      </c>
      <c r="AK62" s="37">
        <f t="shared" si="39"/>
        <v>4.8518373761765647E-2</v>
      </c>
      <c r="AL62" s="37">
        <f t="shared" si="40"/>
        <v>1.13344E-2</v>
      </c>
      <c r="AM62" s="37">
        <f t="shared" si="41"/>
        <v>0.21092</v>
      </c>
      <c r="AN62" s="40">
        <f t="shared" si="23"/>
        <v>0.22225439999999999</v>
      </c>
      <c r="AO62" s="39">
        <f t="shared" si="42"/>
        <v>8.9453238514482778E-4</v>
      </c>
      <c r="AP62" s="37">
        <f t="shared" si="43"/>
        <v>3.0375000000000007E-3</v>
      </c>
      <c r="AQ62" s="40">
        <f t="shared" si="44"/>
        <v>8.9999999999999993E-3</v>
      </c>
      <c r="AR62" s="39">
        <f t="shared" si="24"/>
        <v>0.25970401983357122</v>
      </c>
      <c r="AS62" s="37">
        <f t="shared" si="25"/>
        <v>2.5871999999999997</v>
      </c>
      <c r="AT62" s="40">
        <f t="shared" si="26"/>
        <v>90.877668582281416</v>
      </c>
    </row>
    <row r="63" spans="17:46" x14ac:dyDescent="0.3">
      <c r="Q63">
        <v>56</v>
      </c>
      <c r="R63" s="39">
        <f t="shared" si="0"/>
        <v>210</v>
      </c>
      <c r="S63" s="37">
        <f t="shared" si="30"/>
        <v>1.2544E-2</v>
      </c>
      <c r="T63" s="37">
        <f t="shared" si="2"/>
        <v>20</v>
      </c>
      <c r="U63" s="40">
        <f t="shared" si="31"/>
        <v>0.14634666666666668</v>
      </c>
      <c r="V63" s="39">
        <f t="shared" si="32"/>
        <v>2</v>
      </c>
      <c r="W63" s="37">
        <f t="shared" si="33"/>
        <v>0.90476190476190477</v>
      </c>
      <c r="X63" s="40">
        <f t="shared" si="34"/>
        <v>9.5238095238095233E-2</v>
      </c>
      <c r="Y63" s="39">
        <f t="shared" si="35"/>
        <v>0.22067363530778164</v>
      </c>
      <c r="Z63" s="37">
        <f t="shared" si="28"/>
        <v>0.25668348432055749</v>
      </c>
      <c r="AA63" s="37">
        <f t="shared" si="29"/>
        <v>0.15961020629784436</v>
      </c>
      <c r="AB63" s="37">
        <v>0</v>
      </c>
      <c r="AC63" s="37">
        <f t="shared" si="36"/>
        <v>1.874990761446816E-2</v>
      </c>
      <c r="AD63" s="40">
        <f t="shared" si="19"/>
        <v>1.874990761446816E-2</v>
      </c>
      <c r="AE63" s="39">
        <f t="shared" si="27"/>
        <v>0.13240888888888891</v>
      </c>
      <c r="AF63" s="37">
        <f t="shared" si="20"/>
        <v>0.1518195892270334</v>
      </c>
      <c r="AG63" s="37">
        <f t="shared" si="37"/>
        <v>1.1294101959801927E-4</v>
      </c>
      <c r="AH63" s="37">
        <f t="shared" si="38"/>
        <v>6.329062326629678E-3</v>
      </c>
      <c r="AI63" s="40">
        <f t="shared" si="21"/>
        <v>6.4420033462276975E-3</v>
      </c>
      <c r="AJ63" s="39">
        <f t="shared" si="22"/>
        <v>1.3937777777777778E-2</v>
      </c>
      <c r="AK63" s="37">
        <f t="shared" si="39"/>
        <v>4.9256779039795917E-2</v>
      </c>
      <c r="AL63" s="37">
        <f t="shared" si="40"/>
        <v>1.1540480000000001E-2</v>
      </c>
      <c r="AM63" s="37">
        <f t="shared" si="41"/>
        <v>0.21092</v>
      </c>
      <c r="AN63" s="40">
        <f t="shared" si="23"/>
        <v>0.22246047999999999</v>
      </c>
      <c r="AO63" s="39">
        <f t="shared" si="42"/>
        <v>9.219675069226062E-4</v>
      </c>
      <c r="AP63" s="37">
        <f t="shared" si="43"/>
        <v>3.0375000000000007E-3</v>
      </c>
      <c r="AQ63" s="40">
        <f t="shared" si="44"/>
        <v>8.9999999999999993E-3</v>
      </c>
      <c r="AR63" s="39">
        <f t="shared" si="24"/>
        <v>0.26061185846761847</v>
      </c>
      <c r="AS63" s="37">
        <f t="shared" si="25"/>
        <v>2.6342400000000001</v>
      </c>
      <c r="AT63" s="40">
        <f t="shared" si="26"/>
        <v>90.997402588829786</v>
      </c>
    </row>
    <row r="64" spans="17:46" x14ac:dyDescent="0.3">
      <c r="Q64">
        <v>57</v>
      </c>
      <c r="R64" s="39">
        <f t="shared" si="0"/>
        <v>210</v>
      </c>
      <c r="S64" s="37">
        <f t="shared" si="30"/>
        <v>1.2768E-2</v>
      </c>
      <c r="T64" s="37">
        <f t="shared" si="2"/>
        <v>20</v>
      </c>
      <c r="U64" s="40">
        <f t="shared" si="31"/>
        <v>0.14896000000000001</v>
      </c>
      <c r="V64" s="39">
        <f t="shared" si="32"/>
        <v>2</v>
      </c>
      <c r="W64" s="37">
        <f t="shared" si="33"/>
        <v>0.90476190476190477</v>
      </c>
      <c r="X64" s="40">
        <f t="shared" si="34"/>
        <v>9.5238095238095233E-2</v>
      </c>
      <c r="Y64" s="39">
        <f t="shared" si="35"/>
        <v>0.22067363530778164</v>
      </c>
      <c r="Z64" s="37">
        <f t="shared" si="28"/>
        <v>0.25929681765389084</v>
      </c>
      <c r="AA64" s="37">
        <f t="shared" si="29"/>
        <v>0.16200973029418939</v>
      </c>
      <c r="AB64" s="37">
        <v>0</v>
      </c>
      <c r="AC64" s="37">
        <f t="shared" si="36"/>
        <v>1.9317904394557044E-2</v>
      </c>
      <c r="AD64" s="40">
        <f t="shared" si="19"/>
        <v>1.9317904394557044E-2</v>
      </c>
      <c r="AE64" s="39">
        <f t="shared" si="27"/>
        <v>0.13477333333333336</v>
      </c>
      <c r="AF64" s="37">
        <f t="shared" si="20"/>
        <v>0.15410199181215198</v>
      </c>
      <c r="AG64" s="37">
        <f t="shared" si="37"/>
        <v>1.1636237701431554E-4</v>
      </c>
      <c r="AH64" s="37">
        <f t="shared" si="38"/>
        <v>6.4420812967480642E-3</v>
      </c>
      <c r="AI64" s="40">
        <f t="shared" si="21"/>
        <v>6.5584436737623798E-3</v>
      </c>
      <c r="AJ64" s="39">
        <f t="shared" si="22"/>
        <v>1.4186666666666667E-2</v>
      </c>
      <c r="AK64" s="37">
        <f t="shared" si="39"/>
        <v>4.9997288221696856E-2</v>
      </c>
      <c r="AL64" s="37">
        <f t="shared" si="40"/>
        <v>1.174656E-2</v>
      </c>
      <c r="AM64" s="37">
        <f t="shared" si="41"/>
        <v>0.21092</v>
      </c>
      <c r="AN64" s="40">
        <f t="shared" si="23"/>
        <v>0.22266655999999999</v>
      </c>
      <c r="AO64" s="39">
        <f t="shared" si="42"/>
        <v>9.4989695521890223E-4</v>
      </c>
      <c r="AP64" s="37">
        <f t="shared" si="43"/>
        <v>3.0375000000000007E-3</v>
      </c>
      <c r="AQ64" s="40">
        <f t="shared" si="44"/>
        <v>8.9999999999999993E-3</v>
      </c>
      <c r="AR64" s="39">
        <f t="shared" si="24"/>
        <v>0.26153030502353836</v>
      </c>
      <c r="AS64" s="37">
        <f t="shared" si="25"/>
        <v>2.6812800000000001</v>
      </c>
      <c r="AT64" s="40">
        <f t="shared" si="26"/>
        <v>91.11290644262418</v>
      </c>
    </row>
    <row r="65" spans="17:46" x14ac:dyDescent="0.3">
      <c r="Q65">
        <v>58</v>
      </c>
      <c r="R65" s="39">
        <f t="shared" si="0"/>
        <v>210</v>
      </c>
      <c r="S65" s="37">
        <f t="shared" si="30"/>
        <v>1.2992E-2</v>
      </c>
      <c r="T65" s="37">
        <f t="shared" si="2"/>
        <v>20</v>
      </c>
      <c r="U65" s="40">
        <f t="shared" si="31"/>
        <v>0.15157333333333334</v>
      </c>
      <c r="V65" s="39">
        <f t="shared" si="32"/>
        <v>2</v>
      </c>
      <c r="W65" s="37">
        <f t="shared" si="33"/>
        <v>0.90476190476190477</v>
      </c>
      <c r="X65" s="40">
        <f t="shared" si="34"/>
        <v>9.5238095238095233E-2</v>
      </c>
      <c r="Y65" s="39">
        <f t="shared" si="35"/>
        <v>0.22067363530778164</v>
      </c>
      <c r="Z65" s="37">
        <f t="shared" si="28"/>
        <v>0.26191015098722414</v>
      </c>
      <c r="AA65" s="37">
        <f t="shared" si="29"/>
        <v>0.16441577323290416</v>
      </c>
      <c r="AB65" s="37">
        <v>0</v>
      </c>
      <c r="AC65" s="37">
        <f t="shared" si="36"/>
        <v>1.9895954215001489E-2</v>
      </c>
      <c r="AD65" s="40">
        <f t="shared" si="19"/>
        <v>1.9895954215001489E-2</v>
      </c>
      <c r="AE65" s="39">
        <f t="shared" si="27"/>
        <v>0.13713777777777778</v>
      </c>
      <c r="AF65" s="37">
        <f t="shared" si="20"/>
        <v>0.15639059514831105</v>
      </c>
      <c r="AG65" s="37">
        <f t="shared" si="37"/>
        <v>1.1984428942913037E-4</v>
      </c>
      <c r="AH65" s="37">
        <f t="shared" si="38"/>
        <v>6.5551002668664511E-3</v>
      </c>
      <c r="AI65" s="40">
        <f t="shared" si="21"/>
        <v>6.6749445562955811E-3</v>
      </c>
      <c r="AJ65" s="39">
        <f t="shared" si="22"/>
        <v>1.4435555555555556E-2</v>
      </c>
      <c r="AK65" s="37">
        <f t="shared" si="39"/>
        <v>5.0739809192889507E-2</v>
      </c>
      <c r="AL65" s="37">
        <f t="shared" si="40"/>
        <v>1.195264E-2</v>
      </c>
      <c r="AM65" s="37">
        <f t="shared" si="41"/>
        <v>0.21092</v>
      </c>
      <c r="AN65" s="40">
        <f t="shared" si="23"/>
        <v>0.22287264000000001</v>
      </c>
      <c r="AO65" s="39">
        <f t="shared" si="42"/>
        <v>9.7832073003371726E-4</v>
      </c>
      <c r="AP65" s="37">
        <f t="shared" si="43"/>
        <v>3.0375000000000007E-3</v>
      </c>
      <c r="AQ65" s="40">
        <f t="shared" si="44"/>
        <v>8.9999999999999993E-3</v>
      </c>
      <c r="AR65" s="39">
        <f t="shared" si="24"/>
        <v>0.26245935950133081</v>
      </c>
      <c r="AS65" s="37">
        <f t="shared" si="25"/>
        <v>2.7283200000000001</v>
      </c>
      <c r="AT65" s="40">
        <f t="shared" si="26"/>
        <v>91.224382411643631</v>
      </c>
    </row>
    <row r="66" spans="17:46" x14ac:dyDescent="0.3">
      <c r="Q66">
        <v>59</v>
      </c>
      <c r="R66" s="39">
        <f t="shared" si="0"/>
        <v>210</v>
      </c>
      <c r="S66" s="37">
        <f t="shared" si="30"/>
        <v>1.3216E-2</v>
      </c>
      <c r="T66" s="37">
        <f t="shared" si="2"/>
        <v>20</v>
      </c>
      <c r="U66" s="40">
        <f t="shared" si="31"/>
        <v>0.15418666666666667</v>
      </c>
      <c r="V66" s="39">
        <f t="shared" si="32"/>
        <v>2</v>
      </c>
      <c r="W66" s="37">
        <f t="shared" si="33"/>
        <v>0.90476190476190477</v>
      </c>
      <c r="X66" s="40">
        <f t="shared" si="34"/>
        <v>9.5238095238095233E-2</v>
      </c>
      <c r="Y66" s="39">
        <f t="shared" si="35"/>
        <v>0.22067363530778164</v>
      </c>
      <c r="Z66" s="37">
        <f t="shared" si="28"/>
        <v>0.2645234843205575</v>
      </c>
      <c r="AA66" s="37">
        <f t="shared" si="29"/>
        <v>0.1668280530599508</v>
      </c>
      <c r="AB66" s="37">
        <v>0</v>
      </c>
      <c r="AC66" s="37">
        <f t="shared" si="36"/>
        <v>2.0484057075801487E-2</v>
      </c>
      <c r="AD66" s="40">
        <f t="shared" si="19"/>
        <v>2.0484057075801487E-2</v>
      </c>
      <c r="AE66" s="39">
        <f t="shared" si="27"/>
        <v>0.13950222222222222</v>
      </c>
      <c r="AF66" s="37">
        <f t="shared" si="20"/>
        <v>0.15868513094860609</v>
      </c>
      <c r="AG66" s="37">
        <f t="shared" si="37"/>
        <v>1.2338675684246371E-4</v>
      </c>
      <c r="AH66" s="37">
        <f t="shared" si="38"/>
        <v>6.6681192369848373E-3</v>
      </c>
      <c r="AI66" s="40">
        <f t="shared" si="21"/>
        <v>6.7915059938273006E-3</v>
      </c>
      <c r="AJ66" s="39">
        <f t="shared" si="22"/>
        <v>1.4684444444444444E-2</v>
      </c>
      <c r="AK66" s="37">
        <f t="shared" si="39"/>
        <v>5.1484254909608056E-2</v>
      </c>
      <c r="AL66" s="37">
        <f t="shared" si="40"/>
        <v>1.2158720000000001E-2</v>
      </c>
      <c r="AM66" s="37">
        <f t="shared" si="41"/>
        <v>0.21092</v>
      </c>
      <c r="AN66" s="40">
        <f t="shared" si="23"/>
        <v>0.22307872000000001</v>
      </c>
      <c r="AO66" s="39">
        <f t="shared" si="42"/>
        <v>1.0072388313670504E-3</v>
      </c>
      <c r="AP66" s="37">
        <f t="shared" si="43"/>
        <v>3.0375000000000007E-3</v>
      </c>
      <c r="AQ66" s="40">
        <f t="shared" si="44"/>
        <v>8.9999999999999993E-3</v>
      </c>
      <c r="AR66" s="39">
        <f t="shared" si="24"/>
        <v>0.2633990219009959</v>
      </c>
      <c r="AS66" s="37">
        <f t="shared" si="25"/>
        <v>2.77536</v>
      </c>
      <c r="AT66" s="40">
        <f t="shared" si="26"/>
        <v>91.332020077846849</v>
      </c>
    </row>
    <row r="67" spans="17:46" x14ac:dyDescent="0.3">
      <c r="Q67">
        <v>60</v>
      </c>
      <c r="R67" s="39">
        <f t="shared" si="0"/>
        <v>210</v>
      </c>
      <c r="S67" s="37">
        <f t="shared" si="30"/>
        <v>1.3440000000000001E-2</v>
      </c>
      <c r="T67" s="37">
        <f t="shared" si="2"/>
        <v>20</v>
      </c>
      <c r="U67" s="40">
        <f t="shared" si="31"/>
        <v>0.15679999999999999</v>
      </c>
      <c r="V67" s="39">
        <f t="shared" si="32"/>
        <v>2</v>
      </c>
      <c r="W67" s="37">
        <f t="shared" si="33"/>
        <v>0.90476190476190477</v>
      </c>
      <c r="X67" s="40">
        <f t="shared" si="34"/>
        <v>9.5238095238095233E-2</v>
      </c>
      <c r="Y67" s="39">
        <f t="shared" si="35"/>
        <v>0.22067363530778164</v>
      </c>
      <c r="Z67" s="37">
        <f t="shared" si="28"/>
        <v>0.2671368176538908</v>
      </c>
      <c r="AA67" s="37">
        <f t="shared" si="29"/>
        <v>0.16924630309107488</v>
      </c>
      <c r="AB67" s="37">
        <v>0</v>
      </c>
      <c r="AC67" s="37">
        <f t="shared" si="36"/>
        <v>2.1082212976957043E-2</v>
      </c>
      <c r="AD67" s="40">
        <f t="shared" si="19"/>
        <v>2.1082212976957043E-2</v>
      </c>
      <c r="AE67" s="39">
        <f t="shared" si="27"/>
        <v>0.14186666666666667</v>
      </c>
      <c r="AF67" s="37">
        <f t="shared" si="20"/>
        <v>0.16098534554571281</v>
      </c>
      <c r="AG67" s="37">
        <f t="shared" si="37"/>
        <v>1.2698977925431555E-4</v>
      </c>
      <c r="AH67" s="37">
        <f t="shared" si="38"/>
        <v>6.7811382071032242E-3</v>
      </c>
      <c r="AI67" s="40">
        <f t="shared" si="21"/>
        <v>6.9081279863575399E-3</v>
      </c>
      <c r="AJ67" s="39">
        <f t="shared" si="22"/>
        <v>1.4933333333333331E-2</v>
      </c>
      <c r="AK67" s="37">
        <f t="shared" si="39"/>
        <v>5.2230543071304807E-2</v>
      </c>
      <c r="AL67" s="37">
        <f t="shared" si="40"/>
        <v>1.23648E-2</v>
      </c>
      <c r="AM67" s="37">
        <f t="shared" si="41"/>
        <v>0.21092</v>
      </c>
      <c r="AN67" s="40">
        <f t="shared" si="23"/>
        <v>0.22328480000000001</v>
      </c>
      <c r="AO67" s="39">
        <f t="shared" si="42"/>
        <v>1.0366512592189024E-3</v>
      </c>
      <c r="AP67" s="37">
        <f t="shared" si="43"/>
        <v>3.0375000000000007E-3</v>
      </c>
      <c r="AQ67" s="40">
        <f t="shared" si="44"/>
        <v>8.9999999999999993E-3</v>
      </c>
      <c r="AR67" s="39">
        <f t="shared" si="24"/>
        <v>0.26434929222253351</v>
      </c>
      <c r="AS67" s="37">
        <f t="shared" si="25"/>
        <v>2.8224</v>
      </c>
      <c r="AT67" s="40">
        <f t="shared" si="26"/>
        <v>91.435997316380835</v>
      </c>
    </row>
    <row r="68" spans="17:46" x14ac:dyDescent="0.3">
      <c r="Q68">
        <v>61</v>
      </c>
      <c r="R68" s="39">
        <f t="shared" si="0"/>
        <v>210</v>
      </c>
      <c r="S68" s="37">
        <f t="shared" si="30"/>
        <v>1.3663999999999999E-2</v>
      </c>
      <c r="T68" s="37">
        <f t="shared" si="2"/>
        <v>20</v>
      </c>
      <c r="U68" s="40">
        <f t="shared" si="31"/>
        <v>0.15941333333333332</v>
      </c>
      <c r="V68" s="39">
        <f t="shared" si="32"/>
        <v>2</v>
      </c>
      <c r="W68" s="37">
        <f t="shared" si="33"/>
        <v>0.90476190476190477</v>
      </c>
      <c r="X68" s="40">
        <f t="shared" si="34"/>
        <v>9.5238095238095233E-2</v>
      </c>
      <c r="Y68" s="39">
        <f t="shared" si="35"/>
        <v>0.22067363530778164</v>
      </c>
      <c r="Z68" s="37">
        <f t="shared" si="28"/>
        <v>0.26975015098722416</v>
      </c>
      <c r="AA68" s="37">
        <f t="shared" si="29"/>
        <v>0.17167027102687415</v>
      </c>
      <c r="AB68" s="37">
        <v>0</v>
      </c>
      <c r="AC68" s="37">
        <f t="shared" si="36"/>
        <v>2.1690421918468154E-2</v>
      </c>
      <c r="AD68" s="40">
        <f t="shared" si="19"/>
        <v>2.1690421918468154E-2</v>
      </c>
      <c r="AE68" s="39">
        <f t="shared" si="27"/>
        <v>0.14423111111111112</v>
      </c>
      <c r="AF68" s="37">
        <f t="shared" si="20"/>
        <v>0.16329099895503063</v>
      </c>
      <c r="AG68" s="37">
        <f t="shared" si="37"/>
        <v>1.306533566646859E-4</v>
      </c>
      <c r="AH68" s="37">
        <f t="shared" si="38"/>
        <v>6.8941571772216112E-3</v>
      </c>
      <c r="AI68" s="40">
        <f t="shared" si="21"/>
        <v>7.0248105338862974E-3</v>
      </c>
      <c r="AJ68" s="39">
        <f t="shared" si="22"/>
        <v>1.518222222222222E-2</v>
      </c>
      <c r="AK68" s="37">
        <f t="shared" si="39"/>
        <v>5.2978595816693855E-2</v>
      </c>
      <c r="AL68" s="37">
        <f t="shared" si="40"/>
        <v>1.257088E-2</v>
      </c>
      <c r="AM68" s="37">
        <f t="shared" si="41"/>
        <v>0.21092</v>
      </c>
      <c r="AN68" s="40">
        <f t="shared" si="23"/>
        <v>0.22349088</v>
      </c>
      <c r="AO68" s="39">
        <f t="shared" si="42"/>
        <v>1.0665580135892725E-3</v>
      </c>
      <c r="AP68" s="37">
        <f t="shared" si="43"/>
        <v>3.0375000000000007E-3</v>
      </c>
      <c r="AQ68" s="40">
        <f t="shared" si="44"/>
        <v>8.9999999999999993E-3</v>
      </c>
      <c r="AR68" s="39">
        <f t="shared" si="24"/>
        <v>0.26531017046594374</v>
      </c>
      <c r="AS68" s="37">
        <f t="shared" si="25"/>
        <v>2.86944</v>
      </c>
      <c r="AT68" s="40">
        <f t="shared" si="26"/>
        <v>91.536481185468489</v>
      </c>
    </row>
    <row r="69" spans="17:46" x14ac:dyDescent="0.3">
      <c r="Q69">
        <v>62</v>
      </c>
      <c r="R69" s="39">
        <f t="shared" si="0"/>
        <v>210</v>
      </c>
      <c r="S69" s="37">
        <f t="shared" si="30"/>
        <v>1.3887999999999999E-2</v>
      </c>
      <c r="T69" s="37">
        <f t="shared" si="2"/>
        <v>20</v>
      </c>
      <c r="U69" s="40">
        <f t="shared" si="31"/>
        <v>0.16202666666666665</v>
      </c>
      <c r="V69" s="39">
        <f t="shared" si="32"/>
        <v>2</v>
      </c>
      <c r="W69" s="37">
        <f t="shared" si="33"/>
        <v>0.90476190476190477</v>
      </c>
      <c r="X69" s="40">
        <f t="shared" si="34"/>
        <v>9.5238095238095233E-2</v>
      </c>
      <c r="Y69" s="39">
        <f t="shared" si="35"/>
        <v>0.22067363530778164</v>
      </c>
      <c r="Z69" s="37">
        <f t="shared" si="28"/>
        <v>0.27236348432055746</v>
      </c>
      <c r="AA69" s="37">
        <f t="shared" si="29"/>
        <v>0.17409971803856286</v>
      </c>
      <c r="AB69" s="37">
        <v>0</v>
      </c>
      <c r="AC69" s="37">
        <f t="shared" si="36"/>
        <v>2.2308683900334816E-2</v>
      </c>
      <c r="AD69" s="40">
        <f t="shared" si="19"/>
        <v>2.2308683900334816E-2</v>
      </c>
      <c r="AE69" s="39">
        <f t="shared" si="27"/>
        <v>0.14659555555555553</v>
      </c>
      <c r="AF69" s="37">
        <f t="shared" si="20"/>
        <v>0.16560186400507099</v>
      </c>
      <c r="AG69" s="37">
        <f t="shared" si="37"/>
        <v>1.3437748907357475E-4</v>
      </c>
      <c r="AH69" s="37">
        <f t="shared" si="38"/>
        <v>7.0071761473399982E-3</v>
      </c>
      <c r="AI69" s="40">
        <f t="shared" si="21"/>
        <v>7.141553636413573E-3</v>
      </c>
      <c r="AJ69" s="39">
        <f t="shared" si="22"/>
        <v>1.5431111111111109E-2</v>
      </c>
      <c r="AK69" s="37">
        <f t="shared" si="39"/>
        <v>5.3728339441611775E-2</v>
      </c>
      <c r="AL69" s="37">
        <f t="shared" si="40"/>
        <v>1.277696E-2</v>
      </c>
      <c r="AM69" s="37">
        <f t="shared" si="41"/>
        <v>0.21092</v>
      </c>
      <c r="AN69" s="40">
        <f t="shared" si="23"/>
        <v>0.22369696</v>
      </c>
      <c r="AO69" s="39">
        <f t="shared" si="42"/>
        <v>1.096959094478161E-3</v>
      </c>
      <c r="AP69" s="37">
        <f t="shared" si="43"/>
        <v>3.0375000000000007E-3</v>
      </c>
      <c r="AQ69" s="40">
        <f t="shared" si="44"/>
        <v>8.9999999999999993E-3</v>
      </c>
      <c r="AR69" s="39">
        <f t="shared" si="24"/>
        <v>0.2662816566312266</v>
      </c>
      <c r="AS69" s="37">
        <f t="shared" si="25"/>
        <v>2.91648</v>
      </c>
      <c r="AT69" s="40">
        <f t="shared" si="26"/>
        <v>91.63362873633865</v>
      </c>
    </row>
    <row r="70" spans="17:46" x14ac:dyDescent="0.3">
      <c r="Q70">
        <v>63</v>
      </c>
      <c r="R70" s="39">
        <f t="shared" si="0"/>
        <v>210</v>
      </c>
      <c r="S70" s="37">
        <f t="shared" si="30"/>
        <v>1.4112E-2</v>
      </c>
      <c r="T70" s="37">
        <f t="shared" si="2"/>
        <v>20</v>
      </c>
      <c r="U70" s="40">
        <f t="shared" si="31"/>
        <v>0.16464000000000001</v>
      </c>
      <c r="V70" s="39">
        <f t="shared" si="32"/>
        <v>2</v>
      </c>
      <c r="W70" s="37">
        <f t="shared" si="33"/>
        <v>0.90476190476190477</v>
      </c>
      <c r="X70" s="40">
        <f t="shared" si="34"/>
        <v>9.5238095238095233E-2</v>
      </c>
      <c r="Y70" s="39">
        <f t="shared" si="35"/>
        <v>0.22067363530778164</v>
      </c>
      <c r="Z70" s="37">
        <f t="shared" si="28"/>
        <v>0.27497681765389081</v>
      </c>
      <c r="AA70" s="37">
        <f t="shared" si="29"/>
        <v>0.17653441791898822</v>
      </c>
      <c r="AB70" s="37">
        <v>0</v>
      </c>
      <c r="AC70" s="37">
        <f t="shared" si="36"/>
        <v>2.2936998922557045E-2</v>
      </c>
      <c r="AD70" s="40">
        <f t="shared" si="19"/>
        <v>2.2936998922557045E-2</v>
      </c>
      <c r="AE70" s="39">
        <f t="shared" si="27"/>
        <v>0.14896000000000001</v>
      </c>
      <c r="AF70" s="37">
        <f t="shared" si="20"/>
        <v>0.16791772552991308</v>
      </c>
      <c r="AG70" s="37">
        <f t="shared" si="37"/>
        <v>1.381621764809822E-4</v>
      </c>
      <c r="AH70" s="37">
        <f t="shared" si="38"/>
        <v>7.1201951174583878E-3</v>
      </c>
      <c r="AI70" s="40">
        <f t="shared" si="21"/>
        <v>7.2583572939393702E-3</v>
      </c>
      <c r="AJ70" s="39">
        <f t="shared" si="22"/>
        <v>1.5679999999999999E-2</v>
      </c>
      <c r="AK70" s="37">
        <f t="shared" si="39"/>
        <v>5.4479704137015646E-2</v>
      </c>
      <c r="AL70" s="37">
        <f t="shared" si="40"/>
        <v>1.298304E-2</v>
      </c>
      <c r="AM70" s="37">
        <f t="shared" si="41"/>
        <v>0.21092</v>
      </c>
      <c r="AN70" s="40">
        <f t="shared" si="23"/>
        <v>0.22390304</v>
      </c>
      <c r="AO70" s="39">
        <f t="shared" si="42"/>
        <v>1.1278545018855689E-3</v>
      </c>
      <c r="AP70" s="37">
        <f t="shared" si="43"/>
        <v>3.0375000000000007E-3</v>
      </c>
      <c r="AQ70" s="40">
        <f t="shared" si="44"/>
        <v>8.9999999999999993E-3</v>
      </c>
      <c r="AR70" s="39">
        <f t="shared" si="24"/>
        <v>0.26726375071838204</v>
      </c>
      <c r="AS70" s="37">
        <f t="shared" si="25"/>
        <v>2.9635199999999999</v>
      </c>
      <c r="AT70" s="40">
        <f t="shared" si="26"/>
        <v>91.727587751456454</v>
      </c>
    </row>
    <row r="71" spans="17:46" x14ac:dyDescent="0.3">
      <c r="Q71">
        <v>64</v>
      </c>
      <c r="R71" s="39">
        <f t="shared" ref="R71:R134" si="45">VOUT</f>
        <v>210</v>
      </c>
      <c r="S71" s="37">
        <f t="shared" ref="S71:S102" si="46">Q71*$O$12</f>
        <v>1.4336E-2</v>
      </c>
      <c r="T71" s="37">
        <f t="shared" ref="T71:T134" si="47">VIN_var</f>
        <v>20</v>
      </c>
      <c r="U71" s="40">
        <f t="shared" ref="U71:U102" si="48">(R71*S71)/(T71*EFF_est)</f>
        <v>0.16725333333333334</v>
      </c>
      <c r="V71" s="39">
        <f t="shared" ref="V71:V102" si="49">IF((S71*R71/T71)&lt;((T71*(1-(T71/R71)))/(2*Lm*Fsw)),1,2)</f>
        <v>2</v>
      </c>
      <c r="W71" s="37">
        <f t="shared" ref="W71:W102" si="50">CHOOSE(V71,SQRT((2*S71*Lm*Fsw*(R71-T71))/((T71)^2)),1-(T71/R71))</f>
        <v>0.90476190476190477</v>
      </c>
      <c r="X71" s="40">
        <f t="shared" ref="X71:X102" si="51">CHOOSE(V71,(Lm*W71*Fsw)/(R71-T71),1-W71)</f>
        <v>9.5238095238095233E-2</v>
      </c>
      <c r="Y71" s="39">
        <f t="shared" ref="Y71:Y102" si="52">(T71*W71)/(Lm*Fsw)</f>
        <v>0.22067363530778164</v>
      </c>
      <c r="Z71" s="37">
        <f t="shared" si="28"/>
        <v>0.27759015098722417</v>
      </c>
      <c r="AA71" s="37">
        <f t="shared" si="29"/>
        <v>0.17897415629388255</v>
      </c>
      <c r="AB71" s="37">
        <v>0</v>
      </c>
      <c r="AC71" s="37">
        <f t="shared" ref="AC71:AC102" si="53">(AA71^2)*Rdcr</f>
        <v>2.3575366985134828E-2</v>
      </c>
      <c r="AD71" s="40">
        <f t="shared" si="19"/>
        <v>2.3575366985134828E-2</v>
      </c>
      <c r="AE71" s="39">
        <f t="shared" si="27"/>
        <v>0.15132444444444446</v>
      </c>
      <c r="AF71" s="37">
        <f t="shared" si="20"/>
        <v>0.17023837961895485</v>
      </c>
      <c r="AG71" s="37">
        <f t="shared" ref="AG71:AG102" si="54">(AF71^2)*RDS_on</f>
        <v>1.4200741888690819E-4</v>
      </c>
      <c r="AH71" s="37">
        <f t="shared" ref="AH71:AH102" si="55">((R71*U71)/2)*Fsw*(tr_sw+tf_sw)</f>
        <v>7.2332140875767748E-3</v>
      </c>
      <c r="AI71" s="40">
        <f t="shared" si="21"/>
        <v>7.375221506463683E-3</v>
      </c>
      <c r="AJ71" s="39">
        <f t="shared" si="22"/>
        <v>1.5928888888888888E-2</v>
      </c>
      <c r="AK71" s="37">
        <f t="shared" ref="AK71:AK102" si="56">CHOOSE(V71,Z71*SQRT(X71/3),SQRT(X71*((Z71^2)+((Y71^2)/3)-(Y71*Z71))))</f>
        <v>5.523262374557019E-2</v>
      </c>
      <c r="AL71" s="37">
        <f t="shared" ref="AL71:AL102" si="57">S71*Vd_rect</f>
        <v>1.318912E-2</v>
      </c>
      <c r="AM71" s="37">
        <f t="shared" ref="AM71:AM102" si="58">CHOOSE(V71,(R71+Vd_rect)*Qrr*Fsw,(R71+Vd_rect)*Qrr*Fsw)</f>
        <v>0.21092</v>
      </c>
      <c r="AN71" s="40">
        <f t="shared" si="23"/>
        <v>0.22410911999999999</v>
      </c>
      <c r="AO71" s="39">
        <f t="shared" ref="AO71:AO102" si="59">(AF71^2)*R_cs</f>
        <v>1.1592442358114954E-3</v>
      </c>
      <c r="AP71" s="37">
        <f t="shared" ref="AP71:AP102" si="60">Qg_tot*Vcc*Fsw</f>
        <v>3.0375000000000007E-3</v>
      </c>
      <c r="AQ71" s="40">
        <f t="shared" ref="AQ71:AQ102" si="61">IQ*T71</f>
        <v>8.9999999999999993E-3</v>
      </c>
      <c r="AR71" s="39">
        <f t="shared" si="24"/>
        <v>0.26825645272741006</v>
      </c>
      <c r="AS71" s="37">
        <f t="shared" si="25"/>
        <v>3.0105599999999999</v>
      </c>
      <c r="AT71" s="40">
        <f t="shared" si="26"/>
        <v>91.818497418351456</v>
      </c>
    </row>
    <row r="72" spans="17:46" x14ac:dyDescent="0.3">
      <c r="Q72">
        <v>65</v>
      </c>
      <c r="R72" s="39">
        <f t="shared" si="45"/>
        <v>210</v>
      </c>
      <c r="S72" s="37">
        <f t="shared" si="46"/>
        <v>1.456E-2</v>
      </c>
      <c r="T72" s="37">
        <f t="shared" si="47"/>
        <v>20</v>
      </c>
      <c r="U72" s="40">
        <f t="shared" si="48"/>
        <v>0.16986666666666667</v>
      </c>
      <c r="V72" s="39">
        <f t="shared" si="49"/>
        <v>2</v>
      </c>
      <c r="W72" s="37">
        <f t="shared" si="50"/>
        <v>0.90476190476190477</v>
      </c>
      <c r="X72" s="40">
        <f t="shared" si="51"/>
        <v>9.5238095238095233E-2</v>
      </c>
      <c r="Y72" s="39">
        <f t="shared" si="52"/>
        <v>0.22067363530778164</v>
      </c>
      <c r="Z72" s="37">
        <f t="shared" si="28"/>
        <v>0.28020348432055747</v>
      </c>
      <c r="AA72" s="37">
        <f t="shared" si="29"/>
        <v>0.18141872988873123</v>
      </c>
      <c r="AB72" s="37">
        <v>0</v>
      </c>
      <c r="AC72" s="37">
        <f t="shared" si="53"/>
        <v>2.422378808806815E-2</v>
      </c>
      <c r="AD72" s="40">
        <f t="shared" ref="AD72:AD135" si="62">AB72+AC72</f>
        <v>2.422378808806815E-2</v>
      </c>
      <c r="AE72" s="39">
        <f t="shared" si="27"/>
        <v>0.1536888888888889</v>
      </c>
      <c r="AF72" s="37">
        <f t="shared" ref="AF72:AF135" si="63">CHOOSE(V72,Z72*SQRT(W72/3),SQRT(W72*((Z72^2)+((Y72^2)/3)-(Z72*Y72))))</f>
        <v>0.17256363291956528</v>
      </c>
      <c r="AG72" s="37">
        <f t="shared" si="54"/>
        <v>1.4591321629135254E-4</v>
      </c>
      <c r="AH72" s="37">
        <f t="shared" si="55"/>
        <v>7.34623305769516E-3</v>
      </c>
      <c r="AI72" s="40">
        <f t="shared" ref="AI72:AI135" si="64">AG72+AH72</f>
        <v>7.4921462739865122E-3</v>
      </c>
      <c r="AJ72" s="39">
        <f t="shared" ref="AJ72:AJ135" si="65">X72*U72</f>
        <v>1.6177777777777777E-2</v>
      </c>
      <c r="AK72" s="37">
        <f t="shared" si="56"/>
        <v>5.5987035535398237E-2</v>
      </c>
      <c r="AL72" s="37">
        <f t="shared" si="57"/>
        <v>1.3395200000000001E-2</v>
      </c>
      <c r="AM72" s="37">
        <f t="shared" si="58"/>
        <v>0.21092</v>
      </c>
      <c r="AN72" s="40">
        <f t="shared" ref="AN72:AN135" si="66">AL72+AM72</f>
        <v>0.22431519999999999</v>
      </c>
      <c r="AO72" s="39">
        <f t="shared" si="59"/>
        <v>1.1911282962559391E-3</v>
      </c>
      <c r="AP72" s="37">
        <f t="shared" si="60"/>
        <v>3.0375000000000007E-3</v>
      </c>
      <c r="AQ72" s="40">
        <f t="shared" si="61"/>
        <v>8.9999999999999993E-3</v>
      </c>
      <c r="AR72" s="39">
        <f t="shared" ref="AR72:AR135" si="67">AO72+AN72+AI72+AD72+AP72+AQ72</f>
        <v>0.26925976265831064</v>
      </c>
      <c r="AS72" s="37">
        <f t="shared" ref="AS72:AS135" si="68">R72*S72</f>
        <v>3.0575999999999999</v>
      </c>
      <c r="AT72" s="40">
        <f t="shared" ref="AT72:AT135" si="69">(AS72/(AS72+AR72))*100</f>
        <v>91.906488945504577</v>
      </c>
    </row>
    <row r="73" spans="17:46" x14ac:dyDescent="0.3">
      <c r="Q73">
        <v>66</v>
      </c>
      <c r="R73" s="39">
        <f t="shared" si="45"/>
        <v>210</v>
      </c>
      <c r="S73" s="37">
        <f t="shared" si="46"/>
        <v>1.4784E-2</v>
      </c>
      <c r="T73" s="37">
        <f t="shared" si="47"/>
        <v>20</v>
      </c>
      <c r="U73" s="40">
        <f t="shared" si="48"/>
        <v>0.17247999999999999</v>
      </c>
      <c r="V73" s="39">
        <f t="shared" si="49"/>
        <v>2</v>
      </c>
      <c r="W73" s="37">
        <f t="shared" si="50"/>
        <v>0.90476190476190477</v>
      </c>
      <c r="X73" s="40">
        <f t="shared" si="51"/>
        <v>9.5238095238095233E-2</v>
      </c>
      <c r="Y73" s="39">
        <f t="shared" si="52"/>
        <v>0.22067363530778164</v>
      </c>
      <c r="Z73" s="37">
        <f t="shared" si="28"/>
        <v>0.28281681765389083</v>
      </c>
      <c r="AA73" s="37">
        <f t="shared" si="29"/>
        <v>0.18386794584700178</v>
      </c>
      <c r="AB73" s="37">
        <v>0</v>
      </c>
      <c r="AC73" s="37">
        <f t="shared" si="53"/>
        <v>2.488226223135704E-2</v>
      </c>
      <c r="AD73" s="40">
        <f t="shared" si="62"/>
        <v>2.488226223135704E-2</v>
      </c>
      <c r="AE73" s="39">
        <f t="shared" ref="AE73:AE136" si="70">U73*W73</f>
        <v>0.15605333333333332</v>
      </c>
      <c r="AF73" s="37">
        <f t="shared" si="63"/>
        <v>0.17489330198859121</v>
      </c>
      <c r="AG73" s="37">
        <f t="shared" si="54"/>
        <v>1.4987956869431558E-4</v>
      </c>
      <c r="AH73" s="37">
        <f t="shared" si="55"/>
        <v>7.459252027813547E-3</v>
      </c>
      <c r="AI73" s="40">
        <f t="shared" si="64"/>
        <v>7.609131596507863E-3</v>
      </c>
      <c r="AJ73" s="39">
        <f t="shared" si="65"/>
        <v>1.6426666666666666E-2</v>
      </c>
      <c r="AK73" s="37">
        <f t="shared" si="56"/>
        <v>5.674287998968177E-2</v>
      </c>
      <c r="AL73" s="37">
        <f t="shared" si="57"/>
        <v>1.360128E-2</v>
      </c>
      <c r="AM73" s="37">
        <f t="shared" si="58"/>
        <v>0.21092</v>
      </c>
      <c r="AN73" s="40">
        <f t="shared" si="66"/>
        <v>0.22452127999999999</v>
      </c>
      <c r="AO73" s="39">
        <f t="shared" si="59"/>
        <v>1.2235066832189025E-3</v>
      </c>
      <c r="AP73" s="37">
        <f t="shared" si="60"/>
        <v>3.0375000000000007E-3</v>
      </c>
      <c r="AQ73" s="40">
        <f t="shared" si="61"/>
        <v>8.9999999999999993E-3</v>
      </c>
      <c r="AR73" s="39">
        <f t="shared" si="67"/>
        <v>0.27027368051108386</v>
      </c>
      <c r="AS73" s="37">
        <f t="shared" si="68"/>
        <v>3.1046399999999998</v>
      </c>
      <c r="AT73" s="40">
        <f t="shared" si="69"/>
        <v>91.991686126023978</v>
      </c>
    </row>
    <row r="74" spans="17:46" x14ac:dyDescent="0.3">
      <c r="Q74">
        <v>67</v>
      </c>
      <c r="R74" s="39">
        <f t="shared" si="45"/>
        <v>210</v>
      </c>
      <c r="S74" s="37">
        <f t="shared" si="46"/>
        <v>1.5008000000000001E-2</v>
      </c>
      <c r="T74" s="37">
        <f t="shared" si="47"/>
        <v>20</v>
      </c>
      <c r="U74" s="40">
        <f t="shared" si="48"/>
        <v>0.17509333333333335</v>
      </c>
      <c r="V74" s="39">
        <f t="shared" si="49"/>
        <v>2</v>
      </c>
      <c r="W74" s="37">
        <f t="shared" si="50"/>
        <v>0.90476190476190477</v>
      </c>
      <c r="X74" s="40">
        <f t="shared" si="51"/>
        <v>9.5238095238095233E-2</v>
      </c>
      <c r="Y74" s="39">
        <f t="shared" si="52"/>
        <v>0.22067363530778164</v>
      </c>
      <c r="Z74" s="37">
        <f t="shared" si="28"/>
        <v>0.28543015098722418</v>
      </c>
      <c r="AA74" s="37">
        <f t="shared" si="29"/>
        <v>0.18632162109581854</v>
      </c>
      <c r="AB74" s="37">
        <v>0</v>
      </c>
      <c r="AC74" s="37">
        <f t="shared" si="53"/>
        <v>2.5550789415001496E-2</v>
      </c>
      <c r="AD74" s="40">
        <f t="shared" si="62"/>
        <v>2.5550789415001496E-2</v>
      </c>
      <c r="AE74" s="39">
        <f t="shared" si="70"/>
        <v>0.1584177777777778</v>
      </c>
      <c r="AF74" s="37">
        <f t="shared" si="63"/>
        <v>0.17722721268899311</v>
      </c>
      <c r="AG74" s="37">
        <f t="shared" si="54"/>
        <v>1.5390647609579705E-4</v>
      </c>
      <c r="AH74" s="37">
        <f t="shared" si="55"/>
        <v>7.5722709979319357E-3</v>
      </c>
      <c r="AI74" s="40">
        <f t="shared" si="64"/>
        <v>7.7261774740277327E-3</v>
      </c>
      <c r="AJ74" s="39">
        <f t="shared" si="65"/>
        <v>1.6675555555555555E-2</v>
      </c>
      <c r="AK74" s="37">
        <f t="shared" si="56"/>
        <v>5.7500100610904749E-2</v>
      </c>
      <c r="AL74" s="37">
        <f t="shared" si="57"/>
        <v>1.3807360000000001E-2</v>
      </c>
      <c r="AM74" s="37">
        <f t="shared" si="58"/>
        <v>0.21092</v>
      </c>
      <c r="AN74" s="40">
        <f t="shared" si="66"/>
        <v>0.22472735999999999</v>
      </c>
      <c r="AO74" s="39">
        <f t="shared" si="59"/>
        <v>1.2563793967003839E-3</v>
      </c>
      <c r="AP74" s="37">
        <f t="shared" si="60"/>
        <v>3.0375000000000007E-3</v>
      </c>
      <c r="AQ74" s="40">
        <f t="shared" si="61"/>
        <v>8.9999999999999993E-3</v>
      </c>
      <c r="AR74" s="39">
        <f t="shared" si="67"/>
        <v>0.27129820628572965</v>
      </c>
      <c r="AS74" s="37">
        <f t="shared" si="68"/>
        <v>3.1516800000000003</v>
      </c>
      <c r="AT74" s="40">
        <f t="shared" si="69"/>
        <v>92.074205854202177</v>
      </c>
    </row>
    <row r="75" spans="17:46" x14ac:dyDescent="0.3">
      <c r="Q75">
        <v>68</v>
      </c>
      <c r="R75" s="39">
        <f t="shared" si="45"/>
        <v>210</v>
      </c>
      <c r="S75" s="37">
        <f t="shared" si="46"/>
        <v>1.5231999999999999E-2</v>
      </c>
      <c r="T75" s="37">
        <f t="shared" si="47"/>
        <v>20</v>
      </c>
      <c r="U75" s="40">
        <f t="shared" si="48"/>
        <v>0.17770666666666665</v>
      </c>
      <c r="V75" s="39">
        <f t="shared" si="49"/>
        <v>2</v>
      </c>
      <c r="W75" s="37">
        <f t="shared" si="50"/>
        <v>0.90476190476190477</v>
      </c>
      <c r="X75" s="40">
        <f t="shared" si="51"/>
        <v>9.5238095238095233E-2</v>
      </c>
      <c r="Y75" s="39">
        <f t="shared" si="52"/>
        <v>0.22067363530778164</v>
      </c>
      <c r="Z75" s="37">
        <f t="shared" si="28"/>
        <v>0.28804348432055749</v>
      </c>
      <c r="AA75" s="37">
        <f t="shared" si="29"/>
        <v>0.18877958175547949</v>
      </c>
      <c r="AB75" s="37">
        <v>0</v>
      </c>
      <c r="AC75" s="37">
        <f t="shared" si="53"/>
        <v>2.622936963900149E-2</v>
      </c>
      <c r="AD75" s="40">
        <f t="shared" si="62"/>
        <v>2.622936963900149E-2</v>
      </c>
      <c r="AE75" s="39">
        <f t="shared" si="70"/>
        <v>0.16078222222222222</v>
      </c>
      <c r="AF75" s="37">
        <f t="shared" si="63"/>
        <v>0.17956519962818404</v>
      </c>
      <c r="AG75" s="37">
        <f t="shared" si="54"/>
        <v>1.5799393849579702E-4</v>
      </c>
      <c r="AH75" s="37">
        <f t="shared" si="55"/>
        <v>7.685289968050321E-3</v>
      </c>
      <c r="AI75" s="40">
        <f t="shared" si="64"/>
        <v>7.8432839065461172E-3</v>
      </c>
      <c r="AJ75" s="39">
        <f t="shared" si="65"/>
        <v>1.6924444444444443E-2</v>
      </c>
      <c r="AK75" s="37">
        <f t="shared" si="56"/>
        <v>5.825864373862618E-2</v>
      </c>
      <c r="AL75" s="37">
        <f t="shared" si="57"/>
        <v>1.401344E-2</v>
      </c>
      <c r="AM75" s="37">
        <f t="shared" si="58"/>
        <v>0.21092</v>
      </c>
      <c r="AN75" s="40">
        <f t="shared" si="66"/>
        <v>0.22493343999999998</v>
      </c>
      <c r="AO75" s="39">
        <f t="shared" si="59"/>
        <v>1.2897464367003836E-3</v>
      </c>
      <c r="AP75" s="37">
        <f t="shared" si="60"/>
        <v>3.0375000000000007E-3</v>
      </c>
      <c r="AQ75" s="40">
        <f t="shared" si="61"/>
        <v>8.9999999999999993E-3</v>
      </c>
      <c r="AR75" s="39">
        <f t="shared" si="67"/>
        <v>0.27233333998224801</v>
      </c>
      <c r="AS75" s="37">
        <f t="shared" si="68"/>
        <v>3.1987199999999998</v>
      </c>
      <c r="AT75" s="40">
        <f t="shared" si="69"/>
        <v>92.154158599486095</v>
      </c>
    </row>
    <row r="76" spans="17:46" x14ac:dyDescent="0.3">
      <c r="Q76">
        <v>69</v>
      </c>
      <c r="R76" s="39">
        <f t="shared" si="45"/>
        <v>210</v>
      </c>
      <c r="S76" s="37">
        <f t="shared" si="46"/>
        <v>1.5455999999999999E-2</v>
      </c>
      <c r="T76" s="37">
        <f t="shared" si="47"/>
        <v>20</v>
      </c>
      <c r="U76" s="40">
        <f t="shared" si="48"/>
        <v>0.18031999999999998</v>
      </c>
      <c r="V76" s="39">
        <f t="shared" si="49"/>
        <v>2</v>
      </c>
      <c r="W76" s="37">
        <f t="shared" si="50"/>
        <v>0.90476190476190477</v>
      </c>
      <c r="X76" s="40">
        <f t="shared" si="51"/>
        <v>9.5238095238095233E-2</v>
      </c>
      <c r="Y76" s="39">
        <f t="shared" si="52"/>
        <v>0.22067363530778164</v>
      </c>
      <c r="Z76" s="37">
        <f t="shared" si="28"/>
        <v>0.29065681765389079</v>
      </c>
      <c r="AA76" s="37">
        <f t="shared" si="29"/>
        <v>0.19124166258949951</v>
      </c>
      <c r="AB76" s="37">
        <v>0</v>
      </c>
      <c r="AC76" s="37">
        <f t="shared" si="53"/>
        <v>2.6918002903357038E-2</v>
      </c>
      <c r="AD76" s="40">
        <f t="shared" si="62"/>
        <v>2.6918002903357038E-2</v>
      </c>
      <c r="AE76" s="39">
        <f t="shared" si="70"/>
        <v>0.16314666666666666</v>
      </c>
      <c r="AF76" s="37">
        <f t="shared" si="63"/>
        <v>0.18190710563491619</v>
      </c>
      <c r="AG76" s="37">
        <f t="shared" si="54"/>
        <v>1.6214195589431553E-4</v>
      </c>
      <c r="AH76" s="37">
        <f t="shared" si="55"/>
        <v>7.798308938168708E-3</v>
      </c>
      <c r="AI76" s="40">
        <f t="shared" si="64"/>
        <v>7.9604508940630241E-3</v>
      </c>
      <c r="AJ76" s="39">
        <f t="shared" si="65"/>
        <v>1.7173333333333332E-2</v>
      </c>
      <c r="AK76" s="37">
        <f t="shared" si="56"/>
        <v>5.9018458379759692E-2</v>
      </c>
      <c r="AL76" s="37">
        <f t="shared" si="57"/>
        <v>1.4219519999999999E-2</v>
      </c>
      <c r="AM76" s="37">
        <f t="shared" si="58"/>
        <v>0.21092</v>
      </c>
      <c r="AN76" s="40">
        <f t="shared" si="66"/>
        <v>0.22513951999999998</v>
      </c>
      <c r="AO76" s="39">
        <f t="shared" si="59"/>
        <v>1.3236078032189023E-3</v>
      </c>
      <c r="AP76" s="37">
        <f t="shared" si="60"/>
        <v>3.0375000000000007E-3</v>
      </c>
      <c r="AQ76" s="40">
        <f t="shared" si="61"/>
        <v>8.9999999999999993E-3</v>
      </c>
      <c r="AR76" s="39">
        <f t="shared" si="67"/>
        <v>0.27337908160063901</v>
      </c>
      <c r="AS76" s="37">
        <f t="shared" si="68"/>
        <v>3.2457599999999998</v>
      </c>
      <c r="AT76" s="40">
        <f t="shared" si="69"/>
        <v>92.231648841900977</v>
      </c>
    </row>
    <row r="77" spans="17:46" x14ac:dyDescent="0.3">
      <c r="Q77">
        <v>70</v>
      </c>
      <c r="R77" s="39">
        <f t="shared" si="45"/>
        <v>210</v>
      </c>
      <c r="S77" s="37">
        <f t="shared" si="46"/>
        <v>1.5679999999999999E-2</v>
      </c>
      <c r="T77" s="37">
        <f t="shared" si="47"/>
        <v>20</v>
      </c>
      <c r="U77" s="40">
        <f t="shared" si="48"/>
        <v>0.18293333333333331</v>
      </c>
      <c r="V77" s="39">
        <f t="shared" si="49"/>
        <v>2</v>
      </c>
      <c r="W77" s="37">
        <f t="shared" si="50"/>
        <v>0.90476190476190477</v>
      </c>
      <c r="X77" s="40">
        <f t="shared" si="51"/>
        <v>9.5238095238095233E-2</v>
      </c>
      <c r="Y77" s="39">
        <f t="shared" si="52"/>
        <v>0.22067363530778164</v>
      </c>
      <c r="Z77" s="37">
        <f t="shared" si="28"/>
        <v>0.29327015098722414</v>
      </c>
      <c r="AA77" s="37">
        <f t="shared" si="29"/>
        <v>0.19370770649212801</v>
      </c>
      <c r="AB77" s="37">
        <v>0</v>
      </c>
      <c r="AC77" s="37">
        <f t="shared" si="53"/>
        <v>2.7616689208068146E-2</v>
      </c>
      <c r="AD77" s="40">
        <f t="shared" si="62"/>
        <v>2.7616689208068146E-2</v>
      </c>
      <c r="AE77" s="39">
        <f t="shared" si="70"/>
        <v>0.16551111111111108</v>
      </c>
      <c r="AF77" s="37">
        <f t="shared" si="63"/>
        <v>0.18425278127181274</v>
      </c>
      <c r="AG77" s="37">
        <f t="shared" si="54"/>
        <v>1.6635052829135251E-4</v>
      </c>
      <c r="AH77" s="37">
        <f t="shared" si="55"/>
        <v>7.9113279082870958E-3</v>
      </c>
      <c r="AI77" s="40">
        <f t="shared" si="64"/>
        <v>8.0776784365784483E-3</v>
      </c>
      <c r="AJ77" s="39">
        <f t="shared" si="65"/>
        <v>1.7422222222222217E-2</v>
      </c>
      <c r="AK77" s="37">
        <f t="shared" si="56"/>
        <v>5.9779496050418025E-2</v>
      </c>
      <c r="AL77" s="37">
        <f t="shared" si="57"/>
        <v>1.44256E-2</v>
      </c>
      <c r="AM77" s="37">
        <f t="shared" si="58"/>
        <v>0.21092</v>
      </c>
      <c r="AN77" s="40">
        <f t="shared" si="66"/>
        <v>0.22534560000000001</v>
      </c>
      <c r="AO77" s="39">
        <f t="shared" si="59"/>
        <v>1.3579634962559387E-3</v>
      </c>
      <c r="AP77" s="37">
        <f t="shared" si="60"/>
        <v>3.0375000000000007E-3</v>
      </c>
      <c r="AQ77" s="40">
        <f t="shared" si="61"/>
        <v>8.9999999999999993E-3</v>
      </c>
      <c r="AR77" s="39">
        <f t="shared" si="67"/>
        <v>0.27443543114090257</v>
      </c>
      <c r="AS77" s="37">
        <f t="shared" si="68"/>
        <v>3.2927999999999997</v>
      </c>
      <c r="AT77" s="40">
        <f t="shared" si="69"/>
        <v>92.306775472536444</v>
      </c>
    </row>
    <row r="78" spans="17:46" x14ac:dyDescent="0.3">
      <c r="Q78">
        <v>71</v>
      </c>
      <c r="R78" s="39">
        <f t="shared" si="45"/>
        <v>210</v>
      </c>
      <c r="S78" s="37">
        <f t="shared" si="46"/>
        <v>1.5904000000000001E-2</v>
      </c>
      <c r="T78" s="37">
        <f t="shared" si="47"/>
        <v>20</v>
      </c>
      <c r="U78" s="40">
        <f t="shared" si="48"/>
        <v>0.18554666666666667</v>
      </c>
      <c r="V78" s="39">
        <f t="shared" si="49"/>
        <v>2</v>
      </c>
      <c r="W78" s="37">
        <f t="shared" si="50"/>
        <v>0.90476190476190477</v>
      </c>
      <c r="X78" s="40">
        <f t="shared" si="51"/>
        <v>9.5238095238095233E-2</v>
      </c>
      <c r="Y78" s="39">
        <f t="shared" si="52"/>
        <v>0.22067363530778164</v>
      </c>
      <c r="Z78" s="37">
        <f t="shared" si="28"/>
        <v>0.2958834843205575</v>
      </c>
      <c r="AA78" s="37">
        <f t="shared" si="29"/>
        <v>0.19617756401053382</v>
      </c>
      <c r="AB78" s="37">
        <v>0</v>
      </c>
      <c r="AC78" s="37">
        <f t="shared" si="53"/>
        <v>2.8325428553134819E-2</v>
      </c>
      <c r="AD78" s="40">
        <f t="shared" si="62"/>
        <v>2.8325428553134819E-2</v>
      </c>
      <c r="AE78" s="39">
        <f t="shared" si="70"/>
        <v>0.16787555555555556</v>
      </c>
      <c r="AF78" s="37">
        <f t="shared" si="63"/>
        <v>0.1866020843808755</v>
      </c>
      <c r="AG78" s="37">
        <f t="shared" si="54"/>
        <v>1.7061965568690817E-4</v>
      </c>
      <c r="AH78" s="37">
        <f t="shared" si="55"/>
        <v>8.0243468784054819E-3</v>
      </c>
      <c r="AI78" s="40">
        <f t="shared" si="64"/>
        <v>8.1949665340923898E-3</v>
      </c>
      <c r="AJ78" s="39">
        <f t="shared" si="65"/>
        <v>1.767111111111111E-2</v>
      </c>
      <c r="AK78" s="37">
        <f t="shared" si="56"/>
        <v>6.0541710628456182E-2</v>
      </c>
      <c r="AL78" s="37">
        <f t="shared" si="57"/>
        <v>1.4631680000000003E-2</v>
      </c>
      <c r="AM78" s="37">
        <f t="shared" si="58"/>
        <v>0.21092</v>
      </c>
      <c r="AN78" s="40">
        <f t="shared" si="66"/>
        <v>0.22555168</v>
      </c>
      <c r="AO78" s="39">
        <f t="shared" si="59"/>
        <v>1.3928135158114952E-3</v>
      </c>
      <c r="AP78" s="37">
        <f t="shared" si="60"/>
        <v>3.0375000000000007E-3</v>
      </c>
      <c r="AQ78" s="40">
        <f t="shared" si="61"/>
        <v>8.9999999999999993E-3</v>
      </c>
      <c r="AR78" s="39">
        <f t="shared" si="67"/>
        <v>0.27550238860303872</v>
      </c>
      <c r="AS78" s="37">
        <f t="shared" si="68"/>
        <v>3.3398400000000001</v>
      </c>
      <c r="AT78" s="40">
        <f t="shared" si="69"/>
        <v>92.379632162322196</v>
      </c>
    </row>
    <row r="79" spans="17:46" x14ac:dyDescent="0.3">
      <c r="Q79">
        <v>72</v>
      </c>
      <c r="R79" s="39">
        <f t="shared" si="45"/>
        <v>210</v>
      </c>
      <c r="S79" s="37">
        <f t="shared" si="46"/>
        <v>1.6128E-2</v>
      </c>
      <c r="T79" s="37">
        <f t="shared" si="47"/>
        <v>20</v>
      </c>
      <c r="U79" s="40">
        <f t="shared" si="48"/>
        <v>0.18815999999999999</v>
      </c>
      <c r="V79" s="39">
        <f t="shared" si="49"/>
        <v>2</v>
      </c>
      <c r="W79" s="37">
        <f t="shared" si="50"/>
        <v>0.90476190476190477</v>
      </c>
      <c r="X79" s="40">
        <f t="shared" si="51"/>
        <v>9.5238095238095233E-2</v>
      </c>
      <c r="Y79" s="39">
        <f t="shared" si="52"/>
        <v>0.22067363530778164</v>
      </c>
      <c r="Z79" s="37">
        <f t="shared" si="28"/>
        <v>0.2984968176538908</v>
      </c>
      <c r="AA79" s="37">
        <f t="shared" si="29"/>
        <v>0.19865109289907262</v>
      </c>
      <c r="AB79" s="37">
        <v>0</v>
      </c>
      <c r="AC79" s="37">
        <f t="shared" si="53"/>
        <v>2.904422093855704E-2</v>
      </c>
      <c r="AD79" s="40">
        <f t="shared" si="62"/>
        <v>2.904422093855704E-2</v>
      </c>
      <c r="AE79" s="39">
        <f t="shared" si="70"/>
        <v>0.17024</v>
      </c>
      <c r="AF79" s="37">
        <f t="shared" si="63"/>
        <v>0.18895487965950816</v>
      </c>
      <c r="AG79" s="37">
        <f t="shared" si="54"/>
        <v>1.7494933808098216E-4</v>
      </c>
      <c r="AH79" s="37">
        <f t="shared" si="55"/>
        <v>8.1373658485238698E-3</v>
      </c>
      <c r="AI79" s="40">
        <f t="shared" si="64"/>
        <v>8.312315186604852E-3</v>
      </c>
      <c r="AJ79" s="39">
        <f t="shared" si="65"/>
        <v>1.7919999999999998E-2</v>
      </c>
      <c r="AK79" s="37">
        <f t="shared" si="56"/>
        <v>6.1305058215915254E-2</v>
      </c>
      <c r="AL79" s="37">
        <f t="shared" si="57"/>
        <v>1.483776E-2</v>
      </c>
      <c r="AM79" s="37">
        <f t="shared" si="58"/>
        <v>0.21092</v>
      </c>
      <c r="AN79" s="40">
        <f t="shared" si="66"/>
        <v>0.22575776</v>
      </c>
      <c r="AO79" s="39">
        <f t="shared" si="59"/>
        <v>1.4281578618855683E-3</v>
      </c>
      <c r="AP79" s="37">
        <f t="shared" si="60"/>
        <v>3.0375000000000007E-3</v>
      </c>
      <c r="AQ79" s="40">
        <f t="shared" si="61"/>
        <v>8.9999999999999993E-3</v>
      </c>
      <c r="AR79" s="39">
        <f t="shared" si="67"/>
        <v>0.27657995398704749</v>
      </c>
      <c r="AS79" s="37">
        <f t="shared" si="68"/>
        <v>3.3868800000000001</v>
      </c>
      <c r="AT79" s="40">
        <f t="shared" si="69"/>
        <v>92.450307701984357</v>
      </c>
    </row>
    <row r="80" spans="17:46" x14ac:dyDescent="0.3">
      <c r="Q80">
        <v>73</v>
      </c>
      <c r="R80" s="39">
        <f t="shared" si="45"/>
        <v>210</v>
      </c>
      <c r="S80" s="37">
        <f t="shared" si="46"/>
        <v>1.6351999999999998E-2</v>
      </c>
      <c r="T80" s="37">
        <f t="shared" si="47"/>
        <v>20</v>
      </c>
      <c r="U80" s="40">
        <f t="shared" si="48"/>
        <v>0.19077333333333332</v>
      </c>
      <c r="V80" s="39">
        <f t="shared" si="49"/>
        <v>2</v>
      </c>
      <c r="W80" s="37">
        <f t="shared" si="50"/>
        <v>0.90476190476190477</v>
      </c>
      <c r="X80" s="40">
        <f t="shared" si="51"/>
        <v>9.5238095238095233E-2</v>
      </c>
      <c r="Y80" s="39">
        <f t="shared" si="52"/>
        <v>0.22067363530778164</v>
      </c>
      <c r="Z80" s="37">
        <f t="shared" ref="Z80:Z143" si="71">CHOOSE(V80,Y80,U80+(0.5*Y80))</f>
        <v>0.30111015098722416</v>
      </c>
      <c r="AA80" s="37">
        <f t="shared" ref="AA80:AA143" si="72">CHOOSE(V80,Z80*SQRT((W80+X80)/3),SQRT((U80^2)+((Y80^2)/12)))</f>
        <v>0.20112815770325917</v>
      </c>
      <c r="AB80" s="37">
        <v>0</v>
      </c>
      <c r="AC80" s="37">
        <f t="shared" si="53"/>
        <v>2.9773066364334817E-2</v>
      </c>
      <c r="AD80" s="40">
        <f t="shared" si="62"/>
        <v>2.9773066364334817E-2</v>
      </c>
      <c r="AE80" s="39">
        <f t="shared" si="70"/>
        <v>0.17260444444444445</v>
      </c>
      <c r="AF80" s="37">
        <f t="shared" si="63"/>
        <v>0.19131103826479548</v>
      </c>
      <c r="AG80" s="37">
        <f t="shared" si="54"/>
        <v>1.7933957547357484E-4</v>
      </c>
      <c r="AH80" s="37">
        <f t="shared" si="55"/>
        <v>8.2503848186422559E-3</v>
      </c>
      <c r="AI80" s="40">
        <f t="shared" si="64"/>
        <v>8.4297243941158315E-3</v>
      </c>
      <c r="AJ80" s="39">
        <f t="shared" si="65"/>
        <v>1.8168888888888887E-2</v>
      </c>
      <c r="AK80" s="37">
        <f t="shared" si="56"/>
        <v>6.2069497010633627E-2</v>
      </c>
      <c r="AL80" s="37">
        <f t="shared" si="57"/>
        <v>1.5043839999999999E-2</v>
      </c>
      <c r="AM80" s="37">
        <f t="shared" si="58"/>
        <v>0.21092</v>
      </c>
      <c r="AN80" s="40">
        <f t="shared" si="66"/>
        <v>0.22596384</v>
      </c>
      <c r="AO80" s="39">
        <f t="shared" si="59"/>
        <v>1.4639965344781618E-3</v>
      </c>
      <c r="AP80" s="37">
        <f t="shared" si="60"/>
        <v>3.0375000000000007E-3</v>
      </c>
      <c r="AQ80" s="40">
        <f t="shared" si="61"/>
        <v>8.9999999999999993E-3</v>
      </c>
      <c r="AR80" s="39">
        <f t="shared" si="67"/>
        <v>0.27766812729292883</v>
      </c>
      <c r="AS80" s="37">
        <f t="shared" si="68"/>
        <v>3.4339199999999996</v>
      </c>
      <c r="AT80" s="40">
        <f t="shared" si="69"/>
        <v>92.518886315776427</v>
      </c>
    </row>
    <row r="81" spans="17:46" x14ac:dyDescent="0.3">
      <c r="Q81">
        <v>74</v>
      </c>
      <c r="R81" s="39">
        <f t="shared" si="45"/>
        <v>210</v>
      </c>
      <c r="S81" s="37">
        <f t="shared" si="46"/>
        <v>1.6576E-2</v>
      </c>
      <c r="T81" s="37">
        <f t="shared" si="47"/>
        <v>20</v>
      </c>
      <c r="U81" s="40">
        <f t="shared" si="48"/>
        <v>0.19338666666666668</v>
      </c>
      <c r="V81" s="39">
        <f t="shared" si="49"/>
        <v>2</v>
      </c>
      <c r="W81" s="37">
        <f t="shared" si="50"/>
        <v>0.90476190476190477</v>
      </c>
      <c r="X81" s="40">
        <f t="shared" si="51"/>
        <v>9.5238095238095233E-2</v>
      </c>
      <c r="Y81" s="39">
        <f t="shared" si="52"/>
        <v>0.22067363530778164</v>
      </c>
      <c r="Z81" s="37">
        <f t="shared" si="71"/>
        <v>0.30372348432055751</v>
      </c>
      <c r="AA81" s="37">
        <f t="shared" si="72"/>
        <v>0.2036086293712534</v>
      </c>
      <c r="AB81" s="37">
        <v>0</v>
      </c>
      <c r="AC81" s="37">
        <f t="shared" si="53"/>
        <v>3.0511964830468162E-2</v>
      </c>
      <c r="AD81" s="40">
        <f t="shared" si="62"/>
        <v>3.0511964830468162E-2</v>
      </c>
      <c r="AE81" s="39">
        <f t="shared" si="70"/>
        <v>0.1749688888888889</v>
      </c>
      <c r="AF81" s="37">
        <f t="shared" si="63"/>
        <v>0.19367043744395226</v>
      </c>
      <c r="AG81" s="37">
        <f t="shared" si="54"/>
        <v>1.8379036786468598E-4</v>
      </c>
      <c r="AH81" s="37">
        <f t="shared" si="55"/>
        <v>8.3634037887606455E-3</v>
      </c>
      <c r="AI81" s="40">
        <f t="shared" si="64"/>
        <v>8.5471941566253318E-3</v>
      </c>
      <c r="AJ81" s="39">
        <f t="shared" si="65"/>
        <v>1.8417777777777779E-2</v>
      </c>
      <c r="AK81" s="37">
        <f t="shared" si="56"/>
        <v>6.2834987186348765E-2</v>
      </c>
      <c r="AL81" s="37">
        <f t="shared" si="57"/>
        <v>1.5249920000000002E-2</v>
      </c>
      <c r="AM81" s="37">
        <f t="shared" si="58"/>
        <v>0.21092</v>
      </c>
      <c r="AN81" s="40">
        <f t="shared" si="66"/>
        <v>0.22616992</v>
      </c>
      <c r="AO81" s="39">
        <f t="shared" si="59"/>
        <v>1.5003295335892731E-3</v>
      </c>
      <c r="AP81" s="37">
        <f t="shared" si="60"/>
        <v>3.0375000000000007E-3</v>
      </c>
      <c r="AQ81" s="40">
        <f t="shared" si="61"/>
        <v>8.9999999999999993E-3</v>
      </c>
      <c r="AR81" s="39">
        <f t="shared" si="67"/>
        <v>0.27876690852068281</v>
      </c>
      <c r="AS81" s="37">
        <f t="shared" si="68"/>
        <v>3.4809600000000001</v>
      </c>
      <c r="AT81" s="40">
        <f t="shared" si="69"/>
        <v>92.585447951314976</v>
      </c>
    </row>
    <row r="82" spans="17:46" x14ac:dyDescent="0.3">
      <c r="Q82">
        <v>75</v>
      </c>
      <c r="R82" s="39">
        <f t="shared" si="45"/>
        <v>210</v>
      </c>
      <c r="S82" s="37">
        <f t="shared" si="46"/>
        <v>1.6799999999999999E-2</v>
      </c>
      <c r="T82" s="37">
        <f t="shared" si="47"/>
        <v>20</v>
      </c>
      <c r="U82" s="40">
        <f t="shared" si="48"/>
        <v>0.19599999999999998</v>
      </c>
      <c r="V82" s="39">
        <f t="shared" si="49"/>
        <v>2</v>
      </c>
      <c r="W82" s="37">
        <f t="shared" si="50"/>
        <v>0.90476190476190477</v>
      </c>
      <c r="X82" s="40">
        <f t="shared" si="51"/>
        <v>9.5238095238095233E-2</v>
      </c>
      <c r="Y82" s="39">
        <f t="shared" si="52"/>
        <v>0.22067363530778164</v>
      </c>
      <c r="Z82" s="37">
        <f t="shared" si="71"/>
        <v>0.30633681765389081</v>
      </c>
      <c r="AA82" s="37">
        <f t="shared" si="72"/>
        <v>0.20609238489084447</v>
      </c>
      <c r="AB82" s="37">
        <v>0</v>
      </c>
      <c r="AC82" s="37">
        <f t="shared" si="53"/>
        <v>3.1260916336957038E-2</v>
      </c>
      <c r="AD82" s="40">
        <f t="shared" si="62"/>
        <v>3.1260916336957038E-2</v>
      </c>
      <c r="AE82" s="39">
        <f t="shared" si="70"/>
        <v>0.17733333333333332</v>
      </c>
      <c r="AF82" s="37">
        <f t="shared" si="63"/>
        <v>0.19603296018902674</v>
      </c>
      <c r="AG82" s="37">
        <f t="shared" si="54"/>
        <v>1.8830171525431548E-4</v>
      </c>
      <c r="AH82" s="37">
        <f t="shared" si="55"/>
        <v>8.4764227588790299E-3</v>
      </c>
      <c r="AI82" s="40">
        <f t="shared" si="64"/>
        <v>8.6647244741333458E-3</v>
      </c>
      <c r="AJ82" s="39">
        <f t="shared" si="65"/>
        <v>1.8666666666666665E-2</v>
      </c>
      <c r="AK82" s="37">
        <f t="shared" si="56"/>
        <v>6.3601490780668235E-2</v>
      </c>
      <c r="AL82" s="37">
        <f t="shared" si="57"/>
        <v>1.5455999999999999E-2</v>
      </c>
      <c r="AM82" s="37">
        <f t="shared" si="58"/>
        <v>0.21092</v>
      </c>
      <c r="AN82" s="40">
        <f t="shared" si="66"/>
        <v>0.22637599999999999</v>
      </c>
      <c r="AO82" s="39">
        <f t="shared" si="59"/>
        <v>1.5371568592189018E-3</v>
      </c>
      <c r="AP82" s="37">
        <f t="shared" si="60"/>
        <v>3.0375000000000007E-3</v>
      </c>
      <c r="AQ82" s="40">
        <f t="shared" si="61"/>
        <v>8.9999999999999993E-3</v>
      </c>
      <c r="AR82" s="39">
        <f t="shared" si="67"/>
        <v>0.2798762976703093</v>
      </c>
      <c r="AS82" s="37">
        <f t="shared" si="68"/>
        <v>3.5279999999999996</v>
      </c>
      <c r="AT82" s="40">
        <f t="shared" si="69"/>
        <v>92.650068547616954</v>
      </c>
    </row>
    <row r="83" spans="17:46" x14ac:dyDescent="0.3">
      <c r="Q83">
        <v>76</v>
      </c>
      <c r="R83" s="39">
        <f t="shared" si="45"/>
        <v>210</v>
      </c>
      <c r="S83" s="37">
        <f t="shared" si="46"/>
        <v>1.7024000000000001E-2</v>
      </c>
      <c r="T83" s="37">
        <f t="shared" si="47"/>
        <v>20</v>
      </c>
      <c r="U83" s="40">
        <f t="shared" si="48"/>
        <v>0.19861333333333334</v>
      </c>
      <c r="V83" s="39">
        <f t="shared" si="49"/>
        <v>2</v>
      </c>
      <c r="W83" s="37">
        <f t="shared" si="50"/>
        <v>0.90476190476190477</v>
      </c>
      <c r="X83" s="40">
        <f t="shared" si="51"/>
        <v>9.5238095238095233E-2</v>
      </c>
      <c r="Y83" s="39">
        <f t="shared" si="52"/>
        <v>0.22067363530778164</v>
      </c>
      <c r="Z83" s="37">
        <f t="shared" si="71"/>
        <v>0.30895015098722417</v>
      </c>
      <c r="AA83" s="37">
        <f t="shared" si="72"/>
        <v>0.20857930695007537</v>
      </c>
      <c r="AB83" s="37">
        <v>0</v>
      </c>
      <c r="AC83" s="37">
        <f t="shared" si="53"/>
        <v>3.2019920883801484E-2</v>
      </c>
      <c r="AD83" s="40">
        <f t="shared" si="62"/>
        <v>3.2019920883801484E-2</v>
      </c>
      <c r="AE83" s="39">
        <f t="shared" si="70"/>
        <v>0.17969777777777779</v>
      </c>
      <c r="AF83" s="37">
        <f t="shared" si="63"/>
        <v>0.1983984949140902</v>
      </c>
      <c r="AG83" s="37">
        <f t="shared" si="54"/>
        <v>1.9287361764246377E-4</v>
      </c>
      <c r="AH83" s="37">
        <f t="shared" si="55"/>
        <v>8.5894417289974195E-3</v>
      </c>
      <c r="AI83" s="40">
        <f t="shared" si="64"/>
        <v>8.7823153466398841E-3</v>
      </c>
      <c r="AJ83" s="39">
        <f t="shared" si="65"/>
        <v>1.8915555555555554E-2</v>
      </c>
      <c r="AK83" s="37">
        <f t="shared" si="56"/>
        <v>6.4368971590336152E-2</v>
      </c>
      <c r="AL83" s="37">
        <f t="shared" si="57"/>
        <v>1.5662080000000002E-2</v>
      </c>
      <c r="AM83" s="37">
        <f t="shared" si="58"/>
        <v>0.21092</v>
      </c>
      <c r="AN83" s="40">
        <f t="shared" si="66"/>
        <v>0.22658207999999999</v>
      </c>
      <c r="AO83" s="39">
        <f t="shared" si="59"/>
        <v>1.5744785113670509E-3</v>
      </c>
      <c r="AP83" s="37">
        <f t="shared" si="60"/>
        <v>3.0375000000000007E-3</v>
      </c>
      <c r="AQ83" s="40">
        <f t="shared" si="61"/>
        <v>8.9999999999999993E-3</v>
      </c>
      <c r="AR83" s="39">
        <f t="shared" si="67"/>
        <v>0.28099629474180843</v>
      </c>
      <c r="AS83" s="37">
        <f t="shared" si="68"/>
        <v>3.57504</v>
      </c>
      <c r="AT83" s="40">
        <f t="shared" si="69"/>
        <v>92.712820283227572</v>
      </c>
    </row>
    <row r="84" spans="17:46" x14ac:dyDescent="0.3">
      <c r="Q84">
        <v>77</v>
      </c>
      <c r="R84" s="39">
        <f t="shared" si="45"/>
        <v>210</v>
      </c>
      <c r="S84" s="37">
        <f t="shared" si="46"/>
        <v>1.7247999999999999E-2</v>
      </c>
      <c r="T84" s="37">
        <f t="shared" si="47"/>
        <v>20</v>
      </c>
      <c r="U84" s="40">
        <f t="shared" si="48"/>
        <v>0.20122666666666666</v>
      </c>
      <c r="V84" s="39">
        <f t="shared" si="49"/>
        <v>2</v>
      </c>
      <c r="W84" s="37">
        <f t="shared" si="50"/>
        <v>0.90476190476190477</v>
      </c>
      <c r="X84" s="40">
        <f t="shared" si="51"/>
        <v>9.5238095238095233E-2</v>
      </c>
      <c r="Y84" s="39">
        <f t="shared" si="52"/>
        <v>0.22067363530778164</v>
      </c>
      <c r="Z84" s="37">
        <f t="shared" si="71"/>
        <v>0.31156348432055747</v>
      </c>
      <c r="AA84" s="37">
        <f t="shared" si="72"/>
        <v>0.21106928361979568</v>
      </c>
      <c r="AB84" s="37">
        <v>0</v>
      </c>
      <c r="AC84" s="37">
        <f t="shared" si="53"/>
        <v>3.2788978471001477E-2</v>
      </c>
      <c r="AD84" s="40">
        <f t="shared" si="62"/>
        <v>3.2788978471001477E-2</v>
      </c>
      <c r="AE84" s="39">
        <f t="shared" si="70"/>
        <v>0.18206222222222221</v>
      </c>
      <c r="AF84" s="37">
        <f t="shared" si="63"/>
        <v>0.20076693515328395</v>
      </c>
      <c r="AG84" s="37">
        <f t="shared" si="54"/>
        <v>1.9750607502913036E-4</v>
      </c>
      <c r="AH84" s="37">
        <f t="shared" si="55"/>
        <v>8.7024606991158056E-3</v>
      </c>
      <c r="AI84" s="40">
        <f t="shared" si="64"/>
        <v>8.8999667741449361E-3</v>
      </c>
      <c r="AJ84" s="39">
        <f t="shared" si="65"/>
        <v>1.9164444444444442E-2</v>
      </c>
      <c r="AK84" s="37">
        <f t="shared" si="56"/>
        <v>6.5137395073266741E-2</v>
      </c>
      <c r="AL84" s="37">
        <f t="shared" si="57"/>
        <v>1.5868159999999999E-2</v>
      </c>
      <c r="AM84" s="37">
        <f t="shared" si="58"/>
        <v>0.21092</v>
      </c>
      <c r="AN84" s="40">
        <f t="shared" si="66"/>
        <v>0.22678815999999999</v>
      </c>
      <c r="AO84" s="39">
        <f t="shared" si="59"/>
        <v>1.612294490033717E-3</v>
      </c>
      <c r="AP84" s="37">
        <f t="shared" si="60"/>
        <v>3.0375000000000007E-3</v>
      </c>
      <c r="AQ84" s="40">
        <f t="shared" si="61"/>
        <v>8.9999999999999993E-3</v>
      </c>
      <c r="AR84" s="39">
        <f t="shared" si="67"/>
        <v>0.28212689973518013</v>
      </c>
      <c r="AS84" s="37">
        <f t="shared" si="68"/>
        <v>3.62208</v>
      </c>
      <c r="AT84" s="40">
        <f t="shared" si="69"/>
        <v>92.773771806142847</v>
      </c>
    </row>
    <row r="85" spans="17:46" x14ac:dyDescent="0.3">
      <c r="Q85">
        <v>78</v>
      </c>
      <c r="R85" s="39">
        <f t="shared" si="45"/>
        <v>210</v>
      </c>
      <c r="S85" s="37">
        <f t="shared" si="46"/>
        <v>1.7472000000000001E-2</v>
      </c>
      <c r="T85" s="37">
        <f t="shared" si="47"/>
        <v>20</v>
      </c>
      <c r="U85" s="40">
        <f t="shared" si="48"/>
        <v>0.20384000000000002</v>
      </c>
      <c r="V85" s="39">
        <f t="shared" si="49"/>
        <v>2</v>
      </c>
      <c r="W85" s="37">
        <f t="shared" si="50"/>
        <v>0.90476190476190477</v>
      </c>
      <c r="X85" s="40">
        <f t="shared" si="51"/>
        <v>9.5238095238095233E-2</v>
      </c>
      <c r="Y85" s="39">
        <f t="shared" si="52"/>
        <v>0.22067363530778164</v>
      </c>
      <c r="Z85" s="37">
        <f t="shared" si="71"/>
        <v>0.31417681765389083</v>
      </c>
      <c r="AA85" s="37">
        <f t="shared" si="72"/>
        <v>0.21356220805656601</v>
      </c>
      <c r="AB85" s="37">
        <v>0</v>
      </c>
      <c r="AC85" s="37">
        <f t="shared" si="53"/>
        <v>3.3568089098557047E-2</v>
      </c>
      <c r="AD85" s="40">
        <f t="shared" si="62"/>
        <v>3.3568089098557047E-2</v>
      </c>
      <c r="AE85" s="39">
        <f t="shared" si="70"/>
        <v>0.18442666666666668</v>
      </c>
      <c r="AF85" s="37">
        <f t="shared" si="63"/>
        <v>0.20313817927822569</v>
      </c>
      <c r="AG85" s="37">
        <f t="shared" si="54"/>
        <v>2.0219908741431561E-4</v>
      </c>
      <c r="AH85" s="37">
        <f t="shared" si="55"/>
        <v>8.8154796692341934E-3</v>
      </c>
      <c r="AI85" s="40">
        <f t="shared" si="64"/>
        <v>9.0176787566485089E-3</v>
      </c>
      <c r="AJ85" s="39">
        <f t="shared" si="65"/>
        <v>1.9413333333333335E-2</v>
      </c>
      <c r="AK85" s="37">
        <f t="shared" si="56"/>
        <v>6.5906728256858782E-2</v>
      </c>
      <c r="AL85" s="37">
        <f t="shared" si="57"/>
        <v>1.6074240000000004E-2</v>
      </c>
      <c r="AM85" s="37">
        <f t="shared" si="58"/>
        <v>0.21092</v>
      </c>
      <c r="AN85" s="40">
        <f t="shared" si="66"/>
        <v>0.22699424000000001</v>
      </c>
      <c r="AO85" s="39">
        <f t="shared" si="59"/>
        <v>1.6506047952189026E-3</v>
      </c>
      <c r="AP85" s="37">
        <f t="shared" si="60"/>
        <v>3.0375000000000007E-3</v>
      </c>
      <c r="AQ85" s="40">
        <f t="shared" si="61"/>
        <v>8.9999999999999993E-3</v>
      </c>
      <c r="AR85" s="39">
        <f t="shared" si="67"/>
        <v>0.28326811265042451</v>
      </c>
      <c r="AS85" s="37">
        <f t="shared" si="68"/>
        <v>3.6691200000000004</v>
      </c>
      <c r="AT85" s="40">
        <f t="shared" si="69"/>
        <v>92.832988447066541</v>
      </c>
    </row>
    <row r="86" spans="17:46" x14ac:dyDescent="0.3">
      <c r="Q86">
        <v>79</v>
      </c>
      <c r="R86" s="39">
        <f t="shared" si="45"/>
        <v>210</v>
      </c>
      <c r="S86" s="37">
        <f t="shared" si="46"/>
        <v>1.7696E-2</v>
      </c>
      <c r="T86" s="37">
        <f t="shared" si="47"/>
        <v>20</v>
      </c>
      <c r="U86" s="40">
        <f t="shared" si="48"/>
        <v>0.20645333333333332</v>
      </c>
      <c r="V86" s="39">
        <f t="shared" si="49"/>
        <v>2</v>
      </c>
      <c r="W86" s="37">
        <f t="shared" si="50"/>
        <v>0.90476190476190477</v>
      </c>
      <c r="X86" s="40">
        <f t="shared" si="51"/>
        <v>9.5238095238095233E-2</v>
      </c>
      <c r="Y86" s="39">
        <f t="shared" si="52"/>
        <v>0.22067363530778164</v>
      </c>
      <c r="Z86" s="37">
        <f t="shared" si="71"/>
        <v>0.31679015098722413</v>
      </c>
      <c r="AA86" s="37">
        <f t="shared" si="72"/>
        <v>0.21605797822445813</v>
      </c>
      <c r="AB86" s="37">
        <v>0</v>
      </c>
      <c r="AC86" s="37">
        <f t="shared" si="53"/>
        <v>3.4357252766468151E-2</v>
      </c>
      <c r="AD86" s="40">
        <f t="shared" si="62"/>
        <v>3.4357252766468151E-2</v>
      </c>
      <c r="AE86" s="39">
        <f t="shared" si="70"/>
        <v>0.1867911111111111</v>
      </c>
      <c r="AF86" s="37">
        <f t="shared" si="63"/>
        <v>0.20551213023338827</v>
      </c>
      <c r="AG86" s="37">
        <f t="shared" si="54"/>
        <v>2.0695265479801921E-4</v>
      </c>
      <c r="AH86" s="37">
        <f t="shared" si="55"/>
        <v>8.9284986393525795E-3</v>
      </c>
      <c r="AI86" s="40">
        <f t="shared" si="64"/>
        <v>9.135451294150599E-3</v>
      </c>
      <c r="AJ86" s="39">
        <f t="shared" si="65"/>
        <v>1.966222222222222E-2</v>
      </c>
      <c r="AK86" s="37">
        <f t="shared" si="56"/>
        <v>6.6676939652141179E-2</v>
      </c>
      <c r="AL86" s="37">
        <f t="shared" si="57"/>
        <v>1.6280320000000001E-2</v>
      </c>
      <c r="AM86" s="37">
        <f t="shared" si="58"/>
        <v>0.21092</v>
      </c>
      <c r="AN86" s="40">
        <f t="shared" si="66"/>
        <v>0.22720032000000001</v>
      </c>
      <c r="AO86" s="39">
        <f t="shared" si="59"/>
        <v>1.6894094269226058E-3</v>
      </c>
      <c r="AP86" s="37">
        <f t="shared" si="60"/>
        <v>3.0375000000000007E-3</v>
      </c>
      <c r="AQ86" s="40">
        <f t="shared" si="61"/>
        <v>8.9999999999999993E-3</v>
      </c>
      <c r="AR86" s="39">
        <f t="shared" si="67"/>
        <v>0.28441993348754141</v>
      </c>
      <c r="AS86" s="37">
        <f t="shared" si="68"/>
        <v>3.7161599999999999</v>
      </c>
      <c r="AT86" s="40">
        <f t="shared" si="69"/>
        <v>92.890532417393885</v>
      </c>
    </row>
    <row r="87" spans="17:46" x14ac:dyDescent="0.3">
      <c r="Q87">
        <v>80</v>
      </c>
      <c r="R87" s="39">
        <f t="shared" si="45"/>
        <v>210</v>
      </c>
      <c r="S87" s="37">
        <f t="shared" si="46"/>
        <v>1.7919999999999998E-2</v>
      </c>
      <c r="T87" s="37">
        <f t="shared" si="47"/>
        <v>20</v>
      </c>
      <c r="U87" s="40">
        <f t="shared" si="48"/>
        <v>0.20906666666666665</v>
      </c>
      <c r="V87" s="39">
        <f t="shared" si="49"/>
        <v>2</v>
      </c>
      <c r="W87" s="37">
        <f t="shared" si="50"/>
        <v>0.90476190476190477</v>
      </c>
      <c r="X87" s="40">
        <f t="shared" si="51"/>
        <v>9.5238095238095233E-2</v>
      </c>
      <c r="Y87" s="39">
        <f t="shared" si="52"/>
        <v>0.22067363530778164</v>
      </c>
      <c r="Z87" s="37">
        <f t="shared" si="71"/>
        <v>0.31940348432055748</v>
      </c>
      <c r="AA87" s="37">
        <f t="shared" si="72"/>
        <v>0.21855649663441049</v>
      </c>
      <c r="AB87" s="37">
        <v>0</v>
      </c>
      <c r="AC87" s="37">
        <f t="shared" si="53"/>
        <v>3.515646947473481E-2</v>
      </c>
      <c r="AD87" s="40">
        <f t="shared" si="62"/>
        <v>3.515646947473481E-2</v>
      </c>
      <c r="AE87" s="39">
        <f t="shared" si="70"/>
        <v>0.18915555555555555</v>
      </c>
      <c r="AF87" s="37">
        <f t="shared" si="63"/>
        <v>0.20788869528817749</v>
      </c>
      <c r="AG87" s="37">
        <f t="shared" si="54"/>
        <v>2.1176677718024153E-4</v>
      </c>
      <c r="AH87" s="37">
        <f t="shared" si="55"/>
        <v>9.0415176094709674E-3</v>
      </c>
      <c r="AI87" s="40">
        <f t="shared" si="64"/>
        <v>9.2532843866512081E-3</v>
      </c>
      <c r="AJ87" s="39">
        <f t="shared" si="65"/>
        <v>1.9911111111111109E-2</v>
      </c>
      <c r="AK87" s="37">
        <f t="shared" si="56"/>
        <v>6.7447999173336423E-2</v>
      </c>
      <c r="AL87" s="37">
        <f t="shared" si="57"/>
        <v>1.6486399999999998E-2</v>
      </c>
      <c r="AM87" s="37">
        <f t="shared" si="58"/>
        <v>0.21092</v>
      </c>
      <c r="AN87" s="40">
        <f t="shared" si="66"/>
        <v>0.22740640000000001</v>
      </c>
      <c r="AO87" s="39">
        <f t="shared" si="59"/>
        <v>1.7287083851448284E-3</v>
      </c>
      <c r="AP87" s="37">
        <f t="shared" si="60"/>
        <v>3.0375000000000007E-3</v>
      </c>
      <c r="AQ87" s="40">
        <f t="shared" si="61"/>
        <v>8.9999999999999993E-3</v>
      </c>
      <c r="AR87" s="39">
        <f t="shared" si="67"/>
        <v>0.28558236224653089</v>
      </c>
      <c r="AS87" s="37">
        <f t="shared" si="68"/>
        <v>3.7631999999999999</v>
      </c>
      <c r="AT87" s="40">
        <f t="shared" si="69"/>
        <v>92.946462993183189</v>
      </c>
    </row>
    <row r="88" spans="17:46" x14ac:dyDescent="0.3">
      <c r="Q88">
        <v>81</v>
      </c>
      <c r="R88" s="39">
        <f t="shared" si="45"/>
        <v>210</v>
      </c>
      <c r="S88" s="37">
        <f t="shared" si="46"/>
        <v>1.8144E-2</v>
      </c>
      <c r="T88" s="37">
        <f t="shared" si="47"/>
        <v>20</v>
      </c>
      <c r="U88" s="40">
        <f t="shared" si="48"/>
        <v>0.21168000000000001</v>
      </c>
      <c r="V88" s="39">
        <f t="shared" si="49"/>
        <v>2</v>
      </c>
      <c r="W88" s="37">
        <f t="shared" si="50"/>
        <v>0.90476190476190477</v>
      </c>
      <c r="X88" s="40">
        <f t="shared" si="51"/>
        <v>9.5238095238095233E-2</v>
      </c>
      <c r="Y88" s="39">
        <f t="shared" si="52"/>
        <v>0.22067363530778164</v>
      </c>
      <c r="Z88" s="37">
        <f t="shared" si="71"/>
        <v>0.32201681765389084</v>
      </c>
      <c r="AA88" s="37">
        <f t="shared" si="72"/>
        <v>0.22105767009989946</v>
      </c>
      <c r="AB88" s="37">
        <v>0</v>
      </c>
      <c r="AC88" s="37">
        <f t="shared" si="53"/>
        <v>3.5965739223357045E-2</v>
      </c>
      <c r="AD88" s="40">
        <f t="shared" si="62"/>
        <v>3.5965739223357045E-2</v>
      </c>
      <c r="AE88" s="39">
        <f t="shared" si="70"/>
        <v>0.19152</v>
      </c>
      <c r="AF88" s="37">
        <f t="shared" si="63"/>
        <v>0.2102677858045289</v>
      </c>
      <c r="AG88" s="37">
        <f t="shared" si="54"/>
        <v>2.1664145456098234E-4</v>
      </c>
      <c r="AH88" s="37">
        <f t="shared" si="55"/>
        <v>9.1545365795893535E-3</v>
      </c>
      <c r="AI88" s="40">
        <f t="shared" si="64"/>
        <v>9.3711780341503362E-3</v>
      </c>
      <c r="AJ88" s="39">
        <f t="shared" si="65"/>
        <v>2.0160000000000001E-2</v>
      </c>
      <c r="AK88" s="37">
        <f t="shared" si="56"/>
        <v>6.8219878062458911E-2</v>
      </c>
      <c r="AL88" s="37">
        <f t="shared" si="57"/>
        <v>1.6692480000000003E-2</v>
      </c>
      <c r="AM88" s="37">
        <f t="shared" si="58"/>
        <v>0.21092</v>
      </c>
      <c r="AN88" s="40">
        <f t="shared" si="66"/>
        <v>0.22761248000000001</v>
      </c>
      <c r="AO88" s="39">
        <f t="shared" si="59"/>
        <v>1.76850166988557E-3</v>
      </c>
      <c r="AP88" s="37">
        <f t="shared" si="60"/>
        <v>3.0375000000000007E-3</v>
      </c>
      <c r="AQ88" s="40">
        <f t="shared" si="61"/>
        <v>8.9999999999999993E-3</v>
      </c>
      <c r="AR88" s="39">
        <f t="shared" si="67"/>
        <v>0.28675539892739299</v>
      </c>
      <c r="AS88" s="37">
        <f t="shared" si="68"/>
        <v>3.8102400000000003</v>
      </c>
      <c r="AT88" s="40">
        <f t="shared" si="69"/>
        <v>93.000836686258765</v>
      </c>
    </row>
    <row r="89" spans="17:46" x14ac:dyDescent="0.3">
      <c r="Q89">
        <v>82</v>
      </c>
      <c r="R89" s="39">
        <f t="shared" si="45"/>
        <v>210</v>
      </c>
      <c r="S89" s="37">
        <f t="shared" si="46"/>
        <v>1.8367999999999999E-2</v>
      </c>
      <c r="T89" s="37">
        <f t="shared" si="47"/>
        <v>20</v>
      </c>
      <c r="U89" s="40">
        <f t="shared" si="48"/>
        <v>0.21429333333333334</v>
      </c>
      <c r="V89" s="39">
        <f t="shared" si="49"/>
        <v>2</v>
      </c>
      <c r="W89" s="37">
        <f t="shared" si="50"/>
        <v>0.90476190476190477</v>
      </c>
      <c r="X89" s="40">
        <f t="shared" si="51"/>
        <v>9.5238095238095233E-2</v>
      </c>
      <c r="Y89" s="39">
        <f t="shared" si="52"/>
        <v>0.22067363530778164</v>
      </c>
      <c r="Z89" s="37">
        <f t="shared" si="71"/>
        <v>0.32463015098722414</v>
      </c>
      <c r="AA89" s="37">
        <f t="shared" si="72"/>
        <v>0.223561409507784</v>
      </c>
      <c r="AB89" s="37">
        <v>0</v>
      </c>
      <c r="AC89" s="37">
        <f t="shared" si="53"/>
        <v>3.6785062012334821E-2</v>
      </c>
      <c r="AD89" s="40">
        <f t="shared" si="62"/>
        <v>3.6785062012334821E-2</v>
      </c>
      <c r="AE89" s="39">
        <f t="shared" si="70"/>
        <v>0.19388444444444444</v>
      </c>
      <c r="AF89" s="37">
        <f t="shared" si="63"/>
        <v>0.21264931701893777</v>
      </c>
      <c r="AG89" s="37">
        <f t="shared" si="54"/>
        <v>2.2157668694024145E-4</v>
      </c>
      <c r="AH89" s="37">
        <f t="shared" si="55"/>
        <v>9.2675555497077414E-3</v>
      </c>
      <c r="AI89" s="40">
        <f t="shared" si="64"/>
        <v>9.4891322366479833E-3</v>
      </c>
      <c r="AJ89" s="39">
        <f t="shared" si="65"/>
        <v>2.040888888888889E-2</v>
      </c>
      <c r="AK89" s="37">
        <f t="shared" si="56"/>
        <v>6.8992548818596261E-2</v>
      </c>
      <c r="AL89" s="37">
        <f t="shared" si="57"/>
        <v>1.689856E-2</v>
      </c>
      <c r="AM89" s="37">
        <f t="shared" si="58"/>
        <v>0.21092</v>
      </c>
      <c r="AN89" s="40">
        <f t="shared" si="66"/>
        <v>0.22781856</v>
      </c>
      <c r="AO89" s="39">
        <f t="shared" si="59"/>
        <v>1.8087892811448278E-3</v>
      </c>
      <c r="AP89" s="37">
        <f t="shared" si="60"/>
        <v>3.0375000000000007E-3</v>
      </c>
      <c r="AQ89" s="40">
        <f t="shared" si="61"/>
        <v>8.9999999999999993E-3</v>
      </c>
      <c r="AR89" s="39">
        <f t="shared" si="67"/>
        <v>0.28793904353012767</v>
      </c>
      <c r="AS89" s="37">
        <f t="shared" si="68"/>
        <v>3.8572799999999998</v>
      </c>
      <c r="AT89" s="40">
        <f t="shared" si="69"/>
        <v>93.053707403483429</v>
      </c>
    </row>
    <row r="90" spans="17:46" x14ac:dyDescent="0.3">
      <c r="Q90">
        <v>83</v>
      </c>
      <c r="R90" s="39">
        <f t="shared" si="45"/>
        <v>210</v>
      </c>
      <c r="S90" s="37">
        <f t="shared" si="46"/>
        <v>1.8592000000000001E-2</v>
      </c>
      <c r="T90" s="37">
        <f t="shared" si="47"/>
        <v>20</v>
      </c>
      <c r="U90" s="40">
        <f t="shared" si="48"/>
        <v>0.21690666666666669</v>
      </c>
      <c r="V90" s="39">
        <f t="shared" si="49"/>
        <v>2</v>
      </c>
      <c r="W90" s="37">
        <f t="shared" si="50"/>
        <v>0.90476190476190477</v>
      </c>
      <c r="X90" s="40">
        <f t="shared" si="51"/>
        <v>9.5238095238095233E-2</v>
      </c>
      <c r="Y90" s="39">
        <f t="shared" si="52"/>
        <v>0.22067363530778164</v>
      </c>
      <c r="Z90" s="37">
        <f t="shared" si="71"/>
        <v>0.3272434843205575</v>
      </c>
      <c r="AA90" s="37">
        <f t="shared" si="72"/>
        <v>0.22606762960326812</v>
      </c>
      <c r="AB90" s="37">
        <v>0</v>
      </c>
      <c r="AC90" s="37">
        <f t="shared" si="53"/>
        <v>3.7614437841668152E-2</v>
      </c>
      <c r="AD90" s="40">
        <f t="shared" si="62"/>
        <v>3.7614437841668152E-2</v>
      </c>
      <c r="AE90" s="39">
        <f t="shared" si="70"/>
        <v>0.19624888888888892</v>
      </c>
      <c r="AF90" s="37">
        <f t="shared" si="63"/>
        <v>0.21503320783791782</v>
      </c>
      <c r="AG90" s="37">
        <f t="shared" si="54"/>
        <v>2.2657247431801935E-4</v>
      </c>
      <c r="AH90" s="37">
        <f t="shared" si="55"/>
        <v>9.3805745198261292E-3</v>
      </c>
      <c r="AI90" s="40">
        <f t="shared" si="64"/>
        <v>9.6071469941441494E-3</v>
      </c>
      <c r="AJ90" s="39">
        <f t="shared" si="65"/>
        <v>2.0657777777777778E-2</v>
      </c>
      <c r="AK90" s="37">
        <f t="shared" si="56"/>
        <v>6.9765985131547303E-2</v>
      </c>
      <c r="AL90" s="37">
        <f t="shared" si="57"/>
        <v>1.7104640000000001E-2</v>
      </c>
      <c r="AM90" s="37">
        <f t="shared" si="58"/>
        <v>0.21092</v>
      </c>
      <c r="AN90" s="40">
        <f t="shared" si="66"/>
        <v>0.22802464</v>
      </c>
      <c r="AO90" s="39">
        <f t="shared" si="59"/>
        <v>1.8495712189226065E-3</v>
      </c>
      <c r="AP90" s="37">
        <f t="shared" si="60"/>
        <v>3.0375000000000007E-3</v>
      </c>
      <c r="AQ90" s="40">
        <f t="shared" si="61"/>
        <v>8.9999999999999993E-3</v>
      </c>
      <c r="AR90" s="39">
        <f t="shared" si="67"/>
        <v>0.28913329605473492</v>
      </c>
      <c r="AS90" s="37">
        <f t="shared" si="68"/>
        <v>3.9043200000000002</v>
      </c>
      <c r="AT90" s="40">
        <f t="shared" si="69"/>
        <v>93.105126595144</v>
      </c>
    </row>
    <row r="91" spans="17:46" x14ac:dyDescent="0.3">
      <c r="Q91">
        <v>84</v>
      </c>
      <c r="R91" s="39">
        <f t="shared" si="45"/>
        <v>210</v>
      </c>
      <c r="S91" s="37">
        <f t="shared" si="46"/>
        <v>1.8815999999999999E-2</v>
      </c>
      <c r="T91" s="37">
        <f t="shared" si="47"/>
        <v>20</v>
      </c>
      <c r="U91" s="40">
        <f t="shared" si="48"/>
        <v>0.21951999999999999</v>
      </c>
      <c r="V91" s="39">
        <f t="shared" si="49"/>
        <v>2</v>
      </c>
      <c r="W91" s="37">
        <f t="shared" si="50"/>
        <v>0.90476190476190477</v>
      </c>
      <c r="X91" s="40">
        <f t="shared" si="51"/>
        <v>9.5238095238095233E-2</v>
      </c>
      <c r="Y91" s="39">
        <f t="shared" si="52"/>
        <v>0.22067363530778164</v>
      </c>
      <c r="Z91" s="37">
        <f t="shared" si="71"/>
        <v>0.3298568176538908</v>
      </c>
      <c r="AA91" s="37">
        <f t="shared" si="72"/>
        <v>0.22857624878800506</v>
      </c>
      <c r="AB91" s="37">
        <v>0</v>
      </c>
      <c r="AC91" s="37">
        <f t="shared" si="53"/>
        <v>3.8453866711357046E-2</v>
      </c>
      <c r="AD91" s="40">
        <f t="shared" si="62"/>
        <v>3.8453866711357046E-2</v>
      </c>
      <c r="AE91" s="39">
        <f t="shared" si="70"/>
        <v>0.19861333333333334</v>
      </c>
      <c r="AF91" s="37">
        <f t="shared" si="63"/>
        <v>0.21741938064595931</v>
      </c>
      <c r="AG91" s="37">
        <f t="shared" si="54"/>
        <v>2.316288166943155E-4</v>
      </c>
      <c r="AH91" s="37">
        <f t="shared" si="55"/>
        <v>9.4935934899445153E-3</v>
      </c>
      <c r="AI91" s="40">
        <f t="shared" si="64"/>
        <v>9.725222306638831E-3</v>
      </c>
      <c r="AJ91" s="39">
        <f t="shared" si="65"/>
        <v>2.0906666666666664E-2</v>
      </c>
      <c r="AK91" s="37">
        <f t="shared" si="56"/>
        <v>7.0540161819515459E-2</v>
      </c>
      <c r="AL91" s="37">
        <f t="shared" si="57"/>
        <v>1.7310720000000002E-2</v>
      </c>
      <c r="AM91" s="37">
        <f t="shared" si="58"/>
        <v>0.21092</v>
      </c>
      <c r="AN91" s="40">
        <f t="shared" si="66"/>
        <v>0.22823072</v>
      </c>
      <c r="AO91" s="39">
        <f t="shared" si="59"/>
        <v>1.8908474832189019E-3</v>
      </c>
      <c r="AP91" s="37">
        <f t="shared" si="60"/>
        <v>3.0375000000000007E-3</v>
      </c>
      <c r="AQ91" s="40">
        <f t="shared" si="61"/>
        <v>8.9999999999999993E-3</v>
      </c>
      <c r="AR91" s="39">
        <f t="shared" si="67"/>
        <v>0.29033815650121481</v>
      </c>
      <c r="AS91" s="37">
        <f t="shared" si="68"/>
        <v>3.9513599999999998</v>
      </c>
      <c r="AT91" s="40">
        <f t="shared" si="69"/>
        <v>93.15514339330781</v>
      </c>
    </row>
    <row r="92" spans="17:46" x14ac:dyDescent="0.3">
      <c r="Q92">
        <v>85</v>
      </c>
      <c r="R92" s="39">
        <f t="shared" si="45"/>
        <v>210</v>
      </c>
      <c r="S92" s="37">
        <f t="shared" si="46"/>
        <v>1.9040000000000001E-2</v>
      </c>
      <c r="T92" s="37">
        <f t="shared" si="47"/>
        <v>20</v>
      </c>
      <c r="U92" s="40">
        <f t="shared" si="48"/>
        <v>0.22213333333333335</v>
      </c>
      <c r="V92" s="39">
        <f t="shared" si="49"/>
        <v>2</v>
      </c>
      <c r="W92" s="37">
        <f t="shared" si="50"/>
        <v>0.90476190476190477</v>
      </c>
      <c r="X92" s="40">
        <f t="shared" si="51"/>
        <v>9.5238095238095233E-2</v>
      </c>
      <c r="Y92" s="39">
        <f t="shared" si="52"/>
        <v>0.22067363530778164</v>
      </c>
      <c r="Z92" s="37">
        <f t="shared" si="71"/>
        <v>0.33247015098722416</v>
      </c>
      <c r="AA92" s="37">
        <f t="shared" si="72"/>
        <v>0.23108718893044192</v>
      </c>
      <c r="AB92" s="37">
        <v>0</v>
      </c>
      <c r="AC92" s="37">
        <f t="shared" si="53"/>
        <v>3.9303348621401481E-2</v>
      </c>
      <c r="AD92" s="40">
        <f t="shared" si="62"/>
        <v>3.9303348621401481E-2</v>
      </c>
      <c r="AE92" s="39">
        <f t="shared" si="70"/>
        <v>0.20097777777777778</v>
      </c>
      <c r="AF92" s="37">
        <f t="shared" si="63"/>
        <v>0.21980776112513162</v>
      </c>
      <c r="AG92" s="37">
        <f t="shared" si="54"/>
        <v>2.3674571406913033E-4</v>
      </c>
      <c r="AH92" s="37">
        <f t="shared" si="55"/>
        <v>9.6066124600629032E-3</v>
      </c>
      <c r="AI92" s="40">
        <f t="shared" si="64"/>
        <v>9.8433581741320334E-3</v>
      </c>
      <c r="AJ92" s="39">
        <f t="shared" si="65"/>
        <v>2.1155555555555556E-2</v>
      </c>
      <c r="AK92" s="37">
        <f t="shared" si="56"/>
        <v>7.1315054770580061E-2</v>
      </c>
      <c r="AL92" s="37">
        <f t="shared" si="57"/>
        <v>1.7516800000000003E-2</v>
      </c>
      <c r="AM92" s="37">
        <f t="shared" si="58"/>
        <v>0.21092</v>
      </c>
      <c r="AN92" s="40">
        <f t="shared" si="66"/>
        <v>0.2284368</v>
      </c>
      <c r="AO92" s="39">
        <f t="shared" si="59"/>
        <v>1.9326180740337168E-3</v>
      </c>
      <c r="AP92" s="37">
        <f t="shared" si="60"/>
        <v>3.0375000000000007E-3</v>
      </c>
      <c r="AQ92" s="40">
        <f t="shared" si="61"/>
        <v>8.9999999999999993E-3</v>
      </c>
      <c r="AR92" s="39">
        <f t="shared" si="67"/>
        <v>0.29155362486956726</v>
      </c>
      <c r="AS92" s="37">
        <f t="shared" si="68"/>
        <v>3.9984000000000002</v>
      </c>
      <c r="AT92" s="40">
        <f t="shared" si="69"/>
        <v>93.203804740932796</v>
      </c>
    </row>
    <row r="93" spans="17:46" x14ac:dyDescent="0.3">
      <c r="Q93">
        <v>86</v>
      </c>
      <c r="R93" s="39">
        <f t="shared" si="45"/>
        <v>210</v>
      </c>
      <c r="S93" s="37">
        <f t="shared" si="46"/>
        <v>1.9264E-2</v>
      </c>
      <c r="T93" s="37">
        <f t="shared" si="47"/>
        <v>20</v>
      </c>
      <c r="U93" s="40">
        <f t="shared" si="48"/>
        <v>0.22474666666666668</v>
      </c>
      <c r="V93" s="39">
        <f t="shared" si="49"/>
        <v>2</v>
      </c>
      <c r="W93" s="37">
        <f t="shared" si="50"/>
        <v>0.90476190476190477</v>
      </c>
      <c r="X93" s="40">
        <f t="shared" si="51"/>
        <v>9.5238095238095233E-2</v>
      </c>
      <c r="Y93" s="39">
        <f t="shared" si="52"/>
        <v>0.22067363530778164</v>
      </c>
      <c r="Z93" s="37">
        <f t="shared" si="71"/>
        <v>0.33508348432055751</v>
      </c>
      <c r="AA93" s="37">
        <f t="shared" si="72"/>
        <v>0.23360037518757062</v>
      </c>
      <c r="AB93" s="37">
        <v>0</v>
      </c>
      <c r="AC93" s="37">
        <f t="shared" si="53"/>
        <v>4.0162883571801485E-2</v>
      </c>
      <c r="AD93" s="40">
        <f t="shared" si="62"/>
        <v>4.0162883571801485E-2</v>
      </c>
      <c r="AE93" s="39">
        <f t="shared" si="70"/>
        <v>0.20334222222222223</v>
      </c>
      <c r="AF93" s="37">
        <f t="shared" si="63"/>
        <v>0.22219827808553394</v>
      </c>
      <c r="AG93" s="37">
        <f t="shared" si="54"/>
        <v>2.4192316644246377E-4</v>
      </c>
      <c r="AH93" s="37">
        <f t="shared" si="55"/>
        <v>9.7196314301812893E-3</v>
      </c>
      <c r="AI93" s="40">
        <f t="shared" si="64"/>
        <v>9.9615545966237531E-3</v>
      </c>
      <c r="AJ93" s="39">
        <f t="shared" si="65"/>
        <v>2.1404444444444445E-2</v>
      </c>
      <c r="AK93" s="37">
        <f t="shared" si="56"/>
        <v>7.2090640887687366E-2</v>
      </c>
      <c r="AL93" s="37">
        <f t="shared" si="57"/>
        <v>1.772288E-2</v>
      </c>
      <c r="AM93" s="37">
        <f t="shared" si="58"/>
        <v>0.21092</v>
      </c>
      <c r="AN93" s="40">
        <f t="shared" si="66"/>
        <v>0.22864287999999999</v>
      </c>
      <c r="AO93" s="39">
        <f t="shared" si="59"/>
        <v>1.9748829913670508E-3</v>
      </c>
      <c r="AP93" s="37">
        <f t="shared" si="60"/>
        <v>3.0375000000000007E-3</v>
      </c>
      <c r="AQ93" s="40">
        <f t="shared" si="61"/>
        <v>8.9999999999999993E-3</v>
      </c>
      <c r="AR93" s="39">
        <f t="shared" si="67"/>
        <v>0.29277970115979235</v>
      </c>
      <c r="AS93" s="37">
        <f t="shared" si="68"/>
        <v>4.0454400000000001</v>
      </c>
      <c r="AT93" s="40">
        <f t="shared" si="69"/>
        <v>93.251155512443987</v>
      </c>
    </row>
    <row r="94" spans="17:46" x14ac:dyDescent="0.3">
      <c r="Q94">
        <v>87</v>
      </c>
      <c r="R94" s="39">
        <f t="shared" si="45"/>
        <v>210</v>
      </c>
      <c r="S94" s="37">
        <f t="shared" si="46"/>
        <v>1.9487999999999998E-2</v>
      </c>
      <c r="T94" s="37">
        <f t="shared" si="47"/>
        <v>20</v>
      </c>
      <c r="U94" s="40">
        <f t="shared" si="48"/>
        <v>0.22735999999999995</v>
      </c>
      <c r="V94" s="39">
        <f t="shared" si="49"/>
        <v>2</v>
      </c>
      <c r="W94" s="37">
        <f t="shared" si="50"/>
        <v>0.90476190476190477</v>
      </c>
      <c r="X94" s="40">
        <f t="shared" si="51"/>
        <v>9.5238095238095233E-2</v>
      </c>
      <c r="Y94" s="39">
        <f t="shared" si="52"/>
        <v>0.22067363530778164</v>
      </c>
      <c r="Z94" s="37">
        <f t="shared" si="71"/>
        <v>0.33769681765389076</v>
      </c>
      <c r="AA94" s="37">
        <f t="shared" si="72"/>
        <v>0.23611573583731341</v>
      </c>
      <c r="AB94" s="37">
        <v>0</v>
      </c>
      <c r="AC94" s="37">
        <f t="shared" si="53"/>
        <v>4.103247156255703E-2</v>
      </c>
      <c r="AD94" s="40">
        <f t="shared" si="62"/>
        <v>4.103247156255703E-2</v>
      </c>
      <c r="AE94" s="39">
        <f t="shared" si="70"/>
        <v>0.20570666666666662</v>
      </c>
      <c r="AF94" s="37">
        <f t="shared" si="63"/>
        <v>0.22459086330586231</v>
      </c>
      <c r="AG94" s="37">
        <f t="shared" si="54"/>
        <v>2.471611738143154E-4</v>
      </c>
      <c r="AH94" s="37">
        <f t="shared" si="55"/>
        <v>9.8326504002996754E-3</v>
      </c>
      <c r="AI94" s="40">
        <f t="shared" si="64"/>
        <v>1.007981157411399E-2</v>
      </c>
      <c r="AJ94" s="39">
        <f t="shared" si="65"/>
        <v>2.1653333333333327E-2</v>
      </c>
      <c r="AK94" s="37">
        <f t="shared" si="56"/>
        <v>7.286689803692363E-2</v>
      </c>
      <c r="AL94" s="37">
        <f t="shared" si="57"/>
        <v>1.7928960000000001E-2</v>
      </c>
      <c r="AM94" s="37">
        <f t="shared" si="58"/>
        <v>0.21092</v>
      </c>
      <c r="AN94" s="40">
        <f t="shared" si="66"/>
        <v>0.22884895999999999</v>
      </c>
      <c r="AO94" s="39">
        <f t="shared" si="59"/>
        <v>2.0176422352189013E-3</v>
      </c>
      <c r="AP94" s="37">
        <f t="shared" si="60"/>
        <v>3.0375000000000007E-3</v>
      </c>
      <c r="AQ94" s="40">
        <f t="shared" si="61"/>
        <v>8.9999999999999993E-3</v>
      </c>
      <c r="AR94" s="39">
        <f t="shared" si="67"/>
        <v>0.29401638537188995</v>
      </c>
      <c r="AS94" s="37">
        <f t="shared" si="68"/>
        <v>4.0924799999999992</v>
      </c>
      <c r="AT94" s="40">
        <f t="shared" si="69"/>
        <v>93.297238626426832</v>
      </c>
    </row>
    <row r="95" spans="17:46" x14ac:dyDescent="0.3">
      <c r="Q95">
        <v>88</v>
      </c>
      <c r="R95" s="39">
        <f t="shared" si="45"/>
        <v>210</v>
      </c>
      <c r="S95" s="37">
        <f t="shared" si="46"/>
        <v>1.9712E-2</v>
      </c>
      <c r="T95" s="37">
        <f t="shared" si="47"/>
        <v>20</v>
      </c>
      <c r="U95" s="40">
        <f t="shared" si="48"/>
        <v>0.22997333333333334</v>
      </c>
      <c r="V95" s="39">
        <f t="shared" si="49"/>
        <v>2</v>
      </c>
      <c r="W95" s="37">
        <f t="shared" si="50"/>
        <v>0.90476190476190477</v>
      </c>
      <c r="X95" s="40">
        <f t="shared" si="51"/>
        <v>9.5238095238095233E-2</v>
      </c>
      <c r="Y95" s="39">
        <f t="shared" si="52"/>
        <v>0.22067363530778164</v>
      </c>
      <c r="Z95" s="37">
        <f t="shared" si="71"/>
        <v>0.34031015098722417</v>
      </c>
      <c r="AA95" s="37">
        <f t="shared" si="72"/>
        <v>0.23863320212082903</v>
      </c>
      <c r="AB95" s="37">
        <v>0</v>
      </c>
      <c r="AC95" s="37">
        <f t="shared" si="53"/>
        <v>4.1912112593668165E-2</v>
      </c>
      <c r="AD95" s="40">
        <f t="shared" si="62"/>
        <v>4.1912112593668165E-2</v>
      </c>
      <c r="AE95" s="39">
        <f t="shared" si="70"/>
        <v>0.20807111111111112</v>
      </c>
      <c r="AF95" s="37">
        <f t="shared" si="63"/>
        <v>0.22698545138341319</v>
      </c>
      <c r="AG95" s="37">
        <f t="shared" si="54"/>
        <v>2.5245973618468604E-4</v>
      </c>
      <c r="AH95" s="37">
        <f t="shared" si="55"/>
        <v>9.9456693704180633E-3</v>
      </c>
      <c r="AI95" s="40">
        <f t="shared" si="64"/>
        <v>1.0198129106602749E-2</v>
      </c>
      <c r="AJ95" s="39">
        <f t="shared" si="65"/>
        <v>2.1902222222222222E-2</v>
      </c>
      <c r="AK95" s="37">
        <f t="shared" si="56"/>
        <v>7.3643804998849788E-2</v>
      </c>
      <c r="AL95" s="37">
        <f t="shared" si="57"/>
        <v>1.8135040000000002E-2</v>
      </c>
      <c r="AM95" s="37">
        <f t="shared" si="58"/>
        <v>0.21092</v>
      </c>
      <c r="AN95" s="40">
        <f t="shared" si="66"/>
        <v>0.22905503999999999</v>
      </c>
      <c r="AO95" s="39">
        <f t="shared" si="59"/>
        <v>2.0608958055892733E-3</v>
      </c>
      <c r="AP95" s="37">
        <f t="shared" si="60"/>
        <v>3.0375000000000007E-3</v>
      </c>
      <c r="AQ95" s="40">
        <f t="shared" si="61"/>
        <v>8.9999999999999993E-3</v>
      </c>
      <c r="AR95" s="39">
        <f t="shared" si="67"/>
        <v>0.29526367750586019</v>
      </c>
      <c r="AS95" s="37">
        <f t="shared" si="68"/>
        <v>4.1395200000000001</v>
      </c>
      <c r="AT95" s="40">
        <f t="shared" si="69"/>
        <v>93.342095151032979</v>
      </c>
    </row>
    <row r="96" spans="17:46" x14ac:dyDescent="0.3">
      <c r="Q96">
        <v>89</v>
      </c>
      <c r="R96" s="39">
        <f t="shared" si="45"/>
        <v>210</v>
      </c>
      <c r="S96" s="37">
        <f t="shared" si="46"/>
        <v>1.9935999999999999E-2</v>
      </c>
      <c r="T96" s="37">
        <f t="shared" si="47"/>
        <v>20</v>
      </c>
      <c r="U96" s="40">
        <f t="shared" si="48"/>
        <v>0.23258666666666666</v>
      </c>
      <c r="V96" s="39">
        <f t="shared" si="49"/>
        <v>2</v>
      </c>
      <c r="W96" s="37">
        <f t="shared" si="50"/>
        <v>0.90476190476190477</v>
      </c>
      <c r="X96" s="40">
        <f t="shared" si="51"/>
        <v>9.5238095238095233E-2</v>
      </c>
      <c r="Y96" s="39">
        <f t="shared" si="52"/>
        <v>0.22067363530778164</v>
      </c>
      <c r="Z96" s="37">
        <f t="shared" si="71"/>
        <v>0.34292348432055747</v>
      </c>
      <c r="AA96" s="37">
        <f t="shared" si="72"/>
        <v>0.24115270809407696</v>
      </c>
      <c r="AB96" s="37">
        <v>0</v>
      </c>
      <c r="AC96" s="37">
        <f t="shared" si="53"/>
        <v>4.280180666513482E-2</v>
      </c>
      <c r="AD96" s="40">
        <f t="shared" si="62"/>
        <v>4.280180666513482E-2</v>
      </c>
      <c r="AE96" s="39">
        <f t="shared" si="70"/>
        <v>0.21043555555555554</v>
      </c>
      <c r="AF96" s="37">
        <f t="shared" si="63"/>
        <v>0.22938197959289225</v>
      </c>
      <c r="AG96" s="37">
        <f t="shared" si="54"/>
        <v>2.5781885355357482E-4</v>
      </c>
      <c r="AH96" s="37">
        <f t="shared" si="55"/>
        <v>1.0058688340536451E-2</v>
      </c>
      <c r="AI96" s="40">
        <f t="shared" si="64"/>
        <v>1.0316507194090026E-2</v>
      </c>
      <c r="AJ96" s="39">
        <f t="shared" si="65"/>
        <v>2.2151111111111111E-2</v>
      </c>
      <c r="AK96" s="37">
        <f t="shared" si="56"/>
        <v>7.4421341422693105E-2</v>
      </c>
      <c r="AL96" s="37">
        <f t="shared" si="57"/>
        <v>1.8341119999999999E-2</v>
      </c>
      <c r="AM96" s="37">
        <f t="shared" si="58"/>
        <v>0.21092</v>
      </c>
      <c r="AN96" s="40">
        <f t="shared" si="66"/>
        <v>0.22926111999999998</v>
      </c>
      <c r="AO96" s="39">
        <f t="shared" si="59"/>
        <v>2.1046437024781614E-3</v>
      </c>
      <c r="AP96" s="37">
        <f t="shared" si="60"/>
        <v>3.0375000000000007E-3</v>
      </c>
      <c r="AQ96" s="40">
        <f t="shared" si="61"/>
        <v>8.9999999999999993E-3</v>
      </c>
      <c r="AR96" s="39">
        <f t="shared" si="67"/>
        <v>0.296521577561703</v>
      </c>
      <c r="AS96" s="37">
        <f t="shared" si="68"/>
        <v>4.1865600000000001</v>
      </c>
      <c r="AT96" s="40">
        <f t="shared" si="69"/>
        <v>93.385764402641598</v>
      </c>
    </row>
    <row r="97" spans="17:46" x14ac:dyDescent="0.3">
      <c r="Q97">
        <v>90</v>
      </c>
      <c r="R97" s="39">
        <f t="shared" si="45"/>
        <v>210</v>
      </c>
      <c r="S97" s="37">
        <f t="shared" si="46"/>
        <v>2.0160000000000001E-2</v>
      </c>
      <c r="T97" s="37">
        <f t="shared" si="47"/>
        <v>20</v>
      </c>
      <c r="U97" s="40">
        <f t="shared" si="48"/>
        <v>0.23519999999999999</v>
      </c>
      <c r="V97" s="39">
        <f t="shared" si="49"/>
        <v>2</v>
      </c>
      <c r="W97" s="37">
        <f t="shared" si="50"/>
        <v>0.90476190476190477</v>
      </c>
      <c r="X97" s="40">
        <f t="shared" si="51"/>
        <v>9.5238095238095233E-2</v>
      </c>
      <c r="Y97" s="39">
        <f t="shared" si="52"/>
        <v>0.22067363530778164</v>
      </c>
      <c r="Z97" s="37">
        <f t="shared" si="71"/>
        <v>0.34553681765389083</v>
      </c>
      <c r="AA97" s="37">
        <f t="shared" si="72"/>
        <v>0.24367419048802846</v>
      </c>
      <c r="AB97" s="37">
        <v>0</v>
      </c>
      <c r="AC97" s="37">
        <f t="shared" si="53"/>
        <v>4.3701553776957044E-2</v>
      </c>
      <c r="AD97" s="40">
        <f t="shared" si="62"/>
        <v>4.3701553776957044E-2</v>
      </c>
      <c r="AE97" s="39">
        <f t="shared" si="70"/>
        <v>0.21279999999999999</v>
      </c>
      <c r="AF97" s="37">
        <f t="shared" si="63"/>
        <v>0.23178038775344914</v>
      </c>
      <c r="AG97" s="37">
        <f t="shared" si="54"/>
        <v>2.6323852592098228E-4</v>
      </c>
      <c r="AH97" s="37">
        <f t="shared" si="55"/>
        <v>1.0171707310654837E-2</v>
      </c>
      <c r="AI97" s="40">
        <f t="shared" si="64"/>
        <v>1.043494583657582E-2</v>
      </c>
      <c r="AJ97" s="39">
        <f t="shared" si="65"/>
        <v>2.2399999999999996E-2</v>
      </c>
      <c r="AK97" s="37">
        <f t="shared" si="56"/>
        <v>7.5199487783207411E-2</v>
      </c>
      <c r="AL97" s="37">
        <f t="shared" si="57"/>
        <v>1.8547200000000003E-2</v>
      </c>
      <c r="AM97" s="37">
        <f t="shared" si="58"/>
        <v>0.21092</v>
      </c>
      <c r="AN97" s="40">
        <f t="shared" si="66"/>
        <v>0.22946720000000001</v>
      </c>
      <c r="AO97" s="39">
        <f t="shared" si="59"/>
        <v>2.1488859258855693E-3</v>
      </c>
      <c r="AP97" s="37">
        <f t="shared" si="60"/>
        <v>3.0375000000000007E-3</v>
      </c>
      <c r="AQ97" s="40">
        <f t="shared" si="61"/>
        <v>8.9999999999999993E-3</v>
      </c>
      <c r="AR97" s="39">
        <f t="shared" si="67"/>
        <v>0.29779008553941849</v>
      </c>
      <c r="AS97" s="37">
        <f t="shared" si="68"/>
        <v>4.2336</v>
      </c>
      <c r="AT97" s="40">
        <f t="shared" si="69"/>
        <v>93.428284038274995</v>
      </c>
    </row>
    <row r="98" spans="17:46" x14ac:dyDescent="0.3">
      <c r="Q98">
        <v>91</v>
      </c>
      <c r="R98" s="39">
        <f t="shared" si="45"/>
        <v>210</v>
      </c>
      <c r="S98" s="37">
        <f t="shared" si="46"/>
        <v>2.0383999999999999E-2</v>
      </c>
      <c r="T98" s="37">
        <f t="shared" si="47"/>
        <v>20</v>
      </c>
      <c r="U98" s="40">
        <f t="shared" si="48"/>
        <v>0.23781333333333332</v>
      </c>
      <c r="V98" s="39">
        <f t="shared" si="49"/>
        <v>2</v>
      </c>
      <c r="W98" s="37">
        <f t="shared" si="50"/>
        <v>0.90476190476190477</v>
      </c>
      <c r="X98" s="40">
        <f t="shared" si="51"/>
        <v>9.5238095238095233E-2</v>
      </c>
      <c r="Y98" s="39">
        <f t="shared" si="52"/>
        <v>0.22067363530778164</v>
      </c>
      <c r="Z98" s="37">
        <f t="shared" si="71"/>
        <v>0.34815015098722413</v>
      </c>
      <c r="AA98" s="37">
        <f t="shared" si="72"/>
        <v>0.24619758857695395</v>
      </c>
      <c r="AB98" s="37">
        <v>0</v>
      </c>
      <c r="AC98" s="37">
        <f t="shared" si="53"/>
        <v>4.4611353929134817E-2</v>
      </c>
      <c r="AD98" s="40">
        <f t="shared" si="62"/>
        <v>4.4611353929134817E-2</v>
      </c>
      <c r="AE98" s="39">
        <f t="shared" si="70"/>
        <v>0.21516444444444444</v>
      </c>
      <c r="AF98" s="37">
        <f t="shared" si="63"/>
        <v>0.2341806181033933</v>
      </c>
      <c r="AG98" s="37">
        <f t="shared" si="54"/>
        <v>2.6871875328690799E-4</v>
      </c>
      <c r="AH98" s="37">
        <f t="shared" si="55"/>
        <v>1.0284726280773225E-2</v>
      </c>
      <c r="AI98" s="40">
        <f t="shared" si="64"/>
        <v>1.0553445034060133E-2</v>
      </c>
      <c r="AJ98" s="39">
        <f t="shared" si="65"/>
        <v>2.2648888888888885E-2</v>
      </c>
      <c r="AK98" s="37">
        <f t="shared" si="56"/>
        <v>7.5978225340025671E-2</v>
      </c>
      <c r="AL98" s="37">
        <f t="shared" si="57"/>
        <v>1.8753280000000001E-2</v>
      </c>
      <c r="AM98" s="37">
        <f t="shared" si="58"/>
        <v>0.21092</v>
      </c>
      <c r="AN98" s="40">
        <f t="shared" si="66"/>
        <v>0.22967328000000001</v>
      </c>
      <c r="AO98" s="39">
        <f t="shared" si="59"/>
        <v>2.1936224758114936E-3</v>
      </c>
      <c r="AP98" s="37">
        <f t="shared" si="60"/>
        <v>3.0375000000000007E-3</v>
      </c>
      <c r="AQ98" s="40">
        <f t="shared" si="61"/>
        <v>8.9999999999999993E-3</v>
      </c>
      <c r="AR98" s="39">
        <f t="shared" si="67"/>
        <v>0.2990692014390065</v>
      </c>
      <c r="AS98" s="37">
        <f t="shared" si="68"/>
        <v>4.28064</v>
      </c>
      <c r="AT98" s="40">
        <f t="shared" si="69"/>
        <v>93.469690142224877</v>
      </c>
    </row>
    <row r="99" spans="17:46" x14ac:dyDescent="0.3">
      <c r="Q99">
        <v>92</v>
      </c>
      <c r="R99" s="39">
        <f t="shared" si="45"/>
        <v>210</v>
      </c>
      <c r="S99" s="37">
        <f t="shared" si="46"/>
        <v>2.0608000000000001E-2</v>
      </c>
      <c r="T99" s="37">
        <f t="shared" si="47"/>
        <v>20</v>
      </c>
      <c r="U99" s="40">
        <f t="shared" si="48"/>
        <v>0.24042666666666668</v>
      </c>
      <c r="V99" s="39">
        <f t="shared" si="49"/>
        <v>2</v>
      </c>
      <c r="W99" s="37">
        <f t="shared" si="50"/>
        <v>0.90476190476190477</v>
      </c>
      <c r="X99" s="40">
        <f t="shared" si="51"/>
        <v>9.5238095238095233E-2</v>
      </c>
      <c r="Y99" s="39">
        <f t="shared" si="52"/>
        <v>0.22067363530778164</v>
      </c>
      <c r="Z99" s="37">
        <f t="shared" si="71"/>
        <v>0.35076348432055748</v>
      </c>
      <c r="AA99" s="37">
        <f t="shared" si="72"/>
        <v>0.2487228440542614</v>
      </c>
      <c r="AB99" s="37">
        <v>0</v>
      </c>
      <c r="AC99" s="37">
        <f t="shared" si="53"/>
        <v>4.5531207121668159E-2</v>
      </c>
      <c r="AD99" s="40">
        <f t="shared" si="62"/>
        <v>4.5531207121668159E-2</v>
      </c>
      <c r="AE99" s="39">
        <f t="shared" si="70"/>
        <v>0.21752888888888891</v>
      </c>
      <c r="AF99" s="37">
        <f t="shared" si="63"/>
        <v>0.23658261518209339</v>
      </c>
      <c r="AG99" s="37">
        <f t="shared" si="54"/>
        <v>2.7425953565135265E-4</v>
      </c>
      <c r="AH99" s="37">
        <f t="shared" si="55"/>
        <v>1.0397745250891613E-2</v>
      </c>
      <c r="AI99" s="40">
        <f t="shared" si="64"/>
        <v>1.0672004786542965E-2</v>
      </c>
      <c r="AJ99" s="39">
        <f t="shared" si="65"/>
        <v>2.2897777777777777E-2</v>
      </c>
      <c r="AK99" s="37">
        <f t="shared" si="56"/>
        <v>7.6757536099343021E-2</v>
      </c>
      <c r="AL99" s="37">
        <f t="shared" si="57"/>
        <v>1.8959360000000001E-2</v>
      </c>
      <c r="AM99" s="37">
        <f t="shared" si="58"/>
        <v>0.21092</v>
      </c>
      <c r="AN99" s="40">
        <f t="shared" si="66"/>
        <v>0.22987936</v>
      </c>
      <c r="AO99" s="39">
        <f t="shared" si="59"/>
        <v>2.2388533522559395E-3</v>
      </c>
      <c r="AP99" s="37">
        <f t="shared" si="60"/>
        <v>3.0375000000000007E-3</v>
      </c>
      <c r="AQ99" s="40">
        <f t="shared" si="61"/>
        <v>8.9999999999999993E-3</v>
      </c>
      <c r="AR99" s="39">
        <f t="shared" si="67"/>
        <v>0.30035892526046709</v>
      </c>
      <c r="AS99" s="37">
        <f t="shared" si="68"/>
        <v>4.32768</v>
      </c>
      <c r="AT99" s="40">
        <f t="shared" si="69"/>
        <v>93.510017307307692</v>
      </c>
    </row>
    <row r="100" spans="17:46" x14ac:dyDescent="0.3">
      <c r="Q100">
        <v>93</v>
      </c>
      <c r="R100" s="39">
        <f t="shared" si="45"/>
        <v>210</v>
      </c>
      <c r="S100" s="37">
        <f t="shared" si="46"/>
        <v>2.0832E-2</v>
      </c>
      <c r="T100" s="37">
        <f t="shared" si="47"/>
        <v>20</v>
      </c>
      <c r="U100" s="40">
        <f t="shared" si="48"/>
        <v>0.24304000000000001</v>
      </c>
      <c r="V100" s="39">
        <f t="shared" si="49"/>
        <v>2</v>
      </c>
      <c r="W100" s="37">
        <f t="shared" si="50"/>
        <v>0.90476190476190477</v>
      </c>
      <c r="X100" s="40">
        <f t="shared" si="51"/>
        <v>9.5238095238095233E-2</v>
      </c>
      <c r="Y100" s="39">
        <f t="shared" si="52"/>
        <v>0.22067363530778164</v>
      </c>
      <c r="Z100" s="37">
        <f t="shared" si="71"/>
        <v>0.35337681765389084</v>
      </c>
      <c r="AA100" s="37">
        <f t="shared" si="72"/>
        <v>0.25124990091539534</v>
      </c>
      <c r="AB100" s="37">
        <v>0</v>
      </c>
      <c r="AC100" s="37">
        <f t="shared" si="53"/>
        <v>4.6461113354557035E-2</v>
      </c>
      <c r="AD100" s="40">
        <f t="shared" si="62"/>
        <v>4.6461113354557035E-2</v>
      </c>
      <c r="AE100" s="39">
        <f t="shared" si="70"/>
        <v>0.21989333333333333</v>
      </c>
      <c r="AF100" s="37">
        <f t="shared" si="63"/>
        <v>0.23898632571859121</v>
      </c>
      <c r="AG100" s="37">
        <f t="shared" si="54"/>
        <v>2.7986087301431567E-4</v>
      </c>
      <c r="AH100" s="37">
        <f t="shared" si="55"/>
        <v>1.0510764221009999E-2</v>
      </c>
      <c r="AI100" s="40">
        <f t="shared" si="64"/>
        <v>1.0790625094024314E-2</v>
      </c>
      <c r="AJ100" s="39">
        <f t="shared" si="65"/>
        <v>2.3146666666666666E-2</v>
      </c>
      <c r="AK100" s="37">
        <f t="shared" si="56"/>
        <v>7.7537402777778333E-2</v>
      </c>
      <c r="AL100" s="37">
        <f t="shared" si="57"/>
        <v>1.9165440000000002E-2</v>
      </c>
      <c r="AM100" s="37">
        <f t="shared" si="58"/>
        <v>0.21092</v>
      </c>
      <c r="AN100" s="40">
        <f t="shared" si="66"/>
        <v>0.23008544</v>
      </c>
      <c r="AO100" s="39">
        <f t="shared" si="59"/>
        <v>2.2845785552189032E-3</v>
      </c>
      <c r="AP100" s="37">
        <f t="shared" si="60"/>
        <v>3.0375000000000007E-3</v>
      </c>
      <c r="AQ100" s="40">
        <f t="shared" si="61"/>
        <v>8.9999999999999993E-3</v>
      </c>
      <c r="AR100" s="39">
        <f t="shared" si="67"/>
        <v>0.30165925700380031</v>
      </c>
      <c r="AS100" s="37">
        <f t="shared" si="68"/>
        <v>4.3747199999999999</v>
      </c>
      <c r="AT100" s="40">
        <f t="shared" si="69"/>
        <v>93.549298711134128</v>
      </c>
    </row>
    <row r="101" spans="17:46" x14ac:dyDescent="0.3">
      <c r="Q101">
        <v>94</v>
      </c>
      <c r="R101" s="39">
        <f t="shared" si="45"/>
        <v>210</v>
      </c>
      <c r="S101" s="37">
        <f t="shared" si="46"/>
        <v>2.1055999999999998E-2</v>
      </c>
      <c r="T101" s="37">
        <f t="shared" si="47"/>
        <v>20</v>
      </c>
      <c r="U101" s="40">
        <f t="shared" si="48"/>
        <v>0.24565333333333333</v>
      </c>
      <c r="V101" s="39">
        <f t="shared" si="49"/>
        <v>2</v>
      </c>
      <c r="W101" s="37">
        <f t="shared" si="50"/>
        <v>0.90476190476190477</v>
      </c>
      <c r="X101" s="40">
        <f t="shared" si="51"/>
        <v>9.5238095238095233E-2</v>
      </c>
      <c r="Y101" s="39">
        <f t="shared" si="52"/>
        <v>0.22067363530778164</v>
      </c>
      <c r="Z101" s="37">
        <f t="shared" si="71"/>
        <v>0.35599015098722414</v>
      </c>
      <c r="AA101" s="37">
        <f t="shared" si="72"/>
        <v>0.25377870534734343</v>
      </c>
      <c r="AB101" s="37">
        <v>0</v>
      </c>
      <c r="AC101" s="37">
        <f t="shared" si="53"/>
        <v>4.740107262780148E-2</v>
      </c>
      <c r="AD101" s="40">
        <f t="shared" si="62"/>
        <v>4.740107262780148E-2</v>
      </c>
      <c r="AE101" s="39">
        <f t="shared" si="70"/>
        <v>0.22225777777777778</v>
      </c>
      <c r="AF101" s="37">
        <f t="shared" si="63"/>
        <v>0.24139169852650189</v>
      </c>
      <c r="AG101" s="37">
        <f t="shared" si="54"/>
        <v>2.8552276537579694E-4</v>
      </c>
      <c r="AH101" s="37">
        <f t="shared" si="55"/>
        <v>1.0623783191128387E-2</v>
      </c>
      <c r="AI101" s="40">
        <f t="shared" si="64"/>
        <v>1.0909305956504184E-2</v>
      </c>
      <c r="AJ101" s="39">
        <f t="shared" si="65"/>
        <v>2.3395555555555555E-2</v>
      </c>
      <c r="AK101" s="37">
        <f t="shared" si="56"/>
        <v>7.831780876827546E-2</v>
      </c>
      <c r="AL101" s="37">
        <f t="shared" si="57"/>
        <v>1.937152E-2</v>
      </c>
      <c r="AM101" s="37">
        <f t="shared" si="58"/>
        <v>0.21092</v>
      </c>
      <c r="AN101" s="40">
        <f t="shared" si="66"/>
        <v>0.23029152</v>
      </c>
      <c r="AO101" s="39">
        <f t="shared" si="59"/>
        <v>2.3307980847003828E-3</v>
      </c>
      <c r="AP101" s="37">
        <f t="shared" si="60"/>
        <v>3.0375000000000007E-3</v>
      </c>
      <c r="AQ101" s="40">
        <f t="shared" si="61"/>
        <v>8.9999999999999993E-3</v>
      </c>
      <c r="AR101" s="39">
        <f t="shared" si="67"/>
        <v>0.3029701966690061</v>
      </c>
      <c r="AS101" s="37">
        <f t="shared" si="68"/>
        <v>4.4217599999999999</v>
      </c>
      <c r="AT101" s="40">
        <f t="shared" si="69"/>
        <v>93.587566187745423</v>
      </c>
    </row>
    <row r="102" spans="17:46" x14ac:dyDescent="0.3">
      <c r="Q102">
        <v>95</v>
      </c>
      <c r="R102" s="39">
        <f t="shared" si="45"/>
        <v>210</v>
      </c>
      <c r="S102" s="37">
        <f t="shared" si="46"/>
        <v>2.128E-2</v>
      </c>
      <c r="T102" s="37">
        <f t="shared" si="47"/>
        <v>20</v>
      </c>
      <c r="U102" s="40">
        <f t="shared" si="48"/>
        <v>0.24826666666666666</v>
      </c>
      <c r="V102" s="39">
        <f t="shared" si="49"/>
        <v>2</v>
      </c>
      <c r="W102" s="37">
        <f t="shared" si="50"/>
        <v>0.90476190476190477</v>
      </c>
      <c r="X102" s="40">
        <f t="shared" si="51"/>
        <v>9.5238095238095233E-2</v>
      </c>
      <c r="Y102" s="39">
        <f t="shared" si="52"/>
        <v>0.22067363530778164</v>
      </c>
      <c r="Z102" s="37">
        <f t="shared" si="71"/>
        <v>0.3586034843205575</v>
      </c>
      <c r="AA102" s="37">
        <f t="shared" si="72"/>
        <v>0.25630920562432746</v>
      </c>
      <c r="AB102" s="37">
        <v>0</v>
      </c>
      <c r="AC102" s="37">
        <f t="shared" si="53"/>
        <v>4.8351084941401501E-2</v>
      </c>
      <c r="AD102" s="40">
        <f t="shared" si="62"/>
        <v>4.8351084941401501E-2</v>
      </c>
      <c r="AE102" s="39">
        <f t="shared" si="70"/>
        <v>0.22462222222222222</v>
      </c>
      <c r="AF102" s="37">
        <f t="shared" si="63"/>
        <v>0.2437986844047966</v>
      </c>
      <c r="AG102" s="37">
        <f t="shared" si="54"/>
        <v>2.9124521273579711E-4</v>
      </c>
      <c r="AH102" s="37">
        <f t="shared" si="55"/>
        <v>1.0736802161246773E-2</v>
      </c>
      <c r="AI102" s="40">
        <f t="shared" si="64"/>
        <v>1.102804737398257E-2</v>
      </c>
      <c r="AJ102" s="39">
        <f t="shared" si="65"/>
        <v>2.3644444444444444E-2</v>
      </c>
      <c r="AK102" s="37">
        <f t="shared" si="56"/>
        <v>7.909873810791275E-2</v>
      </c>
      <c r="AL102" s="37">
        <f t="shared" si="57"/>
        <v>1.9577600000000001E-2</v>
      </c>
      <c r="AM102" s="37">
        <f t="shared" si="58"/>
        <v>0.21092</v>
      </c>
      <c r="AN102" s="40">
        <f t="shared" si="66"/>
        <v>0.2304976</v>
      </c>
      <c r="AO102" s="39">
        <f t="shared" si="59"/>
        <v>2.3775119407003845E-3</v>
      </c>
      <c r="AP102" s="37">
        <f t="shared" si="60"/>
        <v>3.0375000000000007E-3</v>
      </c>
      <c r="AQ102" s="40">
        <f t="shared" si="61"/>
        <v>8.9999999999999993E-3</v>
      </c>
      <c r="AR102" s="39">
        <f t="shared" si="67"/>
        <v>0.30429174425608452</v>
      </c>
      <c r="AS102" s="37">
        <f t="shared" si="68"/>
        <v>4.4687999999999999</v>
      </c>
      <c r="AT102" s="40">
        <f t="shared" si="69"/>
        <v>93.624850294942107</v>
      </c>
    </row>
    <row r="103" spans="17:46" x14ac:dyDescent="0.3">
      <c r="Q103">
        <v>96</v>
      </c>
      <c r="R103" s="39">
        <f t="shared" si="45"/>
        <v>210</v>
      </c>
      <c r="S103" s="37">
        <f t="shared" ref="S103:S134" si="73">Q103*$O$12</f>
        <v>2.1503999999999999E-2</v>
      </c>
      <c r="T103" s="37">
        <f t="shared" si="47"/>
        <v>20</v>
      </c>
      <c r="U103" s="40">
        <f t="shared" ref="U103:U134" si="74">(R103*S103)/(T103*EFF_est)</f>
        <v>0.25087999999999999</v>
      </c>
      <c r="V103" s="39">
        <f t="shared" ref="V103:V134" si="75">IF((S103*R103/T103)&lt;((T103*(1-(T103/R103)))/(2*Lm*Fsw)),1,2)</f>
        <v>2</v>
      </c>
      <c r="W103" s="37">
        <f t="shared" ref="W103:W134" si="76">CHOOSE(V103,SQRT((2*S103*Lm*Fsw*(R103-T103))/((T103)^2)),1-(T103/R103))</f>
        <v>0.90476190476190477</v>
      </c>
      <c r="X103" s="40">
        <f t="shared" ref="X103:X134" si="77">CHOOSE(V103,(Lm*W103*Fsw)/(R103-T103),1-W103)</f>
        <v>9.5238095238095233E-2</v>
      </c>
      <c r="Y103" s="39">
        <f t="shared" ref="Y103:Y134" si="78">(T103*W103)/(Lm*Fsw)</f>
        <v>0.22067363530778164</v>
      </c>
      <c r="Z103" s="37">
        <f t="shared" si="71"/>
        <v>0.3612168176538908</v>
      </c>
      <c r="AA103" s="37">
        <f t="shared" si="72"/>
        <v>0.25884135200928771</v>
      </c>
      <c r="AB103" s="37">
        <v>0</v>
      </c>
      <c r="AC103" s="37">
        <f t="shared" ref="AC103:AC134" si="79">(AA103^2)*Rdcr</f>
        <v>4.9311150295357049E-2</v>
      </c>
      <c r="AD103" s="40">
        <f t="shared" si="62"/>
        <v>4.9311150295357049E-2</v>
      </c>
      <c r="AE103" s="39">
        <f t="shared" si="70"/>
        <v>0.22698666666666667</v>
      </c>
      <c r="AF103" s="37">
        <f t="shared" si="63"/>
        <v>0.2462072360440947</v>
      </c>
      <c r="AG103" s="37">
        <f t="shared" ref="AG103:AG134" si="80">(AF103^2)*RDS_on</f>
        <v>2.9702821509431558E-4</v>
      </c>
      <c r="AH103" s="37">
        <f t="shared" ref="AH103:AH134" si="81">((R103*U103)/2)*Fsw*(tr_sw+tf_sw)</f>
        <v>1.0849821131365161E-2</v>
      </c>
      <c r="AI103" s="40">
        <f t="shared" si="64"/>
        <v>1.1146849346459476E-2</v>
      </c>
      <c r="AJ103" s="39">
        <f t="shared" si="65"/>
        <v>2.3893333333333332E-2</v>
      </c>
      <c r="AK103" s="37">
        <f t="shared" ref="AK103:AK134" si="82">CHOOSE(V103,Z103*SQRT(X103/3),SQRT(X103*((Z103^2)+((Y103^2)/3)-(Y103*Z103))))</f>
        <v>7.9880175447500285E-2</v>
      </c>
      <c r="AL103" s="37">
        <f t="shared" ref="AL103:AL134" si="83">S103*Vd_rect</f>
        <v>1.9783680000000001E-2</v>
      </c>
      <c r="AM103" s="37">
        <f t="shared" ref="AM103:AM134" si="84">CHOOSE(V103,(R103+Vd_rect)*Qrr*Fsw,(R103+Vd_rect)*Qrr*Fsw)</f>
        <v>0.21092</v>
      </c>
      <c r="AN103" s="40">
        <f t="shared" si="66"/>
        <v>0.23070367999999999</v>
      </c>
      <c r="AO103" s="39">
        <f t="shared" ref="AO103:AO134" si="85">(AF103^2)*R_cs</f>
        <v>2.4247201232189025E-3</v>
      </c>
      <c r="AP103" s="37">
        <f t="shared" ref="AP103:AP134" si="86">Qg_tot*Vcc*Fsw</f>
        <v>3.0375000000000007E-3</v>
      </c>
      <c r="AQ103" s="40">
        <f t="shared" ref="AQ103:AQ134" si="87">IQ*T103</f>
        <v>8.9999999999999993E-3</v>
      </c>
      <c r="AR103" s="39">
        <f t="shared" si="67"/>
        <v>0.30562389976503546</v>
      </c>
      <c r="AS103" s="37">
        <f t="shared" si="68"/>
        <v>4.5158399999999999</v>
      </c>
      <c r="AT103" s="40">
        <f t="shared" si="69"/>
        <v>93.661180377604197</v>
      </c>
    </row>
    <row r="104" spans="17:46" x14ac:dyDescent="0.3">
      <c r="Q104">
        <v>97</v>
      </c>
      <c r="R104" s="39">
        <f t="shared" si="45"/>
        <v>210</v>
      </c>
      <c r="S104" s="37">
        <f t="shared" si="73"/>
        <v>2.1728000000000001E-2</v>
      </c>
      <c r="T104" s="37">
        <f t="shared" si="47"/>
        <v>20</v>
      </c>
      <c r="U104" s="40">
        <f t="shared" si="74"/>
        <v>0.25349333333333335</v>
      </c>
      <c r="V104" s="39">
        <f t="shared" si="75"/>
        <v>2</v>
      </c>
      <c r="W104" s="37">
        <f t="shared" si="76"/>
        <v>0.90476190476190477</v>
      </c>
      <c r="X104" s="40">
        <f t="shared" si="77"/>
        <v>9.5238095238095233E-2</v>
      </c>
      <c r="Y104" s="39">
        <f t="shared" si="78"/>
        <v>0.22067363530778164</v>
      </c>
      <c r="Z104" s="37">
        <f t="shared" si="71"/>
        <v>0.36383015098722415</v>
      </c>
      <c r="AA104" s="37">
        <f t="shared" si="72"/>
        <v>0.26137509666079595</v>
      </c>
      <c r="AB104" s="37">
        <v>0</v>
      </c>
      <c r="AC104" s="37">
        <f t="shared" si="79"/>
        <v>5.0281268689668153E-2</v>
      </c>
      <c r="AD104" s="40">
        <f t="shared" si="62"/>
        <v>5.0281268689668153E-2</v>
      </c>
      <c r="AE104" s="39">
        <f t="shared" si="70"/>
        <v>0.22935111111111112</v>
      </c>
      <c r="AF104" s="37">
        <f t="shared" si="63"/>
        <v>0.24861730793812101</v>
      </c>
      <c r="AG104" s="37">
        <f t="shared" si="80"/>
        <v>3.0287177245135263E-4</v>
      </c>
      <c r="AH104" s="37">
        <f t="shared" si="81"/>
        <v>1.0962840101483547E-2</v>
      </c>
      <c r="AI104" s="40">
        <f t="shared" si="64"/>
        <v>1.12657118739349E-2</v>
      </c>
      <c r="AJ104" s="39">
        <f t="shared" si="65"/>
        <v>2.4142222222222221E-2</v>
      </c>
      <c r="AK104" s="37">
        <f t="shared" si="82"/>
        <v>8.06621060228528E-2</v>
      </c>
      <c r="AL104" s="37">
        <f t="shared" si="83"/>
        <v>1.9989760000000002E-2</v>
      </c>
      <c r="AM104" s="37">
        <f t="shared" si="84"/>
        <v>0.21092</v>
      </c>
      <c r="AN104" s="40">
        <f t="shared" si="66"/>
        <v>0.23090975999999999</v>
      </c>
      <c r="AO104" s="39">
        <f t="shared" si="85"/>
        <v>2.4724226322559396E-3</v>
      </c>
      <c r="AP104" s="37">
        <f t="shared" si="86"/>
        <v>3.0375000000000007E-3</v>
      </c>
      <c r="AQ104" s="40">
        <f t="shared" si="87"/>
        <v>8.9999999999999993E-3</v>
      </c>
      <c r="AR104" s="39">
        <f t="shared" si="67"/>
        <v>0.30696666319585902</v>
      </c>
      <c r="AS104" s="37">
        <f t="shared" si="68"/>
        <v>4.5628799999999998</v>
      </c>
      <c r="AT104" s="40">
        <f t="shared" si="69"/>
        <v>93.696584627278369</v>
      </c>
    </row>
    <row r="105" spans="17:46" x14ac:dyDescent="0.3">
      <c r="Q105">
        <v>98</v>
      </c>
      <c r="R105" s="39">
        <f t="shared" si="45"/>
        <v>210</v>
      </c>
      <c r="S105" s="37">
        <f t="shared" si="73"/>
        <v>2.1951999999999999E-2</v>
      </c>
      <c r="T105" s="37">
        <f t="shared" si="47"/>
        <v>20</v>
      </c>
      <c r="U105" s="40">
        <f t="shared" si="74"/>
        <v>0.25610666666666665</v>
      </c>
      <c r="V105" s="39">
        <f t="shared" si="75"/>
        <v>2</v>
      </c>
      <c r="W105" s="37">
        <f t="shared" si="76"/>
        <v>0.90476190476190477</v>
      </c>
      <c r="X105" s="40">
        <f t="shared" si="77"/>
        <v>9.5238095238095233E-2</v>
      </c>
      <c r="Y105" s="39">
        <f t="shared" si="78"/>
        <v>0.22067363530778164</v>
      </c>
      <c r="Z105" s="37">
        <f t="shared" si="71"/>
        <v>0.36644348432055746</v>
      </c>
      <c r="AA105" s="37">
        <f t="shared" si="72"/>
        <v>0.26391039354505741</v>
      </c>
      <c r="AB105" s="37">
        <v>0</v>
      </c>
      <c r="AC105" s="37">
        <f t="shared" si="79"/>
        <v>5.1261440124334812E-2</v>
      </c>
      <c r="AD105" s="40">
        <f t="shared" si="62"/>
        <v>5.1261440124334812E-2</v>
      </c>
      <c r="AE105" s="39">
        <f t="shared" si="70"/>
        <v>0.23171555555555554</v>
      </c>
      <c r="AF105" s="37">
        <f t="shared" si="63"/>
        <v>0.2510288563000026</v>
      </c>
      <c r="AG105" s="37">
        <f t="shared" si="80"/>
        <v>3.0877588480690809E-4</v>
      </c>
      <c r="AH105" s="37">
        <f t="shared" si="81"/>
        <v>1.1075859071601935E-2</v>
      </c>
      <c r="AI105" s="40">
        <f t="shared" si="64"/>
        <v>1.1384634956408842E-2</v>
      </c>
      <c r="AJ105" s="39">
        <f t="shared" si="65"/>
        <v>2.4391111111111106E-2</v>
      </c>
      <c r="AK105" s="37">
        <f t="shared" si="82"/>
        <v>8.1444515627632788E-2</v>
      </c>
      <c r="AL105" s="37">
        <f t="shared" si="83"/>
        <v>2.019584E-2</v>
      </c>
      <c r="AM105" s="37">
        <f t="shared" si="84"/>
        <v>0.21092</v>
      </c>
      <c r="AN105" s="40">
        <f t="shared" si="66"/>
        <v>0.23111583999999999</v>
      </c>
      <c r="AO105" s="39">
        <f t="shared" si="85"/>
        <v>2.520619467811494E-3</v>
      </c>
      <c r="AP105" s="37">
        <f t="shared" si="86"/>
        <v>3.0375000000000007E-3</v>
      </c>
      <c r="AQ105" s="40">
        <f t="shared" si="87"/>
        <v>8.9999999999999993E-3</v>
      </c>
      <c r="AR105" s="39">
        <f t="shared" si="67"/>
        <v>0.30832003454855517</v>
      </c>
      <c r="AS105" s="37">
        <f t="shared" si="68"/>
        <v>4.6099199999999998</v>
      </c>
      <c r="AT105" s="40">
        <f t="shared" si="69"/>
        <v>93.731090138286504</v>
      </c>
    </row>
    <row r="106" spans="17:46" x14ac:dyDescent="0.3">
      <c r="Q106">
        <v>99</v>
      </c>
      <c r="R106" s="39">
        <f t="shared" si="45"/>
        <v>210</v>
      </c>
      <c r="S106" s="37">
        <f t="shared" si="73"/>
        <v>2.2176000000000001E-2</v>
      </c>
      <c r="T106" s="37">
        <f t="shared" si="47"/>
        <v>20</v>
      </c>
      <c r="U106" s="40">
        <f t="shared" si="74"/>
        <v>0.25872000000000006</v>
      </c>
      <c r="V106" s="39">
        <f t="shared" si="75"/>
        <v>2</v>
      </c>
      <c r="W106" s="37">
        <f t="shared" si="76"/>
        <v>0.90476190476190477</v>
      </c>
      <c r="X106" s="40">
        <f t="shared" si="77"/>
        <v>9.5238095238095233E-2</v>
      </c>
      <c r="Y106" s="39">
        <f t="shared" si="78"/>
        <v>0.22067363530778164</v>
      </c>
      <c r="Z106" s="37">
        <f t="shared" si="71"/>
        <v>0.36905681765389087</v>
      </c>
      <c r="AA106" s="37">
        <f t="shared" si="72"/>
        <v>0.26644719835268676</v>
      </c>
      <c r="AB106" s="37">
        <v>0</v>
      </c>
      <c r="AC106" s="37">
        <f t="shared" si="79"/>
        <v>5.225166459935706E-2</v>
      </c>
      <c r="AD106" s="40">
        <f t="shared" si="62"/>
        <v>5.225166459935706E-2</v>
      </c>
      <c r="AE106" s="39">
        <f t="shared" si="70"/>
        <v>0.23408000000000007</v>
      </c>
      <c r="AF106" s="37">
        <f t="shared" si="63"/>
        <v>0.25344183898310718</v>
      </c>
      <c r="AG106" s="37">
        <f t="shared" si="80"/>
        <v>3.1474055216098223E-4</v>
      </c>
      <c r="AH106" s="37">
        <f t="shared" si="81"/>
        <v>1.1188878041720324E-2</v>
      </c>
      <c r="AI106" s="40">
        <f t="shared" si="64"/>
        <v>1.1503618593881307E-2</v>
      </c>
      <c r="AJ106" s="39">
        <f t="shared" si="65"/>
        <v>2.4640000000000006E-2</v>
      </c>
      <c r="AK106" s="37">
        <f t="shared" si="82"/>
        <v>8.2227390587667079E-2</v>
      </c>
      <c r="AL106" s="37">
        <f t="shared" si="83"/>
        <v>2.040192E-2</v>
      </c>
      <c r="AM106" s="37">
        <f t="shared" si="84"/>
        <v>0.21092</v>
      </c>
      <c r="AN106" s="40">
        <f t="shared" si="66"/>
        <v>0.23132191999999999</v>
      </c>
      <c r="AO106" s="39">
        <f t="shared" si="85"/>
        <v>2.569310629885569E-3</v>
      </c>
      <c r="AP106" s="37">
        <f t="shared" si="86"/>
        <v>3.0375000000000007E-3</v>
      </c>
      <c r="AQ106" s="40">
        <f t="shared" si="87"/>
        <v>8.9999999999999993E-3</v>
      </c>
      <c r="AR106" s="39">
        <f t="shared" si="67"/>
        <v>0.30968401382312394</v>
      </c>
      <c r="AS106" s="37">
        <f t="shared" si="68"/>
        <v>4.6569600000000007</v>
      </c>
      <c r="AT106" s="40">
        <f t="shared" si="69"/>
        <v>93.764722960590419</v>
      </c>
    </row>
    <row r="107" spans="17:46" x14ac:dyDescent="0.3">
      <c r="Q107">
        <v>100</v>
      </c>
      <c r="R107" s="39">
        <f t="shared" si="45"/>
        <v>210</v>
      </c>
      <c r="S107" s="37">
        <f t="shared" si="73"/>
        <v>2.24E-2</v>
      </c>
      <c r="T107" s="37">
        <f t="shared" si="47"/>
        <v>20</v>
      </c>
      <c r="U107" s="40">
        <f t="shared" si="74"/>
        <v>0.26133333333333331</v>
      </c>
      <c r="V107" s="39">
        <f t="shared" si="75"/>
        <v>2</v>
      </c>
      <c r="W107" s="37">
        <f t="shared" si="76"/>
        <v>0.90476190476190477</v>
      </c>
      <c r="X107" s="40">
        <f t="shared" si="77"/>
        <v>9.5238095238095233E-2</v>
      </c>
      <c r="Y107" s="39">
        <f t="shared" si="78"/>
        <v>0.22067363530778164</v>
      </c>
      <c r="Z107" s="37">
        <f t="shared" si="71"/>
        <v>0.37167015098722411</v>
      </c>
      <c r="AA107" s="37">
        <f t="shared" si="72"/>
        <v>0.26898546841996329</v>
      </c>
      <c r="AB107" s="37">
        <v>0</v>
      </c>
      <c r="AC107" s="37">
        <f t="shared" si="79"/>
        <v>5.3251942114734802E-2</v>
      </c>
      <c r="AD107" s="40">
        <f t="shared" si="62"/>
        <v>5.3251942114734802E-2</v>
      </c>
      <c r="AE107" s="39">
        <f t="shared" si="70"/>
        <v>0.23644444444444443</v>
      </c>
      <c r="AF107" s="37">
        <f t="shared" si="63"/>
        <v>0.25585621540614178</v>
      </c>
      <c r="AG107" s="37">
        <f t="shared" si="80"/>
        <v>3.2076577451357473E-4</v>
      </c>
      <c r="AH107" s="37">
        <f t="shared" si="81"/>
        <v>1.1301897011838709E-2</v>
      </c>
      <c r="AI107" s="40">
        <f t="shared" si="64"/>
        <v>1.1622662786352284E-2</v>
      </c>
      <c r="AJ107" s="39">
        <f t="shared" si="65"/>
        <v>2.4888888888888884E-2</v>
      </c>
      <c r="AK107" s="37">
        <f t="shared" si="82"/>
        <v>8.3010717736645631E-2</v>
      </c>
      <c r="AL107" s="37">
        <f t="shared" si="83"/>
        <v>2.0608000000000001E-2</v>
      </c>
      <c r="AM107" s="37">
        <f t="shared" si="84"/>
        <v>0.21092</v>
      </c>
      <c r="AN107" s="40">
        <f t="shared" si="66"/>
        <v>0.23152800000000001</v>
      </c>
      <c r="AO107" s="39">
        <f t="shared" si="85"/>
        <v>2.618496118478161E-3</v>
      </c>
      <c r="AP107" s="37">
        <f t="shared" si="86"/>
        <v>3.0375000000000007E-3</v>
      </c>
      <c r="AQ107" s="40">
        <f t="shared" si="87"/>
        <v>8.9999999999999993E-3</v>
      </c>
      <c r="AR107" s="39">
        <f t="shared" si="67"/>
        <v>0.31105860101956528</v>
      </c>
      <c r="AS107" s="37">
        <f t="shared" si="68"/>
        <v>4.7039999999999997</v>
      </c>
      <c r="AT107" s="40">
        <f t="shared" si="69"/>
        <v>93.797508149629067</v>
      </c>
    </row>
    <row r="108" spans="17:46" x14ac:dyDescent="0.3">
      <c r="Q108">
        <v>101</v>
      </c>
      <c r="R108" s="39">
        <f t="shared" si="45"/>
        <v>210</v>
      </c>
      <c r="S108" s="37">
        <f t="shared" si="73"/>
        <v>2.2623999999999998E-2</v>
      </c>
      <c r="T108" s="37">
        <f t="shared" si="47"/>
        <v>20</v>
      </c>
      <c r="U108" s="40">
        <f t="shared" si="74"/>
        <v>0.26394666666666666</v>
      </c>
      <c r="V108" s="39">
        <f t="shared" si="75"/>
        <v>2</v>
      </c>
      <c r="W108" s="37">
        <f t="shared" si="76"/>
        <v>0.90476190476190477</v>
      </c>
      <c r="X108" s="40">
        <f t="shared" si="77"/>
        <v>9.5238095238095233E-2</v>
      </c>
      <c r="Y108" s="39">
        <f t="shared" si="78"/>
        <v>0.22067363530778164</v>
      </c>
      <c r="Z108" s="37">
        <f t="shared" si="71"/>
        <v>0.37428348432055747</v>
      </c>
      <c r="AA108" s="37">
        <f t="shared" si="72"/>
        <v>0.27152516265429327</v>
      </c>
      <c r="AB108" s="37">
        <v>0</v>
      </c>
      <c r="AC108" s="37">
        <f t="shared" si="79"/>
        <v>5.4262272670468147E-2</v>
      </c>
      <c r="AD108" s="40">
        <f t="shared" si="62"/>
        <v>5.4262272670468147E-2</v>
      </c>
      <c r="AE108" s="39">
        <f t="shared" si="70"/>
        <v>0.23880888888888888</v>
      </c>
      <c r="AF108" s="37">
        <f t="shared" si="63"/>
        <v>0.25827194648225305</v>
      </c>
      <c r="AG108" s="37">
        <f t="shared" si="80"/>
        <v>3.268515518646858E-4</v>
      </c>
      <c r="AH108" s="37">
        <f t="shared" si="81"/>
        <v>1.1414915981957097E-2</v>
      </c>
      <c r="AI108" s="40">
        <f t="shared" si="64"/>
        <v>1.1741767533821782E-2</v>
      </c>
      <c r="AJ108" s="39">
        <f t="shared" si="65"/>
        <v>2.5137777777777776E-2</v>
      </c>
      <c r="AK108" s="37">
        <f t="shared" si="82"/>
        <v>8.3794484393118665E-2</v>
      </c>
      <c r="AL108" s="37">
        <f t="shared" si="83"/>
        <v>2.0814079999999999E-2</v>
      </c>
      <c r="AM108" s="37">
        <f t="shared" si="84"/>
        <v>0.21092</v>
      </c>
      <c r="AN108" s="40">
        <f t="shared" si="66"/>
        <v>0.23173408000000001</v>
      </c>
      <c r="AO108" s="39">
        <f t="shared" si="85"/>
        <v>2.6681759335892715E-3</v>
      </c>
      <c r="AP108" s="37">
        <f t="shared" si="86"/>
        <v>3.0375000000000007E-3</v>
      </c>
      <c r="AQ108" s="40">
        <f t="shared" si="87"/>
        <v>8.9999999999999993E-3</v>
      </c>
      <c r="AR108" s="39">
        <f t="shared" si="67"/>
        <v>0.31244379613787926</v>
      </c>
      <c r="AS108" s="37">
        <f t="shared" si="68"/>
        <v>4.7510399999999997</v>
      </c>
      <c r="AT108" s="40">
        <f t="shared" si="69"/>
        <v>93.829469813329069</v>
      </c>
    </row>
    <row r="109" spans="17:46" x14ac:dyDescent="0.3">
      <c r="Q109">
        <v>102</v>
      </c>
      <c r="R109" s="39">
        <f t="shared" si="45"/>
        <v>210</v>
      </c>
      <c r="S109" s="37">
        <f t="shared" si="73"/>
        <v>2.2848E-2</v>
      </c>
      <c r="T109" s="37">
        <f t="shared" si="47"/>
        <v>20</v>
      </c>
      <c r="U109" s="40">
        <f t="shared" si="74"/>
        <v>0.26655999999999996</v>
      </c>
      <c r="V109" s="39">
        <f t="shared" si="75"/>
        <v>2</v>
      </c>
      <c r="W109" s="37">
        <f t="shared" si="76"/>
        <v>0.90476190476190477</v>
      </c>
      <c r="X109" s="40">
        <f t="shared" si="77"/>
        <v>9.5238095238095233E-2</v>
      </c>
      <c r="Y109" s="39">
        <f t="shared" si="78"/>
        <v>0.22067363530778164</v>
      </c>
      <c r="Z109" s="37">
        <f t="shared" si="71"/>
        <v>0.37689681765389077</v>
      </c>
      <c r="AA109" s="37">
        <f t="shared" si="72"/>
        <v>0.27406624146362124</v>
      </c>
      <c r="AB109" s="37">
        <v>0</v>
      </c>
      <c r="AC109" s="37">
        <f t="shared" si="79"/>
        <v>5.5282656266557012E-2</v>
      </c>
      <c r="AD109" s="40">
        <f t="shared" si="62"/>
        <v>5.5282656266557012E-2</v>
      </c>
      <c r="AE109" s="39">
        <f t="shared" si="70"/>
        <v>0.2411733333333333</v>
      </c>
      <c r="AF109" s="37">
        <f t="shared" si="63"/>
        <v>0.2606889945518846</v>
      </c>
      <c r="AG109" s="37">
        <f t="shared" si="80"/>
        <v>3.3299788421431534E-4</v>
      </c>
      <c r="AH109" s="37">
        <f t="shared" si="81"/>
        <v>1.1527934952075483E-2</v>
      </c>
      <c r="AI109" s="40">
        <f t="shared" si="64"/>
        <v>1.1860932836289799E-2</v>
      </c>
      <c r="AJ109" s="39">
        <f t="shared" si="65"/>
        <v>2.5386666666666662E-2</v>
      </c>
      <c r="AK109" s="37">
        <f t="shared" si="82"/>
        <v>8.4578678338712673E-2</v>
      </c>
      <c r="AL109" s="37">
        <f t="shared" si="83"/>
        <v>2.102016E-2</v>
      </c>
      <c r="AM109" s="37">
        <f t="shared" si="84"/>
        <v>0.21092</v>
      </c>
      <c r="AN109" s="40">
        <f t="shared" si="66"/>
        <v>0.23194016000000001</v>
      </c>
      <c r="AO109" s="39">
        <f t="shared" si="85"/>
        <v>2.7183500752189006E-3</v>
      </c>
      <c r="AP109" s="37">
        <f t="shared" si="86"/>
        <v>3.0375000000000007E-3</v>
      </c>
      <c r="AQ109" s="40">
        <f t="shared" si="87"/>
        <v>8.9999999999999993E-3</v>
      </c>
      <c r="AR109" s="39">
        <f t="shared" si="67"/>
        <v>0.31383959917806575</v>
      </c>
      <c r="AS109" s="37">
        <f t="shared" si="68"/>
        <v>4.7980799999999997</v>
      </c>
      <c r="AT109" s="40">
        <f t="shared" si="69"/>
        <v>93.860631156473445</v>
      </c>
    </row>
    <row r="110" spans="17:46" x14ac:dyDescent="0.3">
      <c r="Q110">
        <v>103</v>
      </c>
      <c r="R110" s="39">
        <f t="shared" si="45"/>
        <v>210</v>
      </c>
      <c r="S110" s="37">
        <f t="shared" si="73"/>
        <v>2.3071999999999999E-2</v>
      </c>
      <c r="T110" s="37">
        <f t="shared" si="47"/>
        <v>20</v>
      </c>
      <c r="U110" s="40">
        <f t="shared" si="74"/>
        <v>0.26917333333333332</v>
      </c>
      <c r="V110" s="39">
        <f t="shared" si="75"/>
        <v>2</v>
      </c>
      <c r="W110" s="37">
        <f t="shared" si="76"/>
        <v>0.90476190476190477</v>
      </c>
      <c r="X110" s="40">
        <f t="shared" si="77"/>
        <v>9.5238095238095233E-2</v>
      </c>
      <c r="Y110" s="39">
        <f t="shared" si="78"/>
        <v>0.22067363530778164</v>
      </c>
      <c r="Z110" s="37">
        <f t="shared" si="71"/>
        <v>0.37951015098722413</v>
      </c>
      <c r="AA110" s="37">
        <f t="shared" si="72"/>
        <v>0.27660866668955575</v>
      </c>
      <c r="AB110" s="37">
        <v>0</v>
      </c>
      <c r="AC110" s="37">
        <f t="shared" si="79"/>
        <v>5.6313092903001474E-2</v>
      </c>
      <c r="AD110" s="40">
        <f t="shared" si="62"/>
        <v>5.6313092903001474E-2</v>
      </c>
      <c r="AE110" s="39">
        <f t="shared" si="70"/>
        <v>0.24353777777777777</v>
      </c>
      <c r="AF110" s="37">
        <f t="shared" si="63"/>
        <v>0.26310732331916614</v>
      </c>
      <c r="AG110" s="37">
        <f t="shared" si="80"/>
        <v>3.3920477156246356E-4</v>
      </c>
      <c r="AH110" s="37">
        <f t="shared" si="81"/>
        <v>1.1640953922193869E-2</v>
      </c>
      <c r="AI110" s="40">
        <f t="shared" si="64"/>
        <v>1.1980158693756333E-2</v>
      </c>
      <c r="AJ110" s="39">
        <f t="shared" si="65"/>
        <v>2.5635555555555554E-2</v>
      </c>
      <c r="AK110" s="37">
        <f t="shared" si="82"/>
        <v>8.536328779749229E-2</v>
      </c>
      <c r="AL110" s="37">
        <f t="shared" si="83"/>
        <v>2.122624E-2</v>
      </c>
      <c r="AM110" s="37">
        <f t="shared" si="84"/>
        <v>0.21092</v>
      </c>
      <c r="AN110" s="40">
        <f t="shared" si="66"/>
        <v>0.23214624</v>
      </c>
      <c r="AO110" s="39">
        <f t="shared" si="85"/>
        <v>2.7690185433670491E-3</v>
      </c>
      <c r="AP110" s="37">
        <f t="shared" si="86"/>
        <v>3.0375000000000007E-3</v>
      </c>
      <c r="AQ110" s="40">
        <f t="shared" si="87"/>
        <v>8.9999999999999993E-3</v>
      </c>
      <c r="AR110" s="39">
        <f t="shared" si="67"/>
        <v>0.31524601014012488</v>
      </c>
      <c r="AS110" s="37">
        <f t="shared" si="68"/>
        <v>4.8451199999999996</v>
      </c>
      <c r="AT110" s="40">
        <f t="shared" si="69"/>
        <v>93.8910145226004</v>
      </c>
    </row>
    <row r="111" spans="17:46" x14ac:dyDescent="0.3">
      <c r="Q111">
        <v>104</v>
      </c>
      <c r="R111" s="39">
        <f t="shared" si="45"/>
        <v>210</v>
      </c>
      <c r="S111" s="37">
        <f t="shared" si="73"/>
        <v>2.3296000000000001E-2</v>
      </c>
      <c r="T111" s="37">
        <f t="shared" si="47"/>
        <v>20</v>
      </c>
      <c r="U111" s="40">
        <f t="shared" si="74"/>
        <v>0.27178666666666668</v>
      </c>
      <c r="V111" s="39">
        <f t="shared" si="75"/>
        <v>2</v>
      </c>
      <c r="W111" s="37">
        <f t="shared" si="76"/>
        <v>0.90476190476190477</v>
      </c>
      <c r="X111" s="40">
        <f t="shared" si="77"/>
        <v>9.5238095238095233E-2</v>
      </c>
      <c r="Y111" s="39">
        <f t="shared" si="78"/>
        <v>0.22067363530778164</v>
      </c>
      <c r="Z111" s="37">
        <f t="shared" si="71"/>
        <v>0.38212348432055748</v>
      </c>
      <c r="AA111" s="37">
        <f t="shared" si="72"/>
        <v>0.27915240154398413</v>
      </c>
      <c r="AB111" s="37">
        <v>0</v>
      </c>
      <c r="AC111" s="37">
        <f t="shared" si="79"/>
        <v>5.7353582579801478E-2</v>
      </c>
      <c r="AD111" s="40">
        <f t="shared" si="62"/>
        <v>5.7353582579801478E-2</v>
      </c>
      <c r="AE111" s="39">
        <f t="shared" si="70"/>
        <v>0.24590222222222224</v>
      </c>
      <c r="AF111" s="37">
        <f t="shared" si="63"/>
        <v>0.26552689779162286</v>
      </c>
      <c r="AG111" s="37">
        <f t="shared" si="80"/>
        <v>3.4547221390913047E-4</v>
      </c>
      <c r="AH111" s="37">
        <f t="shared" si="81"/>
        <v>1.1753972892312257E-2</v>
      </c>
      <c r="AI111" s="40">
        <f t="shared" si="64"/>
        <v>1.2099445106221388E-2</v>
      </c>
      <c r="AJ111" s="39">
        <f t="shared" si="65"/>
        <v>2.5884444444444443E-2</v>
      </c>
      <c r="AK111" s="37">
        <f t="shared" si="82"/>
        <v>8.6148301416399578E-2</v>
      </c>
      <c r="AL111" s="37">
        <f t="shared" si="83"/>
        <v>2.1432320000000001E-2</v>
      </c>
      <c r="AM111" s="37">
        <f t="shared" si="84"/>
        <v>0.21092</v>
      </c>
      <c r="AN111" s="40">
        <f t="shared" si="66"/>
        <v>0.23235232</v>
      </c>
      <c r="AO111" s="39">
        <f t="shared" si="85"/>
        <v>2.8201813380337175E-3</v>
      </c>
      <c r="AP111" s="37">
        <f t="shared" si="86"/>
        <v>3.0375000000000007E-3</v>
      </c>
      <c r="AQ111" s="40">
        <f t="shared" si="87"/>
        <v>8.9999999999999993E-3</v>
      </c>
      <c r="AR111" s="39">
        <f t="shared" si="67"/>
        <v>0.31666302902405663</v>
      </c>
      <c r="AS111" s="37">
        <f t="shared" si="68"/>
        <v>4.8921600000000005</v>
      </c>
      <c r="AT111" s="40">
        <f t="shared" si="69"/>
        <v>93.920641433591044</v>
      </c>
    </row>
    <row r="112" spans="17:46" x14ac:dyDescent="0.3">
      <c r="Q112">
        <v>105</v>
      </c>
      <c r="R112" s="39">
        <f t="shared" si="45"/>
        <v>210</v>
      </c>
      <c r="S112" s="37">
        <f t="shared" si="73"/>
        <v>2.3519999999999999E-2</v>
      </c>
      <c r="T112" s="37">
        <f t="shared" si="47"/>
        <v>20</v>
      </c>
      <c r="U112" s="40">
        <f t="shared" si="74"/>
        <v>0.27439999999999998</v>
      </c>
      <c r="V112" s="39">
        <f t="shared" si="75"/>
        <v>2</v>
      </c>
      <c r="W112" s="37">
        <f t="shared" si="76"/>
        <v>0.90476190476190477</v>
      </c>
      <c r="X112" s="40">
        <f t="shared" si="77"/>
        <v>9.5238095238095233E-2</v>
      </c>
      <c r="Y112" s="39">
        <f t="shared" si="78"/>
        <v>0.22067363530778164</v>
      </c>
      <c r="Z112" s="37">
        <f t="shared" si="71"/>
        <v>0.38473681765389078</v>
      </c>
      <c r="AA112" s="37">
        <f t="shared" si="72"/>
        <v>0.28169741054897179</v>
      </c>
      <c r="AB112" s="37">
        <v>0</v>
      </c>
      <c r="AC112" s="37">
        <f t="shared" si="79"/>
        <v>5.8404125296957023E-2</v>
      </c>
      <c r="AD112" s="40">
        <f t="shared" si="62"/>
        <v>5.8404125296957023E-2</v>
      </c>
      <c r="AE112" s="39">
        <f t="shared" si="70"/>
        <v>0.24826666666666664</v>
      </c>
      <c r="AF112" s="37">
        <f t="shared" si="63"/>
        <v>0.26794768422300747</v>
      </c>
      <c r="AG112" s="37">
        <f t="shared" si="80"/>
        <v>3.5180021125431546E-4</v>
      </c>
      <c r="AH112" s="37">
        <f t="shared" si="81"/>
        <v>1.1866991862430643E-2</v>
      </c>
      <c r="AI112" s="40">
        <f t="shared" si="64"/>
        <v>1.2218792073684958E-2</v>
      </c>
      <c r="AJ112" s="39">
        <f t="shared" si="65"/>
        <v>2.6133333333333331E-2</v>
      </c>
      <c r="AK112" s="37">
        <f t="shared" si="82"/>
        <v>8.693370824670614E-2</v>
      </c>
      <c r="AL112" s="37">
        <f t="shared" si="83"/>
        <v>2.1638399999999999E-2</v>
      </c>
      <c r="AM112" s="37">
        <f t="shared" si="84"/>
        <v>0.21092</v>
      </c>
      <c r="AN112" s="40">
        <f t="shared" si="66"/>
        <v>0.2325584</v>
      </c>
      <c r="AO112" s="39">
        <f t="shared" si="85"/>
        <v>2.871838459218901E-3</v>
      </c>
      <c r="AP112" s="37">
        <f t="shared" si="86"/>
        <v>3.0375000000000007E-3</v>
      </c>
      <c r="AQ112" s="40">
        <f t="shared" si="87"/>
        <v>8.9999999999999993E-3</v>
      </c>
      <c r="AR112" s="39">
        <f t="shared" si="67"/>
        <v>0.3180906558298609</v>
      </c>
      <c r="AS112" s="37">
        <f t="shared" si="68"/>
        <v>4.9391999999999996</v>
      </c>
      <c r="AT112" s="40">
        <f t="shared" si="69"/>
        <v>93.949532627093248</v>
      </c>
    </row>
    <row r="113" spans="17:46" x14ac:dyDescent="0.3">
      <c r="Q113">
        <v>106</v>
      </c>
      <c r="R113" s="39">
        <f t="shared" si="45"/>
        <v>210</v>
      </c>
      <c r="S113" s="37">
        <f t="shared" si="73"/>
        <v>2.3744000000000001E-2</v>
      </c>
      <c r="T113" s="37">
        <f t="shared" si="47"/>
        <v>20</v>
      </c>
      <c r="U113" s="40">
        <f t="shared" si="74"/>
        <v>0.27701333333333333</v>
      </c>
      <c r="V113" s="39">
        <f t="shared" si="75"/>
        <v>2</v>
      </c>
      <c r="W113" s="37">
        <f t="shared" si="76"/>
        <v>0.90476190476190477</v>
      </c>
      <c r="X113" s="40">
        <f t="shared" si="77"/>
        <v>9.5238095238095233E-2</v>
      </c>
      <c r="Y113" s="39">
        <f t="shared" si="78"/>
        <v>0.22067363530778164</v>
      </c>
      <c r="Z113" s="37">
        <f t="shared" si="71"/>
        <v>0.38735015098722414</v>
      </c>
      <c r="AA113" s="37">
        <f t="shared" si="72"/>
        <v>0.28424365947975061</v>
      </c>
      <c r="AB113" s="37">
        <v>0</v>
      </c>
      <c r="AC113" s="37">
        <f t="shared" si="79"/>
        <v>5.9464721054468143E-2</v>
      </c>
      <c r="AD113" s="40">
        <f t="shared" si="62"/>
        <v>5.9464721054468143E-2</v>
      </c>
      <c r="AE113" s="39">
        <f t="shared" si="70"/>
        <v>0.25063111111111114</v>
      </c>
      <c r="AF113" s="37">
        <f t="shared" si="63"/>
        <v>0.27036965005907221</v>
      </c>
      <c r="AG113" s="37">
        <f t="shared" si="80"/>
        <v>3.5818876359801935E-4</v>
      </c>
      <c r="AH113" s="37">
        <f t="shared" si="81"/>
        <v>1.1980010832549031E-2</v>
      </c>
      <c r="AI113" s="40">
        <f t="shared" si="64"/>
        <v>1.2338199596147049E-2</v>
      </c>
      <c r="AJ113" s="39">
        <f t="shared" si="65"/>
        <v>2.638222222222222E-2</v>
      </c>
      <c r="AK113" s="37">
        <f t="shared" si="82"/>
        <v>8.7719497726419293E-2</v>
      </c>
      <c r="AL113" s="37">
        <f t="shared" si="83"/>
        <v>2.1844480000000003E-2</v>
      </c>
      <c r="AM113" s="37">
        <f t="shared" si="84"/>
        <v>0.21092</v>
      </c>
      <c r="AN113" s="40">
        <f t="shared" si="66"/>
        <v>0.23276448</v>
      </c>
      <c r="AO113" s="39">
        <f t="shared" si="85"/>
        <v>2.9239899069226066E-3</v>
      </c>
      <c r="AP113" s="37">
        <f t="shared" si="86"/>
        <v>3.0375000000000007E-3</v>
      </c>
      <c r="AQ113" s="40">
        <f t="shared" si="87"/>
        <v>8.9999999999999993E-3</v>
      </c>
      <c r="AR113" s="39">
        <f t="shared" si="67"/>
        <v>0.3195288905575378</v>
      </c>
      <c r="AS113" s="37">
        <f t="shared" si="68"/>
        <v>4.9862400000000004</v>
      </c>
      <c r="AT113" s="40">
        <f t="shared" si="69"/>
        <v>93.977708091918771</v>
      </c>
    </row>
    <row r="114" spans="17:46" x14ac:dyDescent="0.3">
      <c r="Q114">
        <v>107</v>
      </c>
      <c r="R114" s="39">
        <f t="shared" si="45"/>
        <v>210</v>
      </c>
      <c r="S114" s="37">
        <f t="shared" si="73"/>
        <v>2.3968E-2</v>
      </c>
      <c r="T114" s="37">
        <f t="shared" si="47"/>
        <v>20</v>
      </c>
      <c r="U114" s="40">
        <f t="shared" si="74"/>
        <v>0.27962666666666663</v>
      </c>
      <c r="V114" s="39">
        <f t="shared" si="75"/>
        <v>2</v>
      </c>
      <c r="W114" s="37">
        <f t="shared" si="76"/>
        <v>0.90476190476190477</v>
      </c>
      <c r="X114" s="40">
        <f t="shared" si="77"/>
        <v>9.5238095238095233E-2</v>
      </c>
      <c r="Y114" s="39">
        <f t="shared" si="78"/>
        <v>0.22067363530778164</v>
      </c>
      <c r="Z114" s="37">
        <f t="shared" si="71"/>
        <v>0.38996348432055744</v>
      </c>
      <c r="AA114" s="37">
        <f t="shared" si="72"/>
        <v>0.28679111531061602</v>
      </c>
      <c r="AB114" s="37">
        <v>0</v>
      </c>
      <c r="AC114" s="37">
        <f t="shared" si="79"/>
        <v>6.0535369852334792E-2</v>
      </c>
      <c r="AD114" s="40">
        <f t="shared" si="62"/>
        <v>6.0535369852334792E-2</v>
      </c>
      <c r="AE114" s="39">
        <f t="shared" si="70"/>
        <v>0.25299555555555553</v>
      </c>
      <c r="AF114" s="37">
        <f t="shared" si="63"/>
        <v>0.27279276388610579</v>
      </c>
      <c r="AG114" s="37">
        <f t="shared" si="80"/>
        <v>3.6463787094024127E-4</v>
      </c>
      <c r="AH114" s="37">
        <f t="shared" si="81"/>
        <v>1.2093029802667417E-2</v>
      </c>
      <c r="AI114" s="40">
        <f t="shared" si="64"/>
        <v>1.2457667673607658E-2</v>
      </c>
      <c r="AJ114" s="39">
        <f t="shared" si="65"/>
        <v>2.6631111111111105E-2</v>
      </c>
      <c r="AK114" s="37">
        <f t="shared" si="82"/>
        <v>8.850565966358527E-2</v>
      </c>
      <c r="AL114" s="37">
        <f t="shared" si="83"/>
        <v>2.205056E-2</v>
      </c>
      <c r="AM114" s="37">
        <f t="shared" si="84"/>
        <v>0.21092</v>
      </c>
      <c r="AN114" s="40">
        <f t="shared" si="66"/>
        <v>0.23297055999999999</v>
      </c>
      <c r="AO114" s="39">
        <f t="shared" si="85"/>
        <v>2.9766356811448264E-3</v>
      </c>
      <c r="AP114" s="37">
        <f t="shared" si="86"/>
        <v>3.0375000000000007E-3</v>
      </c>
      <c r="AQ114" s="40">
        <f t="shared" si="87"/>
        <v>8.9999999999999993E-3</v>
      </c>
      <c r="AR114" s="39">
        <f t="shared" si="67"/>
        <v>0.32097773320708728</v>
      </c>
      <c r="AS114" s="37">
        <f t="shared" si="68"/>
        <v>5.0332799999999995</v>
      </c>
      <c r="AT114" s="40">
        <f t="shared" si="69"/>
        <v>94.005187101540059</v>
      </c>
    </row>
    <row r="115" spans="17:46" x14ac:dyDescent="0.3">
      <c r="Q115">
        <v>108</v>
      </c>
      <c r="R115" s="39">
        <f t="shared" si="45"/>
        <v>210</v>
      </c>
      <c r="S115" s="37">
        <f t="shared" si="73"/>
        <v>2.4191999999999998E-2</v>
      </c>
      <c r="T115" s="37">
        <f t="shared" si="47"/>
        <v>20</v>
      </c>
      <c r="U115" s="40">
        <f t="shared" si="74"/>
        <v>0.28223999999999999</v>
      </c>
      <c r="V115" s="39">
        <f t="shared" si="75"/>
        <v>2</v>
      </c>
      <c r="W115" s="37">
        <f t="shared" si="76"/>
        <v>0.90476190476190477</v>
      </c>
      <c r="X115" s="40">
        <f t="shared" si="77"/>
        <v>9.5238095238095233E-2</v>
      </c>
      <c r="Y115" s="39">
        <f t="shared" si="78"/>
        <v>0.22067363530778164</v>
      </c>
      <c r="Z115" s="37">
        <f t="shared" si="71"/>
        <v>0.3925768176538908</v>
      </c>
      <c r="AA115" s="37">
        <f t="shared" si="72"/>
        <v>0.28933974616356456</v>
      </c>
      <c r="AB115" s="37">
        <v>0</v>
      </c>
      <c r="AC115" s="37">
        <f t="shared" si="79"/>
        <v>6.1616071690557037E-2</v>
      </c>
      <c r="AD115" s="40">
        <f t="shared" si="62"/>
        <v>6.1616071690557037E-2</v>
      </c>
      <c r="AE115" s="39">
        <f t="shared" si="70"/>
        <v>0.25535999999999998</v>
      </c>
      <c r="AF115" s="37">
        <f t="shared" si="63"/>
        <v>0.27521699538207889</v>
      </c>
      <c r="AG115" s="37">
        <f t="shared" si="80"/>
        <v>3.7114753328098226E-4</v>
      </c>
      <c r="AH115" s="37">
        <f t="shared" si="81"/>
        <v>1.2206048772785803E-2</v>
      </c>
      <c r="AI115" s="40">
        <f t="shared" si="64"/>
        <v>1.2577196306066785E-2</v>
      </c>
      <c r="AJ115" s="39">
        <f t="shared" si="65"/>
        <v>2.6879999999999998E-2</v>
      </c>
      <c r="AK115" s="37">
        <f t="shared" si="82"/>
        <v>8.9292184220438692E-2</v>
      </c>
      <c r="AL115" s="37">
        <f t="shared" si="83"/>
        <v>2.2256639999999998E-2</v>
      </c>
      <c r="AM115" s="37">
        <f t="shared" si="84"/>
        <v>0.21092</v>
      </c>
      <c r="AN115" s="40">
        <f t="shared" si="66"/>
        <v>0.23317663999999999</v>
      </c>
      <c r="AO115" s="39">
        <f t="shared" si="85"/>
        <v>3.0297757818855691E-3</v>
      </c>
      <c r="AP115" s="37">
        <f t="shared" si="86"/>
        <v>3.0375000000000007E-3</v>
      </c>
      <c r="AQ115" s="40">
        <f t="shared" si="87"/>
        <v>8.9999999999999993E-3</v>
      </c>
      <c r="AR115" s="39">
        <f t="shared" si="67"/>
        <v>0.32243718377850944</v>
      </c>
      <c r="AS115" s="37">
        <f t="shared" si="68"/>
        <v>5.0803199999999995</v>
      </c>
      <c r="AT115" s="40">
        <f t="shared" si="69"/>
        <v>94.031988245805124</v>
      </c>
    </row>
    <row r="116" spans="17:46" x14ac:dyDescent="0.3">
      <c r="Q116">
        <v>109</v>
      </c>
      <c r="R116" s="39">
        <f t="shared" si="45"/>
        <v>210</v>
      </c>
      <c r="S116" s="37">
        <f t="shared" si="73"/>
        <v>2.4416E-2</v>
      </c>
      <c r="T116" s="37">
        <f t="shared" si="47"/>
        <v>20</v>
      </c>
      <c r="U116" s="40">
        <f t="shared" si="74"/>
        <v>0.28485333333333335</v>
      </c>
      <c r="V116" s="39">
        <f t="shared" si="75"/>
        <v>2</v>
      </c>
      <c r="W116" s="37">
        <f t="shared" si="76"/>
        <v>0.90476190476190477</v>
      </c>
      <c r="X116" s="40">
        <f t="shared" si="77"/>
        <v>9.5238095238095233E-2</v>
      </c>
      <c r="Y116" s="39">
        <f t="shared" si="78"/>
        <v>0.22067363530778164</v>
      </c>
      <c r="Z116" s="37">
        <f t="shared" si="71"/>
        <v>0.39519015098722415</v>
      </c>
      <c r="AA116" s="37">
        <f t="shared" si="72"/>
        <v>0.29188952125951201</v>
      </c>
      <c r="AB116" s="37">
        <v>0</v>
      </c>
      <c r="AC116" s="37">
        <f t="shared" si="79"/>
        <v>6.270682656913483E-2</v>
      </c>
      <c r="AD116" s="40">
        <f t="shared" si="62"/>
        <v>6.270682656913483E-2</v>
      </c>
      <c r="AE116" s="39">
        <f t="shared" si="70"/>
        <v>0.25772444444444448</v>
      </c>
      <c r="AF116" s="37">
        <f t="shared" si="63"/>
        <v>0.27764231527024247</v>
      </c>
      <c r="AG116" s="37">
        <f t="shared" si="80"/>
        <v>3.7771775062024154E-4</v>
      </c>
      <c r="AH116" s="37">
        <f t="shared" si="81"/>
        <v>1.2319067742904193E-2</v>
      </c>
      <c r="AI116" s="40">
        <f t="shared" si="64"/>
        <v>1.2696785493524433E-2</v>
      </c>
      <c r="AJ116" s="39">
        <f t="shared" si="65"/>
        <v>2.712888888888889E-2</v>
      </c>
      <c r="AK116" s="37">
        <f t="shared" si="82"/>
        <v>9.0079061898347884E-2</v>
      </c>
      <c r="AL116" s="37">
        <f t="shared" si="83"/>
        <v>2.2462720000000002E-2</v>
      </c>
      <c r="AM116" s="37">
        <f t="shared" si="84"/>
        <v>0.21092</v>
      </c>
      <c r="AN116" s="40">
        <f t="shared" si="66"/>
        <v>0.23338271999999999</v>
      </c>
      <c r="AO116" s="39">
        <f t="shared" si="85"/>
        <v>3.0834102091448286E-3</v>
      </c>
      <c r="AP116" s="37">
        <f t="shared" si="86"/>
        <v>3.0375000000000007E-3</v>
      </c>
      <c r="AQ116" s="40">
        <f t="shared" si="87"/>
        <v>8.9999999999999993E-3</v>
      </c>
      <c r="AR116" s="39">
        <f t="shared" si="67"/>
        <v>0.32390724227180412</v>
      </c>
      <c r="AS116" s="37">
        <f t="shared" si="68"/>
        <v>5.1273600000000004</v>
      </c>
      <c r="AT116" s="40">
        <f t="shared" si="69"/>
        <v>94.05812946097987</v>
      </c>
    </row>
    <row r="117" spans="17:46" x14ac:dyDescent="0.3">
      <c r="Q117">
        <v>110</v>
      </c>
      <c r="R117" s="39">
        <f t="shared" si="45"/>
        <v>210</v>
      </c>
      <c r="S117" s="37">
        <f t="shared" si="73"/>
        <v>2.4639999999999999E-2</v>
      </c>
      <c r="T117" s="37">
        <f t="shared" si="47"/>
        <v>20</v>
      </c>
      <c r="U117" s="40">
        <f t="shared" si="74"/>
        <v>0.28746666666666665</v>
      </c>
      <c r="V117" s="39">
        <f t="shared" si="75"/>
        <v>2</v>
      </c>
      <c r="W117" s="37">
        <f t="shared" si="76"/>
        <v>0.90476190476190477</v>
      </c>
      <c r="X117" s="40">
        <f t="shared" si="77"/>
        <v>9.5238095238095233E-2</v>
      </c>
      <c r="Y117" s="39">
        <f t="shared" si="78"/>
        <v>0.22067363530778164</v>
      </c>
      <c r="Z117" s="37">
        <f t="shared" si="71"/>
        <v>0.39780348432055745</v>
      </c>
      <c r="AA117" s="37">
        <f t="shared" si="72"/>
        <v>0.29444041087194606</v>
      </c>
      <c r="AB117" s="37">
        <v>0</v>
      </c>
      <c r="AC117" s="37">
        <f t="shared" si="79"/>
        <v>6.3807634488068143E-2</v>
      </c>
      <c r="AD117" s="40">
        <f t="shared" si="62"/>
        <v>6.3807634488068143E-2</v>
      </c>
      <c r="AE117" s="39">
        <f t="shared" si="70"/>
        <v>0.26008888888888887</v>
      </c>
      <c r="AF117" s="37">
        <f t="shared" si="63"/>
        <v>0.28006869527504336</v>
      </c>
      <c r="AG117" s="37">
        <f t="shared" si="80"/>
        <v>3.8434852295801897E-4</v>
      </c>
      <c r="AH117" s="37">
        <f t="shared" si="81"/>
        <v>1.2432086713022579E-2</v>
      </c>
      <c r="AI117" s="40">
        <f t="shared" si="64"/>
        <v>1.2816435235980597E-2</v>
      </c>
      <c r="AJ117" s="39">
        <f t="shared" si="65"/>
        <v>2.7377777777777775E-2</v>
      </c>
      <c r="AK117" s="37">
        <f t="shared" si="82"/>
        <v>9.0866283523512031E-2</v>
      </c>
      <c r="AL117" s="37">
        <f t="shared" si="83"/>
        <v>2.2668799999999999E-2</v>
      </c>
      <c r="AM117" s="37">
        <f t="shared" si="84"/>
        <v>0.21092</v>
      </c>
      <c r="AN117" s="40">
        <f t="shared" si="66"/>
        <v>0.23358879999999999</v>
      </c>
      <c r="AO117" s="39">
        <f t="shared" si="85"/>
        <v>3.1375389629226037E-3</v>
      </c>
      <c r="AP117" s="37">
        <f t="shared" si="86"/>
        <v>3.0375000000000007E-3</v>
      </c>
      <c r="AQ117" s="40">
        <f t="shared" si="87"/>
        <v>8.9999999999999993E-3</v>
      </c>
      <c r="AR117" s="39">
        <f t="shared" si="67"/>
        <v>0.32538790868697137</v>
      </c>
      <c r="AS117" s="37">
        <f t="shared" si="68"/>
        <v>5.1743999999999994</v>
      </c>
      <c r="AT117" s="40">
        <f t="shared" si="69"/>
        <v>94.083628058219887</v>
      </c>
    </row>
    <row r="118" spans="17:46" x14ac:dyDescent="0.3">
      <c r="Q118">
        <v>111</v>
      </c>
      <c r="R118" s="39">
        <f t="shared" si="45"/>
        <v>210</v>
      </c>
      <c r="S118" s="37">
        <f t="shared" si="73"/>
        <v>2.4864000000000001E-2</v>
      </c>
      <c r="T118" s="37">
        <f t="shared" si="47"/>
        <v>20</v>
      </c>
      <c r="U118" s="40">
        <f t="shared" si="74"/>
        <v>0.29008</v>
      </c>
      <c r="V118" s="39">
        <f t="shared" si="75"/>
        <v>2</v>
      </c>
      <c r="W118" s="37">
        <f t="shared" si="76"/>
        <v>0.90476190476190477</v>
      </c>
      <c r="X118" s="40">
        <f t="shared" si="77"/>
        <v>9.5238095238095233E-2</v>
      </c>
      <c r="Y118" s="39">
        <f t="shared" si="78"/>
        <v>0.22067363530778164</v>
      </c>
      <c r="Z118" s="37">
        <f t="shared" si="71"/>
        <v>0.40041681765389081</v>
      </c>
      <c r="AA118" s="37">
        <f t="shared" si="72"/>
        <v>0.29699238628287422</v>
      </c>
      <c r="AB118" s="37">
        <v>0</v>
      </c>
      <c r="AC118" s="37">
        <f t="shared" si="79"/>
        <v>6.4918495447357033E-2</v>
      </c>
      <c r="AD118" s="40">
        <f t="shared" si="62"/>
        <v>6.4918495447357033E-2</v>
      </c>
      <c r="AE118" s="39">
        <f t="shared" si="70"/>
        <v>0.26245333333333332</v>
      </c>
      <c r="AF118" s="37">
        <f t="shared" si="63"/>
        <v>0.28249610808022219</v>
      </c>
      <c r="AG118" s="37">
        <f t="shared" si="80"/>
        <v>3.9103985029431568E-4</v>
      </c>
      <c r="AH118" s="37">
        <f t="shared" si="81"/>
        <v>1.2545105683140967E-2</v>
      </c>
      <c r="AI118" s="40">
        <f t="shared" si="64"/>
        <v>1.2936145533435282E-2</v>
      </c>
      <c r="AJ118" s="39">
        <f t="shared" si="65"/>
        <v>2.7626666666666664E-2</v>
      </c>
      <c r="AK118" s="37">
        <f t="shared" si="82"/>
        <v>9.1653840233366257E-2</v>
      </c>
      <c r="AL118" s="37">
        <f t="shared" si="83"/>
        <v>2.287488E-2</v>
      </c>
      <c r="AM118" s="37">
        <f t="shared" si="84"/>
        <v>0.21092</v>
      </c>
      <c r="AN118" s="40">
        <f t="shared" si="66"/>
        <v>0.23379487999999998</v>
      </c>
      <c r="AO118" s="39">
        <f t="shared" si="85"/>
        <v>3.192162043218903E-3</v>
      </c>
      <c r="AP118" s="37">
        <f t="shared" si="86"/>
        <v>3.0375000000000007E-3</v>
      </c>
      <c r="AQ118" s="40">
        <f t="shared" si="87"/>
        <v>8.9999999999999993E-3</v>
      </c>
      <c r="AR118" s="39">
        <f t="shared" si="67"/>
        <v>0.3268791830240112</v>
      </c>
      <c r="AS118" s="37">
        <f t="shared" si="68"/>
        <v>5.2214400000000003</v>
      </c>
      <c r="AT118" s="40">
        <f t="shared" si="69"/>
        <v>94.108500750566932</v>
      </c>
    </row>
    <row r="119" spans="17:46" x14ac:dyDescent="0.3">
      <c r="Q119">
        <v>112</v>
      </c>
      <c r="R119" s="39">
        <f t="shared" si="45"/>
        <v>210</v>
      </c>
      <c r="S119" s="37">
        <f t="shared" si="73"/>
        <v>2.5087999999999999E-2</v>
      </c>
      <c r="T119" s="37">
        <f t="shared" si="47"/>
        <v>20</v>
      </c>
      <c r="U119" s="40">
        <f t="shared" si="74"/>
        <v>0.29269333333333336</v>
      </c>
      <c r="V119" s="39">
        <f t="shared" si="75"/>
        <v>2</v>
      </c>
      <c r="W119" s="37">
        <f t="shared" si="76"/>
        <v>0.90476190476190477</v>
      </c>
      <c r="X119" s="40">
        <f t="shared" si="77"/>
        <v>9.5238095238095233E-2</v>
      </c>
      <c r="Y119" s="39">
        <f t="shared" si="78"/>
        <v>0.22067363530778164</v>
      </c>
      <c r="Z119" s="37">
        <f t="shared" si="71"/>
        <v>0.40303015098722417</v>
      </c>
      <c r="AA119" s="37">
        <f t="shared" si="72"/>
        <v>0.2995454197409364</v>
      </c>
      <c r="AB119" s="37">
        <v>0</v>
      </c>
      <c r="AC119" s="37">
        <f t="shared" si="79"/>
        <v>6.6039409447001499E-2</v>
      </c>
      <c r="AD119" s="40">
        <f t="shared" si="62"/>
        <v>6.6039409447001499E-2</v>
      </c>
      <c r="AE119" s="39">
        <f t="shared" si="70"/>
        <v>0.26481777777777782</v>
      </c>
      <c r="AF119" s="37">
        <f t="shared" si="63"/>
        <v>0.28492452728896989</v>
      </c>
      <c r="AG119" s="37">
        <f t="shared" si="80"/>
        <v>3.9779173262913047E-4</v>
      </c>
      <c r="AH119" s="37">
        <f t="shared" si="81"/>
        <v>1.2658124653259356E-2</v>
      </c>
      <c r="AI119" s="40">
        <f t="shared" si="64"/>
        <v>1.3055916385888487E-2</v>
      </c>
      <c r="AJ119" s="39">
        <f t="shared" si="65"/>
        <v>2.7875555555555556E-2</v>
      </c>
      <c r="AK119" s="37">
        <f t="shared" si="82"/>
        <v>9.244172346365484E-2</v>
      </c>
      <c r="AL119" s="37">
        <f t="shared" si="83"/>
        <v>2.3080960000000001E-2</v>
      </c>
      <c r="AM119" s="37">
        <f t="shared" si="84"/>
        <v>0.21092</v>
      </c>
      <c r="AN119" s="40">
        <f t="shared" si="66"/>
        <v>0.23400096000000001</v>
      </c>
      <c r="AO119" s="39">
        <f t="shared" si="85"/>
        <v>3.2472794500337178E-3</v>
      </c>
      <c r="AP119" s="37">
        <f t="shared" si="86"/>
        <v>3.0375000000000007E-3</v>
      </c>
      <c r="AQ119" s="40">
        <f t="shared" si="87"/>
        <v>8.9999999999999993E-3</v>
      </c>
      <c r="AR119" s="39">
        <f t="shared" si="67"/>
        <v>0.32838106528292371</v>
      </c>
      <c r="AS119" s="37">
        <f t="shared" si="68"/>
        <v>5.2684800000000003</v>
      </c>
      <c r="AT119" s="40">
        <f t="shared" si="69"/>
        <v>94.132763678558035</v>
      </c>
    </row>
    <row r="120" spans="17:46" x14ac:dyDescent="0.3">
      <c r="Q120">
        <v>113</v>
      </c>
      <c r="R120" s="39">
        <f t="shared" si="45"/>
        <v>210</v>
      </c>
      <c r="S120" s="37">
        <f t="shared" si="73"/>
        <v>2.5312000000000001E-2</v>
      </c>
      <c r="T120" s="37">
        <f t="shared" si="47"/>
        <v>20</v>
      </c>
      <c r="U120" s="40">
        <f t="shared" si="74"/>
        <v>0.29530666666666666</v>
      </c>
      <c r="V120" s="39">
        <f t="shared" si="75"/>
        <v>2</v>
      </c>
      <c r="W120" s="37">
        <f t="shared" si="76"/>
        <v>0.90476190476190477</v>
      </c>
      <c r="X120" s="40">
        <f t="shared" si="77"/>
        <v>9.5238095238095233E-2</v>
      </c>
      <c r="Y120" s="39">
        <f t="shared" si="78"/>
        <v>0.22067363530778164</v>
      </c>
      <c r="Z120" s="37">
        <f t="shared" si="71"/>
        <v>0.40564348432055747</v>
      </c>
      <c r="AA120" s="37">
        <f t="shared" si="72"/>
        <v>0.30209948442156226</v>
      </c>
      <c r="AB120" s="37">
        <v>0</v>
      </c>
      <c r="AC120" s="37">
        <f t="shared" si="79"/>
        <v>6.7170376487001471E-2</v>
      </c>
      <c r="AD120" s="40">
        <f t="shared" si="62"/>
        <v>6.7170376487001471E-2</v>
      </c>
      <c r="AE120" s="39">
        <f t="shared" si="70"/>
        <v>0.26718222222222221</v>
      </c>
      <c r="AF120" s="37">
        <f t="shared" si="63"/>
        <v>0.28735392738603077</v>
      </c>
      <c r="AG120" s="37">
        <f t="shared" si="80"/>
        <v>4.0460416996246368E-4</v>
      </c>
      <c r="AH120" s="37">
        <f t="shared" si="81"/>
        <v>1.277114362337774E-2</v>
      </c>
      <c r="AI120" s="40">
        <f t="shared" si="64"/>
        <v>1.3175747793340204E-2</v>
      </c>
      <c r="AJ120" s="39">
        <f t="shared" si="65"/>
        <v>2.8124444444444441E-2</v>
      </c>
      <c r="AK120" s="37">
        <f t="shared" si="82"/>
        <v>9.3229924936135702E-2</v>
      </c>
      <c r="AL120" s="37">
        <f t="shared" si="83"/>
        <v>2.3287040000000002E-2</v>
      </c>
      <c r="AM120" s="37">
        <f t="shared" si="84"/>
        <v>0.21092</v>
      </c>
      <c r="AN120" s="40">
        <f t="shared" si="66"/>
        <v>0.23420704000000001</v>
      </c>
      <c r="AO120" s="39">
        <f t="shared" si="85"/>
        <v>3.3028911833670499E-3</v>
      </c>
      <c r="AP120" s="37">
        <f t="shared" si="86"/>
        <v>3.0375000000000007E-3</v>
      </c>
      <c r="AQ120" s="40">
        <f t="shared" si="87"/>
        <v>8.9999999999999993E-3</v>
      </c>
      <c r="AR120" s="39">
        <f t="shared" si="67"/>
        <v>0.32989355546370874</v>
      </c>
      <c r="AS120" s="37">
        <f t="shared" si="68"/>
        <v>5.3155200000000002</v>
      </c>
      <c r="AT120" s="40">
        <f t="shared" si="69"/>
        <v>94.156432434530274</v>
      </c>
    </row>
    <row r="121" spans="17:46" x14ac:dyDescent="0.3">
      <c r="Q121">
        <v>114</v>
      </c>
      <c r="R121" s="39">
        <f t="shared" si="45"/>
        <v>210</v>
      </c>
      <c r="S121" s="37">
        <f t="shared" si="73"/>
        <v>2.5536E-2</v>
      </c>
      <c r="T121" s="37">
        <f t="shared" si="47"/>
        <v>20</v>
      </c>
      <c r="U121" s="40">
        <f t="shared" si="74"/>
        <v>0.29792000000000002</v>
      </c>
      <c r="V121" s="39">
        <f t="shared" si="75"/>
        <v>2</v>
      </c>
      <c r="W121" s="37">
        <f t="shared" si="76"/>
        <v>0.90476190476190477</v>
      </c>
      <c r="X121" s="40">
        <f t="shared" si="77"/>
        <v>9.5238095238095233E-2</v>
      </c>
      <c r="Y121" s="39">
        <f t="shared" si="78"/>
        <v>0.22067363530778164</v>
      </c>
      <c r="Z121" s="37">
        <f t="shared" si="71"/>
        <v>0.40825681765389082</v>
      </c>
      <c r="AA121" s="37">
        <f t="shared" si="72"/>
        <v>0.30465455438905881</v>
      </c>
      <c r="AB121" s="37">
        <v>0</v>
      </c>
      <c r="AC121" s="37">
        <f t="shared" si="79"/>
        <v>6.8311396567357047E-2</v>
      </c>
      <c r="AD121" s="40">
        <f t="shared" si="62"/>
        <v>6.8311396567357047E-2</v>
      </c>
      <c r="AE121" s="39">
        <f t="shared" si="70"/>
        <v>0.26954666666666671</v>
      </c>
      <c r="AF121" s="37">
        <f t="shared" si="63"/>
        <v>0.28978428370164</v>
      </c>
      <c r="AG121" s="37">
        <f t="shared" si="80"/>
        <v>4.1147716229431567E-4</v>
      </c>
      <c r="AH121" s="37">
        <f t="shared" si="81"/>
        <v>1.2884162593496128E-2</v>
      </c>
      <c r="AI121" s="40">
        <f t="shared" si="64"/>
        <v>1.3295639755790444E-2</v>
      </c>
      <c r="AJ121" s="39">
        <f t="shared" si="65"/>
        <v>2.8373333333333334E-2</v>
      </c>
      <c r="AK121" s="37">
        <f t="shared" si="82"/>
        <v>9.4018436646880227E-2</v>
      </c>
      <c r="AL121" s="37">
        <f t="shared" si="83"/>
        <v>2.3493119999999999E-2</v>
      </c>
      <c r="AM121" s="37">
        <f t="shared" si="84"/>
        <v>0.21092</v>
      </c>
      <c r="AN121" s="40">
        <f t="shared" si="66"/>
        <v>0.23441312</v>
      </c>
      <c r="AO121" s="39">
        <f t="shared" si="85"/>
        <v>3.3589972432189032E-3</v>
      </c>
      <c r="AP121" s="37">
        <f t="shared" si="86"/>
        <v>3.0375000000000007E-3</v>
      </c>
      <c r="AQ121" s="40">
        <f t="shared" si="87"/>
        <v>8.9999999999999993E-3</v>
      </c>
      <c r="AR121" s="39">
        <f t="shared" si="67"/>
        <v>0.3314166535663664</v>
      </c>
      <c r="AS121" s="37">
        <f t="shared" si="68"/>
        <v>5.3625600000000002</v>
      </c>
      <c r="AT121" s="40">
        <f t="shared" si="69"/>
        <v>94.179522085697585</v>
      </c>
    </row>
    <row r="122" spans="17:46" x14ac:dyDescent="0.3">
      <c r="Q122">
        <v>115</v>
      </c>
      <c r="R122" s="39">
        <f t="shared" si="45"/>
        <v>210</v>
      </c>
      <c r="S122" s="37">
        <f t="shared" si="73"/>
        <v>2.5759999999999998E-2</v>
      </c>
      <c r="T122" s="37">
        <f t="shared" si="47"/>
        <v>20</v>
      </c>
      <c r="U122" s="40">
        <f t="shared" si="74"/>
        <v>0.30053333333333332</v>
      </c>
      <c r="V122" s="39">
        <f t="shared" si="75"/>
        <v>2</v>
      </c>
      <c r="W122" s="37">
        <f t="shared" si="76"/>
        <v>0.90476190476190477</v>
      </c>
      <c r="X122" s="40">
        <f t="shared" si="77"/>
        <v>9.5238095238095233E-2</v>
      </c>
      <c r="Y122" s="39">
        <f t="shared" si="78"/>
        <v>0.22067363530778164</v>
      </c>
      <c r="Z122" s="37">
        <f t="shared" si="71"/>
        <v>0.41087015098722413</v>
      </c>
      <c r="AA122" s="37">
        <f t="shared" si="72"/>
        <v>0.30721060456052035</v>
      </c>
      <c r="AB122" s="37">
        <v>0</v>
      </c>
      <c r="AC122" s="37">
        <f t="shared" si="79"/>
        <v>6.9462469688068143E-2</v>
      </c>
      <c r="AD122" s="40">
        <f t="shared" si="62"/>
        <v>6.9462469688068143E-2</v>
      </c>
      <c r="AE122" s="39">
        <f t="shared" si="70"/>
        <v>0.2719111111111111</v>
      </c>
      <c r="AF122" s="37">
        <f t="shared" si="63"/>
        <v>0.2922155723771952</v>
      </c>
      <c r="AG122" s="37">
        <f t="shared" si="80"/>
        <v>4.1841070962468586E-4</v>
      </c>
      <c r="AH122" s="37">
        <f t="shared" si="81"/>
        <v>1.2997181563614513E-2</v>
      </c>
      <c r="AI122" s="40">
        <f t="shared" si="64"/>
        <v>1.3415592273239199E-2</v>
      </c>
      <c r="AJ122" s="39">
        <f t="shared" si="65"/>
        <v>2.8622222222222219E-2</v>
      </c>
      <c r="AK122" s="37">
        <f t="shared" si="82"/>
        <v>9.4807250855135597E-2</v>
      </c>
      <c r="AL122" s="37">
        <f t="shared" si="83"/>
        <v>2.36992E-2</v>
      </c>
      <c r="AM122" s="37">
        <f t="shared" si="84"/>
        <v>0.21092</v>
      </c>
      <c r="AN122" s="40">
        <f t="shared" si="66"/>
        <v>0.2346192</v>
      </c>
      <c r="AO122" s="39">
        <f t="shared" si="85"/>
        <v>3.415597629589272E-3</v>
      </c>
      <c r="AP122" s="37">
        <f t="shared" si="86"/>
        <v>3.0375000000000007E-3</v>
      </c>
      <c r="AQ122" s="40">
        <f t="shared" si="87"/>
        <v>8.9999999999999993E-3</v>
      </c>
      <c r="AR122" s="39">
        <f t="shared" si="67"/>
        <v>0.33295035959089664</v>
      </c>
      <c r="AS122" s="37">
        <f t="shared" si="68"/>
        <v>5.4095999999999993</v>
      </c>
      <c r="AT122" s="40">
        <f t="shared" si="69"/>
        <v>94.202047196071675</v>
      </c>
    </row>
    <row r="123" spans="17:46" x14ac:dyDescent="0.3">
      <c r="Q123">
        <v>116</v>
      </c>
      <c r="R123" s="39">
        <f t="shared" si="45"/>
        <v>210</v>
      </c>
      <c r="S123" s="37">
        <f t="shared" si="73"/>
        <v>2.5984E-2</v>
      </c>
      <c r="T123" s="37">
        <f t="shared" si="47"/>
        <v>20</v>
      </c>
      <c r="U123" s="40">
        <f t="shared" si="74"/>
        <v>0.30314666666666668</v>
      </c>
      <c r="V123" s="39">
        <f t="shared" si="75"/>
        <v>2</v>
      </c>
      <c r="W123" s="37">
        <f t="shared" si="76"/>
        <v>0.90476190476190477</v>
      </c>
      <c r="X123" s="40">
        <f t="shared" si="77"/>
        <v>9.5238095238095233E-2</v>
      </c>
      <c r="Y123" s="39">
        <f t="shared" si="78"/>
        <v>0.22067363530778164</v>
      </c>
      <c r="Z123" s="37">
        <f t="shared" si="71"/>
        <v>0.41348348432055748</v>
      </c>
      <c r="AA123" s="37">
        <f t="shared" si="72"/>
        <v>0.30976761067146302</v>
      </c>
      <c r="AB123" s="37">
        <v>0</v>
      </c>
      <c r="AC123" s="37">
        <f t="shared" si="79"/>
        <v>7.0623595849134815E-2</v>
      </c>
      <c r="AD123" s="40">
        <f t="shared" si="62"/>
        <v>7.0623595849134815E-2</v>
      </c>
      <c r="AE123" s="39">
        <f t="shared" si="70"/>
        <v>0.27427555555555555</v>
      </c>
      <c r="AF123" s="37">
        <f t="shared" si="63"/>
        <v>0.2946477703325685</v>
      </c>
      <c r="AG123" s="37">
        <f t="shared" si="80"/>
        <v>4.2540481195357485E-4</v>
      </c>
      <c r="AH123" s="37">
        <f t="shared" si="81"/>
        <v>1.3110200533732902E-2</v>
      </c>
      <c r="AI123" s="40">
        <f t="shared" si="64"/>
        <v>1.3535605345686477E-2</v>
      </c>
      <c r="AJ123" s="39">
        <f t="shared" si="65"/>
        <v>2.8871111111111111E-2</v>
      </c>
      <c r="AK123" s="37">
        <f t="shared" si="82"/>
        <v>9.5596360072719586E-2</v>
      </c>
      <c r="AL123" s="37">
        <f t="shared" si="83"/>
        <v>2.3905280000000001E-2</v>
      </c>
      <c r="AM123" s="37">
        <f t="shared" si="84"/>
        <v>0.21092</v>
      </c>
      <c r="AN123" s="40">
        <f t="shared" si="66"/>
        <v>0.23482528</v>
      </c>
      <c r="AO123" s="39">
        <f t="shared" si="85"/>
        <v>3.4726923424781616E-3</v>
      </c>
      <c r="AP123" s="37">
        <f t="shared" si="86"/>
        <v>3.0375000000000007E-3</v>
      </c>
      <c r="AQ123" s="40">
        <f t="shared" si="87"/>
        <v>8.9999999999999993E-3</v>
      </c>
      <c r="AR123" s="39">
        <f t="shared" si="67"/>
        <v>0.33449467353729945</v>
      </c>
      <c r="AS123" s="37">
        <f t="shared" si="68"/>
        <v>5.4566400000000002</v>
      </c>
      <c r="AT123" s="40">
        <f t="shared" si="69"/>
        <v>94.224021847293955</v>
      </c>
    </row>
    <row r="124" spans="17:46" x14ac:dyDescent="0.3">
      <c r="Q124">
        <v>117</v>
      </c>
      <c r="R124" s="39">
        <f t="shared" si="45"/>
        <v>210</v>
      </c>
      <c r="S124" s="37">
        <f t="shared" si="73"/>
        <v>2.6207999999999999E-2</v>
      </c>
      <c r="T124" s="37">
        <f t="shared" si="47"/>
        <v>20</v>
      </c>
      <c r="U124" s="40">
        <f t="shared" si="74"/>
        <v>0.30576000000000003</v>
      </c>
      <c r="V124" s="39">
        <f t="shared" si="75"/>
        <v>2</v>
      </c>
      <c r="W124" s="37">
        <f t="shared" si="76"/>
        <v>0.90476190476190477</v>
      </c>
      <c r="X124" s="40">
        <f t="shared" si="77"/>
        <v>9.5238095238095233E-2</v>
      </c>
      <c r="Y124" s="39">
        <f t="shared" si="78"/>
        <v>0.22067363530778164</v>
      </c>
      <c r="Z124" s="37">
        <f t="shared" si="71"/>
        <v>0.41609681765389084</v>
      </c>
      <c r="AA124" s="37">
        <f t="shared" si="72"/>
        <v>0.31232554924308703</v>
      </c>
      <c r="AB124" s="37">
        <v>0</v>
      </c>
      <c r="AC124" s="37">
        <f t="shared" si="79"/>
        <v>7.1794775050557036E-2</v>
      </c>
      <c r="AD124" s="40">
        <f t="shared" si="62"/>
        <v>7.1794775050557036E-2</v>
      </c>
      <c r="AE124" s="39">
        <f t="shared" si="70"/>
        <v>0.27664000000000005</v>
      </c>
      <c r="AF124" s="37">
        <f t="shared" si="63"/>
        <v>0.29708085523496669</v>
      </c>
      <c r="AG124" s="37">
        <f t="shared" si="80"/>
        <v>4.3245946928098229E-4</v>
      </c>
      <c r="AH124" s="37">
        <f t="shared" si="81"/>
        <v>1.3223219503851292E-2</v>
      </c>
      <c r="AI124" s="40">
        <f t="shared" si="64"/>
        <v>1.3655678973132274E-2</v>
      </c>
      <c r="AJ124" s="39">
        <f t="shared" si="65"/>
        <v>2.912E-2</v>
      </c>
      <c r="AK124" s="37">
        <f t="shared" si="82"/>
        <v>9.6385757053917248E-2</v>
      </c>
      <c r="AL124" s="37">
        <f t="shared" si="83"/>
        <v>2.4111359999999998E-2</v>
      </c>
      <c r="AM124" s="37">
        <f t="shared" si="84"/>
        <v>0.21092</v>
      </c>
      <c r="AN124" s="40">
        <f t="shared" si="66"/>
        <v>0.23503135999999999</v>
      </c>
      <c r="AO124" s="39">
        <f t="shared" si="85"/>
        <v>3.5302813818855693E-3</v>
      </c>
      <c r="AP124" s="37">
        <f t="shared" si="86"/>
        <v>3.0375000000000007E-3</v>
      </c>
      <c r="AQ124" s="40">
        <f t="shared" si="87"/>
        <v>8.9999999999999993E-3</v>
      </c>
      <c r="AR124" s="39">
        <f t="shared" si="67"/>
        <v>0.33604959540557494</v>
      </c>
      <c r="AS124" s="37">
        <f t="shared" si="68"/>
        <v>5.5036800000000001</v>
      </c>
      <c r="AT124" s="40">
        <f t="shared" si="69"/>
        <v>94.245459658440993</v>
      </c>
    </row>
    <row r="125" spans="17:46" x14ac:dyDescent="0.3">
      <c r="Q125">
        <v>118</v>
      </c>
      <c r="R125" s="39">
        <f t="shared" si="45"/>
        <v>210</v>
      </c>
      <c r="S125" s="37">
        <f t="shared" si="73"/>
        <v>2.6432000000000001E-2</v>
      </c>
      <c r="T125" s="37">
        <f t="shared" si="47"/>
        <v>20</v>
      </c>
      <c r="U125" s="40">
        <f t="shared" si="74"/>
        <v>0.30837333333333333</v>
      </c>
      <c r="V125" s="39">
        <f t="shared" si="75"/>
        <v>2</v>
      </c>
      <c r="W125" s="37">
        <f t="shared" si="76"/>
        <v>0.90476190476190477</v>
      </c>
      <c r="X125" s="40">
        <f t="shared" si="77"/>
        <v>9.5238095238095233E-2</v>
      </c>
      <c r="Y125" s="39">
        <f t="shared" si="78"/>
        <v>0.22067363530778164</v>
      </c>
      <c r="Z125" s="37">
        <f t="shared" si="71"/>
        <v>0.41871015098722414</v>
      </c>
      <c r="AA125" s="37">
        <f t="shared" si="72"/>
        <v>0.31488439755108077</v>
      </c>
      <c r="AB125" s="37">
        <v>0</v>
      </c>
      <c r="AC125" s="37">
        <f t="shared" si="79"/>
        <v>7.2976007292334819E-2</v>
      </c>
      <c r="AD125" s="40">
        <f t="shared" si="62"/>
        <v>7.2976007292334819E-2</v>
      </c>
      <c r="AE125" s="39">
        <f t="shared" si="70"/>
        <v>0.27900444444444444</v>
      </c>
      <c r="AF125" s="37">
        <f t="shared" si="63"/>
        <v>0.29951480546925785</v>
      </c>
      <c r="AG125" s="37">
        <f t="shared" si="80"/>
        <v>4.3957468160690821E-4</v>
      </c>
      <c r="AH125" s="37">
        <f t="shared" si="81"/>
        <v>1.3336238473969675E-2</v>
      </c>
      <c r="AI125" s="40">
        <f t="shared" si="64"/>
        <v>1.3775813155576582E-2</v>
      </c>
      <c r="AJ125" s="39">
        <f t="shared" si="65"/>
        <v>2.9368888888888889E-2</v>
      </c>
      <c r="AK125" s="37">
        <f t="shared" si="82"/>
        <v>9.717543478585379E-2</v>
      </c>
      <c r="AL125" s="37">
        <f t="shared" si="83"/>
        <v>2.4317440000000003E-2</v>
      </c>
      <c r="AM125" s="37">
        <f t="shared" si="84"/>
        <v>0.21092</v>
      </c>
      <c r="AN125" s="40">
        <f t="shared" si="66"/>
        <v>0.23523743999999999</v>
      </c>
      <c r="AO125" s="39">
        <f t="shared" si="85"/>
        <v>3.5883647478114952E-3</v>
      </c>
      <c r="AP125" s="37">
        <f t="shared" si="86"/>
        <v>3.0375000000000007E-3</v>
      </c>
      <c r="AQ125" s="40">
        <f t="shared" si="87"/>
        <v>8.9999999999999993E-3</v>
      </c>
      <c r="AR125" s="39">
        <f t="shared" si="67"/>
        <v>0.33761512519572295</v>
      </c>
      <c r="AS125" s="37">
        <f t="shared" si="68"/>
        <v>5.5507200000000001</v>
      </c>
      <c r="AT125" s="40">
        <f t="shared" si="69"/>
        <v>94.266373804862198</v>
      </c>
    </row>
    <row r="126" spans="17:46" x14ac:dyDescent="0.3">
      <c r="Q126">
        <v>119</v>
      </c>
      <c r="R126" s="39">
        <f t="shared" si="45"/>
        <v>210</v>
      </c>
      <c r="S126" s="37">
        <f t="shared" si="73"/>
        <v>2.6655999999999999E-2</v>
      </c>
      <c r="T126" s="37">
        <f t="shared" si="47"/>
        <v>20</v>
      </c>
      <c r="U126" s="40">
        <f t="shared" si="74"/>
        <v>0.31098666666666669</v>
      </c>
      <c r="V126" s="39">
        <f t="shared" si="75"/>
        <v>2</v>
      </c>
      <c r="W126" s="37">
        <f t="shared" si="76"/>
        <v>0.90476190476190477</v>
      </c>
      <c r="X126" s="40">
        <f t="shared" si="77"/>
        <v>9.5238095238095233E-2</v>
      </c>
      <c r="Y126" s="39">
        <f t="shared" si="78"/>
        <v>0.22067363530778164</v>
      </c>
      <c r="Z126" s="37">
        <f t="shared" si="71"/>
        <v>0.4213234843205575</v>
      </c>
      <c r="AA126" s="37">
        <f t="shared" si="72"/>
        <v>0.31744413359588242</v>
      </c>
      <c r="AB126" s="37">
        <v>0</v>
      </c>
      <c r="AC126" s="37">
        <f t="shared" si="79"/>
        <v>7.4167292574468163E-2</v>
      </c>
      <c r="AD126" s="40">
        <f t="shared" si="62"/>
        <v>7.4167292574468163E-2</v>
      </c>
      <c r="AE126" s="39">
        <f t="shared" si="70"/>
        <v>0.28136888888888889</v>
      </c>
      <c r="AF126" s="37">
        <f t="shared" si="63"/>
        <v>0.30194960010968469</v>
      </c>
      <c r="AG126" s="37">
        <f t="shared" si="80"/>
        <v>4.4675044893135269E-4</v>
      </c>
      <c r="AH126" s="37">
        <f t="shared" si="81"/>
        <v>1.3449257444088066E-2</v>
      </c>
      <c r="AI126" s="40">
        <f t="shared" si="64"/>
        <v>1.3896007893019419E-2</v>
      </c>
      <c r="AJ126" s="39">
        <f t="shared" si="65"/>
        <v>2.9617777777777778E-2</v>
      </c>
      <c r="AK126" s="37">
        <f t="shared" si="82"/>
        <v>9.7965386479317004E-2</v>
      </c>
      <c r="AL126" s="37">
        <f t="shared" si="83"/>
        <v>2.452352E-2</v>
      </c>
      <c r="AM126" s="37">
        <f t="shared" si="84"/>
        <v>0.21092</v>
      </c>
      <c r="AN126" s="40">
        <f t="shared" si="66"/>
        <v>0.23544351999999999</v>
      </c>
      <c r="AO126" s="39">
        <f t="shared" si="85"/>
        <v>3.6469424402559396E-3</v>
      </c>
      <c r="AP126" s="37">
        <f t="shared" si="86"/>
        <v>3.0375000000000007E-3</v>
      </c>
      <c r="AQ126" s="40">
        <f t="shared" si="87"/>
        <v>8.9999999999999993E-3</v>
      </c>
      <c r="AR126" s="39">
        <f t="shared" si="67"/>
        <v>0.33919126290774348</v>
      </c>
      <c r="AS126" s="37">
        <f t="shared" si="68"/>
        <v>5.5977600000000001</v>
      </c>
      <c r="AT126" s="40">
        <f t="shared" si="69"/>
        <v>94.286777036104269</v>
      </c>
    </row>
    <row r="127" spans="17:46" x14ac:dyDescent="0.3">
      <c r="Q127">
        <v>120</v>
      </c>
      <c r="R127" s="39">
        <f t="shared" si="45"/>
        <v>210</v>
      </c>
      <c r="S127" s="37">
        <f t="shared" si="73"/>
        <v>2.6880000000000001E-2</v>
      </c>
      <c r="T127" s="37">
        <f t="shared" si="47"/>
        <v>20</v>
      </c>
      <c r="U127" s="40">
        <f t="shared" si="74"/>
        <v>0.31359999999999999</v>
      </c>
      <c r="V127" s="39">
        <f t="shared" si="75"/>
        <v>2</v>
      </c>
      <c r="W127" s="37">
        <f t="shared" si="76"/>
        <v>0.90476190476190477</v>
      </c>
      <c r="X127" s="40">
        <f t="shared" si="77"/>
        <v>9.5238095238095233E-2</v>
      </c>
      <c r="Y127" s="39">
        <f t="shared" si="78"/>
        <v>0.22067363530778164</v>
      </c>
      <c r="Z127" s="37">
        <f t="shared" si="71"/>
        <v>0.4239368176538908</v>
      </c>
      <c r="AA127" s="37">
        <f t="shared" si="72"/>
        <v>0.32000473607432123</v>
      </c>
      <c r="AB127" s="37">
        <v>0</v>
      </c>
      <c r="AC127" s="37">
        <f t="shared" si="79"/>
        <v>7.5368630896957042E-2</v>
      </c>
      <c r="AD127" s="40">
        <f t="shared" si="62"/>
        <v>7.5368630896957042E-2</v>
      </c>
      <c r="AE127" s="39">
        <f t="shared" si="70"/>
        <v>0.28373333333333334</v>
      </c>
      <c r="AF127" s="37">
        <f t="shared" si="63"/>
        <v>0.30438521889288994</v>
      </c>
      <c r="AG127" s="37">
        <f t="shared" si="80"/>
        <v>4.5398677125431543E-4</v>
      </c>
      <c r="AH127" s="37">
        <f t="shared" si="81"/>
        <v>1.3562276414206448E-2</v>
      </c>
      <c r="AI127" s="40">
        <f t="shared" si="64"/>
        <v>1.4016263185460764E-2</v>
      </c>
      <c r="AJ127" s="39">
        <f t="shared" si="65"/>
        <v>2.9866666666666663E-2</v>
      </c>
      <c r="AK127" s="37">
        <f t="shared" si="82"/>
        <v>9.8755605560005677E-2</v>
      </c>
      <c r="AL127" s="37">
        <f t="shared" si="83"/>
        <v>2.4729600000000001E-2</v>
      </c>
      <c r="AM127" s="37">
        <f t="shared" si="84"/>
        <v>0.21092</v>
      </c>
      <c r="AN127" s="40">
        <f t="shared" si="66"/>
        <v>0.23564959999999999</v>
      </c>
      <c r="AO127" s="39">
        <f t="shared" si="85"/>
        <v>3.7060144592189008E-3</v>
      </c>
      <c r="AP127" s="37">
        <f t="shared" si="86"/>
        <v>3.0375000000000007E-3</v>
      </c>
      <c r="AQ127" s="40">
        <f t="shared" si="87"/>
        <v>8.9999999999999993E-3</v>
      </c>
      <c r="AR127" s="39">
        <f t="shared" si="67"/>
        <v>0.34077800854163676</v>
      </c>
      <c r="AS127" s="37">
        <f t="shared" si="68"/>
        <v>5.6448</v>
      </c>
      <c r="AT127" s="40">
        <f t="shared" si="69"/>
        <v>94.306681692973768</v>
      </c>
    </row>
    <row r="128" spans="17:46" x14ac:dyDescent="0.3">
      <c r="Q128">
        <v>121</v>
      </c>
      <c r="R128" s="39">
        <f t="shared" si="45"/>
        <v>210</v>
      </c>
      <c r="S128" s="37">
        <f t="shared" si="73"/>
        <v>2.7104E-2</v>
      </c>
      <c r="T128" s="37">
        <f t="shared" si="47"/>
        <v>20</v>
      </c>
      <c r="U128" s="40">
        <f t="shared" si="74"/>
        <v>0.31621333333333335</v>
      </c>
      <c r="V128" s="39">
        <f t="shared" si="75"/>
        <v>2</v>
      </c>
      <c r="W128" s="37">
        <f t="shared" si="76"/>
        <v>0.90476190476190477</v>
      </c>
      <c r="X128" s="40">
        <f t="shared" si="77"/>
        <v>9.5238095238095233E-2</v>
      </c>
      <c r="Y128" s="39">
        <f t="shared" si="78"/>
        <v>0.22067363530778164</v>
      </c>
      <c r="Z128" s="37">
        <f t="shared" si="71"/>
        <v>0.42655015098722415</v>
      </c>
      <c r="AA128" s="37">
        <f t="shared" si="72"/>
        <v>0.32256618435256629</v>
      </c>
      <c r="AB128" s="37">
        <v>0</v>
      </c>
      <c r="AC128" s="37">
        <f t="shared" si="79"/>
        <v>7.6580022259801497E-2</v>
      </c>
      <c r="AD128" s="40">
        <f t="shared" si="62"/>
        <v>7.6580022259801497E-2</v>
      </c>
      <c r="AE128" s="39">
        <f t="shared" si="70"/>
        <v>0.28609777777777778</v>
      </c>
      <c r="AF128" s="37">
        <f t="shared" si="63"/>
        <v>0.30682164219218566</v>
      </c>
      <c r="AG128" s="37">
        <f t="shared" si="80"/>
        <v>4.6128364857579712E-4</v>
      </c>
      <c r="AH128" s="37">
        <f t="shared" si="81"/>
        <v>1.367529538432484E-2</v>
      </c>
      <c r="AI128" s="40">
        <f t="shared" si="64"/>
        <v>1.4136579032900637E-2</v>
      </c>
      <c r="AJ128" s="39">
        <f t="shared" si="65"/>
        <v>3.0115555555555555E-2</v>
      </c>
      <c r="AK128" s="37">
        <f t="shared" si="82"/>
        <v>9.954608566018136E-2</v>
      </c>
      <c r="AL128" s="37">
        <f t="shared" si="83"/>
        <v>2.4935680000000002E-2</v>
      </c>
      <c r="AM128" s="37">
        <f t="shared" si="84"/>
        <v>0.21092</v>
      </c>
      <c r="AN128" s="40">
        <f t="shared" si="66"/>
        <v>0.23585568000000001</v>
      </c>
      <c r="AO128" s="39">
        <f t="shared" si="85"/>
        <v>3.7655808047003842E-3</v>
      </c>
      <c r="AP128" s="37">
        <f t="shared" si="86"/>
        <v>3.0375000000000007E-3</v>
      </c>
      <c r="AQ128" s="40">
        <f t="shared" si="87"/>
        <v>8.9999999999999993E-3</v>
      </c>
      <c r="AR128" s="39">
        <f t="shared" si="67"/>
        <v>0.34237536209740255</v>
      </c>
      <c r="AS128" s="37">
        <f t="shared" si="68"/>
        <v>5.69184</v>
      </c>
      <c r="AT128" s="40">
        <f t="shared" si="69"/>
        <v>94.326099723785831</v>
      </c>
    </row>
    <row r="129" spans="17:46" x14ac:dyDescent="0.3">
      <c r="Q129">
        <v>122</v>
      </c>
      <c r="R129" s="39">
        <f t="shared" si="45"/>
        <v>210</v>
      </c>
      <c r="S129" s="37">
        <f t="shared" si="73"/>
        <v>2.7327999999999998E-2</v>
      </c>
      <c r="T129" s="37">
        <f t="shared" si="47"/>
        <v>20</v>
      </c>
      <c r="U129" s="40">
        <f t="shared" si="74"/>
        <v>0.31882666666666665</v>
      </c>
      <c r="V129" s="39">
        <f t="shared" si="75"/>
        <v>2</v>
      </c>
      <c r="W129" s="37">
        <f t="shared" si="76"/>
        <v>0.90476190476190477</v>
      </c>
      <c r="X129" s="40">
        <f t="shared" si="77"/>
        <v>9.5238095238095233E-2</v>
      </c>
      <c r="Y129" s="39">
        <f t="shared" si="78"/>
        <v>0.22067363530778164</v>
      </c>
      <c r="Z129" s="37">
        <f t="shared" si="71"/>
        <v>0.42916348432055745</v>
      </c>
      <c r="AA129" s="37">
        <f t="shared" si="72"/>
        <v>0.32512845844031207</v>
      </c>
      <c r="AB129" s="37">
        <v>0</v>
      </c>
      <c r="AC129" s="37">
        <f t="shared" si="79"/>
        <v>7.7801466663001473E-2</v>
      </c>
      <c r="AD129" s="40">
        <f t="shared" si="62"/>
        <v>7.7801466663001473E-2</v>
      </c>
      <c r="AE129" s="39">
        <f t="shared" si="70"/>
        <v>0.28846222222222223</v>
      </c>
      <c r="AF129" s="37">
        <f t="shared" si="63"/>
        <v>0.30925885099299832</v>
      </c>
      <c r="AG129" s="37">
        <f t="shared" si="80"/>
        <v>4.6864108089579679E-4</v>
      </c>
      <c r="AH129" s="37">
        <f t="shared" si="81"/>
        <v>1.3788314354443222E-2</v>
      </c>
      <c r="AI129" s="40">
        <f t="shared" si="64"/>
        <v>1.425695543533902E-2</v>
      </c>
      <c r="AJ129" s="39">
        <f t="shared" si="65"/>
        <v>3.036444444444444E-2</v>
      </c>
      <c r="AK129" s="37">
        <f t="shared" si="82"/>
        <v>0.10033682061070184</v>
      </c>
      <c r="AL129" s="37">
        <f t="shared" si="83"/>
        <v>2.5141759999999999E-2</v>
      </c>
      <c r="AM129" s="37">
        <f t="shared" si="84"/>
        <v>0.21092</v>
      </c>
      <c r="AN129" s="40">
        <f t="shared" si="66"/>
        <v>0.23606176000000001</v>
      </c>
      <c r="AO129" s="39">
        <f t="shared" si="85"/>
        <v>3.8256414767003817E-3</v>
      </c>
      <c r="AP129" s="37">
        <f t="shared" si="86"/>
        <v>3.0375000000000007E-3</v>
      </c>
      <c r="AQ129" s="40">
        <f t="shared" si="87"/>
        <v>8.9999999999999993E-3</v>
      </c>
      <c r="AR129" s="39">
        <f t="shared" si="67"/>
        <v>0.34398332357504091</v>
      </c>
      <c r="AS129" s="37">
        <f t="shared" si="68"/>
        <v>5.73888</v>
      </c>
      <c r="AT129" s="40">
        <f t="shared" si="69"/>
        <v>94.345042699843631</v>
      </c>
    </row>
    <row r="130" spans="17:46" x14ac:dyDescent="0.3">
      <c r="Q130">
        <v>123</v>
      </c>
      <c r="R130" s="39">
        <f t="shared" si="45"/>
        <v>210</v>
      </c>
      <c r="S130" s="37">
        <f t="shared" si="73"/>
        <v>2.7552E-2</v>
      </c>
      <c r="T130" s="37">
        <f t="shared" si="47"/>
        <v>20</v>
      </c>
      <c r="U130" s="40">
        <f t="shared" si="74"/>
        <v>0.32144</v>
      </c>
      <c r="V130" s="39">
        <f t="shared" si="75"/>
        <v>2</v>
      </c>
      <c r="W130" s="37">
        <f t="shared" si="76"/>
        <v>0.90476190476190477</v>
      </c>
      <c r="X130" s="40">
        <f t="shared" si="77"/>
        <v>9.5238095238095233E-2</v>
      </c>
      <c r="Y130" s="39">
        <f t="shared" si="78"/>
        <v>0.22067363530778164</v>
      </c>
      <c r="Z130" s="37">
        <f t="shared" si="71"/>
        <v>0.43177681765389081</v>
      </c>
      <c r="AA130" s="37">
        <f t="shared" si="72"/>
        <v>0.32769153896613806</v>
      </c>
      <c r="AB130" s="37">
        <v>0</v>
      </c>
      <c r="AC130" s="37">
        <f t="shared" si="79"/>
        <v>7.9032964106557038E-2</v>
      </c>
      <c r="AD130" s="40">
        <f t="shared" si="62"/>
        <v>7.9032964106557038E-2</v>
      </c>
      <c r="AE130" s="39">
        <f t="shared" si="70"/>
        <v>0.29082666666666668</v>
      </c>
      <c r="AF130" s="37">
        <f t="shared" si="63"/>
        <v>0.31169682686943179</v>
      </c>
      <c r="AG130" s="37">
        <f t="shared" si="80"/>
        <v>4.7605906821431552E-4</v>
      </c>
      <c r="AH130" s="37">
        <f t="shared" si="81"/>
        <v>1.390133332456161E-2</v>
      </c>
      <c r="AI130" s="40">
        <f t="shared" si="64"/>
        <v>1.4377392392775926E-2</v>
      </c>
      <c r="AJ130" s="39">
        <f t="shared" si="65"/>
        <v>3.0613333333333333E-2</v>
      </c>
      <c r="AK130" s="37">
        <f t="shared" si="82"/>
        <v>0.10112780443341694</v>
      </c>
      <c r="AL130" s="37">
        <f t="shared" si="83"/>
        <v>2.534784E-2</v>
      </c>
      <c r="AM130" s="37">
        <f t="shared" si="84"/>
        <v>0.21092</v>
      </c>
      <c r="AN130" s="40">
        <f t="shared" si="66"/>
        <v>0.23626784000000001</v>
      </c>
      <c r="AO130" s="39">
        <f t="shared" si="85"/>
        <v>3.8861964752189017E-3</v>
      </c>
      <c r="AP130" s="37">
        <f t="shared" si="86"/>
        <v>3.0375000000000007E-3</v>
      </c>
      <c r="AQ130" s="40">
        <f t="shared" si="87"/>
        <v>8.9999999999999993E-3</v>
      </c>
      <c r="AR130" s="39">
        <f t="shared" si="67"/>
        <v>0.34560189297455191</v>
      </c>
      <c r="AS130" s="37">
        <f t="shared" si="68"/>
        <v>5.78592</v>
      </c>
      <c r="AT130" s="40">
        <f t="shared" si="69"/>
        <v>94.363521830191289</v>
      </c>
    </row>
    <row r="131" spans="17:46" x14ac:dyDescent="0.3">
      <c r="Q131">
        <v>124</v>
      </c>
      <c r="R131" s="39">
        <f t="shared" si="45"/>
        <v>210</v>
      </c>
      <c r="S131" s="37">
        <f t="shared" si="73"/>
        <v>2.7775999999999999E-2</v>
      </c>
      <c r="T131" s="37">
        <f t="shared" si="47"/>
        <v>20</v>
      </c>
      <c r="U131" s="40">
        <f t="shared" si="74"/>
        <v>0.3240533333333333</v>
      </c>
      <c r="V131" s="39">
        <f t="shared" si="75"/>
        <v>2</v>
      </c>
      <c r="W131" s="37">
        <f t="shared" si="76"/>
        <v>0.90476190476190477</v>
      </c>
      <c r="X131" s="40">
        <f t="shared" si="77"/>
        <v>9.5238095238095233E-2</v>
      </c>
      <c r="Y131" s="39">
        <f t="shared" si="78"/>
        <v>0.22067363530778164</v>
      </c>
      <c r="Z131" s="37">
        <f t="shared" si="71"/>
        <v>0.43439015098722411</v>
      </c>
      <c r="AA131" s="37">
        <f t="shared" si="72"/>
        <v>0.33025540715397894</v>
      </c>
      <c r="AB131" s="37">
        <v>0</v>
      </c>
      <c r="AC131" s="37">
        <f t="shared" si="79"/>
        <v>8.0274514590468138E-2</v>
      </c>
      <c r="AD131" s="40">
        <f t="shared" si="62"/>
        <v>8.0274514590468138E-2</v>
      </c>
      <c r="AE131" s="39">
        <f t="shared" si="70"/>
        <v>0.29319111111111107</v>
      </c>
      <c r="AF131" s="37">
        <f t="shared" si="63"/>
        <v>0.31413555196188553</v>
      </c>
      <c r="AG131" s="37">
        <f t="shared" si="80"/>
        <v>4.8353761053135261E-4</v>
      </c>
      <c r="AH131" s="37">
        <f t="shared" si="81"/>
        <v>1.4014352294679996E-2</v>
      </c>
      <c r="AI131" s="40">
        <f t="shared" si="64"/>
        <v>1.4497889905211349E-2</v>
      </c>
      <c r="AJ131" s="39">
        <f t="shared" si="65"/>
        <v>3.0862222222222218E-2</v>
      </c>
      <c r="AK131" s="37">
        <f t="shared" si="82"/>
        <v>0.10191903133390715</v>
      </c>
      <c r="AL131" s="37">
        <f t="shared" si="83"/>
        <v>2.5553920000000001E-2</v>
      </c>
      <c r="AM131" s="37">
        <f t="shared" si="84"/>
        <v>0.21092</v>
      </c>
      <c r="AN131" s="40">
        <f t="shared" si="66"/>
        <v>0.23647392</v>
      </c>
      <c r="AO131" s="39">
        <f t="shared" si="85"/>
        <v>3.947245800255939E-3</v>
      </c>
      <c r="AP131" s="37">
        <f t="shared" si="86"/>
        <v>3.0375000000000007E-3</v>
      </c>
      <c r="AQ131" s="40">
        <f t="shared" si="87"/>
        <v>8.9999999999999993E-3</v>
      </c>
      <c r="AR131" s="39">
        <f t="shared" si="67"/>
        <v>0.34723107029593547</v>
      </c>
      <c r="AS131" s="37">
        <f t="shared" si="68"/>
        <v>5.8329599999999999</v>
      </c>
      <c r="AT131" s="40">
        <f t="shared" si="69"/>
        <v>94.381547975679197</v>
      </c>
    </row>
    <row r="132" spans="17:46" x14ac:dyDescent="0.3">
      <c r="Q132">
        <v>125</v>
      </c>
      <c r="R132" s="39">
        <f t="shared" si="45"/>
        <v>210</v>
      </c>
      <c r="S132" s="37">
        <f t="shared" si="73"/>
        <v>2.8000000000000001E-2</v>
      </c>
      <c r="T132" s="37">
        <f t="shared" si="47"/>
        <v>20</v>
      </c>
      <c r="U132" s="40">
        <f t="shared" si="74"/>
        <v>0.32666666666666666</v>
      </c>
      <c r="V132" s="39">
        <f t="shared" si="75"/>
        <v>2</v>
      </c>
      <c r="W132" s="37">
        <f t="shared" si="76"/>
        <v>0.90476190476190477</v>
      </c>
      <c r="X132" s="40">
        <f t="shared" si="77"/>
        <v>9.5238095238095233E-2</v>
      </c>
      <c r="Y132" s="39">
        <f t="shared" si="78"/>
        <v>0.22067363530778164</v>
      </c>
      <c r="Z132" s="37">
        <f t="shared" si="71"/>
        <v>0.43700348432055747</v>
      </c>
      <c r="AA132" s="37">
        <f t="shared" si="72"/>
        <v>0.33282004480065064</v>
      </c>
      <c r="AB132" s="37">
        <v>0</v>
      </c>
      <c r="AC132" s="37">
        <f t="shared" si="79"/>
        <v>8.1526118114734827E-2</v>
      </c>
      <c r="AD132" s="40">
        <f t="shared" si="62"/>
        <v>8.1526118114734827E-2</v>
      </c>
      <c r="AE132" s="39">
        <f t="shared" si="70"/>
        <v>0.29555555555555557</v>
      </c>
      <c r="AF132" s="37">
        <f t="shared" si="63"/>
        <v>0.31657500895567764</v>
      </c>
      <c r="AG132" s="37">
        <f t="shared" si="80"/>
        <v>4.9107670784690827E-4</v>
      </c>
      <c r="AH132" s="37">
        <f t="shared" si="81"/>
        <v>1.4127371264798384E-2</v>
      </c>
      <c r="AI132" s="40">
        <f t="shared" si="64"/>
        <v>1.4618447972645292E-2</v>
      </c>
      <c r="AJ132" s="39">
        <f t="shared" si="65"/>
        <v>3.111111111111111E-2</v>
      </c>
      <c r="AK132" s="37">
        <f t="shared" si="82"/>
        <v>0.10271049569454781</v>
      </c>
      <c r="AL132" s="37">
        <f t="shared" si="83"/>
        <v>2.5760000000000002E-2</v>
      </c>
      <c r="AM132" s="37">
        <f t="shared" si="84"/>
        <v>0.21092</v>
      </c>
      <c r="AN132" s="40">
        <f t="shared" si="66"/>
        <v>0.23668</v>
      </c>
      <c r="AO132" s="39">
        <f t="shared" si="85"/>
        <v>4.0087894518114949E-3</v>
      </c>
      <c r="AP132" s="37">
        <f t="shared" si="86"/>
        <v>3.0375000000000007E-3</v>
      </c>
      <c r="AQ132" s="40">
        <f t="shared" si="87"/>
        <v>8.9999999999999993E-3</v>
      </c>
      <c r="AR132" s="39">
        <f t="shared" si="67"/>
        <v>0.34887085553919162</v>
      </c>
      <c r="AS132" s="37">
        <f t="shared" si="68"/>
        <v>5.88</v>
      </c>
      <c r="AT132" s="40">
        <f t="shared" si="69"/>
        <v>94.399131662379091</v>
      </c>
    </row>
    <row r="133" spans="17:46" x14ac:dyDescent="0.3">
      <c r="Q133">
        <v>126</v>
      </c>
      <c r="R133" s="39">
        <f t="shared" si="45"/>
        <v>210</v>
      </c>
      <c r="S133" s="37">
        <f t="shared" si="73"/>
        <v>2.8223999999999999E-2</v>
      </c>
      <c r="T133" s="37">
        <f t="shared" si="47"/>
        <v>20</v>
      </c>
      <c r="U133" s="40">
        <f t="shared" si="74"/>
        <v>0.32928000000000002</v>
      </c>
      <c r="V133" s="39">
        <f t="shared" si="75"/>
        <v>2</v>
      </c>
      <c r="W133" s="37">
        <f t="shared" si="76"/>
        <v>0.90476190476190477</v>
      </c>
      <c r="X133" s="40">
        <f t="shared" si="77"/>
        <v>9.5238095238095233E-2</v>
      </c>
      <c r="Y133" s="39">
        <f t="shared" si="78"/>
        <v>0.22067363530778164</v>
      </c>
      <c r="Z133" s="37">
        <f t="shared" si="71"/>
        <v>0.43961681765389082</v>
      </c>
      <c r="AA133" s="37">
        <f t="shared" si="72"/>
        <v>0.33538543425437545</v>
      </c>
      <c r="AB133" s="37">
        <v>0</v>
      </c>
      <c r="AC133" s="37">
        <f t="shared" si="79"/>
        <v>8.2787774679357051E-2</v>
      </c>
      <c r="AD133" s="40">
        <f t="shared" si="62"/>
        <v>8.2787774679357051E-2</v>
      </c>
      <c r="AE133" s="39">
        <f t="shared" si="70"/>
        <v>0.29792000000000002</v>
      </c>
      <c r="AF133" s="37">
        <f t="shared" si="63"/>
        <v>0.31901518106061855</v>
      </c>
      <c r="AG133" s="37">
        <f t="shared" si="80"/>
        <v>4.9867636016098229E-4</v>
      </c>
      <c r="AH133" s="37">
        <f t="shared" si="81"/>
        <v>1.4240390234916776E-2</v>
      </c>
      <c r="AI133" s="40">
        <f t="shared" si="64"/>
        <v>1.4739066595077758E-2</v>
      </c>
      <c r="AJ133" s="39">
        <f t="shared" si="65"/>
        <v>3.1359999999999999E-2</v>
      </c>
      <c r="AK133" s="37">
        <f t="shared" si="82"/>
        <v>0.10350219206788214</v>
      </c>
      <c r="AL133" s="37">
        <f t="shared" si="83"/>
        <v>2.5966079999999999E-2</v>
      </c>
      <c r="AM133" s="37">
        <f t="shared" si="84"/>
        <v>0.21092</v>
      </c>
      <c r="AN133" s="40">
        <f t="shared" si="66"/>
        <v>0.23688608</v>
      </c>
      <c r="AO133" s="39">
        <f t="shared" si="85"/>
        <v>4.0708274298855698E-3</v>
      </c>
      <c r="AP133" s="37">
        <f t="shared" si="86"/>
        <v>3.0375000000000007E-3</v>
      </c>
      <c r="AQ133" s="40">
        <f t="shared" si="87"/>
        <v>8.9999999999999993E-3</v>
      </c>
      <c r="AR133" s="39">
        <f t="shared" si="67"/>
        <v>0.35052124870432039</v>
      </c>
      <c r="AS133" s="37">
        <f t="shared" si="68"/>
        <v>5.9270399999999999</v>
      </c>
      <c r="AT133" s="40">
        <f t="shared" si="69"/>
        <v>94.416283094383701</v>
      </c>
    </row>
    <row r="134" spans="17:46" x14ac:dyDescent="0.3">
      <c r="Q134">
        <v>127</v>
      </c>
      <c r="R134" s="39">
        <f t="shared" si="45"/>
        <v>210</v>
      </c>
      <c r="S134" s="37">
        <f t="shared" si="73"/>
        <v>2.8448000000000001E-2</v>
      </c>
      <c r="T134" s="37">
        <f t="shared" si="47"/>
        <v>20</v>
      </c>
      <c r="U134" s="40">
        <f t="shared" si="74"/>
        <v>0.33189333333333332</v>
      </c>
      <c r="V134" s="39">
        <f t="shared" si="75"/>
        <v>2</v>
      </c>
      <c r="W134" s="37">
        <f t="shared" si="76"/>
        <v>0.90476190476190477</v>
      </c>
      <c r="X134" s="40">
        <f t="shared" si="77"/>
        <v>9.5238095238095233E-2</v>
      </c>
      <c r="Y134" s="39">
        <f t="shared" si="78"/>
        <v>0.22067363530778164</v>
      </c>
      <c r="Z134" s="37">
        <f t="shared" si="71"/>
        <v>0.44223015098722412</v>
      </c>
      <c r="AA134" s="37">
        <f t="shared" si="72"/>
        <v>0.33795155839425728</v>
      </c>
      <c r="AB134" s="37">
        <v>0</v>
      </c>
      <c r="AC134" s="37">
        <f t="shared" si="79"/>
        <v>8.4059484284334809E-2</v>
      </c>
      <c r="AD134" s="40">
        <f t="shared" si="62"/>
        <v>8.4059484284334809E-2</v>
      </c>
      <c r="AE134" s="39">
        <f t="shared" si="70"/>
        <v>0.30028444444444441</v>
      </c>
      <c r="AF134" s="37">
        <f t="shared" si="63"/>
        <v>0.32145605199148769</v>
      </c>
      <c r="AG134" s="37">
        <f t="shared" si="80"/>
        <v>5.0633656747357488E-4</v>
      </c>
      <c r="AH134" s="37">
        <f t="shared" si="81"/>
        <v>1.4353409205035158E-2</v>
      </c>
      <c r="AI134" s="40">
        <f t="shared" si="64"/>
        <v>1.4859745772508733E-2</v>
      </c>
      <c r="AJ134" s="39">
        <f t="shared" si="65"/>
        <v>3.1608888888888888E-2</v>
      </c>
      <c r="AK134" s="37">
        <f t="shared" si="82"/>
        <v>0.10429411517028683</v>
      </c>
      <c r="AL134" s="37">
        <f t="shared" si="83"/>
        <v>2.6172160000000003E-2</v>
      </c>
      <c r="AM134" s="37">
        <f t="shared" si="84"/>
        <v>0.21092</v>
      </c>
      <c r="AN134" s="40">
        <f t="shared" si="66"/>
        <v>0.23709216</v>
      </c>
      <c r="AO134" s="39">
        <f t="shared" si="85"/>
        <v>4.1333597344781611E-3</v>
      </c>
      <c r="AP134" s="37">
        <f t="shared" si="86"/>
        <v>3.0375000000000007E-3</v>
      </c>
      <c r="AQ134" s="40">
        <f t="shared" si="87"/>
        <v>8.9999999999999993E-3</v>
      </c>
      <c r="AR134" s="39">
        <f t="shared" si="67"/>
        <v>0.35218224979132173</v>
      </c>
      <c r="AS134" s="37">
        <f t="shared" si="68"/>
        <v>5.9740799999999998</v>
      </c>
      <c r="AT134" s="40">
        <f t="shared" si="69"/>
        <v>94.433012166023644</v>
      </c>
    </row>
    <row r="135" spans="17:46" x14ac:dyDescent="0.3">
      <c r="Q135">
        <v>128</v>
      </c>
      <c r="R135" s="39">
        <f t="shared" ref="R135:R157" si="88">VOUT</f>
        <v>210</v>
      </c>
      <c r="S135" s="37">
        <f t="shared" ref="S135:S157" si="89">Q135*$O$12</f>
        <v>2.8672E-2</v>
      </c>
      <c r="T135" s="37">
        <f t="shared" ref="T135:T157" si="90">VIN_var</f>
        <v>20</v>
      </c>
      <c r="U135" s="40">
        <f t="shared" ref="U135:U157" si="91">(R135*S135)/(T135*EFF_est)</f>
        <v>0.33450666666666667</v>
      </c>
      <c r="V135" s="39">
        <f t="shared" ref="V135:V157" si="92">IF((S135*R135/T135)&lt;((T135*(1-(T135/R135)))/(2*Lm*Fsw)),1,2)</f>
        <v>2</v>
      </c>
      <c r="W135" s="37">
        <f t="shared" ref="W135:W157" si="93">CHOOSE(V135,SQRT((2*S135*Lm*Fsw*(R135-T135))/((T135)^2)),1-(T135/R135))</f>
        <v>0.90476190476190477</v>
      </c>
      <c r="X135" s="40">
        <f t="shared" ref="X135:X157" si="94">CHOOSE(V135,(Lm*W135*Fsw)/(R135-T135),1-W135)</f>
        <v>9.5238095238095233E-2</v>
      </c>
      <c r="Y135" s="39">
        <f t="shared" ref="Y135:Y157" si="95">(T135*W135)/(Lm*Fsw)</f>
        <v>0.22067363530778164</v>
      </c>
      <c r="Z135" s="37">
        <f t="shared" si="71"/>
        <v>0.44484348432055748</v>
      </c>
      <c r="AA135" s="37">
        <f t="shared" si="72"/>
        <v>0.3405184006106578</v>
      </c>
      <c r="AB135" s="37">
        <v>0</v>
      </c>
      <c r="AC135" s="37">
        <f t="shared" ref="AC135:AC157" si="96">(AA135^2)*Rdcr</f>
        <v>8.5341246929668158E-2</v>
      </c>
      <c r="AD135" s="40">
        <f t="shared" si="62"/>
        <v>8.5341246929668158E-2</v>
      </c>
      <c r="AE135" s="39">
        <f t="shared" si="70"/>
        <v>0.30264888888888891</v>
      </c>
      <c r="AF135" s="37">
        <f t="shared" si="63"/>
        <v>0.32389760594936762</v>
      </c>
      <c r="AG135" s="37">
        <f t="shared" ref="AG135:AG157" si="97">(AF135^2)*RDS_on</f>
        <v>5.1405732978468605E-4</v>
      </c>
      <c r="AH135" s="37">
        <f t="shared" ref="AH135:AH157" si="98">((R135*U135)/2)*Fsw*(tr_sw+tf_sw)</f>
        <v>1.446642817515355E-2</v>
      </c>
      <c r="AI135" s="40">
        <f t="shared" si="64"/>
        <v>1.4980485504938235E-2</v>
      </c>
      <c r="AJ135" s="39">
        <f t="shared" si="65"/>
        <v>3.1857777777777777E-2</v>
      </c>
      <c r="AK135" s="37">
        <f t="shared" ref="AK135:AK157" si="99">CHOOSE(V135,Z135*SQRT(X135/3),SQRT(X135*((Z135^2)+((Y135^2)/3)-(Y135*Z135))))</f>
        <v>0.10508625987591629</v>
      </c>
      <c r="AL135" s="37">
        <f t="shared" ref="AL135:AL157" si="100">S135*Vd_rect</f>
        <v>2.6378240000000001E-2</v>
      </c>
      <c r="AM135" s="37">
        <f t="shared" ref="AM135:AM157" si="101">CHOOSE(V135,(R135+Vd_rect)*Qrr*Fsw,(R135+Vd_rect)*Qrr*Fsw)</f>
        <v>0.21092</v>
      </c>
      <c r="AN135" s="40">
        <f t="shared" si="66"/>
        <v>0.23729823999999999</v>
      </c>
      <c r="AO135" s="39">
        <f t="shared" ref="AO135:AO157" si="102">(AF135^2)*R_cs</f>
        <v>4.1963863655892731E-3</v>
      </c>
      <c r="AP135" s="37">
        <f t="shared" ref="AP135:AP157" si="103">Qg_tot*Vcc*Fsw</f>
        <v>3.0375000000000007E-3</v>
      </c>
      <c r="AQ135" s="40">
        <f t="shared" ref="AQ135:AQ157" si="104">IQ*T135</f>
        <v>8.9999999999999993E-3</v>
      </c>
      <c r="AR135" s="39">
        <f t="shared" si="67"/>
        <v>0.35385385880019571</v>
      </c>
      <c r="AS135" s="37">
        <f t="shared" si="68"/>
        <v>6.0211199999999998</v>
      </c>
      <c r="AT135" s="40">
        <f t="shared" si="69"/>
        <v>94.449328473532077</v>
      </c>
    </row>
    <row r="136" spans="17:46" x14ac:dyDescent="0.3">
      <c r="Q136">
        <v>129</v>
      </c>
      <c r="R136" s="39">
        <f t="shared" si="88"/>
        <v>210</v>
      </c>
      <c r="S136" s="37">
        <f t="shared" si="89"/>
        <v>2.8895999999999998E-2</v>
      </c>
      <c r="T136" s="37">
        <f t="shared" si="90"/>
        <v>20</v>
      </c>
      <c r="U136" s="40">
        <f t="shared" si="91"/>
        <v>0.33711999999999998</v>
      </c>
      <c r="V136" s="39">
        <f t="shared" si="92"/>
        <v>2</v>
      </c>
      <c r="W136" s="37">
        <f t="shared" si="93"/>
        <v>0.90476190476190477</v>
      </c>
      <c r="X136" s="40">
        <f t="shared" si="94"/>
        <v>9.5238095238095233E-2</v>
      </c>
      <c r="Y136" s="39">
        <f t="shared" si="95"/>
        <v>0.22067363530778164</v>
      </c>
      <c r="Z136" s="37">
        <f t="shared" si="71"/>
        <v>0.44745681765389078</v>
      </c>
      <c r="AA136" s="37">
        <f t="shared" si="72"/>
        <v>0.34308594478642807</v>
      </c>
      <c r="AB136" s="37">
        <v>0</v>
      </c>
      <c r="AC136" s="37">
        <f t="shared" si="96"/>
        <v>8.663306261535704E-2</v>
      </c>
      <c r="AD136" s="40">
        <f t="shared" ref="AD136:AD157" si="105">AB136+AC136</f>
        <v>8.663306261535704E-2</v>
      </c>
      <c r="AE136" s="39">
        <f t="shared" si="70"/>
        <v>0.3050133333333333</v>
      </c>
      <c r="AF136" s="37">
        <f t="shared" ref="AF136:AF157" si="106">CHOOSE(V136,Z136*SQRT(W136/3),SQRT(W136*((Z136^2)+((Y136^2)/3)-(Z136*Y136))))</f>
        <v>0.32633982760379177</v>
      </c>
      <c r="AG136" s="37">
        <f t="shared" si="97"/>
        <v>5.2183864709431547E-4</v>
      </c>
      <c r="AH136" s="37">
        <f t="shared" si="98"/>
        <v>1.4579447145271932E-2</v>
      </c>
      <c r="AI136" s="40">
        <f t="shared" ref="AI136:AI157" si="107">AG136+AH136</f>
        <v>1.5101285792366248E-2</v>
      </c>
      <c r="AJ136" s="39">
        <f t="shared" ref="AJ136:AJ156" si="108">X136*U136</f>
        <v>3.2106666666666665E-2</v>
      </c>
      <c r="AK136" s="37">
        <f t="shared" si="99"/>
        <v>0.1058786212109103</v>
      </c>
      <c r="AL136" s="37">
        <f t="shared" si="100"/>
        <v>2.6584319999999998E-2</v>
      </c>
      <c r="AM136" s="37">
        <f t="shared" si="101"/>
        <v>0.21092</v>
      </c>
      <c r="AN136" s="40">
        <f t="shared" ref="AN136:AN157" si="109">AL136+AM136</f>
        <v>0.23750431999999999</v>
      </c>
      <c r="AO136" s="39">
        <f t="shared" si="102"/>
        <v>4.2599073232189016E-3</v>
      </c>
      <c r="AP136" s="37">
        <f t="shared" si="103"/>
        <v>3.0375000000000007E-3</v>
      </c>
      <c r="AQ136" s="40">
        <f t="shared" si="104"/>
        <v>8.9999999999999993E-3</v>
      </c>
      <c r="AR136" s="39">
        <f t="shared" ref="AR136:AR157" si="110">AO136+AN136+AI136+AD136+AP136+AQ136</f>
        <v>0.3555360757309422</v>
      </c>
      <c r="AS136" s="37">
        <f t="shared" ref="AS136:AS157" si="111">R136*S136</f>
        <v>6.0681599999999998</v>
      </c>
      <c r="AT136" s="40">
        <f t="shared" ref="AT136:AT156" si="112">(AS136/(AS136+AR136))*100</f>
        <v>94.465241326186401</v>
      </c>
    </row>
    <row r="137" spans="17:46" x14ac:dyDescent="0.3">
      <c r="Q137">
        <v>130</v>
      </c>
      <c r="R137" s="39">
        <f t="shared" si="88"/>
        <v>210</v>
      </c>
      <c r="S137" s="37">
        <f t="shared" si="89"/>
        <v>2.912E-2</v>
      </c>
      <c r="T137" s="37">
        <f t="shared" si="90"/>
        <v>20</v>
      </c>
      <c r="U137" s="40">
        <f t="shared" si="91"/>
        <v>0.33973333333333333</v>
      </c>
      <c r="V137" s="39">
        <f t="shared" si="92"/>
        <v>2</v>
      </c>
      <c r="W137" s="37">
        <f t="shared" si="93"/>
        <v>0.90476190476190477</v>
      </c>
      <c r="X137" s="40">
        <f t="shared" si="94"/>
        <v>9.5238095238095233E-2</v>
      </c>
      <c r="Y137" s="39">
        <f t="shared" si="95"/>
        <v>0.22067363530778164</v>
      </c>
      <c r="Z137" s="37">
        <f t="shared" si="71"/>
        <v>0.45007015098722414</v>
      </c>
      <c r="AA137" s="37">
        <f t="shared" si="72"/>
        <v>0.34565417527895387</v>
      </c>
      <c r="AB137" s="37">
        <v>0</v>
      </c>
      <c r="AC137" s="37">
        <f t="shared" si="96"/>
        <v>8.7934931341401484E-2</v>
      </c>
      <c r="AD137" s="40">
        <f t="shared" si="105"/>
        <v>8.7934931341401484E-2</v>
      </c>
      <c r="AE137" s="39">
        <f t="shared" ref="AE137:AE157" si="113">U137*W137</f>
        <v>0.30737777777777781</v>
      </c>
      <c r="AF137" s="37">
        <f t="shared" si="106"/>
        <v>0.32878270207566618</v>
      </c>
      <c r="AG137" s="37">
        <f t="shared" si="97"/>
        <v>5.2968051940246379E-4</v>
      </c>
      <c r="AH137" s="37">
        <f t="shared" si="98"/>
        <v>1.469246611539032E-2</v>
      </c>
      <c r="AI137" s="40">
        <f t="shared" si="107"/>
        <v>1.5222146634792783E-2</v>
      </c>
      <c r="AJ137" s="39">
        <f t="shared" si="108"/>
        <v>3.2355555555555554E-2</v>
      </c>
      <c r="AK137" s="37">
        <f t="shared" si="99"/>
        <v>0.10667119434785335</v>
      </c>
      <c r="AL137" s="37">
        <f t="shared" si="100"/>
        <v>2.6790400000000002E-2</v>
      </c>
      <c r="AM137" s="37">
        <f t="shared" si="101"/>
        <v>0.21092</v>
      </c>
      <c r="AN137" s="40">
        <f t="shared" si="109"/>
        <v>0.23771039999999999</v>
      </c>
      <c r="AO137" s="39">
        <f t="shared" si="102"/>
        <v>4.3239226073670508E-3</v>
      </c>
      <c r="AP137" s="37">
        <f t="shared" si="103"/>
        <v>3.0375000000000007E-3</v>
      </c>
      <c r="AQ137" s="40">
        <f t="shared" si="104"/>
        <v>8.9999999999999993E-3</v>
      </c>
      <c r="AR137" s="39">
        <f t="shared" si="110"/>
        <v>0.35722890058356138</v>
      </c>
      <c r="AS137" s="37">
        <f t="shared" si="111"/>
        <v>6.1151999999999997</v>
      </c>
      <c r="AT137" s="40">
        <f t="shared" si="112"/>
        <v>94.480759756953773</v>
      </c>
    </row>
    <row r="138" spans="17:46" x14ac:dyDescent="0.3">
      <c r="Q138">
        <v>131</v>
      </c>
      <c r="R138" s="39">
        <f t="shared" si="88"/>
        <v>210</v>
      </c>
      <c r="S138" s="37">
        <f t="shared" si="89"/>
        <v>2.9343999999999999E-2</v>
      </c>
      <c r="T138" s="37">
        <f t="shared" si="90"/>
        <v>20</v>
      </c>
      <c r="U138" s="40">
        <f t="shared" si="91"/>
        <v>0.34234666666666663</v>
      </c>
      <c r="V138" s="39">
        <f t="shared" si="92"/>
        <v>2</v>
      </c>
      <c r="W138" s="37">
        <f t="shared" si="93"/>
        <v>0.90476190476190477</v>
      </c>
      <c r="X138" s="40">
        <f t="shared" si="94"/>
        <v>9.5238095238095233E-2</v>
      </c>
      <c r="Y138" s="39">
        <f t="shared" si="95"/>
        <v>0.22067363530778164</v>
      </c>
      <c r="Z138" s="37">
        <f t="shared" si="71"/>
        <v>0.45268348432055744</v>
      </c>
      <c r="AA138" s="37">
        <f t="shared" si="72"/>
        <v>0.34822307690297283</v>
      </c>
      <c r="AB138" s="37">
        <v>0</v>
      </c>
      <c r="AC138" s="37">
        <f t="shared" si="96"/>
        <v>8.9246853107801463E-2</v>
      </c>
      <c r="AD138" s="40">
        <f t="shared" si="105"/>
        <v>8.9246853107801463E-2</v>
      </c>
      <c r="AE138" s="39">
        <f t="shared" si="113"/>
        <v>0.3097422222222222</v>
      </c>
      <c r="AF138" s="37">
        <f t="shared" si="106"/>
        <v>0.33122621492092519</v>
      </c>
      <c r="AG138" s="37">
        <f t="shared" si="97"/>
        <v>5.3758294670913046E-4</v>
      </c>
      <c r="AH138" s="37">
        <f t="shared" si="98"/>
        <v>1.4805485085508706E-2</v>
      </c>
      <c r="AI138" s="40">
        <f t="shared" si="107"/>
        <v>1.5343068032217837E-2</v>
      </c>
      <c r="AJ138" s="39">
        <f t="shared" si="108"/>
        <v>3.2604444444444443E-2</v>
      </c>
      <c r="AK138" s="37">
        <f t="shared" si="99"/>
        <v>0.10746397460047173</v>
      </c>
      <c r="AL138" s="37">
        <f t="shared" si="100"/>
        <v>2.699648E-2</v>
      </c>
      <c r="AM138" s="37">
        <f t="shared" si="101"/>
        <v>0.21092</v>
      </c>
      <c r="AN138" s="40">
        <f t="shared" si="109"/>
        <v>0.23791647999999999</v>
      </c>
      <c r="AO138" s="39">
        <f t="shared" si="102"/>
        <v>4.3884322180337172E-3</v>
      </c>
      <c r="AP138" s="37">
        <f t="shared" si="103"/>
        <v>3.0375000000000007E-3</v>
      </c>
      <c r="AQ138" s="40">
        <f t="shared" si="104"/>
        <v>8.9999999999999993E-3</v>
      </c>
      <c r="AR138" s="39">
        <f t="shared" si="110"/>
        <v>0.35893233335805302</v>
      </c>
      <c r="AS138" s="37">
        <f t="shared" si="111"/>
        <v>6.1622399999999997</v>
      </c>
      <c r="AT138" s="40">
        <f t="shared" si="112"/>
        <v>94.495892532666403</v>
      </c>
    </row>
    <row r="139" spans="17:46" x14ac:dyDescent="0.3">
      <c r="Q139">
        <v>132</v>
      </c>
      <c r="R139" s="39">
        <f t="shared" si="88"/>
        <v>210</v>
      </c>
      <c r="S139" s="37">
        <f t="shared" si="89"/>
        <v>2.9568000000000001E-2</v>
      </c>
      <c r="T139" s="37">
        <f t="shared" si="90"/>
        <v>20</v>
      </c>
      <c r="U139" s="40">
        <f t="shared" si="91"/>
        <v>0.34495999999999999</v>
      </c>
      <c r="V139" s="39">
        <f t="shared" si="92"/>
        <v>2</v>
      </c>
      <c r="W139" s="37">
        <f t="shared" si="93"/>
        <v>0.90476190476190477</v>
      </c>
      <c r="X139" s="40">
        <f t="shared" si="94"/>
        <v>9.5238095238095233E-2</v>
      </c>
      <c r="Y139" s="39">
        <f t="shared" si="95"/>
        <v>0.22067363530778164</v>
      </c>
      <c r="Z139" s="37">
        <f t="shared" si="71"/>
        <v>0.4552968176538908</v>
      </c>
      <c r="AA139" s="37">
        <f t="shared" si="72"/>
        <v>0.35079263491412699</v>
      </c>
      <c r="AB139" s="37">
        <v>0</v>
      </c>
      <c r="AC139" s="37">
        <f t="shared" si="96"/>
        <v>9.0568827914557046E-2</v>
      </c>
      <c r="AD139" s="40">
        <f t="shared" si="105"/>
        <v>9.0568827914557046E-2</v>
      </c>
      <c r="AE139" s="39">
        <f t="shared" si="113"/>
        <v>0.31210666666666664</v>
      </c>
      <c r="AF139" s="37">
        <f t="shared" si="106"/>
        <v>0.33367035211488683</v>
      </c>
      <c r="AG139" s="37">
        <f t="shared" si="97"/>
        <v>5.455459290143156E-4</v>
      </c>
      <c r="AH139" s="37">
        <f t="shared" si="98"/>
        <v>1.4918504055627094E-2</v>
      </c>
      <c r="AI139" s="40">
        <f t="shared" si="107"/>
        <v>1.5464049984641409E-2</v>
      </c>
      <c r="AJ139" s="39">
        <f t="shared" si="108"/>
        <v>3.2853333333333332E-2</v>
      </c>
      <c r="AK139" s="37">
        <f t="shared" si="99"/>
        <v>0.10825695741855774</v>
      </c>
      <c r="AL139" s="37">
        <f t="shared" si="100"/>
        <v>2.7202560000000001E-2</v>
      </c>
      <c r="AM139" s="37">
        <f t="shared" si="101"/>
        <v>0.21092</v>
      </c>
      <c r="AN139" s="40">
        <f t="shared" si="109"/>
        <v>0.23812255999999998</v>
      </c>
      <c r="AO139" s="39">
        <f t="shared" si="102"/>
        <v>4.4534361552189027E-3</v>
      </c>
      <c r="AP139" s="37">
        <f t="shared" si="103"/>
        <v>3.0375000000000007E-3</v>
      </c>
      <c r="AQ139" s="40">
        <f t="shared" si="104"/>
        <v>8.9999999999999993E-3</v>
      </c>
      <c r="AR139" s="39">
        <f t="shared" si="110"/>
        <v>0.36064637405441741</v>
      </c>
      <c r="AS139" s="37">
        <f t="shared" si="111"/>
        <v>6.2092799999999997</v>
      </c>
      <c r="AT139" s="40">
        <f t="shared" si="112"/>
        <v>94.510648163750176</v>
      </c>
    </row>
    <row r="140" spans="17:46" x14ac:dyDescent="0.3">
      <c r="Q140">
        <v>133</v>
      </c>
      <c r="R140" s="39">
        <f t="shared" si="88"/>
        <v>210</v>
      </c>
      <c r="S140" s="37">
        <f t="shared" si="89"/>
        <v>2.9791999999999999E-2</v>
      </c>
      <c r="T140" s="37">
        <f t="shared" si="90"/>
        <v>20</v>
      </c>
      <c r="U140" s="40">
        <f t="shared" si="91"/>
        <v>0.34757333333333329</v>
      </c>
      <c r="V140" s="39">
        <f t="shared" si="92"/>
        <v>2</v>
      </c>
      <c r="W140" s="37">
        <f t="shared" si="93"/>
        <v>0.90476190476190477</v>
      </c>
      <c r="X140" s="40">
        <f t="shared" si="94"/>
        <v>9.5238095238095233E-2</v>
      </c>
      <c r="Y140" s="39">
        <f t="shared" si="95"/>
        <v>0.22067363530778164</v>
      </c>
      <c r="Z140" s="37">
        <f t="shared" si="71"/>
        <v>0.4579101509872241</v>
      </c>
      <c r="AA140" s="37">
        <f t="shared" si="72"/>
        <v>0.35336283499321258</v>
      </c>
      <c r="AB140" s="37">
        <v>0</v>
      </c>
      <c r="AC140" s="37">
        <f t="shared" si="96"/>
        <v>9.1900855761668121E-2</v>
      </c>
      <c r="AD140" s="40">
        <f t="shared" si="105"/>
        <v>9.1900855761668121E-2</v>
      </c>
      <c r="AE140" s="39">
        <f t="shared" si="113"/>
        <v>0.31447111111111109</v>
      </c>
      <c r="AF140" s="37">
        <f t="shared" si="106"/>
        <v>0.33611510003727169</v>
      </c>
      <c r="AG140" s="37">
        <f t="shared" si="97"/>
        <v>5.5356946631801931E-4</v>
      </c>
      <c r="AH140" s="37">
        <f t="shared" si="98"/>
        <v>1.503152302574548E-2</v>
      </c>
      <c r="AI140" s="40">
        <f t="shared" si="107"/>
        <v>1.5585092492063499E-2</v>
      </c>
      <c r="AJ140" s="39">
        <f t="shared" si="108"/>
        <v>3.3102222222222213E-2</v>
      </c>
      <c r="AK140" s="37">
        <f t="shared" si="99"/>
        <v>0.10905013838310924</v>
      </c>
      <c r="AL140" s="37">
        <f t="shared" si="100"/>
        <v>2.7408640000000001E-2</v>
      </c>
      <c r="AM140" s="37">
        <f t="shared" si="101"/>
        <v>0.21092</v>
      </c>
      <c r="AN140" s="40">
        <f t="shared" si="109"/>
        <v>0.23832864000000001</v>
      </c>
      <c r="AO140" s="39">
        <f t="shared" si="102"/>
        <v>4.5189344189226063E-3</v>
      </c>
      <c r="AP140" s="37">
        <f t="shared" si="103"/>
        <v>3.0375000000000007E-3</v>
      </c>
      <c r="AQ140" s="40">
        <f t="shared" si="104"/>
        <v>8.9999999999999993E-3</v>
      </c>
      <c r="AR140" s="39">
        <f t="shared" si="110"/>
        <v>0.36237102267265425</v>
      </c>
      <c r="AS140" s="37">
        <f t="shared" si="111"/>
        <v>6.2563199999999997</v>
      </c>
      <c r="AT140" s="40">
        <f t="shared" si="112"/>
        <v>94.525034913529964</v>
      </c>
    </row>
    <row r="141" spans="17:46" x14ac:dyDescent="0.3">
      <c r="Q141">
        <v>134</v>
      </c>
      <c r="R141" s="39">
        <f t="shared" si="88"/>
        <v>210</v>
      </c>
      <c r="S141" s="37">
        <f t="shared" si="89"/>
        <v>3.0016000000000001E-2</v>
      </c>
      <c r="T141" s="37">
        <f t="shared" si="90"/>
        <v>20</v>
      </c>
      <c r="U141" s="40">
        <f t="shared" si="91"/>
        <v>0.3501866666666667</v>
      </c>
      <c r="V141" s="39">
        <f t="shared" si="92"/>
        <v>2</v>
      </c>
      <c r="W141" s="37">
        <f t="shared" si="93"/>
        <v>0.90476190476190477</v>
      </c>
      <c r="X141" s="40">
        <f t="shared" si="94"/>
        <v>9.5238095238095233E-2</v>
      </c>
      <c r="Y141" s="39">
        <f t="shared" si="95"/>
        <v>0.22067363530778164</v>
      </c>
      <c r="Z141" s="37">
        <f t="shared" si="71"/>
        <v>0.46052348432055751</v>
      </c>
      <c r="AA141" s="37">
        <f t="shared" si="72"/>
        <v>0.35593366323109582</v>
      </c>
      <c r="AB141" s="37">
        <v>0</v>
      </c>
      <c r="AC141" s="37">
        <f t="shared" si="96"/>
        <v>9.3242936649134855E-2</v>
      </c>
      <c r="AD141" s="40">
        <f t="shared" si="105"/>
        <v>9.3242936649134855E-2</v>
      </c>
      <c r="AE141" s="39">
        <f t="shared" si="113"/>
        <v>0.31683555555555559</v>
      </c>
      <c r="AF141" s="37">
        <f t="shared" si="106"/>
        <v>0.3385604454578543</v>
      </c>
      <c r="AG141" s="37">
        <f t="shared" si="97"/>
        <v>5.6165355862024171E-4</v>
      </c>
      <c r="AH141" s="37">
        <f t="shared" si="98"/>
        <v>1.5144541995863871E-2</v>
      </c>
      <c r="AI141" s="40">
        <f t="shared" si="107"/>
        <v>1.5706195554484114E-2</v>
      </c>
      <c r="AJ141" s="39">
        <f t="shared" si="108"/>
        <v>3.3351111111111109E-2</v>
      </c>
      <c r="AK141" s="37">
        <f t="shared" si="99"/>
        <v>0.10984351320167428</v>
      </c>
      <c r="AL141" s="37">
        <f t="shared" si="100"/>
        <v>2.7614720000000002E-2</v>
      </c>
      <c r="AM141" s="37">
        <f t="shared" si="101"/>
        <v>0.21092</v>
      </c>
      <c r="AN141" s="40">
        <f t="shared" si="109"/>
        <v>0.23853472000000001</v>
      </c>
      <c r="AO141" s="39">
        <f t="shared" si="102"/>
        <v>4.5849270091448298E-3</v>
      </c>
      <c r="AP141" s="37">
        <f t="shared" si="103"/>
        <v>3.0375000000000007E-3</v>
      </c>
      <c r="AQ141" s="40">
        <f t="shared" si="104"/>
        <v>8.9999999999999993E-3</v>
      </c>
      <c r="AR141" s="39">
        <f t="shared" si="110"/>
        <v>0.36410627921276384</v>
      </c>
      <c r="AS141" s="37">
        <f t="shared" si="111"/>
        <v>6.3033600000000005</v>
      </c>
      <c r="AT141" s="40">
        <f t="shared" si="112"/>
        <v>94.539060807132358</v>
      </c>
    </row>
    <row r="142" spans="17:46" x14ac:dyDescent="0.3">
      <c r="Q142">
        <v>135</v>
      </c>
      <c r="R142" s="39">
        <f t="shared" si="88"/>
        <v>210</v>
      </c>
      <c r="S142" s="37">
        <f t="shared" si="89"/>
        <v>3.024E-2</v>
      </c>
      <c r="T142" s="37">
        <f t="shared" si="90"/>
        <v>20</v>
      </c>
      <c r="U142" s="40">
        <f t="shared" si="91"/>
        <v>0.3528</v>
      </c>
      <c r="V142" s="39">
        <f t="shared" si="92"/>
        <v>2</v>
      </c>
      <c r="W142" s="37">
        <f t="shared" si="93"/>
        <v>0.90476190476190477</v>
      </c>
      <c r="X142" s="40">
        <f t="shared" si="94"/>
        <v>9.5238095238095233E-2</v>
      </c>
      <c r="Y142" s="39">
        <f t="shared" si="95"/>
        <v>0.22067363530778164</v>
      </c>
      <c r="Z142" s="37">
        <f t="shared" si="71"/>
        <v>0.46313681765389081</v>
      </c>
      <c r="AA142" s="37">
        <f t="shared" si="72"/>
        <v>0.35850510611425884</v>
      </c>
      <c r="AB142" s="37">
        <v>0</v>
      </c>
      <c r="AC142" s="37">
        <f t="shared" si="96"/>
        <v>9.4595070576957055E-2</v>
      </c>
      <c r="AD142" s="40">
        <f t="shared" si="105"/>
        <v>9.4595070576957055E-2</v>
      </c>
      <c r="AE142" s="39">
        <f t="shared" si="113"/>
        <v>0.31919999999999998</v>
      </c>
      <c r="AF142" s="37">
        <f t="shared" si="106"/>
        <v>0.34100637552271545</v>
      </c>
      <c r="AG142" s="37">
        <f t="shared" si="97"/>
        <v>5.6979820592098225E-4</v>
      </c>
      <c r="AH142" s="37">
        <f t="shared" si="98"/>
        <v>1.5257560965982256E-2</v>
      </c>
      <c r="AI142" s="40">
        <f t="shared" si="107"/>
        <v>1.5827359171903237E-2</v>
      </c>
      <c r="AJ142" s="39">
        <f t="shared" si="108"/>
        <v>3.3599999999999998E-2</v>
      </c>
      <c r="AK142" s="37">
        <f t="shared" si="99"/>
        <v>0.11063707770389075</v>
      </c>
      <c r="AL142" s="37">
        <f t="shared" si="100"/>
        <v>2.78208E-2</v>
      </c>
      <c r="AM142" s="37">
        <f t="shared" si="101"/>
        <v>0.21092</v>
      </c>
      <c r="AN142" s="40">
        <f t="shared" si="109"/>
        <v>0.2387408</v>
      </c>
      <c r="AO142" s="39">
        <f t="shared" si="102"/>
        <v>4.6514139258855688E-3</v>
      </c>
      <c r="AP142" s="37">
        <f t="shared" si="103"/>
        <v>3.0375000000000007E-3</v>
      </c>
      <c r="AQ142" s="40">
        <f t="shared" si="104"/>
        <v>8.9999999999999993E-3</v>
      </c>
      <c r="AR142" s="39">
        <f t="shared" si="110"/>
        <v>0.36585214367474589</v>
      </c>
      <c r="AS142" s="37">
        <f t="shared" si="111"/>
        <v>6.3503999999999996</v>
      </c>
      <c r="AT142" s="40">
        <f t="shared" si="112"/>
        <v>94.552733640006352</v>
      </c>
    </row>
    <row r="143" spans="17:46" x14ac:dyDescent="0.3">
      <c r="Q143">
        <v>136</v>
      </c>
      <c r="R143" s="39">
        <f t="shared" si="88"/>
        <v>210</v>
      </c>
      <c r="S143" s="37">
        <f t="shared" si="89"/>
        <v>3.0463999999999998E-2</v>
      </c>
      <c r="T143" s="37">
        <f t="shared" si="90"/>
        <v>20</v>
      </c>
      <c r="U143" s="40">
        <f t="shared" si="91"/>
        <v>0.3554133333333333</v>
      </c>
      <c r="V143" s="39">
        <f t="shared" si="92"/>
        <v>2</v>
      </c>
      <c r="W143" s="37">
        <f t="shared" si="93"/>
        <v>0.90476190476190477</v>
      </c>
      <c r="X143" s="40">
        <f t="shared" si="94"/>
        <v>9.5238095238095233E-2</v>
      </c>
      <c r="Y143" s="39">
        <f t="shared" si="95"/>
        <v>0.22067363530778164</v>
      </c>
      <c r="Z143" s="37">
        <f t="shared" si="71"/>
        <v>0.46575015098722411</v>
      </c>
      <c r="AA143" s="37">
        <f t="shared" si="72"/>
        <v>0.36107715051094974</v>
      </c>
      <c r="AB143" s="37">
        <v>0</v>
      </c>
      <c r="AC143" s="37">
        <f t="shared" si="96"/>
        <v>9.5957257545134803E-2</v>
      </c>
      <c r="AD143" s="40">
        <f t="shared" si="105"/>
        <v>9.5957257545134803E-2</v>
      </c>
      <c r="AE143" s="39">
        <f t="shared" si="113"/>
        <v>0.32156444444444443</v>
      </c>
      <c r="AF143" s="37">
        <f t="shared" si="106"/>
        <v>0.34345287774106747</v>
      </c>
      <c r="AG143" s="37">
        <f t="shared" si="97"/>
        <v>5.7800340822024125E-4</v>
      </c>
      <c r="AH143" s="37">
        <f t="shared" si="98"/>
        <v>1.5370579936100642E-2</v>
      </c>
      <c r="AI143" s="40">
        <f t="shared" si="107"/>
        <v>1.5948583344320883E-2</v>
      </c>
      <c r="AJ143" s="39">
        <f t="shared" si="108"/>
        <v>3.3848888888888887E-2</v>
      </c>
      <c r="AK143" s="37">
        <f t="shared" si="99"/>
        <v>0.11143082783721202</v>
      </c>
      <c r="AL143" s="37">
        <f t="shared" si="100"/>
        <v>2.8026880000000001E-2</v>
      </c>
      <c r="AM143" s="37">
        <f t="shared" si="101"/>
        <v>0.21092</v>
      </c>
      <c r="AN143" s="40">
        <f t="shared" si="109"/>
        <v>0.23894688</v>
      </c>
      <c r="AO143" s="39">
        <f t="shared" si="102"/>
        <v>4.718395169144826E-3</v>
      </c>
      <c r="AP143" s="37">
        <f t="shared" si="103"/>
        <v>3.0375000000000007E-3</v>
      </c>
      <c r="AQ143" s="40">
        <f t="shared" si="104"/>
        <v>8.9999999999999993E-3</v>
      </c>
      <c r="AR143" s="39">
        <f t="shared" si="110"/>
        <v>0.36760861605860051</v>
      </c>
      <c r="AS143" s="37">
        <f t="shared" si="111"/>
        <v>6.3974399999999996</v>
      </c>
      <c r="AT143" s="40">
        <f t="shared" si="112"/>
        <v>94.566060986080942</v>
      </c>
    </row>
    <row r="144" spans="17:46" x14ac:dyDescent="0.3">
      <c r="Q144">
        <v>137</v>
      </c>
      <c r="R144" s="39">
        <f t="shared" si="88"/>
        <v>210</v>
      </c>
      <c r="S144" s="37">
        <f t="shared" si="89"/>
        <v>3.0688E-2</v>
      </c>
      <c r="T144" s="37">
        <f t="shared" si="90"/>
        <v>20</v>
      </c>
      <c r="U144" s="40">
        <f t="shared" si="91"/>
        <v>0.35802666666666672</v>
      </c>
      <c r="V144" s="39">
        <f t="shared" si="92"/>
        <v>2</v>
      </c>
      <c r="W144" s="37">
        <f t="shared" si="93"/>
        <v>0.90476190476190477</v>
      </c>
      <c r="X144" s="40">
        <f t="shared" si="94"/>
        <v>9.5238095238095233E-2</v>
      </c>
      <c r="Y144" s="39">
        <f t="shared" si="95"/>
        <v>0.22067363530778164</v>
      </c>
      <c r="Z144" s="37">
        <f t="shared" ref="Z144:Z157" si="114">CHOOSE(V144,Y144,U144+(0.5*Y144))</f>
        <v>0.46836348432055752</v>
      </c>
      <c r="AA144" s="37">
        <f t="shared" ref="AA144:AA157" si="115">CHOOSE(V144,Z144*SQRT((W144+X144)/3),SQRT((U144^2)+((Y144^2)/12)))</f>
        <v>0.36364978365790412</v>
      </c>
      <c r="AB144" s="37">
        <v>0</v>
      </c>
      <c r="AC144" s="37">
        <f t="shared" si="96"/>
        <v>9.7329497553668196E-2</v>
      </c>
      <c r="AD144" s="40">
        <f t="shared" si="105"/>
        <v>9.7329497553668196E-2</v>
      </c>
      <c r="AE144" s="39">
        <f t="shared" si="113"/>
        <v>0.32392888888888893</v>
      </c>
      <c r="AF144" s="37">
        <f t="shared" si="106"/>
        <v>0.34589993997262442</v>
      </c>
      <c r="AG144" s="37">
        <f t="shared" si="97"/>
        <v>5.8626916551801937E-4</v>
      </c>
      <c r="AH144" s="37">
        <f t="shared" si="98"/>
        <v>1.5483598906219033E-2</v>
      </c>
      <c r="AI144" s="40">
        <f t="shared" si="107"/>
        <v>1.6069868071737051E-2</v>
      </c>
      <c r="AJ144" s="39">
        <f t="shared" si="108"/>
        <v>3.4097777777777782E-2</v>
      </c>
      <c r="AK144" s="37">
        <f t="shared" si="99"/>
        <v>0.11222475966280916</v>
      </c>
      <c r="AL144" s="37">
        <f t="shared" si="100"/>
        <v>2.8232960000000001E-2</v>
      </c>
      <c r="AM144" s="37">
        <f t="shared" si="101"/>
        <v>0.21092</v>
      </c>
      <c r="AN144" s="40">
        <f t="shared" si="109"/>
        <v>0.23915296</v>
      </c>
      <c r="AO144" s="39">
        <f t="shared" si="102"/>
        <v>4.7858707389226074E-3</v>
      </c>
      <c r="AP144" s="37">
        <f t="shared" si="103"/>
        <v>3.0375000000000007E-3</v>
      </c>
      <c r="AQ144" s="40">
        <f t="shared" si="104"/>
        <v>8.9999999999999993E-3</v>
      </c>
      <c r="AR144" s="39">
        <f t="shared" si="110"/>
        <v>0.36937569636432793</v>
      </c>
      <c r="AS144" s="37">
        <f t="shared" si="111"/>
        <v>6.4444800000000004</v>
      </c>
      <c r="AT144" s="40">
        <f t="shared" si="112"/>
        <v>94.579050205577204</v>
      </c>
    </row>
    <row r="145" spans="17:46" x14ac:dyDescent="0.3">
      <c r="Q145">
        <v>138</v>
      </c>
      <c r="R145" s="39">
        <f t="shared" si="88"/>
        <v>210</v>
      </c>
      <c r="S145" s="37">
        <f t="shared" si="89"/>
        <v>3.0911999999999999E-2</v>
      </c>
      <c r="T145" s="37">
        <f t="shared" si="90"/>
        <v>20</v>
      </c>
      <c r="U145" s="40">
        <f t="shared" si="91"/>
        <v>0.36063999999999996</v>
      </c>
      <c r="V145" s="39">
        <f t="shared" si="92"/>
        <v>2</v>
      </c>
      <c r="W145" s="37">
        <f t="shared" si="93"/>
        <v>0.90476190476190477</v>
      </c>
      <c r="X145" s="40">
        <f t="shared" si="94"/>
        <v>9.5238095238095233E-2</v>
      </c>
      <c r="Y145" s="39">
        <f t="shared" si="95"/>
        <v>0.22067363530778164</v>
      </c>
      <c r="Z145" s="37">
        <f t="shared" si="114"/>
        <v>0.47097681765389077</v>
      </c>
      <c r="AA145" s="37">
        <f t="shared" si="115"/>
        <v>0.36622299314761214</v>
      </c>
      <c r="AB145" s="37">
        <v>0</v>
      </c>
      <c r="AC145" s="37">
        <f t="shared" si="96"/>
        <v>9.8711790602557026E-2</v>
      </c>
      <c r="AD145" s="40">
        <f t="shared" si="105"/>
        <v>9.8711790602557026E-2</v>
      </c>
      <c r="AE145" s="39">
        <f t="shared" si="113"/>
        <v>0.32629333333333332</v>
      </c>
      <c r="AF145" s="37">
        <f t="shared" si="106"/>
        <v>0.34834755041549026</v>
      </c>
      <c r="AG145" s="37">
        <f t="shared" si="97"/>
        <v>5.9459547781431552E-4</v>
      </c>
      <c r="AH145" s="37">
        <f t="shared" si="98"/>
        <v>1.5596617876337416E-2</v>
      </c>
      <c r="AI145" s="40">
        <f t="shared" si="107"/>
        <v>1.6191213354151732E-2</v>
      </c>
      <c r="AJ145" s="39">
        <f t="shared" si="108"/>
        <v>3.4346666666666664E-2</v>
      </c>
      <c r="AK145" s="37">
        <f t="shared" si="99"/>
        <v>0.11301886935164156</v>
      </c>
      <c r="AL145" s="37">
        <f t="shared" si="100"/>
        <v>2.8439039999999999E-2</v>
      </c>
      <c r="AM145" s="37">
        <f t="shared" si="101"/>
        <v>0.21092</v>
      </c>
      <c r="AN145" s="40">
        <f t="shared" si="109"/>
        <v>0.23935904</v>
      </c>
      <c r="AO145" s="39">
        <f t="shared" si="102"/>
        <v>4.8538406352189017E-3</v>
      </c>
      <c r="AP145" s="37">
        <f t="shared" si="103"/>
        <v>3.0375000000000007E-3</v>
      </c>
      <c r="AQ145" s="40">
        <f t="shared" si="104"/>
        <v>8.9999999999999993E-3</v>
      </c>
      <c r="AR145" s="39">
        <f t="shared" si="110"/>
        <v>0.3711533845919277</v>
      </c>
      <c r="AS145" s="37">
        <f t="shared" si="111"/>
        <v>6.4915199999999995</v>
      </c>
      <c r="AT145" s="40">
        <f t="shared" si="112"/>
        <v>94.591708452492568</v>
      </c>
    </row>
    <row r="146" spans="17:46" x14ac:dyDescent="0.3">
      <c r="Q146">
        <v>139</v>
      </c>
      <c r="R146" s="39">
        <f t="shared" si="88"/>
        <v>210</v>
      </c>
      <c r="S146" s="37">
        <f t="shared" si="89"/>
        <v>3.1136E-2</v>
      </c>
      <c r="T146" s="37">
        <f t="shared" si="90"/>
        <v>20</v>
      </c>
      <c r="U146" s="40">
        <f t="shared" si="91"/>
        <v>0.36325333333333337</v>
      </c>
      <c r="V146" s="39">
        <f t="shared" si="92"/>
        <v>2</v>
      </c>
      <c r="W146" s="37">
        <f t="shared" si="93"/>
        <v>0.90476190476190477</v>
      </c>
      <c r="X146" s="40">
        <f t="shared" si="94"/>
        <v>9.5238095238095233E-2</v>
      </c>
      <c r="Y146" s="39">
        <f t="shared" si="95"/>
        <v>0.22067363530778164</v>
      </c>
      <c r="Z146" s="37">
        <f t="shared" si="114"/>
        <v>0.47359015098722418</v>
      </c>
      <c r="AA146" s="37">
        <f t="shared" si="115"/>
        <v>0.36879676691610758</v>
      </c>
      <c r="AB146" s="37">
        <v>0</v>
      </c>
      <c r="AC146" s="37">
        <f t="shared" si="96"/>
        <v>0.10010413669180149</v>
      </c>
      <c r="AD146" s="40">
        <f t="shared" si="105"/>
        <v>0.10010413669180149</v>
      </c>
      <c r="AE146" s="39">
        <f t="shared" si="113"/>
        <v>0.32865777777777783</v>
      </c>
      <c r="AF146" s="37">
        <f t="shared" si="106"/>
        <v>0.35079569759454426</v>
      </c>
      <c r="AG146" s="37">
        <f t="shared" si="97"/>
        <v>6.0298234510913057E-4</v>
      </c>
      <c r="AH146" s="37">
        <f t="shared" si="98"/>
        <v>1.5709636846455807E-2</v>
      </c>
      <c r="AI146" s="40">
        <f t="shared" si="107"/>
        <v>1.6312619191564938E-2</v>
      </c>
      <c r="AJ146" s="39">
        <f t="shared" si="108"/>
        <v>3.459555555555556E-2</v>
      </c>
      <c r="AK146" s="37">
        <f t="shared" si="99"/>
        <v>0.11381315318068838</v>
      </c>
      <c r="AL146" s="37">
        <f t="shared" si="100"/>
        <v>2.8645120000000003E-2</v>
      </c>
      <c r="AM146" s="37">
        <f t="shared" si="101"/>
        <v>0.21092</v>
      </c>
      <c r="AN146" s="40">
        <f t="shared" si="109"/>
        <v>0.23956511999999999</v>
      </c>
      <c r="AO146" s="39">
        <f t="shared" si="102"/>
        <v>4.9223048580337185E-3</v>
      </c>
      <c r="AP146" s="37">
        <f t="shared" si="103"/>
        <v>3.0375000000000007E-3</v>
      </c>
      <c r="AQ146" s="40">
        <f t="shared" si="104"/>
        <v>8.9999999999999993E-3</v>
      </c>
      <c r="AR146" s="39">
        <f t="shared" si="110"/>
        <v>0.37294168074140022</v>
      </c>
      <c r="AS146" s="37">
        <f t="shared" si="111"/>
        <v>6.5385600000000004</v>
      </c>
      <c r="AT146" s="40">
        <f t="shared" si="112"/>
        <v>94.604042681772242</v>
      </c>
    </row>
    <row r="147" spans="17:46" x14ac:dyDescent="0.3">
      <c r="Q147">
        <v>140</v>
      </c>
      <c r="R147" s="39">
        <f t="shared" si="88"/>
        <v>210</v>
      </c>
      <c r="S147" s="37">
        <f t="shared" si="89"/>
        <v>3.1359999999999999E-2</v>
      </c>
      <c r="T147" s="37">
        <f t="shared" si="90"/>
        <v>20</v>
      </c>
      <c r="U147" s="40">
        <f t="shared" si="91"/>
        <v>0.36586666666666662</v>
      </c>
      <c r="V147" s="39">
        <f t="shared" si="92"/>
        <v>2</v>
      </c>
      <c r="W147" s="37">
        <f t="shared" si="93"/>
        <v>0.90476190476190477</v>
      </c>
      <c r="X147" s="40">
        <f t="shared" si="94"/>
        <v>9.5238095238095233E-2</v>
      </c>
      <c r="Y147" s="39">
        <f t="shared" si="95"/>
        <v>0.22067363530778164</v>
      </c>
      <c r="Z147" s="37">
        <f t="shared" si="114"/>
        <v>0.47620348432055742</v>
      </c>
      <c r="AA147" s="37">
        <f t="shared" si="115"/>
        <v>0.37137109323124989</v>
      </c>
      <c r="AB147" s="37">
        <v>0</v>
      </c>
      <c r="AC147" s="37">
        <f t="shared" si="96"/>
        <v>0.10150653582140144</v>
      </c>
      <c r="AD147" s="40">
        <f t="shared" si="105"/>
        <v>0.10150653582140144</v>
      </c>
      <c r="AE147" s="39">
        <f t="shared" si="113"/>
        <v>0.33102222222222216</v>
      </c>
      <c r="AF147" s="37">
        <f t="shared" si="106"/>
        <v>0.35324437035029482</v>
      </c>
      <c r="AG147" s="37">
        <f t="shared" si="97"/>
        <v>6.1142976740246365E-4</v>
      </c>
      <c r="AH147" s="37">
        <f t="shared" si="98"/>
        <v>1.5822655816574192E-2</v>
      </c>
      <c r="AI147" s="40">
        <f t="shared" si="107"/>
        <v>1.6434085583976656E-2</v>
      </c>
      <c r="AJ147" s="39">
        <f t="shared" si="108"/>
        <v>3.4844444444444435E-2</v>
      </c>
      <c r="AK147" s="37">
        <f t="shared" si="99"/>
        <v>0.11460760752933245</v>
      </c>
      <c r="AL147" s="37">
        <f t="shared" si="100"/>
        <v>2.88512E-2</v>
      </c>
      <c r="AM147" s="37">
        <f t="shared" si="101"/>
        <v>0.21092</v>
      </c>
      <c r="AN147" s="40">
        <f t="shared" si="109"/>
        <v>0.23977119999999999</v>
      </c>
      <c r="AO147" s="39">
        <f t="shared" si="102"/>
        <v>4.9912634073670499E-3</v>
      </c>
      <c r="AP147" s="37">
        <f t="shared" si="103"/>
        <v>3.0375000000000007E-3</v>
      </c>
      <c r="AQ147" s="40">
        <f t="shared" si="104"/>
        <v>8.9999999999999993E-3</v>
      </c>
      <c r="AR147" s="39">
        <f t="shared" si="110"/>
        <v>0.37474058481274519</v>
      </c>
      <c r="AS147" s="37">
        <f t="shared" si="111"/>
        <v>6.5855999999999995</v>
      </c>
      <c r="AT147" s="40">
        <f t="shared" si="112"/>
        <v>94.616059656183822</v>
      </c>
    </row>
    <row r="148" spans="17:46" x14ac:dyDescent="0.3">
      <c r="Q148">
        <v>141</v>
      </c>
      <c r="R148" s="39">
        <f t="shared" si="88"/>
        <v>210</v>
      </c>
      <c r="S148" s="37">
        <f t="shared" si="89"/>
        <v>3.1584000000000001E-2</v>
      </c>
      <c r="T148" s="37">
        <f t="shared" si="90"/>
        <v>20</v>
      </c>
      <c r="U148" s="40">
        <f t="shared" si="91"/>
        <v>0.36848000000000003</v>
      </c>
      <c r="V148" s="39">
        <f t="shared" si="92"/>
        <v>2</v>
      </c>
      <c r="W148" s="37">
        <f t="shared" si="93"/>
        <v>0.90476190476190477</v>
      </c>
      <c r="X148" s="40">
        <f t="shared" si="94"/>
        <v>9.5238095238095233E-2</v>
      </c>
      <c r="Y148" s="39">
        <f t="shared" si="95"/>
        <v>0.22067363530778164</v>
      </c>
      <c r="Z148" s="37">
        <f t="shared" si="114"/>
        <v>0.47881681765389084</v>
      </c>
      <c r="AA148" s="37">
        <f t="shared" si="115"/>
        <v>0.37394596068148134</v>
      </c>
      <c r="AB148" s="37">
        <v>0</v>
      </c>
      <c r="AC148" s="37">
        <f t="shared" si="96"/>
        <v>0.10291898799135704</v>
      </c>
      <c r="AD148" s="40">
        <f t="shared" si="105"/>
        <v>0.10291898799135704</v>
      </c>
      <c r="AE148" s="39">
        <f t="shared" si="113"/>
        <v>0.33338666666666672</v>
      </c>
      <c r="AF148" s="37">
        <f t="shared" si="106"/>
        <v>0.35569355782818524</v>
      </c>
      <c r="AG148" s="37">
        <f t="shared" si="97"/>
        <v>6.1993774469431564E-4</v>
      </c>
      <c r="AH148" s="37">
        <f t="shared" si="98"/>
        <v>1.5935674786692583E-2</v>
      </c>
      <c r="AI148" s="40">
        <f t="shared" si="107"/>
        <v>1.6555612531386897E-2</v>
      </c>
      <c r="AJ148" s="39">
        <f t="shared" si="108"/>
        <v>3.5093333333333337E-2</v>
      </c>
      <c r="AK148" s="37">
        <f t="shared" si="99"/>
        <v>0.11540222887589055</v>
      </c>
      <c r="AL148" s="37">
        <f t="shared" si="100"/>
        <v>2.9057280000000001E-2</v>
      </c>
      <c r="AM148" s="37">
        <f t="shared" si="101"/>
        <v>0.21092</v>
      </c>
      <c r="AN148" s="40">
        <f t="shared" si="109"/>
        <v>0.23997727999999999</v>
      </c>
      <c r="AO148" s="39">
        <f t="shared" si="102"/>
        <v>5.0607162832189021E-3</v>
      </c>
      <c r="AP148" s="37">
        <f t="shared" si="103"/>
        <v>3.0375000000000007E-3</v>
      </c>
      <c r="AQ148" s="40">
        <f t="shared" si="104"/>
        <v>8.9999999999999993E-3</v>
      </c>
      <c r="AR148" s="39">
        <f t="shared" si="110"/>
        <v>0.37655009680596285</v>
      </c>
      <c r="AS148" s="37">
        <f t="shared" si="111"/>
        <v>6.6326400000000003</v>
      </c>
      <c r="AT148" s="40">
        <f t="shared" si="112"/>
        <v>94.627765952908689</v>
      </c>
    </row>
    <row r="149" spans="17:46" x14ac:dyDescent="0.3">
      <c r="Q149">
        <v>142</v>
      </c>
      <c r="R149" s="39">
        <f t="shared" si="88"/>
        <v>210</v>
      </c>
      <c r="S149" s="37">
        <f t="shared" si="89"/>
        <v>3.1808000000000003E-2</v>
      </c>
      <c r="T149" s="37">
        <f t="shared" si="90"/>
        <v>20</v>
      </c>
      <c r="U149" s="40">
        <f t="shared" si="91"/>
        <v>0.37109333333333333</v>
      </c>
      <c r="V149" s="39">
        <f t="shared" si="92"/>
        <v>2</v>
      </c>
      <c r="W149" s="37">
        <f t="shared" si="93"/>
        <v>0.90476190476190477</v>
      </c>
      <c r="X149" s="40">
        <f t="shared" si="94"/>
        <v>9.5238095238095233E-2</v>
      </c>
      <c r="Y149" s="39">
        <f t="shared" si="95"/>
        <v>0.22067363530778164</v>
      </c>
      <c r="Z149" s="37">
        <f t="shared" si="114"/>
        <v>0.48143015098722414</v>
      </c>
      <c r="AA149" s="37">
        <f t="shared" si="115"/>
        <v>0.37652135816503218</v>
      </c>
      <c r="AB149" s="37">
        <v>0</v>
      </c>
      <c r="AC149" s="37">
        <f t="shared" si="96"/>
        <v>0.10434149320166818</v>
      </c>
      <c r="AD149" s="40">
        <f t="shared" si="105"/>
        <v>0.10434149320166818</v>
      </c>
      <c r="AE149" s="39">
        <f t="shared" si="113"/>
        <v>0.33575111111111111</v>
      </c>
      <c r="AF149" s="37">
        <f t="shared" si="106"/>
        <v>0.35814324946832626</v>
      </c>
      <c r="AG149" s="37">
        <f t="shared" si="97"/>
        <v>6.2850627698468576E-4</v>
      </c>
      <c r="AH149" s="37">
        <f t="shared" si="98"/>
        <v>1.6048693756810964E-2</v>
      </c>
      <c r="AI149" s="40">
        <f t="shared" si="107"/>
        <v>1.667720003379565E-2</v>
      </c>
      <c r="AJ149" s="39">
        <f t="shared" si="108"/>
        <v>3.5342222222222219E-2</v>
      </c>
      <c r="AK149" s="37">
        <f t="shared" si="99"/>
        <v>0.11619701379428221</v>
      </c>
      <c r="AL149" s="37">
        <f t="shared" si="100"/>
        <v>2.9263360000000006E-2</v>
      </c>
      <c r="AM149" s="37">
        <f t="shared" si="101"/>
        <v>0.21092</v>
      </c>
      <c r="AN149" s="40">
        <f t="shared" si="109"/>
        <v>0.24018336000000001</v>
      </c>
      <c r="AO149" s="39">
        <f t="shared" si="102"/>
        <v>5.1306634855892708E-3</v>
      </c>
      <c r="AP149" s="37">
        <f t="shared" si="103"/>
        <v>3.0375000000000007E-3</v>
      </c>
      <c r="AQ149" s="40">
        <f t="shared" si="104"/>
        <v>8.9999999999999993E-3</v>
      </c>
      <c r="AR149" s="39">
        <f t="shared" si="110"/>
        <v>0.37837021672105314</v>
      </c>
      <c r="AS149" s="37">
        <f t="shared" si="111"/>
        <v>6.6796800000000003</v>
      </c>
      <c r="AT149" s="40">
        <f t="shared" si="112"/>
        <v>94.639167969864175</v>
      </c>
    </row>
    <row r="150" spans="17:46" x14ac:dyDescent="0.3">
      <c r="Q150">
        <v>143</v>
      </c>
      <c r="R150" s="39">
        <f t="shared" si="88"/>
        <v>210</v>
      </c>
      <c r="S150" s="37">
        <f t="shared" si="89"/>
        <v>3.2031999999999998E-2</v>
      </c>
      <c r="T150" s="37">
        <f t="shared" si="90"/>
        <v>20</v>
      </c>
      <c r="U150" s="40">
        <f t="shared" si="91"/>
        <v>0.37370666666666663</v>
      </c>
      <c r="V150" s="39">
        <f t="shared" si="92"/>
        <v>2</v>
      </c>
      <c r="W150" s="37">
        <f t="shared" si="93"/>
        <v>0.90476190476190477</v>
      </c>
      <c r="X150" s="40">
        <f t="shared" si="94"/>
        <v>9.5238095238095233E-2</v>
      </c>
      <c r="Y150" s="39">
        <f t="shared" si="95"/>
        <v>0.22067363530778164</v>
      </c>
      <c r="Z150" s="37">
        <f t="shared" si="114"/>
        <v>0.48404348432055744</v>
      </c>
      <c r="AA150" s="37">
        <f t="shared" si="115"/>
        <v>0.37909727487955791</v>
      </c>
      <c r="AB150" s="37">
        <v>0</v>
      </c>
      <c r="AC150" s="37">
        <f t="shared" si="96"/>
        <v>0.1057740514523348</v>
      </c>
      <c r="AD150" s="40">
        <f t="shared" si="105"/>
        <v>0.1057740514523348</v>
      </c>
      <c r="AE150" s="39">
        <f t="shared" si="113"/>
        <v>0.3381155555555555</v>
      </c>
      <c r="AF150" s="37">
        <f t="shared" si="106"/>
        <v>0.36059343499563884</v>
      </c>
      <c r="AG150" s="37">
        <f t="shared" si="97"/>
        <v>6.3713536427357467E-4</v>
      </c>
      <c r="AH150" s="37">
        <f t="shared" si="98"/>
        <v>1.6161712726929352E-2</v>
      </c>
      <c r="AI150" s="40">
        <f t="shared" si="107"/>
        <v>1.6798848091202925E-2</v>
      </c>
      <c r="AJ150" s="39">
        <f t="shared" si="108"/>
        <v>3.5591111111111108E-2</v>
      </c>
      <c r="AK150" s="37">
        <f t="shared" si="99"/>
        <v>0.11699195895083155</v>
      </c>
      <c r="AL150" s="37">
        <f t="shared" si="100"/>
        <v>2.946944E-2</v>
      </c>
      <c r="AM150" s="37">
        <f t="shared" si="101"/>
        <v>0.21092</v>
      </c>
      <c r="AN150" s="40">
        <f t="shared" si="109"/>
        <v>0.24038944000000001</v>
      </c>
      <c r="AO150" s="39">
        <f t="shared" si="102"/>
        <v>5.2011050144781601E-3</v>
      </c>
      <c r="AP150" s="37">
        <f t="shared" si="103"/>
        <v>3.0375000000000007E-3</v>
      </c>
      <c r="AQ150" s="40">
        <f t="shared" si="104"/>
        <v>8.9999999999999993E-3</v>
      </c>
      <c r="AR150" s="39">
        <f t="shared" si="110"/>
        <v>0.38020094455801595</v>
      </c>
      <c r="AS150" s="37">
        <f t="shared" si="111"/>
        <v>6.7267199999999994</v>
      </c>
      <c r="AT150" s="40">
        <f t="shared" si="112"/>
        <v>94.650271931768884</v>
      </c>
    </row>
    <row r="151" spans="17:46" x14ac:dyDescent="0.3">
      <c r="Q151">
        <v>144</v>
      </c>
      <c r="R151" s="39">
        <f t="shared" si="88"/>
        <v>210</v>
      </c>
      <c r="S151" s="37">
        <f t="shared" si="89"/>
        <v>3.2256E-2</v>
      </c>
      <c r="T151" s="37">
        <f t="shared" si="90"/>
        <v>20</v>
      </c>
      <c r="U151" s="40">
        <f t="shared" si="91"/>
        <v>0.37631999999999999</v>
      </c>
      <c r="V151" s="39">
        <f t="shared" si="92"/>
        <v>2</v>
      </c>
      <c r="W151" s="37">
        <f t="shared" si="93"/>
        <v>0.90476190476190477</v>
      </c>
      <c r="X151" s="40">
        <f t="shared" si="94"/>
        <v>9.5238095238095233E-2</v>
      </c>
      <c r="Y151" s="39">
        <f t="shared" si="95"/>
        <v>0.22067363530778164</v>
      </c>
      <c r="Z151" s="37">
        <f t="shared" si="114"/>
        <v>0.48665681765389079</v>
      </c>
      <c r="AA151" s="37">
        <f t="shared" si="115"/>
        <v>0.3816737003121855</v>
      </c>
      <c r="AB151" s="37">
        <v>0</v>
      </c>
      <c r="AC151" s="37">
        <f t="shared" si="96"/>
        <v>0.10721666274335706</v>
      </c>
      <c r="AD151" s="40">
        <f t="shared" si="105"/>
        <v>0.10721666274335706</v>
      </c>
      <c r="AE151" s="39">
        <f t="shared" si="113"/>
        <v>0.34048</v>
      </c>
      <c r="AF151" s="37">
        <f t="shared" si="106"/>
        <v>0.36304410441038598</v>
      </c>
      <c r="AG151" s="37">
        <f t="shared" si="97"/>
        <v>6.4582500656098227E-4</v>
      </c>
      <c r="AH151" s="37">
        <f t="shared" si="98"/>
        <v>1.627473169704774E-2</v>
      </c>
      <c r="AI151" s="40">
        <f t="shared" si="107"/>
        <v>1.6920556703608723E-2</v>
      </c>
      <c r="AJ151" s="39">
        <f t="shared" si="108"/>
        <v>3.5839999999999997E-2</v>
      </c>
      <c r="AK151" s="37">
        <f t="shared" si="99"/>
        <v>0.11778706110119548</v>
      </c>
      <c r="AL151" s="37">
        <f t="shared" si="100"/>
        <v>2.967552E-2</v>
      </c>
      <c r="AM151" s="37">
        <f t="shared" si="101"/>
        <v>0.21092</v>
      </c>
      <c r="AN151" s="40">
        <f t="shared" si="109"/>
        <v>0.24059552000000001</v>
      </c>
      <c r="AO151" s="39">
        <f t="shared" si="102"/>
        <v>5.2720408698855694E-3</v>
      </c>
      <c r="AP151" s="37">
        <f t="shared" si="103"/>
        <v>3.0375000000000007E-3</v>
      </c>
      <c r="AQ151" s="40">
        <f t="shared" si="104"/>
        <v>8.9999999999999993E-3</v>
      </c>
      <c r="AR151" s="39">
        <f t="shared" si="110"/>
        <v>0.38204228031685139</v>
      </c>
      <c r="AS151" s="37">
        <f t="shared" si="111"/>
        <v>6.7737600000000002</v>
      </c>
      <c r="AT151" s="40">
        <f t="shared" si="112"/>
        <v>94.661083895963444</v>
      </c>
    </row>
    <row r="152" spans="17:46" x14ac:dyDescent="0.3">
      <c r="Q152">
        <v>145</v>
      </c>
      <c r="R152" s="39">
        <f t="shared" si="88"/>
        <v>210</v>
      </c>
      <c r="S152" s="37">
        <f t="shared" si="89"/>
        <v>3.2480000000000002E-2</v>
      </c>
      <c r="T152" s="37">
        <f t="shared" si="90"/>
        <v>20</v>
      </c>
      <c r="U152" s="40">
        <f t="shared" si="91"/>
        <v>0.37893333333333334</v>
      </c>
      <c r="V152" s="39">
        <f t="shared" si="92"/>
        <v>2</v>
      </c>
      <c r="W152" s="37">
        <f t="shared" si="93"/>
        <v>0.90476190476190477</v>
      </c>
      <c r="X152" s="40">
        <f t="shared" si="94"/>
        <v>9.5238095238095233E-2</v>
      </c>
      <c r="Y152" s="39">
        <f t="shared" si="95"/>
        <v>0.22067363530778164</v>
      </c>
      <c r="Z152" s="37">
        <f t="shared" si="114"/>
        <v>0.48927015098722415</v>
      </c>
      <c r="AA152" s="37">
        <f t="shared" si="115"/>
        <v>0.3842506242299511</v>
      </c>
      <c r="AB152" s="37">
        <v>0</v>
      </c>
      <c r="AC152" s="37">
        <f t="shared" si="96"/>
        <v>0.1086693270747348</v>
      </c>
      <c r="AD152" s="40">
        <f t="shared" si="105"/>
        <v>0.1086693270747348</v>
      </c>
      <c r="AE152" s="39">
        <f t="shared" si="113"/>
        <v>0.34284444444444445</v>
      </c>
      <c r="AF152" s="37">
        <f t="shared" si="106"/>
        <v>0.36549524797907745</v>
      </c>
      <c r="AG152" s="37">
        <f t="shared" si="97"/>
        <v>6.545752038469079E-4</v>
      </c>
      <c r="AH152" s="37">
        <f t="shared" si="98"/>
        <v>1.6387750667166131E-2</v>
      </c>
      <c r="AI152" s="40">
        <f t="shared" si="107"/>
        <v>1.704232587101304E-2</v>
      </c>
      <c r="AJ152" s="39">
        <f t="shared" si="108"/>
        <v>3.6088888888888886E-2</v>
      </c>
      <c r="AK152" s="37">
        <f t="shared" si="99"/>
        <v>0.11858231708741282</v>
      </c>
      <c r="AL152" s="37">
        <f t="shared" si="100"/>
        <v>2.9881600000000005E-2</v>
      </c>
      <c r="AM152" s="37">
        <f t="shared" si="101"/>
        <v>0.21092</v>
      </c>
      <c r="AN152" s="40">
        <f t="shared" si="109"/>
        <v>0.2408016</v>
      </c>
      <c r="AO152" s="39">
        <f t="shared" si="102"/>
        <v>5.3434710518114924E-3</v>
      </c>
      <c r="AP152" s="37">
        <f t="shared" si="103"/>
        <v>3.0375000000000007E-3</v>
      </c>
      <c r="AQ152" s="40">
        <f t="shared" si="104"/>
        <v>8.9999999999999993E-3</v>
      </c>
      <c r="AR152" s="39">
        <f t="shared" si="110"/>
        <v>0.3838942239975594</v>
      </c>
      <c r="AS152" s="37">
        <f t="shared" si="111"/>
        <v>6.8208000000000002</v>
      </c>
      <c r="AT152" s="40">
        <f t="shared" si="112"/>
        <v>94.671609757998112</v>
      </c>
    </row>
    <row r="153" spans="17:46" x14ac:dyDescent="0.3">
      <c r="Q153">
        <v>146</v>
      </c>
      <c r="R153" s="39">
        <f t="shared" si="88"/>
        <v>210</v>
      </c>
      <c r="S153" s="37">
        <f t="shared" si="89"/>
        <v>3.2703999999999997E-2</v>
      </c>
      <c r="T153" s="37">
        <f t="shared" si="90"/>
        <v>20</v>
      </c>
      <c r="U153" s="40">
        <f t="shared" si="91"/>
        <v>0.38154666666666665</v>
      </c>
      <c r="V153" s="39">
        <f t="shared" si="92"/>
        <v>2</v>
      </c>
      <c r="W153" s="37">
        <f t="shared" si="93"/>
        <v>0.90476190476190477</v>
      </c>
      <c r="X153" s="40">
        <f t="shared" si="94"/>
        <v>9.5238095238095233E-2</v>
      </c>
      <c r="Y153" s="39">
        <f t="shared" si="95"/>
        <v>0.22067363530778164</v>
      </c>
      <c r="Z153" s="37">
        <f t="shared" si="114"/>
        <v>0.49188348432055745</v>
      </c>
      <c r="AA153" s="37">
        <f t="shared" si="115"/>
        <v>0.38682803667061211</v>
      </c>
      <c r="AB153" s="37">
        <v>0</v>
      </c>
      <c r="AC153" s="37">
        <f t="shared" si="96"/>
        <v>0.11013204444646814</v>
      </c>
      <c r="AD153" s="40">
        <f t="shared" si="105"/>
        <v>0.11013204444646814</v>
      </c>
      <c r="AE153" s="39">
        <f t="shared" si="113"/>
        <v>0.3452088888888889</v>
      </c>
      <c r="AF153" s="37">
        <f t="shared" si="106"/>
        <v>0.36794685622573059</v>
      </c>
      <c r="AG153" s="37">
        <f t="shared" si="97"/>
        <v>6.6338595613135243E-4</v>
      </c>
      <c r="AH153" s="37">
        <f t="shared" si="98"/>
        <v>1.6500769637284512E-2</v>
      </c>
      <c r="AI153" s="40">
        <f t="shared" si="107"/>
        <v>1.7164155593415865E-2</v>
      </c>
      <c r="AJ153" s="39">
        <f t="shared" si="108"/>
        <v>3.6337777777777774E-2</v>
      </c>
      <c r="AK153" s="37">
        <f t="shared" si="99"/>
        <v>0.11937772383506876</v>
      </c>
      <c r="AL153" s="37">
        <f t="shared" si="100"/>
        <v>3.0087679999999999E-2</v>
      </c>
      <c r="AM153" s="37">
        <f t="shared" si="101"/>
        <v>0.21092</v>
      </c>
      <c r="AN153" s="40">
        <f t="shared" si="109"/>
        <v>0.24100768</v>
      </c>
      <c r="AO153" s="39">
        <f t="shared" si="102"/>
        <v>5.4153955602559379E-3</v>
      </c>
      <c r="AP153" s="37">
        <f t="shared" si="103"/>
        <v>3.0375000000000007E-3</v>
      </c>
      <c r="AQ153" s="40">
        <f t="shared" si="104"/>
        <v>8.9999999999999993E-3</v>
      </c>
      <c r="AR153" s="39">
        <f t="shared" si="110"/>
        <v>0.38575677560013999</v>
      </c>
      <c r="AS153" s="37">
        <f t="shared" si="111"/>
        <v>6.8678399999999993</v>
      </c>
      <c r="AT153" s="40">
        <f t="shared" si="112"/>
        <v>94.68185525699802</v>
      </c>
    </row>
    <row r="154" spans="17:46" x14ac:dyDescent="0.3">
      <c r="Q154">
        <v>147</v>
      </c>
      <c r="R154" s="39">
        <f t="shared" si="88"/>
        <v>210</v>
      </c>
      <c r="S154" s="37">
        <f t="shared" si="89"/>
        <v>3.2927999999999999E-2</v>
      </c>
      <c r="T154" s="37">
        <f t="shared" si="90"/>
        <v>20</v>
      </c>
      <c r="U154" s="40">
        <f t="shared" si="91"/>
        <v>0.38416</v>
      </c>
      <c r="V154" s="39">
        <f t="shared" si="92"/>
        <v>2</v>
      </c>
      <c r="W154" s="37">
        <f t="shared" si="93"/>
        <v>0.90476190476190477</v>
      </c>
      <c r="X154" s="40">
        <f t="shared" si="94"/>
        <v>9.5238095238095233E-2</v>
      </c>
      <c r="Y154" s="39">
        <f t="shared" si="95"/>
        <v>0.22067363530778164</v>
      </c>
      <c r="Z154" s="37">
        <f t="shared" si="114"/>
        <v>0.49449681765389081</v>
      </c>
      <c r="AA154" s="37">
        <f t="shared" si="115"/>
        <v>0.38940592793381562</v>
      </c>
      <c r="AB154" s="37">
        <v>0</v>
      </c>
      <c r="AC154" s="37">
        <f t="shared" si="96"/>
        <v>0.11160481485855707</v>
      </c>
      <c r="AD154" s="40">
        <f t="shared" si="105"/>
        <v>0.11160481485855707</v>
      </c>
      <c r="AE154" s="39">
        <f t="shared" si="113"/>
        <v>0.34757333333333335</v>
      </c>
      <c r="AF154" s="37">
        <f t="shared" si="106"/>
        <v>0.37039891992346924</v>
      </c>
      <c r="AG154" s="37">
        <f t="shared" si="97"/>
        <v>6.7225726341431575E-4</v>
      </c>
      <c r="AH154" s="37">
        <f t="shared" si="98"/>
        <v>1.66137886074029E-2</v>
      </c>
      <c r="AI154" s="40">
        <f t="shared" si="107"/>
        <v>1.7286045870817217E-2</v>
      </c>
      <c r="AJ154" s="39">
        <f t="shared" si="108"/>
        <v>3.6586666666666663E-2</v>
      </c>
      <c r="AK154" s="37">
        <f t="shared" si="99"/>
        <v>0.12017327835056937</v>
      </c>
      <c r="AL154" s="37">
        <f t="shared" si="100"/>
        <v>3.0293759999999999E-2</v>
      </c>
      <c r="AM154" s="37">
        <f t="shared" si="101"/>
        <v>0.21092</v>
      </c>
      <c r="AN154" s="40">
        <f t="shared" si="109"/>
        <v>0.24121376</v>
      </c>
      <c r="AO154" s="39">
        <f t="shared" si="102"/>
        <v>5.4878143952189033E-3</v>
      </c>
      <c r="AP154" s="37">
        <f t="shared" si="103"/>
        <v>3.0375000000000007E-3</v>
      </c>
      <c r="AQ154" s="40">
        <f t="shared" si="104"/>
        <v>8.9999999999999993E-3</v>
      </c>
      <c r="AR154" s="39">
        <f t="shared" si="110"/>
        <v>0.38762993512459321</v>
      </c>
      <c r="AS154" s="37">
        <f t="shared" si="111"/>
        <v>6.9148800000000001</v>
      </c>
      <c r="AT154" s="40">
        <f t="shared" si="112"/>
        <v>94.691825980816276</v>
      </c>
    </row>
    <row r="155" spans="17:46" x14ac:dyDescent="0.3">
      <c r="Q155">
        <v>148</v>
      </c>
      <c r="R155" s="39">
        <f t="shared" si="88"/>
        <v>210</v>
      </c>
      <c r="S155" s="37">
        <f t="shared" si="89"/>
        <v>3.3152000000000001E-2</v>
      </c>
      <c r="T155" s="37">
        <f t="shared" si="90"/>
        <v>20</v>
      </c>
      <c r="U155" s="40">
        <f t="shared" si="91"/>
        <v>0.38677333333333336</v>
      </c>
      <c r="V155" s="39">
        <f t="shared" si="92"/>
        <v>2</v>
      </c>
      <c r="W155" s="37">
        <f t="shared" si="93"/>
        <v>0.90476190476190477</v>
      </c>
      <c r="X155" s="40">
        <f t="shared" si="94"/>
        <v>9.5238095238095233E-2</v>
      </c>
      <c r="Y155" s="39">
        <f t="shared" si="95"/>
        <v>0.22067363530778164</v>
      </c>
      <c r="Z155" s="37">
        <f t="shared" si="114"/>
        <v>0.49711015098722416</v>
      </c>
      <c r="AA155" s="37">
        <f t="shared" si="115"/>
        <v>0.3919842885726082</v>
      </c>
      <c r="AB155" s="37">
        <v>0</v>
      </c>
      <c r="AC155" s="37">
        <f t="shared" si="96"/>
        <v>0.11308763831100149</v>
      </c>
      <c r="AD155" s="40">
        <f t="shared" si="105"/>
        <v>0.11308763831100149</v>
      </c>
      <c r="AE155" s="39">
        <f t="shared" si="113"/>
        <v>0.34993777777777779</v>
      </c>
      <c r="AF155" s="37">
        <f t="shared" si="106"/>
        <v>0.37285143008644828</v>
      </c>
      <c r="AG155" s="37">
        <f t="shared" si="97"/>
        <v>6.8118912569579732E-4</v>
      </c>
      <c r="AH155" s="37">
        <f t="shared" si="98"/>
        <v>1.6726807577521291E-2</v>
      </c>
      <c r="AI155" s="40">
        <f t="shared" si="107"/>
        <v>1.7407996703217087E-2</v>
      </c>
      <c r="AJ155" s="39">
        <f t="shared" si="108"/>
        <v>3.6835555555555559E-2</v>
      </c>
      <c r="AK155" s="37">
        <f t="shared" si="99"/>
        <v>0.12096897771852158</v>
      </c>
      <c r="AL155" s="37">
        <f t="shared" si="100"/>
        <v>3.0499840000000004E-2</v>
      </c>
      <c r="AM155" s="37">
        <f t="shared" si="101"/>
        <v>0.21092</v>
      </c>
      <c r="AN155" s="40">
        <f t="shared" si="109"/>
        <v>0.24141984</v>
      </c>
      <c r="AO155" s="39">
        <f t="shared" si="102"/>
        <v>5.560727556700386E-3</v>
      </c>
      <c r="AP155" s="37">
        <f t="shared" si="103"/>
        <v>3.0375000000000007E-3</v>
      </c>
      <c r="AQ155" s="40">
        <f t="shared" si="104"/>
        <v>8.9999999999999993E-3</v>
      </c>
      <c r="AR155" s="39">
        <f t="shared" si="110"/>
        <v>0.389513702570919</v>
      </c>
      <c r="AS155" s="37">
        <f t="shared" si="111"/>
        <v>6.9619200000000001</v>
      </c>
      <c r="AT155" s="40">
        <f t="shared" si="112"/>
        <v>94.701527370984806</v>
      </c>
    </row>
    <row r="156" spans="17:46" x14ac:dyDescent="0.3">
      <c r="Q156">
        <v>149</v>
      </c>
      <c r="R156" s="39">
        <f t="shared" si="88"/>
        <v>210</v>
      </c>
      <c r="S156" s="37">
        <f t="shared" si="89"/>
        <v>3.3376000000000003E-2</v>
      </c>
      <c r="T156" s="37">
        <f t="shared" si="90"/>
        <v>20</v>
      </c>
      <c r="U156" s="40">
        <f t="shared" si="91"/>
        <v>0.38938666666666671</v>
      </c>
      <c r="V156" s="39">
        <f t="shared" si="92"/>
        <v>2</v>
      </c>
      <c r="W156" s="37">
        <f t="shared" si="93"/>
        <v>0.90476190476190477</v>
      </c>
      <c r="X156" s="40">
        <f t="shared" si="94"/>
        <v>9.5238095238095233E-2</v>
      </c>
      <c r="Y156" s="39">
        <f t="shared" si="95"/>
        <v>0.22067363530778164</v>
      </c>
      <c r="Z156" s="37">
        <f t="shared" si="114"/>
        <v>0.49972348432055752</v>
      </c>
      <c r="AA156" s="37">
        <f t="shared" si="115"/>
        <v>0.39456310938527162</v>
      </c>
      <c r="AB156" s="37">
        <v>0</v>
      </c>
      <c r="AC156" s="37">
        <f t="shared" si="96"/>
        <v>0.11458051480380153</v>
      </c>
      <c r="AD156" s="40">
        <f t="shared" si="105"/>
        <v>0.11458051480380153</v>
      </c>
      <c r="AE156" s="39">
        <f t="shared" si="113"/>
        <v>0.35230222222222229</v>
      </c>
      <c r="AF156" s="37">
        <f t="shared" si="106"/>
        <v>0.37530437796208777</v>
      </c>
      <c r="AG156" s="37">
        <f t="shared" si="97"/>
        <v>6.9018154297579724E-4</v>
      </c>
      <c r="AH156" s="37">
        <f t="shared" si="98"/>
        <v>1.6839826547639679E-2</v>
      </c>
      <c r="AI156" s="40">
        <f t="shared" si="107"/>
        <v>1.7530008090615477E-2</v>
      </c>
      <c r="AJ156" s="39">
        <f t="shared" si="108"/>
        <v>3.7084444444444448E-2</v>
      </c>
      <c r="AK156" s="37">
        <f t="shared" si="99"/>
        <v>0.12176481909921343</v>
      </c>
      <c r="AL156" s="37">
        <f t="shared" si="100"/>
        <v>3.0705920000000005E-2</v>
      </c>
      <c r="AM156" s="37">
        <f t="shared" si="101"/>
        <v>0.21092</v>
      </c>
      <c r="AN156" s="40">
        <f t="shared" si="109"/>
        <v>0.24162591999999999</v>
      </c>
      <c r="AO156" s="39">
        <f t="shared" si="102"/>
        <v>5.6341350447003851E-3</v>
      </c>
      <c r="AP156" s="37">
        <f t="shared" si="103"/>
        <v>3.0375000000000007E-3</v>
      </c>
      <c r="AQ156" s="40">
        <f t="shared" si="104"/>
        <v>8.9999999999999993E-3</v>
      </c>
      <c r="AR156" s="39">
        <f t="shared" si="110"/>
        <v>0.39140807793911747</v>
      </c>
      <c r="AS156" s="37">
        <f t="shared" si="111"/>
        <v>7.008960000000001</v>
      </c>
      <c r="AT156" s="40">
        <f t="shared" si="112"/>
        <v>94.71096472747179</v>
      </c>
    </row>
    <row r="157" spans="17:46" ht="15" thickBot="1" x14ac:dyDescent="0.35">
      <c r="Q157">
        <v>150</v>
      </c>
      <c r="R157" s="41">
        <f t="shared" si="88"/>
        <v>210</v>
      </c>
      <c r="S157" s="42">
        <f t="shared" si="89"/>
        <v>3.3599999999999998E-2</v>
      </c>
      <c r="T157" s="42">
        <f t="shared" si="90"/>
        <v>20</v>
      </c>
      <c r="U157" s="43">
        <f t="shared" si="91"/>
        <v>0.39199999999999996</v>
      </c>
      <c r="V157" s="41">
        <f t="shared" si="92"/>
        <v>2</v>
      </c>
      <c r="W157" s="42">
        <f t="shared" si="93"/>
        <v>0.90476190476190477</v>
      </c>
      <c r="X157" s="43">
        <f t="shared" si="94"/>
        <v>9.5238095238095233E-2</v>
      </c>
      <c r="Y157" s="41">
        <f t="shared" si="95"/>
        <v>0.22067363530778164</v>
      </c>
      <c r="Z157" s="42">
        <f t="shared" si="114"/>
        <v>0.50233681765389082</v>
      </c>
      <c r="AA157" s="42">
        <f t="shared" si="115"/>
        <v>0.39714238140746949</v>
      </c>
      <c r="AB157" s="42">
        <v>0</v>
      </c>
      <c r="AC157" s="42">
        <f t="shared" si="96"/>
        <v>0.11608344433695704</v>
      </c>
      <c r="AD157" s="43">
        <f t="shared" si="105"/>
        <v>0.11608344433695704</v>
      </c>
      <c r="AE157" s="41">
        <f t="shared" si="113"/>
        <v>0.35466666666666663</v>
      </c>
      <c r="AF157" s="37">
        <f t="shared" si="106"/>
        <v>0.37775775502360315</v>
      </c>
      <c r="AG157" s="42">
        <f t="shared" si="97"/>
        <v>6.9923451525431563E-4</v>
      </c>
      <c r="AH157" s="42">
        <f t="shared" si="98"/>
        <v>1.695284551775806E-2</v>
      </c>
      <c r="AI157" s="43">
        <f t="shared" si="107"/>
        <v>1.7652080033012375E-2</v>
      </c>
      <c r="AJ157" s="41">
        <f>X157*U157</f>
        <v>3.7333333333333329E-2</v>
      </c>
      <c r="AK157" s="42">
        <f t="shared" si="99"/>
        <v>0.1225607997261907</v>
      </c>
      <c r="AL157" s="42">
        <f t="shared" si="100"/>
        <v>3.0911999999999999E-2</v>
      </c>
      <c r="AM157" s="42">
        <f t="shared" si="101"/>
        <v>0.21092</v>
      </c>
      <c r="AN157" s="43">
        <f t="shared" si="109"/>
        <v>0.24183199999999999</v>
      </c>
      <c r="AO157" s="41">
        <f t="shared" si="102"/>
        <v>5.7080368592189023E-3</v>
      </c>
      <c r="AP157" s="42">
        <f t="shared" si="103"/>
        <v>3.0375000000000007E-3</v>
      </c>
      <c r="AQ157" s="43">
        <f t="shared" si="104"/>
        <v>8.9999999999999993E-3</v>
      </c>
      <c r="AR157" s="41">
        <f t="shared" si="110"/>
        <v>0.39331306122918835</v>
      </c>
      <c r="AS157" s="42">
        <f t="shared" si="111"/>
        <v>7.0559999999999992</v>
      </c>
      <c r="AT157" s="43">
        <f>(AS157/(AS157+AR157))*100</f>
        <v>94.720143213255042</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defaultColWidth="9.109375" defaultRowHeight="14.4" x14ac:dyDescent="0.3"/>
  <cols>
    <col min="1" max="1" width="13.109375" style="98" customWidth="1"/>
    <col min="2" max="2" width="25" style="98" customWidth="1"/>
    <col min="3" max="7" width="9.109375" style="98"/>
    <col min="8" max="10" width="8.88671875" style="98"/>
    <col min="11" max="11" width="12" style="98" bestFit="1" customWidth="1"/>
    <col min="12" max="14" width="9.109375" style="98"/>
    <col min="15" max="15" width="16.6640625" style="199" bestFit="1" customWidth="1"/>
    <col min="16" max="16" width="16.6640625" style="98" customWidth="1"/>
    <col min="17" max="25" width="9.109375" style="98"/>
    <col min="26" max="26" width="8.44140625" style="98" customWidth="1"/>
    <col min="27" max="28" width="9.109375" style="98"/>
    <col min="29" max="29" width="8.88671875" style="98"/>
    <col min="30" max="32" width="9.109375" style="98"/>
    <col min="33" max="33" width="10.109375" style="98" customWidth="1"/>
    <col min="34" max="34" width="12" style="98" bestFit="1" customWidth="1"/>
    <col min="35" max="41" width="9.109375" style="98"/>
    <col min="42" max="42" width="8.88671875" style="98"/>
    <col min="43" max="44" width="9.109375" style="98"/>
    <col min="45" max="45" width="8.88671875" style="98" customWidth="1"/>
    <col min="46" max="47" width="9.109375" style="98"/>
    <col min="48" max="48" width="11.88671875" style="98" bestFit="1" customWidth="1"/>
    <col min="49" max="16384" width="9.109375" style="98"/>
  </cols>
  <sheetData>
    <row r="1" spans="1:51" ht="28.2" x14ac:dyDescent="0.5">
      <c r="A1" s="237" t="s">
        <v>15</v>
      </c>
      <c r="B1" s="237"/>
      <c r="C1" s="237"/>
      <c r="D1" s="237"/>
      <c r="E1" s="237"/>
      <c r="F1" s="237"/>
      <c r="G1" s="237"/>
      <c r="H1" s="237"/>
      <c r="I1" s="237"/>
      <c r="J1" s="237"/>
      <c r="K1" s="237"/>
      <c r="L1" s="237"/>
      <c r="M1" s="237"/>
      <c r="N1" s="237" t="s">
        <v>229</v>
      </c>
      <c r="O1" s="237"/>
      <c r="P1" s="237"/>
      <c r="Q1" s="237"/>
      <c r="R1" s="237"/>
      <c r="S1" s="237"/>
      <c r="T1" s="237"/>
      <c r="U1" s="237"/>
      <c r="V1" s="237"/>
      <c r="W1" s="237"/>
      <c r="X1" s="237"/>
    </row>
    <row r="2" spans="1:51" x14ac:dyDescent="0.3">
      <c r="A2" s="158"/>
      <c r="B2" s="158" t="s">
        <v>16</v>
      </c>
      <c r="C2" s="159"/>
      <c r="D2" s="160"/>
      <c r="E2" s="158"/>
      <c r="F2" s="158"/>
      <c r="G2" s="158"/>
      <c r="H2" s="158"/>
      <c r="I2" s="158"/>
      <c r="J2" s="158"/>
      <c r="K2" s="158"/>
      <c r="L2" s="158"/>
      <c r="M2" s="158"/>
      <c r="O2" s="98"/>
    </row>
    <row r="3" spans="1:51" ht="15" thickBot="1" x14ac:dyDescent="0.35">
      <c r="A3" s="158"/>
      <c r="B3" s="158" t="s">
        <v>17</v>
      </c>
      <c r="C3" s="161"/>
      <c r="D3" s="160"/>
      <c r="E3" s="158"/>
      <c r="F3" s="162"/>
      <c r="G3" s="163"/>
      <c r="H3" s="163"/>
      <c r="I3" s="163"/>
      <c r="J3" s="163"/>
      <c r="K3" s="164"/>
      <c r="L3" s="158"/>
      <c r="M3" s="158"/>
      <c r="O3" s="98"/>
    </row>
    <row r="4" spans="1:51" ht="15" thickBot="1" x14ac:dyDescent="0.35">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3" t="s">
        <v>261</v>
      </c>
      <c r="AG4" s="241"/>
      <c r="AH4" s="241"/>
      <c r="AI4" s="241"/>
      <c r="AJ4" s="241"/>
      <c r="AK4" s="241"/>
      <c r="AL4" s="241"/>
      <c r="AM4" s="241"/>
      <c r="AN4" s="241"/>
      <c r="AO4" s="241"/>
      <c r="AP4" s="241"/>
      <c r="AQ4" s="241"/>
      <c r="AR4" s="242"/>
      <c r="AS4" s="243" t="s">
        <v>272</v>
      </c>
      <c r="AT4" s="241"/>
      <c r="AU4" s="242"/>
    </row>
    <row r="5" spans="1:51" x14ac:dyDescent="0.3">
      <c r="A5" s="158"/>
      <c r="D5" s="160"/>
      <c r="E5" s="158"/>
      <c r="F5" s="158"/>
      <c r="G5" s="158"/>
      <c r="H5" s="158"/>
      <c r="I5" s="158"/>
      <c r="J5" s="158"/>
      <c r="K5" s="158"/>
      <c r="L5" s="158"/>
      <c r="M5" s="158"/>
      <c r="N5" s="168"/>
      <c r="O5" s="169"/>
      <c r="Q5" s="239" t="s">
        <v>252</v>
      </c>
      <c r="R5" s="239"/>
      <c r="S5" s="239"/>
      <c r="T5" s="240" t="s">
        <v>254</v>
      </c>
      <c r="U5" s="240"/>
      <c r="V5" s="240"/>
      <c r="W5" s="240" t="s">
        <v>253</v>
      </c>
      <c r="X5" s="240"/>
      <c r="Y5" s="240"/>
      <c r="Z5" s="240" t="s">
        <v>257</v>
      </c>
      <c r="AA5" s="240"/>
      <c r="AB5" s="240"/>
      <c r="AC5" s="244" t="s">
        <v>259</v>
      </c>
      <c r="AD5" s="240"/>
      <c r="AE5" s="245"/>
      <c r="AG5" s="240" t="s">
        <v>268</v>
      </c>
      <c r="AH5" s="240"/>
      <c r="AI5" s="240"/>
      <c r="AJ5" s="240" t="s">
        <v>269</v>
      </c>
      <c r="AK5" s="240"/>
      <c r="AL5" s="240"/>
      <c r="AM5" s="240" t="s">
        <v>263</v>
      </c>
      <c r="AN5" s="240"/>
      <c r="AO5" s="240"/>
      <c r="AP5" s="244" t="s">
        <v>259</v>
      </c>
      <c r="AQ5" s="240"/>
      <c r="AR5" s="245"/>
      <c r="AS5" s="244" t="s">
        <v>259</v>
      </c>
      <c r="AT5" s="240"/>
      <c r="AU5" s="245"/>
      <c r="AV5" s="223"/>
    </row>
    <row r="6" spans="1:51" ht="15" thickBot="1" x14ac:dyDescent="0.35">
      <c r="A6" s="170" t="s">
        <v>19</v>
      </c>
      <c r="B6" s="170" t="s">
        <v>20</v>
      </c>
      <c r="C6" s="170" t="s">
        <v>21</v>
      </c>
      <c r="D6" s="160"/>
      <c r="E6" s="238" t="s">
        <v>22</v>
      </c>
      <c r="F6" s="238"/>
      <c r="G6" s="238"/>
      <c r="H6" s="238"/>
      <c r="I6" s="238"/>
      <c r="J6" s="238"/>
      <c r="K6" s="238"/>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5" thickBot="1" x14ac:dyDescent="0.35">
      <c r="A7" s="170"/>
      <c r="B7" s="170"/>
      <c r="C7" s="170"/>
      <c r="D7" s="160"/>
      <c r="E7" s="158"/>
      <c r="F7" s="158"/>
      <c r="G7" s="158"/>
      <c r="H7" s="158"/>
      <c r="I7" s="158"/>
      <c r="J7" s="158"/>
      <c r="K7" s="158"/>
      <c r="L7" s="158"/>
      <c r="M7" s="170"/>
      <c r="N7" s="98" t="s">
        <v>469</v>
      </c>
      <c r="O7" s="167">
        <f>fcross</f>
        <v>550</v>
      </c>
      <c r="P7" s="173" t="str">
        <f>COMPLEX(ADC_VINmin,0)</f>
        <v>1062.68601190476</v>
      </c>
      <c r="Q7" s="174" t="str">
        <f>IMSUM(COMPLEX(1,0),IMDIV(COMPLEX(0,2*PI()*O7),COMPLEX(wp_lf_VINmin,0)))</f>
        <v>1+107.992247467149i</v>
      </c>
      <c r="R7" s="174">
        <f t="shared" ref="R7:R13" si="0">IMABS(Q7)</f>
        <v>107.99687732988372</v>
      </c>
      <c r="S7" s="174">
        <f t="shared" ref="S7:S13" si="1">IMARGUMENT(Q7)</f>
        <v>1.5615366674873092</v>
      </c>
      <c r="T7" s="174" t="str">
        <f>IMSUM(COMPLEX(1,0),IMDIV(COMPLEX(0,2*PI()*O7),COMPLEX(wz_esr_VINmin,0)))</f>
        <v>1+0.0000691150383789754i</v>
      </c>
      <c r="U7" s="174">
        <f t="shared" ref="U7:U13" si="2">IMABS(T7)</f>
        <v>1.0000000023884441</v>
      </c>
      <c r="V7" s="174">
        <f t="shared" ref="V7:V13" si="3">IMARGUMENT(T7)</f>
        <v>6.9115038268923788E-5</v>
      </c>
      <c r="W7" s="175" t="str">
        <f>IMSUB(COMPLEX(1,0),IMDIV(COMPLEX(0,2*PI()*O7),COMPLEX(wz_RHP_VINmin,0)))</f>
        <v>1-0.0515207919371385i</v>
      </c>
      <c r="X7" s="174">
        <f t="shared" ref="X7:X13" si="4">IMABS(W7)</f>
        <v>1.0013263164432611</v>
      </c>
      <c r="Y7" s="174">
        <f t="shared" ref="Y7:Y13" si="5">IMARGUMENT(W7)</f>
        <v>-5.1475278941429566E-2</v>
      </c>
      <c r="Z7" s="175" t="str">
        <f t="shared" ref="Z7:Z13" si="6">IF(Dc_Mode_Loop="CCM",IMSUM(COMPLEX(1,0),IMDIV(COMPLEX(0,2*PI()*O7),COMPLEX(Q*(wsl/2),0)),IMDIV(IMPOWER(COMPLEX(0,2*PI()*O7),2),IMPOWER(COMPLEX(wsl/2,0),2))),COMPLEX(1,0))</f>
        <v>0.999879+0.019743780350453i</v>
      </c>
      <c r="AA7" s="174">
        <f t="shared" ref="AA7:AA13" si="7">IMABS(Z7)</f>
        <v>1.0000739130201961</v>
      </c>
      <c r="AB7" s="174">
        <f t="shared" ref="AB7:AB13" si="8">IMARGUMENT(Z7)</f>
        <v>1.9743603819549822E-2</v>
      </c>
      <c r="AC7" s="176" t="str">
        <f t="shared" ref="AC7:AC13" si="9">(IMDIV(IMPRODUCT(P7,T7,W7),IMPRODUCT(Q7,Z7)))</f>
        <v>-0.60937025834461-9.83342951196124i</v>
      </c>
      <c r="AD7" s="177">
        <f t="shared" ref="AD7:AD13" si="10">20*LOG(IMABS(AC7))</f>
        <v>19.870745964025339</v>
      </c>
      <c r="AE7" s="167">
        <f t="shared" ref="AE7:AE13" si="11">(180/PI())*IMARGUMENT(AC7)</f>
        <v>-93.546042005793637</v>
      </c>
      <c r="AF7" s="175" t="str">
        <f t="shared" ref="AF7:AF13" si="12">COMPLEX(Adc_ea,0)</f>
        <v>-9.95024875621891E-06</v>
      </c>
      <c r="AG7" s="175" t="str">
        <f t="shared" ref="AG7:AG13" si="13">COMPLEX(0,2*PI()*O7*wp0_ea)</f>
        <v>0.00345920767086772i</v>
      </c>
      <c r="AH7" s="175">
        <f t="shared" ref="AH7:AH13" si="14">IMABS(AG7)</f>
        <v>3.4592076708677201E-3</v>
      </c>
      <c r="AI7" s="175">
        <f t="shared" ref="AI7:AI13" si="15">IMARGUMENT(AG7)</f>
        <v>1.5707963267948966</v>
      </c>
      <c r="AJ7" s="175" t="str">
        <f t="shared" ref="AJ7:AJ13" si="16">IMSUM(COMPLEX(1,0),IMDIV(COMPLEX(0,2*PI()*O7),COMPLEX(wp1_ea,0)))</f>
        <v>1+0.0345229961932944i</v>
      </c>
      <c r="AK7" s="175">
        <f t="shared" ref="AK7:AK13" si="17">IMABS(AJ7)</f>
        <v>1.0005957411793047</v>
      </c>
      <c r="AL7" s="175">
        <f t="shared" ref="AL7:AL13" si="18">IMARGUMENT(AJ7)</f>
        <v>3.450929072830302E-2</v>
      </c>
      <c r="AM7" s="175" t="str">
        <f t="shared" ref="AM7:AM13" si="19">IMSUM(COMPLEX(1,0),IMDIV(COMPLEX(0,2*PI()*O7),COMPLEX(wz_ea,0)))</f>
        <v>1+34.5575191894877i</v>
      </c>
      <c r="AN7" s="175">
        <f t="shared" ref="AN7:AN13" si="20">IMABS(AM7)</f>
        <v>34.571984793063457</v>
      </c>
      <c r="AO7" s="175">
        <f t="shared" ref="AO7:AO13" si="21">IMARGUMENT(AM7)</f>
        <v>1.5418671373773198</v>
      </c>
      <c r="AP7" s="166" t="str">
        <f t="shared" ref="AP7:AP13" si="22">IMPRODUCT(AF7,IMDIV(AM7,IMPRODUCT(AG7,AJ7)))</f>
        <v>-0.0991855676412341+0.00630063611105516i</v>
      </c>
      <c r="AQ7" s="175">
        <f t="shared" ref="AQ7:AQ13" si="23">20*LOG(IMABS(AP7))</f>
        <v>-20.053540677207735</v>
      </c>
      <c r="AR7" s="167">
        <f t="shared" ref="AR7:AR13" si="24">(180/PI())*IMARGUMENT(AP7)</f>
        <v>176.36524282891662</v>
      </c>
      <c r="AS7" s="166" t="str">
        <f t="shared" ref="AS7:AS13" si="25">IMPRODUCT(AC7,AP7)</f>
        <v>0.122397596056174+0.97149486774921i</v>
      </c>
      <c r="AT7" s="177">
        <f t="shared" ref="AT7:AT13" si="26">20*LOG(IMABS(AS7))</f>
        <v>-0.18279471318239482</v>
      </c>
      <c r="AU7" s="167">
        <f t="shared" ref="AU7:AU13" si="27">(180/PI())*IMARGUMENT(AS7)</f>
        <v>82.819200823122983</v>
      </c>
      <c r="AV7" s="225"/>
    </row>
    <row r="8" spans="1:51" ht="15" thickBot="1" x14ac:dyDescent="0.35">
      <c r="A8" s="170"/>
      <c r="B8" s="170"/>
      <c r="C8" s="170"/>
      <c r="D8" s="160"/>
      <c r="E8" s="158"/>
      <c r="F8" s="158"/>
      <c r="G8" s="158"/>
      <c r="H8" s="158"/>
      <c r="I8" s="158"/>
      <c r="J8" s="158"/>
      <c r="K8" s="158"/>
      <c r="L8" s="158"/>
      <c r="M8" s="170"/>
      <c r="N8" s="166" t="s">
        <v>302</v>
      </c>
      <c r="O8" s="167">
        <f>fcross</f>
        <v>550</v>
      </c>
      <c r="P8" s="173" t="str">
        <f t="shared" ref="P8:P13" si="28">COMPLEX(Adc,0)</f>
        <v>1078.86904761905</v>
      </c>
      <c r="Q8" s="174" t="str">
        <f t="shared" ref="Q8:Q13" si="29">IMSUM(COMPLEX(1,0),IMDIV(COMPLEX(0,2*PI()*O8),COMPLEX(wp_lf,0)))</f>
        <v>1+107.992247467149i</v>
      </c>
      <c r="R8" s="174">
        <f t="shared" si="0"/>
        <v>107.99687732988372</v>
      </c>
      <c r="S8" s="174">
        <f t="shared" si="1"/>
        <v>1.5615366674873092</v>
      </c>
      <c r="T8" s="174" t="str">
        <f t="shared" ref="T8:T13" si="30">IMSUM(COMPLEX(1,0),IMDIV(COMPLEX(0,2*PI()*O8),COMPLEX(wz_esr,0)))</f>
        <v>1+0.0000691150383789754i</v>
      </c>
      <c r="U8" s="174">
        <f t="shared" si="2"/>
        <v>1.0000000023884441</v>
      </c>
      <c r="V8" s="174">
        <f t="shared" si="3"/>
        <v>6.9115038268923788E-5</v>
      </c>
      <c r="W8" s="175" t="str">
        <f t="shared" ref="W8:W13" si="31">IMSUB(COMPLEX(1,0),IMDIV(COMPLEX(0,2*PI()*O8),COMPLEX(wz_rhp,0)))</f>
        <v>1-0.0499867603572102i</v>
      </c>
      <c r="X8" s="174">
        <f t="shared" si="4"/>
        <v>1.0012485586561457</v>
      </c>
      <c r="Y8" s="174">
        <f t="shared" si="5"/>
        <v>-4.9945189086998534E-2</v>
      </c>
      <c r="Z8" s="175" t="str">
        <f t="shared" si="6"/>
        <v>0.999879+0.019743780350453i</v>
      </c>
      <c r="AA8" s="174">
        <f t="shared" si="7"/>
        <v>1.0000739130201961</v>
      </c>
      <c r="AB8" s="174">
        <f t="shared" si="8"/>
        <v>1.9743603819549822E-2</v>
      </c>
      <c r="AC8" s="176" t="str">
        <f t="shared" si="9"/>
        <v>-0.603327277253227-9.9833367589067i</v>
      </c>
      <c r="AD8" s="177">
        <f t="shared" si="10"/>
        <v>20.001346826926955</v>
      </c>
      <c r="AE8" s="167">
        <f t="shared" si="11"/>
        <v>-93.458374314858972</v>
      </c>
      <c r="AF8" s="175" t="str">
        <f t="shared" si="12"/>
        <v>-9.95024875621891E-06</v>
      </c>
      <c r="AG8" s="175" t="str">
        <f t="shared" si="13"/>
        <v>0.00345920767086772i</v>
      </c>
      <c r="AH8" s="175">
        <f t="shared" si="14"/>
        <v>3.4592076708677201E-3</v>
      </c>
      <c r="AI8" s="175">
        <f t="shared" si="15"/>
        <v>1.5707963267948966</v>
      </c>
      <c r="AJ8" s="175" t="str">
        <f t="shared" si="16"/>
        <v>1+0.0345229961932944i</v>
      </c>
      <c r="AK8" s="175">
        <f t="shared" si="17"/>
        <v>1.0005957411793047</v>
      </c>
      <c r="AL8" s="175">
        <f t="shared" si="18"/>
        <v>3.450929072830302E-2</v>
      </c>
      <c r="AM8" s="175" t="str">
        <f t="shared" si="19"/>
        <v>1+34.5575191894877i</v>
      </c>
      <c r="AN8" s="175">
        <f t="shared" si="20"/>
        <v>34.571984793063457</v>
      </c>
      <c r="AO8" s="175">
        <f t="shared" si="21"/>
        <v>1.5418671373773198</v>
      </c>
      <c r="AP8" s="166" t="str">
        <f t="shared" si="22"/>
        <v>-0.0991855676412341+0.00630063611105516i</v>
      </c>
      <c r="AQ8" s="175">
        <f t="shared" si="23"/>
        <v>-20.053540677207735</v>
      </c>
      <c r="AR8" s="167">
        <f t="shared" si="24"/>
        <v>176.36524282891662</v>
      </c>
      <c r="AS8" s="166" t="str">
        <f t="shared" si="25"/>
        <v>0.122742730559793+0.986401577755913i</v>
      </c>
      <c r="AT8" s="177">
        <f t="shared" si="26"/>
        <v>-5.219385028077736E-2</v>
      </c>
      <c r="AU8" s="167">
        <f t="shared" si="27"/>
        <v>82.906868514057678</v>
      </c>
      <c r="AV8" s="225"/>
    </row>
    <row r="9" spans="1:51" x14ac:dyDescent="0.3">
      <c r="A9" s="178" t="s">
        <v>205</v>
      </c>
      <c r="B9" s="170"/>
      <c r="C9" s="170"/>
      <c r="D9" s="160"/>
      <c r="E9" s="158"/>
      <c r="F9" s="158"/>
      <c r="G9" s="158"/>
      <c r="H9" s="158"/>
      <c r="I9" s="158"/>
      <c r="J9" s="158"/>
      <c r="K9" s="158"/>
      <c r="L9" s="158"/>
      <c r="M9" s="170"/>
      <c r="N9" s="179" t="s">
        <v>303</v>
      </c>
      <c r="O9" s="180">
        <f>wz_rhp/(2*PI())</f>
        <v>11002.913492885855</v>
      </c>
      <c r="P9" s="181" t="str">
        <f t="shared" si="28"/>
        <v>1078.86904761905</v>
      </c>
      <c r="Q9" s="182" t="str">
        <f t="shared" si="29"/>
        <v>1+2160.41701233339i</v>
      </c>
      <c r="R9" s="182">
        <f t="shared" si="0"/>
        <v>2160.4172437701777</v>
      </c>
      <c r="S9" s="182">
        <f t="shared" si="1"/>
        <v>1.5703334532279538</v>
      </c>
      <c r="T9" s="182" t="str">
        <f t="shared" si="30"/>
        <v>1+0.00138266688789337i</v>
      </c>
      <c r="U9" s="182">
        <f t="shared" si="2"/>
        <v>1.0000009558834047</v>
      </c>
      <c r="V9" s="182">
        <f t="shared" si="3"/>
        <v>1.382666006781738E-3</v>
      </c>
      <c r="W9" s="183" t="str">
        <f t="shared" si="31"/>
        <v>1-i</v>
      </c>
      <c r="X9" s="182">
        <f t="shared" si="4"/>
        <v>1.4142135623730951</v>
      </c>
      <c r="Y9" s="182">
        <f t="shared" si="5"/>
        <v>-0.78539816339744828</v>
      </c>
      <c r="Z9" s="183" t="str">
        <f t="shared" si="6"/>
        <v>0.951574357867228+0.394980194942862i</v>
      </c>
      <c r="AA9" s="182">
        <f t="shared" si="7"/>
        <v>1.030292731677521</v>
      </c>
      <c r="AB9" s="182">
        <f t="shared" si="8"/>
        <v>0.39343904276214164</v>
      </c>
      <c r="AC9" s="184" t="str">
        <f t="shared" si="9"/>
        <v>-0.632997546973156-0.263016444951578i</v>
      </c>
      <c r="AD9" s="185">
        <f t="shared" si="10"/>
        <v>-3.2802824919102354</v>
      </c>
      <c r="AE9" s="186">
        <f t="shared" si="11"/>
        <v>-157.43665501743888</v>
      </c>
      <c r="AF9" s="183" t="str">
        <f t="shared" si="12"/>
        <v>-9.95024875621891E-06</v>
      </c>
      <c r="AG9" s="183" t="str">
        <f t="shared" si="13"/>
        <v>0.0692024777390631i</v>
      </c>
      <c r="AH9" s="183">
        <f t="shared" si="14"/>
        <v>6.9202477739063101E-2</v>
      </c>
      <c r="AI9" s="183">
        <f t="shared" si="15"/>
        <v>1.5707963267948966</v>
      </c>
      <c r="AJ9" s="183" t="str">
        <f t="shared" si="16"/>
        <v>1+0.690642801145538i</v>
      </c>
      <c r="AK9" s="183">
        <f t="shared" si="17"/>
        <v>1.2153137367668299</v>
      </c>
      <c r="AL9" s="183">
        <f t="shared" si="18"/>
        <v>0.60441832004323603</v>
      </c>
      <c r="AM9" s="183" t="str">
        <f t="shared" si="19"/>
        <v>1+691.333443946684i</v>
      </c>
      <c r="AN9" s="183">
        <f t="shared" si="20"/>
        <v>691.33416718630576</v>
      </c>
      <c r="AO9" s="183">
        <f t="shared" si="21"/>
        <v>1.5693498478037209</v>
      </c>
      <c r="AP9" s="179" t="str">
        <f t="shared" si="22"/>
        <v>-0.0672340030799942+0.0465784647930302i</v>
      </c>
      <c r="AQ9" s="183">
        <f t="shared" si="23"/>
        <v>-21.745761833734729</v>
      </c>
      <c r="AR9" s="186">
        <f t="shared" si="24"/>
        <v>145.28650405978644</v>
      </c>
      <c r="AS9" s="179" t="str">
        <f t="shared" si="25"/>
        <v>0.054809861243987-0.0118004054858001i</v>
      </c>
      <c r="AT9" s="185">
        <f t="shared" si="26"/>
        <v>-25.026044325644964</v>
      </c>
      <c r="AU9" s="186">
        <f t="shared" si="27"/>
        <v>-12.150150957652437</v>
      </c>
      <c r="AV9" s="225"/>
    </row>
    <row r="10" spans="1:51" x14ac:dyDescent="0.3">
      <c r="A10" s="98" t="s">
        <v>25</v>
      </c>
      <c r="B10" s="187">
        <f>VIN_min</f>
        <v>19.7</v>
      </c>
      <c r="C10" s="98" t="s">
        <v>10</v>
      </c>
      <c r="E10" s="98" t="s">
        <v>28</v>
      </c>
      <c r="N10" s="168" t="s">
        <v>254</v>
      </c>
      <c r="O10" s="188">
        <f>wz_esr/(2*PI())</f>
        <v>7957747.1545947678</v>
      </c>
      <c r="P10" s="189" t="str">
        <f t="shared" si="28"/>
        <v>1078.86904761905</v>
      </c>
      <c r="Q10" s="160" t="str">
        <f t="shared" si="29"/>
        <v>1+1562500i</v>
      </c>
      <c r="R10" s="160">
        <f t="shared" si="0"/>
        <v>1562500.0000003199</v>
      </c>
      <c r="S10" s="160">
        <f t="shared" si="1"/>
        <v>1.5707956867948967</v>
      </c>
      <c r="T10" s="160" t="str">
        <f t="shared" si="30"/>
        <v>1+i</v>
      </c>
      <c r="U10" s="160">
        <f t="shared" si="2"/>
        <v>1.4142135623730951</v>
      </c>
      <c r="V10" s="160">
        <f t="shared" si="3"/>
        <v>0.78539816339744828</v>
      </c>
      <c r="W10" s="98" t="str">
        <f t="shared" si="31"/>
        <v>1-723.24i</v>
      </c>
      <c r="X10" s="160">
        <f t="shared" si="4"/>
        <v>723.24069133311355</v>
      </c>
      <c r="Y10" s="160">
        <f t="shared" si="5"/>
        <v>-1.5694136607881148</v>
      </c>
      <c r="Z10" s="98" t="str">
        <f t="shared" si="6"/>
        <v>-25329.2959105845+285.665476190479i</v>
      </c>
      <c r="AA10" s="160">
        <f t="shared" si="7"/>
        <v>25330.906736440364</v>
      </c>
      <c r="AB10" s="160">
        <f t="shared" si="8"/>
        <v>3.1303150655192744</v>
      </c>
      <c r="AC10" s="171" t="str">
        <f t="shared" si="9"/>
        <v>0.000019463101881645+0.0000199622892560326i</v>
      </c>
      <c r="AD10" s="190">
        <f t="shared" si="10"/>
        <v>-91.094083558835393</v>
      </c>
      <c r="AE10" s="169">
        <f t="shared" si="11"/>
        <v>45.725415795491429</v>
      </c>
      <c r="AF10" s="98" t="str">
        <f t="shared" si="12"/>
        <v>-9.95024875621891E-06</v>
      </c>
      <c r="AG10" s="98" t="str">
        <f t="shared" si="13"/>
        <v>50.05i</v>
      </c>
      <c r="AH10" s="98">
        <f t="shared" si="14"/>
        <v>50.05</v>
      </c>
      <c r="AI10" s="98">
        <f t="shared" si="15"/>
        <v>1.5707963267948966</v>
      </c>
      <c r="AJ10" s="98" t="str">
        <f t="shared" si="16"/>
        <v>1+499.500499500499i</v>
      </c>
      <c r="AK10" s="98">
        <f t="shared" si="17"/>
        <v>499.50150049949599</v>
      </c>
      <c r="AL10" s="98">
        <f t="shared" si="18"/>
        <v>1.5687943294695648</v>
      </c>
      <c r="AM10" s="98" t="str">
        <f t="shared" si="19"/>
        <v>1+500000i</v>
      </c>
      <c r="AN10" s="98">
        <f t="shared" si="20"/>
        <v>500000.00000099995</v>
      </c>
      <c r="AO10" s="98">
        <f t="shared" si="21"/>
        <v>1.5707943267948967</v>
      </c>
      <c r="AP10" s="168" t="str">
        <f t="shared" si="22"/>
        <v>-3.98008355029678E-07+0.000199004178311652i</v>
      </c>
      <c r="AQ10" s="98">
        <f t="shared" si="23"/>
        <v>-74.022738728338453</v>
      </c>
      <c r="AR10" s="169">
        <f t="shared" si="24"/>
        <v>90.114591405778967</v>
      </c>
      <c r="AS10" s="168" t="str">
        <f t="shared" si="25"/>
        <v>-3.98032544777997E-09+3.86529343944331E-09i</v>
      </c>
      <c r="AT10" s="190">
        <f t="shared" si="26"/>
        <v>-165.11682228717387</v>
      </c>
      <c r="AU10" s="169">
        <f t="shared" si="27"/>
        <v>135.84000720127037</v>
      </c>
      <c r="AV10" s="225"/>
    </row>
    <row r="11" spans="1:51" ht="15" thickBot="1" x14ac:dyDescent="0.35">
      <c r="A11" s="98" t="s">
        <v>26</v>
      </c>
      <c r="B11" s="187">
        <f>VIN_nom</f>
        <v>20</v>
      </c>
      <c r="C11" s="98" t="s">
        <v>10</v>
      </c>
      <c r="E11" s="98" t="s">
        <v>29</v>
      </c>
      <c r="N11" s="191" t="s">
        <v>252</v>
      </c>
      <c r="O11" s="192">
        <f>wp_lf/(2*PI())</f>
        <v>5.0929581789406511</v>
      </c>
      <c r="P11" s="193" t="str">
        <f t="shared" si="28"/>
        <v>1078.86904761905</v>
      </c>
      <c r="Q11" s="194" t="str">
        <f t="shared" si="29"/>
        <v>1+i</v>
      </c>
      <c r="R11" s="194">
        <f t="shared" si="0"/>
        <v>1.4142135623730951</v>
      </c>
      <c r="S11" s="194">
        <f t="shared" si="1"/>
        <v>0.78539816339744828</v>
      </c>
      <c r="T11" s="194" t="str">
        <f t="shared" si="30"/>
        <v>1+0.00000064i</v>
      </c>
      <c r="U11" s="194">
        <f t="shared" si="2"/>
        <v>1.0000000000002047</v>
      </c>
      <c r="V11" s="194">
        <f t="shared" si="3"/>
        <v>6.3999999999991266E-7</v>
      </c>
      <c r="W11" s="195" t="str">
        <f t="shared" si="31"/>
        <v>1-0.0004628736i</v>
      </c>
      <c r="X11" s="194">
        <f t="shared" si="4"/>
        <v>1.000000107125979</v>
      </c>
      <c r="Y11" s="194">
        <f t="shared" si="5"/>
        <v>-4.6287356694281077E-4</v>
      </c>
      <c r="Z11" s="195" t="str">
        <f t="shared" si="6"/>
        <v>0.999999989624711+0.000182825904761905i</v>
      </c>
      <c r="AA11" s="194">
        <f t="shared" si="7"/>
        <v>1.0000000063373669</v>
      </c>
      <c r="AB11" s="194">
        <f t="shared" si="8"/>
        <v>1.8282590462177231E-4</v>
      </c>
      <c r="AC11" s="196" t="str">
        <f t="shared" si="9"/>
        <v>539.086498588856-539.782433308478i</v>
      </c>
      <c r="AD11" s="197">
        <f t="shared" si="10"/>
        <v>57.649075589144054</v>
      </c>
      <c r="AE11" s="198">
        <f t="shared" si="11"/>
        <v>-45.036959185255498</v>
      </c>
      <c r="AF11" s="195" t="str">
        <f t="shared" si="12"/>
        <v>-9.95024875621891E-06</v>
      </c>
      <c r="AG11" s="195" t="str">
        <f t="shared" si="13"/>
        <v>0.000032032i</v>
      </c>
      <c r="AH11" s="195">
        <f t="shared" si="14"/>
        <v>3.2032000000000001E-5</v>
      </c>
      <c r="AI11" s="195">
        <f t="shared" si="15"/>
        <v>1.5707963267948966</v>
      </c>
      <c r="AJ11" s="195" t="str">
        <f t="shared" si="16"/>
        <v>1+0.00031968031968032i</v>
      </c>
      <c r="AK11" s="195">
        <f t="shared" si="17"/>
        <v>1.000000051097752</v>
      </c>
      <c r="AL11" s="195">
        <f t="shared" si="18"/>
        <v>3.196803087903566E-4</v>
      </c>
      <c r="AM11" s="195" t="str">
        <f t="shared" si="19"/>
        <v>1+0.32i</v>
      </c>
      <c r="AN11" s="195">
        <f t="shared" si="20"/>
        <v>1.049952379872535</v>
      </c>
      <c r="AO11" s="195">
        <f t="shared" si="21"/>
        <v>0.30970294454245623</v>
      </c>
      <c r="AP11" s="191" t="str">
        <f t="shared" si="22"/>
        <v>-0.0993037705486152+0.310666384453962i</v>
      </c>
      <c r="AQ11" s="195">
        <f t="shared" si="23"/>
        <v>-9.7316107493085742</v>
      </c>
      <c r="AR11" s="198">
        <f t="shared" si="24"/>
        <v>107.72635529256983</v>
      </c>
      <c r="AS11" s="191" t="str">
        <f t="shared" si="25"/>
        <v>114.158934985983+221.078484327984i</v>
      </c>
      <c r="AT11" s="197">
        <f t="shared" si="26"/>
        <v>47.917464839835489</v>
      </c>
      <c r="AU11" s="198">
        <f t="shared" si="27"/>
        <v>62.689396107314252</v>
      </c>
      <c r="AV11" s="225"/>
      <c r="AX11" s="213" t="s">
        <v>537</v>
      </c>
      <c r="AY11" s="213"/>
    </row>
    <row r="12" spans="1:51" x14ac:dyDescent="0.3">
      <c r="A12" s="98" t="s">
        <v>27</v>
      </c>
      <c r="B12" s="187">
        <f>VIN_max</f>
        <v>20.3</v>
      </c>
      <c r="C12" s="98" t="s">
        <v>10</v>
      </c>
      <c r="E12" s="98" t="s">
        <v>30</v>
      </c>
      <c r="N12" s="179" t="s">
        <v>263</v>
      </c>
      <c r="O12" s="186">
        <f>wz_ea/(2*PI())</f>
        <v>15.915494309189532</v>
      </c>
      <c r="P12" s="181" t="str">
        <f t="shared" si="28"/>
        <v>1078.86904761905</v>
      </c>
      <c r="Q12" s="182" t="str">
        <f t="shared" si="29"/>
        <v>1+3.125i</v>
      </c>
      <c r="R12" s="182">
        <f t="shared" si="0"/>
        <v>3.281101187101672</v>
      </c>
      <c r="S12" s="182">
        <f t="shared" si="1"/>
        <v>1.2610933822524404</v>
      </c>
      <c r="T12" s="182" t="str">
        <f t="shared" si="30"/>
        <v>1+0.000002i</v>
      </c>
      <c r="U12" s="182">
        <f t="shared" si="2"/>
        <v>1.000000000002</v>
      </c>
      <c r="V12" s="182">
        <f t="shared" si="3"/>
        <v>1.9999999999973334E-6</v>
      </c>
      <c r="W12" s="183" t="str">
        <f t="shared" si="31"/>
        <v>1-0.00144648i</v>
      </c>
      <c r="X12" s="182">
        <f t="shared" si="4"/>
        <v>1.000001046151648</v>
      </c>
      <c r="Y12" s="182">
        <f t="shared" si="5"/>
        <v>-1.4464789911757816E-3</v>
      </c>
      <c r="Z12" s="183" t="str">
        <f t="shared" si="6"/>
        <v>0.999999898678816+0.000571330952380952i</v>
      </c>
      <c r="AA12" s="182">
        <f t="shared" si="7"/>
        <v>1.0000000618883478</v>
      </c>
      <c r="AB12" s="182">
        <f t="shared" si="8"/>
        <v>5.7133094810444282E-4</v>
      </c>
      <c r="AC12" s="184" t="str">
        <f t="shared" si="9"/>
        <v>99.5828557302479-313.371219774095i</v>
      </c>
      <c r="AD12" s="185">
        <f t="shared" si="10"/>
        <v>50.338990740321002</v>
      </c>
      <c r="AE12" s="186">
        <f t="shared" si="11"/>
        <v>-72.370825776764363</v>
      </c>
      <c r="AF12" s="183" t="str">
        <f t="shared" si="12"/>
        <v>-9.95024875621891E-06</v>
      </c>
      <c r="AG12" s="183" t="str">
        <f t="shared" si="13"/>
        <v>0.0001001i</v>
      </c>
      <c r="AH12" s="183">
        <f t="shared" si="14"/>
        <v>1.0009999999999999E-4</v>
      </c>
      <c r="AI12" s="183">
        <f t="shared" si="15"/>
        <v>1.5707963267948966</v>
      </c>
      <c r="AJ12" s="183" t="str">
        <f t="shared" si="16"/>
        <v>1+0.000999000999000999i</v>
      </c>
      <c r="AK12" s="183">
        <f t="shared" si="17"/>
        <v>1.0000004990013736</v>
      </c>
      <c r="AL12" s="183">
        <f t="shared" si="18"/>
        <v>9.9900066666586801E-4</v>
      </c>
      <c r="AM12" s="183" t="str">
        <f t="shared" si="19"/>
        <v>1+i</v>
      </c>
      <c r="AN12" s="183">
        <f t="shared" si="20"/>
        <v>1.4142135623730951</v>
      </c>
      <c r="AO12" s="183">
        <f t="shared" si="21"/>
        <v>0.78539816339744828</v>
      </c>
      <c r="AP12" s="179" t="str">
        <f t="shared" si="22"/>
        <v>-0.0993036815916426+0.0995022889548259i</v>
      </c>
      <c r="AQ12" s="183">
        <f t="shared" si="23"/>
        <v>-17.041707162346491</v>
      </c>
      <c r="AR12" s="186">
        <f t="shared" si="24"/>
        <v>134.94276147806929</v>
      </c>
      <c r="AS12" s="179" t="str">
        <f t="shared" si="25"/>
        <v>21.2922094626652+41.0276379142492i</v>
      </c>
      <c r="AT12" s="185">
        <f t="shared" si="26"/>
        <v>33.297283577974504</v>
      </c>
      <c r="AU12" s="186">
        <f t="shared" si="27"/>
        <v>62.571935701304938</v>
      </c>
      <c r="AV12" s="225"/>
      <c r="AX12" t="s">
        <v>538</v>
      </c>
      <c r="AY12">
        <f>SUM(AX19:AX559)/1000</f>
        <v>0.537031796370253</v>
      </c>
    </row>
    <row r="13" spans="1:51" ht="15" thickBot="1" x14ac:dyDescent="0.35">
      <c r="A13" s="98" t="s">
        <v>68</v>
      </c>
      <c r="B13" s="187">
        <f>Fsw</f>
        <v>100000</v>
      </c>
      <c r="C13" s="98" t="s">
        <v>69</v>
      </c>
      <c r="E13" s="98" t="s">
        <v>70</v>
      </c>
      <c r="N13" s="191" t="s">
        <v>269</v>
      </c>
      <c r="O13" s="198">
        <f>wp1_ea/(2*PI())</f>
        <v>15931.409803498724</v>
      </c>
      <c r="P13" s="193" t="str">
        <f t="shared" si="28"/>
        <v>1078.86904761905</v>
      </c>
      <c r="Q13" s="194" t="str">
        <f t="shared" si="29"/>
        <v>1+3128.125i</v>
      </c>
      <c r="R13" s="194">
        <f t="shared" si="0"/>
        <v>3128.1251598401554</v>
      </c>
      <c r="S13" s="194">
        <f t="shared" si="1"/>
        <v>1.5704766464861062</v>
      </c>
      <c r="T13" s="194" t="str">
        <f t="shared" si="30"/>
        <v>1+0.002002i</v>
      </c>
      <c r="U13" s="194">
        <f t="shared" si="2"/>
        <v>1.000002003999992</v>
      </c>
      <c r="V13" s="194">
        <f t="shared" si="3"/>
        <v>2.0019973253317625E-3</v>
      </c>
      <c r="W13" s="195" t="str">
        <f t="shared" si="31"/>
        <v>1-1.44792648i</v>
      </c>
      <c r="X13" s="194">
        <f t="shared" si="4"/>
        <v>1.7596849409724429</v>
      </c>
      <c r="Y13" s="194">
        <f t="shared" si="5"/>
        <v>-0.96637800675165997</v>
      </c>
      <c r="Z13" s="195" t="str">
        <f t="shared" si="6"/>
        <v>0.898476072669194+0.571902283333333i</v>
      </c>
      <c r="AA13" s="194">
        <f t="shared" si="7"/>
        <v>1.0650499870151349</v>
      </c>
      <c r="AB13" s="194">
        <f t="shared" si="8"/>
        <v>0.56684390458805323</v>
      </c>
      <c r="AC13" s="196" t="str">
        <f t="shared" si="9"/>
        <v>-0.569383245937283-0.0227282270895802i</v>
      </c>
      <c r="AD13" s="197">
        <f t="shared" si="10"/>
        <v>-4.8849918294933614</v>
      </c>
      <c r="AE13" s="198">
        <f t="shared" si="11"/>
        <v>-177.71412224692179</v>
      </c>
      <c r="AF13" s="195" t="str">
        <f t="shared" si="12"/>
        <v>-9.95024875621891E-06</v>
      </c>
      <c r="AG13" s="195" t="str">
        <f t="shared" si="13"/>
        <v>0.1002001i</v>
      </c>
      <c r="AH13" s="195">
        <f t="shared" si="14"/>
        <v>0.1002001</v>
      </c>
      <c r="AI13" s="195">
        <f t="shared" si="15"/>
        <v>1.5707963267948966</v>
      </c>
      <c r="AJ13" s="195" t="str">
        <f t="shared" si="16"/>
        <v>1+i</v>
      </c>
      <c r="AK13" s="195">
        <f t="shared" si="17"/>
        <v>1.4142135623730951</v>
      </c>
      <c r="AL13" s="195">
        <f t="shared" si="18"/>
        <v>0.78539816339744828</v>
      </c>
      <c r="AM13" s="195" t="str">
        <f t="shared" si="19"/>
        <v>1+1001i</v>
      </c>
      <c r="AN13" s="195">
        <f t="shared" si="20"/>
        <v>1001.0004995003749</v>
      </c>
      <c r="AO13" s="195">
        <f t="shared" si="21"/>
        <v>1.5697973261282308</v>
      </c>
      <c r="AP13" s="191" t="str">
        <f t="shared" si="22"/>
        <v>-0.0496518903485072+0.0497511941292042i</v>
      </c>
      <c r="AQ13" s="195">
        <f t="shared" si="23"/>
        <v>-23.062298407086558</v>
      </c>
      <c r="AR13" s="198">
        <f t="shared" si="24"/>
        <v>134.94276147806929</v>
      </c>
      <c r="AS13" s="191" t="str">
        <f t="shared" si="25"/>
        <v>0.0294017109317014-0.0271989969632744i</v>
      </c>
      <c r="AT13" s="197">
        <f t="shared" si="26"/>
        <v>-27.947290236579917</v>
      </c>
      <c r="AU13" s="198">
        <f t="shared" si="27"/>
        <v>-42.771360768852539</v>
      </c>
      <c r="AV13" s="225"/>
      <c r="AX13"/>
      <c r="AY13"/>
    </row>
    <row r="14" spans="1:51" x14ac:dyDescent="0.3">
      <c r="A14" s="98" t="s">
        <v>563</v>
      </c>
      <c r="B14" s="98" t="s">
        <v>495</v>
      </c>
      <c r="E14" s="98" t="s">
        <v>564</v>
      </c>
      <c r="AX14" t="s">
        <v>539</v>
      </c>
      <c r="AY14" s="23">
        <f>SUM(AY19:AY559)</f>
        <v>83.0202054386383</v>
      </c>
    </row>
    <row r="15" spans="1:51" ht="15" thickBot="1" x14ac:dyDescent="0.35">
      <c r="O15" s="199" t="s">
        <v>231</v>
      </c>
      <c r="P15" s="98">
        <f>B17</f>
        <v>20</v>
      </c>
      <c r="Q15" s="98" t="s">
        <v>10</v>
      </c>
    </row>
    <row r="16" spans="1:51" ht="15" thickBot="1" x14ac:dyDescent="0.35">
      <c r="A16" s="200" t="s">
        <v>262</v>
      </c>
      <c r="O16" s="201"/>
      <c r="P16" s="241" t="s">
        <v>260</v>
      </c>
      <c r="Q16" s="241"/>
      <c r="R16" s="241"/>
      <c r="S16" s="241"/>
      <c r="T16" s="241"/>
      <c r="U16" s="241"/>
      <c r="V16" s="241"/>
      <c r="W16" s="241"/>
      <c r="X16" s="241"/>
      <c r="Y16" s="241"/>
      <c r="Z16" s="241"/>
      <c r="AA16" s="241"/>
      <c r="AB16" s="241"/>
      <c r="AC16" s="241"/>
      <c r="AD16" s="241"/>
      <c r="AE16" s="242"/>
      <c r="AF16" s="243" t="s">
        <v>261</v>
      </c>
      <c r="AG16" s="241"/>
      <c r="AH16" s="241"/>
      <c r="AI16" s="241"/>
      <c r="AJ16" s="241"/>
      <c r="AK16" s="241"/>
      <c r="AL16" s="241"/>
      <c r="AM16" s="241"/>
      <c r="AN16" s="241"/>
      <c r="AO16" s="241"/>
      <c r="AP16" s="241"/>
      <c r="AQ16" s="241"/>
      <c r="AR16" s="242"/>
      <c r="AS16" s="243" t="s">
        <v>272</v>
      </c>
      <c r="AT16" s="241"/>
      <c r="AU16" s="242"/>
    </row>
    <row r="17" spans="1:51" x14ac:dyDescent="0.3">
      <c r="A17" s="98" t="s">
        <v>233</v>
      </c>
      <c r="B17" s="98">
        <f>VIN_var</f>
        <v>20</v>
      </c>
      <c r="C17" s="98" t="s">
        <v>10</v>
      </c>
      <c r="E17" s="98" t="s">
        <v>234</v>
      </c>
      <c r="O17" s="202"/>
      <c r="Q17" s="239" t="s">
        <v>252</v>
      </c>
      <c r="R17" s="239"/>
      <c r="S17" s="239"/>
      <c r="T17" s="240" t="s">
        <v>254</v>
      </c>
      <c r="U17" s="240"/>
      <c r="V17" s="240"/>
      <c r="W17" s="240" t="s">
        <v>253</v>
      </c>
      <c r="X17" s="240"/>
      <c r="Y17" s="240"/>
      <c r="Z17" s="240" t="s">
        <v>257</v>
      </c>
      <c r="AA17" s="240"/>
      <c r="AB17" s="240"/>
      <c r="AC17" s="244" t="s">
        <v>259</v>
      </c>
      <c r="AD17" s="240"/>
      <c r="AE17" s="245"/>
      <c r="AG17" s="240" t="s">
        <v>268</v>
      </c>
      <c r="AH17" s="240"/>
      <c r="AI17" s="240"/>
      <c r="AJ17" s="240" t="s">
        <v>269</v>
      </c>
      <c r="AK17" s="240"/>
      <c r="AL17" s="240"/>
      <c r="AM17" s="240" t="s">
        <v>263</v>
      </c>
      <c r="AN17" s="240"/>
      <c r="AO17" s="240"/>
      <c r="AP17" s="244" t="s">
        <v>259</v>
      </c>
      <c r="AQ17" s="240"/>
      <c r="AR17" s="245"/>
      <c r="AS17" s="244" t="s">
        <v>259</v>
      </c>
      <c r="AT17" s="240"/>
      <c r="AU17" s="245"/>
      <c r="AV17" s="223"/>
    </row>
    <row r="18" spans="1:51" ht="15" thickBot="1" x14ac:dyDescent="0.35">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3">
      <c r="N19" s="170">
        <v>1</v>
      </c>
      <c r="O19" s="199">
        <f>10^(1+(N19/100))</f>
        <v>10.232929922807543</v>
      </c>
      <c r="P19" s="189" t="str">
        <f t="shared" ref="P19:P82" si="32">COMPLEX(Adc,0)</f>
        <v>1078.86904761905</v>
      </c>
      <c r="Q19" s="160" t="str">
        <f t="shared" ref="Q19:Q82" si="33">IMSUM(COMPLEX(1,0),IMDIV(COMPLEX(0,2*PI()*O19),COMPLEX(wp_lf,0)))</f>
        <v>1+2.00923109188696i</v>
      </c>
      <c r="R19" s="160">
        <f>IMABS(Q19)</f>
        <v>2.2443283139071402</v>
      </c>
      <c r="S19" s="160">
        <f>IMARGUMENT(Q19)</f>
        <v>1.1089881421312364</v>
      </c>
      <c r="T19" s="160" t="str">
        <f t="shared" ref="T19:T82" si="34">IMSUM(COMPLEX(1,0),IMDIV(COMPLEX(0,2*PI()*O19),COMPLEX(wz_esr,0)))</f>
        <v>1+1.28590789880765E-06i</v>
      </c>
      <c r="U19" s="160">
        <f>IMABS(T19)</f>
        <v>1.0000000000008269</v>
      </c>
      <c r="V19" s="160">
        <f>IMARGUMENT(T19)</f>
        <v>1.2859078988069413E-6</v>
      </c>
      <c r="W19" s="98" t="str">
        <f t="shared" ref="W19:W82" si="35">IMSUB(COMPLEX(1,0),IMDIV(COMPLEX(0,2*PI()*O19),COMPLEX(wz_rhp,0)))</f>
        <v>1-0.000930020028733648i</v>
      </c>
      <c r="X19" s="160">
        <f>IMABS(W19)</f>
        <v>1.0000004324685334</v>
      </c>
      <c r="Y19" s="160">
        <f>IMARGUMENT(W19)</f>
        <v>-9.3001976059746395E-4</v>
      </c>
      <c r="Z19" s="98" t="str">
        <f t="shared" ref="Z19:Z82" si="36">IF(Dc_Mode_Loop="CCM",IMSUM(COMPLEX(1,0),IMDIV(COMPLEX(0,2*PI()*O19),COMPLEX(Q*(wsl/2),0)),IMDIV(IMPOWER(COMPLEX(0,2*PI()*O19),2),IMPOWER(COMPLEX(wsl/2,0),2))),COMPLEX(1,0))</f>
        <v>0.999999958114858+0.000367339492249983i</v>
      </c>
      <c r="AA19" s="160">
        <f>IMABS(Z19)</f>
        <v>1.0000000255840098</v>
      </c>
      <c r="AB19" s="160">
        <f>IMARGUMENT(Z19)</f>
        <v>3.6733949111332725E-4</v>
      </c>
      <c r="AC19" s="171" t="str">
        <f>(IMDIV(IMPRODUCT(P19,T19,W19),IMPRODUCT(Q19,Z19)))</f>
        <v>213.630541747027-430.631420246332i</v>
      </c>
      <c r="AD19" s="190">
        <f>20*LOG(IMABS(AC19))</f>
        <v>53.637650435454127</v>
      </c>
      <c r="AE19" s="169">
        <f>(180/PI())*IMARGUMENT(AC19)</f>
        <v>-63.614599606713924</v>
      </c>
      <c r="AF19" s="98" t="str">
        <f t="shared" ref="AF19:AF82" si="37">COMPLEX(Adc_ea,0)</f>
        <v>-9.95024875621891E-06</v>
      </c>
      <c r="AG19" s="98" t="str">
        <f t="shared" ref="AG19:AG82" si="38">COMPLEX(0,2*PI()*O19*wp0_ea)</f>
        <v>0.0000643596903353231i</v>
      </c>
      <c r="AH19" s="98">
        <f>IMABS(AG19)</f>
        <v>6.4359690335323097E-5</v>
      </c>
      <c r="AI19" s="98">
        <f>IMARGUMENT(AG19)</f>
        <v>1.5707963267948966</v>
      </c>
      <c r="AJ19" s="98" t="str">
        <f t="shared" ref="AJ19:AJ82" si="39">IMSUM(COMPLEX(1,0),IMDIV(COMPLEX(0,2*PI()*O19),COMPLEX(wp1_ea,0)))</f>
        <v>1+0.000642311637766061i</v>
      </c>
      <c r="AK19" s="98">
        <f>IMABS(AJ19)</f>
        <v>1.0000002062820987</v>
      </c>
      <c r="AL19" s="98">
        <f>IMARGUMENT(AJ19)</f>
        <v>6.4231154943447861E-4</v>
      </c>
      <c r="AM19" s="98" t="str">
        <f t="shared" ref="AM19:AM82" si="40">IMSUM(COMPLEX(1,0),IMDIV(COMPLEX(0,2*PI()*O19),COMPLEX(wz_ea,0)))</f>
        <v>1+0.642953949403827i</v>
      </c>
      <c r="AN19" s="98">
        <f>IMABS(AM19)</f>
        <v>1.1888607071705157</v>
      </c>
      <c r="AO19" s="98">
        <f>IMARGUMENT(AM19)</f>
        <v>0.57140597531246529</v>
      </c>
      <c r="AP19" s="168" t="str">
        <f>IMPRODUCT(AF19,IMDIV(AM19,IMPRODUCT(AG19,AJ19)))</f>
        <v>-0.0993037397278424+0.15466752278449i</v>
      </c>
      <c r="AQ19" s="98">
        <f>20*LOG(IMABS(AP19))</f>
        <v>-14.712982473636417</v>
      </c>
      <c r="AR19" s="169">
        <f>(180/PI())*IMARGUMENT(AP19)</f>
        <v>122.70234903304566</v>
      </c>
      <c r="AS19" s="168" t="str">
        <f>IMPRODUCT(AC19,AP19)</f>
        <v>45.3903832871021+75.8050171578941i</v>
      </c>
      <c r="AT19" s="190">
        <f>20*LOG(IMABS(AS19))</f>
        <v>38.924667961817704</v>
      </c>
      <c r="AU19" s="169">
        <f>(180/PI())*IMARGUMENT(AS19)</f>
        <v>59.087749426331733</v>
      </c>
      <c r="AV19" s="225"/>
      <c r="AX19">
        <f>SUM((AT20&lt;0)*(AT19&gt;0))*O19</f>
        <v>0</v>
      </c>
      <c r="AY19">
        <f>IF(AX19&gt;0,AU19,0)</f>
        <v>0</v>
      </c>
    </row>
    <row r="20" spans="1:51" x14ac:dyDescent="0.3">
      <c r="A20" s="98" t="s">
        <v>31</v>
      </c>
      <c r="B20" s="205">
        <f>VOUT</f>
        <v>210</v>
      </c>
      <c r="C20" s="98" t="s">
        <v>10</v>
      </c>
      <c r="E20" s="98" t="s">
        <v>206</v>
      </c>
      <c r="N20" s="170">
        <v>2</v>
      </c>
      <c r="O20" s="199">
        <f t="shared" ref="O20:O83" si="41">10^(1+(N20/100))</f>
        <v>10.471285480509</v>
      </c>
      <c r="P20" s="189" t="str">
        <f t="shared" si="32"/>
        <v>1078.86904761905</v>
      </c>
      <c r="Q20" s="160" t="str">
        <f t="shared" si="33"/>
        <v>1+2.05603209620053i</v>
      </c>
      <c r="R20" s="160">
        <f t="shared" ref="R20:R83" si="42">IMABS(Q20)</f>
        <v>2.2863219328447046</v>
      </c>
      <c r="S20" s="160">
        <f t="shared" ref="S20:S83" si="43">IMARGUMENT(Q20)</f>
        <v>1.1181090364419615</v>
      </c>
      <c r="T20" s="160" t="str">
        <f t="shared" si="34"/>
        <v>1+1.31586054156834E-06i</v>
      </c>
      <c r="U20" s="160">
        <f t="shared" ref="U20:U83" si="44">IMABS(T20)</f>
        <v>1.0000000000008658</v>
      </c>
      <c r="V20" s="160">
        <f t="shared" ref="V20:V83" si="45">IMARGUMENT(T20)</f>
        <v>1.3158605415675806E-6</v>
      </c>
      <c r="W20" s="98" t="str">
        <f t="shared" si="35"/>
        <v>1-0.000951682978083888i</v>
      </c>
      <c r="X20" s="160">
        <f t="shared" ref="X20:X83" si="46">IMABS(W20)</f>
        <v>1.0000004528501429</v>
      </c>
      <c r="Y20" s="160">
        <f t="shared" ref="Y20:Y83" si="47">IMARGUMENT(W20)</f>
        <v>-9.5168269077079736E-4</v>
      </c>
      <c r="Z20" s="98" t="str">
        <f t="shared" si="36"/>
        <v>0.999999956140872+0.000375895928207378i</v>
      </c>
      <c r="AA20" s="160">
        <f t="shared" ref="AA20:AA83" si="48">IMABS(Z20)</f>
        <v>1.0000000267897471</v>
      </c>
      <c r="AB20" s="160">
        <f t="shared" ref="AB20:AB83" si="49">IMARGUMENT(Z20)</f>
        <v>3.7589592698942934E-4</v>
      </c>
      <c r="AC20" s="171" t="str">
        <f t="shared" ref="AC20:AC83" si="50">(IMDIV(IMPRODUCT(P20,T20,W20),IMPRODUCT(Q20,Z20)))</f>
        <v>205.829634152554-424.623198194796i</v>
      </c>
      <c r="AD20" s="190">
        <f t="shared" ref="AD20:AD83" si="51">20*LOG(IMABS(AC20))</f>
        <v>53.476630719396454</v>
      </c>
      <c r="AE20" s="169">
        <f t="shared" ref="AE20:AE83" si="52">(180/PI())*IMARGUMENT(AC20)</f>
        <v>-64.138918082077495</v>
      </c>
      <c r="AF20" s="98" t="str">
        <f t="shared" si="37"/>
        <v>-9.95024875621891E-06</v>
      </c>
      <c r="AG20" s="98" t="str">
        <f t="shared" si="38"/>
        <v>0.0000658588201054955i</v>
      </c>
      <c r="AH20" s="98">
        <f t="shared" ref="AH20:AH83" si="53">IMABS(AG20)</f>
        <v>6.5858820105495496E-5</v>
      </c>
      <c r="AI20" s="98">
        <f t="shared" ref="AI20:AI83" si="54">IMARGUMENT(AG20)</f>
        <v>1.5707963267948966</v>
      </c>
      <c r="AJ20" s="98" t="str">
        <f t="shared" si="39"/>
        <v>1+0.000657272997786385i</v>
      </c>
      <c r="AK20" s="98">
        <f t="shared" ref="AK20:AK83" si="55">IMABS(AJ20)</f>
        <v>1.0000002160038735</v>
      </c>
      <c r="AL20" s="98">
        <f t="shared" ref="AL20:AL83" si="56">IMARGUMENT(AJ20)</f>
        <v>6.5727290313739026E-4</v>
      </c>
      <c r="AM20" s="98" t="str">
        <f t="shared" si="40"/>
        <v>1+0.657930270784171i</v>
      </c>
      <c r="AN20" s="98">
        <f t="shared" ref="AN20:AN83" si="57">IMABS(AM20)</f>
        <v>1.1970264162557702</v>
      </c>
      <c r="AO20" s="98">
        <f t="shared" ref="AO20:AO83" si="58">IMARGUMENT(AM20)</f>
        <v>0.58192991764455904</v>
      </c>
      <c r="AP20" s="168" t="str">
        <f t="shared" ref="AP20:AP83" si="59">IMPRODUCT(AF20,IMDIV(AM20,IMPRODUCT(AG20,AJ20)))</f>
        <v>-0.0993037377970257+0.151149797755675i</v>
      </c>
      <c r="AQ20" s="98">
        <f t="shared" ref="AQ20:AQ83" si="60">20*LOG(IMABS(AP20))</f>
        <v>-14.853527335599971</v>
      </c>
      <c r="AR20" s="169">
        <f t="shared" ref="AR20:AR83" si="61">(180/PI())*IMARGUMENT(AP20)</f>
        <v>123.30446929009071</v>
      </c>
      <c r="AS20" s="168" t="str">
        <f t="shared" ref="AS20:AS83" si="62">IMPRODUCT(AC20,AP20)</f>
        <v>43.7420585087684+73.2777783103536i</v>
      </c>
      <c r="AT20" s="190">
        <f t="shared" ref="AT20:AT83" si="63">20*LOG(IMABS(AS20))</f>
        <v>38.623103383796483</v>
      </c>
      <c r="AU20" s="169">
        <f t="shared" ref="AU20:AU83" si="64">(180/PI())*IMARGUMENT(AS20)</f>
        <v>59.165551208013184</v>
      </c>
      <c r="AV20" s="225"/>
      <c r="AX20">
        <f t="shared" ref="AX20:AX83" si="65">SUM((AT21&lt;0)*(AT20&gt;0))*O20</f>
        <v>0</v>
      </c>
      <c r="AY20">
        <f t="shared" ref="AY20:AY83" si="66">IF(AX20&gt;0,AU20,0)</f>
        <v>0</v>
      </c>
    </row>
    <row r="21" spans="1:51" x14ac:dyDescent="0.3">
      <c r="A21" s="98" t="s">
        <v>33</v>
      </c>
      <c r="B21" s="205">
        <f>IOUT</f>
        <v>3.3599999999999998E-2</v>
      </c>
      <c r="C21" s="98" t="s">
        <v>11</v>
      </c>
      <c r="E21" s="98" t="s">
        <v>34</v>
      </c>
      <c r="N21" s="170">
        <v>3</v>
      </c>
      <c r="O21" s="199">
        <f t="shared" si="41"/>
        <v>10.715193052376069</v>
      </c>
      <c r="P21" s="189" t="str">
        <f t="shared" si="32"/>
        <v>1078.86904761905</v>
      </c>
      <c r="Q21" s="160" t="str">
        <f t="shared" si="33"/>
        <v>1+2.10392323594632i</v>
      </c>
      <c r="R21" s="160">
        <f t="shared" si="42"/>
        <v>2.3294834154281574</v>
      </c>
      <c r="S21" s="160">
        <f t="shared" si="43"/>
        <v>1.1271011963241744</v>
      </c>
      <c r="T21" s="160" t="str">
        <f t="shared" si="34"/>
        <v>1+1.34651087100564E-06i</v>
      </c>
      <c r="U21" s="160">
        <f t="shared" si="44"/>
        <v>1.0000000000009064</v>
      </c>
      <c r="V21" s="160">
        <f t="shared" si="45"/>
        <v>1.3465108710048263E-6</v>
      </c>
      <c r="W21" s="98" t="str">
        <f t="shared" si="35"/>
        <v>1-0.000973850522346121i</v>
      </c>
      <c r="X21" s="160">
        <f t="shared" si="46"/>
        <v>1.0000004741923074</v>
      </c>
      <c r="Y21" s="160">
        <f t="shared" si="47"/>
        <v>-9.7385021448460559E-4</v>
      </c>
      <c r="Z21" s="98" t="str">
        <f t="shared" si="36"/>
        <v>0.999999954073855+0.000384651669161479i</v>
      </c>
      <c r="AA21" s="160">
        <f t="shared" si="48"/>
        <v>1.0000000280523089</v>
      </c>
      <c r="AB21" s="160">
        <f t="shared" si="49"/>
        <v>3.8465166785642355E-4</v>
      </c>
      <c r="AC21" s="171" t="str">
        <f t="shared" si="50"/>
        <v>198.247374290362-418.561450361689i</v>
      </c>
      <c r="AD21" s="190">
        <f t="shared" si="51"/>
        <v>53.314186088068368</v>
      </c>
      <c r="AE21" s="169">
        <f t="shared" si="52"/>
        <v>-64.655900908449937</v>
      </c>
      <c r="AF21" s="98" t="str">
        <f t="shared" si="37"/>
        <v>-9.95024875621891E-06</v>
      </c>
      <c r="AG21" s="98" t="str">
        <f t="shared" si="38"/>
        <v>0.0000673928690938324i</v>
      </c>
      <c r="AH21" s="98">
        <f t="shared" si="53"/>
        <v>6.7392869093832404E-5</v>
      </c>
      <c r="AI21" s="98">
        <f t="shared" si="54"/>
        <v>1.5707963267948966</v>
      </c>
      <c r="AJ21" s="98" t="str">
        <f t="shared" si="39"/>
        <v>1+0.000672582852650171i</v>
      </c>
      <c r="AK21" s="98">
        <f t="shared" si="55"/>
        <v>1.0000002261838212</v>
      </c>
      <c r="AL21" s="98">
        <f t="shared" si="56"/>
        <v>6.7258275123194722E-4</v>
      </c>
      <c r="AM21" s="98" t="str">
        <f t="shared" si="40"/>
        <v>1+0.673255435502821i</v>
      </c>
      <c r="AN21" s="98">
        <f t="shared" si="57"/>
        <v>1.205517681925111</v>
      </c>
      <c r="AO21" s="98">
        <f t="shared" si="58"/>
        <v>0.59255019835063472</v>
      </c>
      <c r="AP21" s="168" t="str">
        <f t="shared" si="59"/>
        <v>-0.0993037357752124+0.147712214350214i</v>
      </c>
      <c r="AQ21" s="98">
        <f t="shared" si="60"/>
        <v>-14.992130421035831</v>
      </c>
      <c r="AR21" s="169">
        <f t="shared" si="61"/>
        <v>123.91208936211233</v>
      </c>
      <c r="AS21" s="168" t="str">
        <f t="shared" si="62"/>
        <v>42.1399337999025+70.8482743179519i</v>
      </c>
      <c r="AT21" s="190">
        <f t="shared" si="63"/>
        <v>38.322055667032537</v>
      </c>
      <c r="AU21" s="169">
        <f t="shared" si="64"/>
        <v>59.256188453662418</v>
      </c>
      <c r="AV21" s="225"/>
      <c r="AX21">
        <f t="shared" si="65"/>
        <v>0</v>
      </c>
      <c r="AY21">
        <f t="shared" si="66"/>
        <v>0</v>
      </c>
    </row>
    <row r="22" spans="1:51" x14ac:dyDescent="0.3">
      <c r="N22" s="170">
        <v>4</v>
      </c>
      <c r="O22" s="199">
        <f t="shared" si="41"/>
        <v>10.964781961431854</v>
      </c>
      <c r="P22" s="189" t="str">
        <f t="shared" si="32"/>
        <v>1078.86904761905</v>
      </c>
      <c r="Q22" s="160" t="str">
        <f t="shared" si="33"/>
        <v>1+2.15292990364051i</v>
      </c>
      <c r="R22" s="160">
        <f t="shared" si="42"/>
        <v>2.3738380673477995</v>
      </c>
      <c r="S22" s="160">
        <f t="shared" si="43"/>
        <v>1.1359635717790348</v>
      </c>
      <c r="T22" s="160" t="str">
        <f t="shared" si="34"/>
        <v>1+1.37787513832993E-06i</v>
      </c>
      <c r="U22" s="160">
        <f t="shared" si="44"/>
        <v>1.0000000000009492</v>
      </c>
      <c r="V22" s="160">
        <f t="shared" si="45"/>
        <v>1.3778751383290579E-6</v>
      </c>
      <c r="W22" s="98" t="str">
        <f t="shared" si="35"/>
        <v>1-0.000996534415045738i</v>
      </c>
      <c r="X22" s="160">
        <f t="shared" si="46"/>
        <v>1.0000004965402969</v>
      </c>
      <c r="Y22" s="160">
        <f t="shared" si="47"/>
        <v>-9.9653408516618995E-4</v>
      </c>
      <c r="Z22" s="98" t="str">
        <f t="shared" si="36"/>
        <v>0.999999951909423+0.000393611357522037i</v>
      </c>
      <c r="AA22" s="160">
        <f t="shared" si="48"/>
        <v>1.000000029374374</v>
      </c>
      <c r="AB22" s="160">
        <f t="shared" si="49"/>
        <v>3.9361135612364466E-4</v>
      </c>
      <c r="AC22" s="171" t="str">
        <f t="shared" si="50"/>
        <v>190.882399751159-412.454725062723i</v>
      </c>
      <c r="AD22" s="190">
        <f t="shared" si="51"/>
        <v>53.15035692819842</v>
      </c>
      <c r="AE22" s="169">
        <f t="shared" si="52"/>
        <v>-65.165488863810154</v>
      </c>
      <c r="AF22" s="98" t="str">
        <f t="shared" si="37"/>
        <v>-9.95024875621891E-06</v>
      </c>
      <c r="AG22" s="98" t="str">
        <f t="shared" si="38"/>
        <v>0.0000689626506734129i</v>
      </c>
      <c r="AH22" s="98">
        <f t="shared" si="53"/>
        <v>6.8962650673412904E-5</v>
      </c>
      <c r="AI22" s="98">
        <f t="shared" si="54"/>
        <v>1.5707963267948966</v>
      </c>
      <c r="AJ22" s="98" t="str">
        <f t="shared" si="39"/>
        <v>1+0.000688249319845119i</v>
      </c>
      <c r="AK22" s="98">
        <f t="shared" si="55"/>
        <v>1.000000236843535</v>
      </c>
      <c r="AL22" s="98">
        <f t="shared" si="56"/>
        <v>6.8824921117353573E-4</v>
      </c>
      <c r="AM22" s="98" t="str">
        <f t="shared" si="40"/>
        <v>1+0.688937569164964i</v>
      </c>
      <c r="AN22" s="98">
        <f t="shared" si="57"/>
        <v>1.2143454921096095</v>
      </c>
      <c r="AO22" s="98">
        <f t="shared" si="58"/>
        <v>0.60326286542206298</v>
      </c>
      <c r="AP22" s="168" t="str">
        <f t="shared" si="59"/>
        <v>-0.0993037336581142+0.144352949915877i</v>
      </c>
      <c r="AQ22" s="98">
        <f t="shared" si="60"/>
        <v>-15.128756909708956</v>
      </c>
      <c r="AR22" s="169">
        <f t="shared" si="61"/>
        <v>124.52498235059923</v>
      </c>
      <c r="AS22" s="168" t="str">
        <f t="shared" si="62"/>
        <v>40.5837212846353+68.5127316547608i</v>
      </c>
      <c r="AT22" s="190">
        <f t="shared" si="63"/>
        <v>38.021600018489465</v>
      </c>
      <c r="AU22" s="169">
        <f t="shared" si="64"/>
        <v>59.359493486789063</v>
      </c>
      <c r="AV22" s="225"/>
      <c r="AX22">
        <f t="shared" si="65"/>
        <v>0</v>
      </c>
      <c r="AY22">
        <f t="shared" si="66"/>
        <v>0</v>
      </c>
    </row>
    <row r="23" spans="1:51" x14ac:dyDescent="0.3">
      <c r="A23" s="98" t="s">
        <v>207</v>
      </c>
      <c r="N23" s="170">
        <v>5</v>
      </c>
      <c r="O23" s="199">
        <f t="shared" si="41"/>
        <v>11.220184543019636</v>
      </c>
      <c r="P23" s="189" t="str">
        <f t="shared" si="32"/>
        <v>1078.86904761905</v>
      </c>
      <c r="Q23" s="160" t="str">
        <f t="shared" si="33"/>
        <v>1+2.20307808326702i</v>
      </c>
      <c r="R23" s="160">
        <f t="shared" si="42"/>
        <v>2.4194117138204252</v>
      </c>
      <c r="S23" s="160">
        <f t="shared" si="43"/>
        <v>1.1446952922158808</v>
      </c>
      <c r="T23" s="160" t="str">
        <f t="shared" si="34"/>
        <v>1+1.40996997329089E-06i</v>
      </c>
      <c r="U23" s="160">
        <f t="shared" si="44"/>
        <v>1.0000000000009939</v>
      </c>
      <c r="V23" s="160">
        <f t="shared" si="45"/>
        <v>1.4099699732899558E-6</v>
      </c>
      <c r="W23" s="98" t="str">
        <f t="shared" si="35"/>
        <v>1-0.0010197466834829i</v>
      </c>
      <c r="X23" s="160">
        <f t="shared" si="46"/>
        <v>1.0000005199415141</v>
      </c>
      <c r="Y23" s="160">
        <f t="shared" si="47"/>
        <v>-1.0197463300106056E-3</v>
      </c>
      <c r="Z23" s="98" t="str">
        <f t="shared" si="36"/>
        <v>0.999999949642984+0.000402779743834415i</v>
      </c>
      <c r="AA23" s="160">
        <f t="shared" si="48"/>
        <v>1.0000000307587458</v>
      </c>
      <c r="AB23" s="160">
        <f t="shared" si="49"/>
        <v>4.0277974233601051E-4</v>
      </c>
      <c r="AC23" s="171" t="str">
        <f t="shared" si="50"/>
        <v>183.73297766599-406.311294679204i</v>
      </c>
      <c r="AD23" s="190">
        <f t="shared" si="51"/>
        <v>52.985183339403363</v>
      </c>
      <c r="AE23" s="169">
        <f t="shared" si="52"/>
        <v>-65.667633027328549</v>
      </c>
      <c r="AF23" s="98" t="str">
        <f t="shared" si="37"/>
        <v>-9.95024875621891E-06</v>
      </c>
      <c r="AG23" s="98" t="str">
        <f t="shared" si="38"/>
        <v>0.000070568997163209i</v>
      </c>
      <c r="AH23" s="98">
        <f t="shared" si="53"/>
        <v>7.0568997163208998E-5</v>
      </c>
      <c r="AI23" s="98">
        <f t="shared" si="54"/>
        <v>1.5707963267948966</v>
      </c>
      <c r="AJ23" s="98" t="str">
        <f t="shared" si="39"/>
        <v>1+0.000704280705939505i</v>
      </c>
      <c r="AK23" s="98">
        <f t="shared" si="55"/>
        <v>1.0000002480056256</v>
      </c>
      <c r="AL23" s="98">
        <f t="shared" si="56"/>
        <v>7.0428058949580715E-4</v>
      </c>
      <c r="AM23" s="98" t="str">
        <f t="shared" si="40"/>
        <v>1+0.704984986645445i</v>
      </c>
      <c r="AN23" s="98">
        <f t="shared" si="57"/>
        <v>1.2235210792607858</v>
      </c>
      <c r="AO23" s="98">
        <f t="shared" si="58"/>
        <v>0.61406376366012039</v>
      </c>
      <c r="AP23" s="168" t="str">
        <f t="shared" si="59"/>
        <v>-0.0993037314412402+0.141070223326184i</v>
      </c>
      <c r="AQ23" s="98">
        <f t="shared" si="60"/>
        <v>-15.263373187355135</v>
      </c>
      <c r="AR23" s="169">
        <f t="shared" si="61"/>
        <v>125.14290970427261</v>
      </c>
      <c r="AS23" s="168" t="str">
        <f t="shared" si="62"/>
        <v>39.0730548093034+66.2674798800923i</v>
      </c>
      <c r="AT23" s="190">
        <f t="shared" si="63"/>
        <v>37.721810152048235</v>
      </c>
      <c r="AU23" s="169">
        <f t="shared" si="64"/>
        <v>59.475276676944077</v>
      </c>
      <c r="AV23" s="225"/>
      <c r="AX23">
        <f t="shared" si="65"/>
        <v>0</v>
      </c>
      <c r="AY23">
        <f t="shared" si="66"/>
        <v>0</v>
      </c>
    </row>
    <row r="24" spans="1:51" x14ac:dyDescent="0.3">
      <c r="A24" s="98" t="s">
        <v>208</v>
      </c>
      <c r="B24" s="205">
        <f>Lm</f>
        <v>8.1999999999999998E-4</v>
      </c>
      <c r="C24" s="98" t="s">
        <v>98</v>
      </c>
      <c r="E24" s="98" t="s">
        <v>209</v>
      </c>
      <c r="N24" s="170">
        <v>6</v>
      </c>
      <c r="O24" s="199">
        <f t="shared" si="41"/>
        <v>11.481536214968834</v>
      </c>
      <c r="P24" s="189" t="str">
        <f t="shared" si="32"/>
        <v>1078.86904761905</v>
      </c>
      <c r="Q24" s="160" t="str">
        <f t="shared" si="33"/>
        <v>1+2.25439436405445i</v>
      </c>
      <c r="R24" s="160">
        <f t="shared" si="42"/>
        <v>2.4662307168390529</v>
      </c>
      <c r="S24" s="160">
        <f t="shared" si="43"/>
        <v>1.1532956604236317</v>
      </c>
      <c r="T24" s="160" t="str">
        <f t="shared" si="34"/>
        <v>1+1.44281239299485E-06i</v>
      </c>
      <c r="U24" s="160">
        <f t="shared" si="44"/>
        <v>1.0000000000010409</v>
      </c>
      <c r="V24" s="160">
        <f t="shared" si="45"/>
        <v>1.4428123929938488E-6</v>
      </c>
      <c r="W24" s="98" t="str">
        <f t="shared" si="35"/>
        <v>1-0.0010434996351096i</v>
      </c>
      <c r="X24" s="160">
        <f t="shared" si="46"/>
        <v>1.0000005444455962</v>
      </c>
      <c r="Y24" s="160">
        <f t="shared" si="47"/>
        <v>-1.0434992563572237E-3</v>
      </c>
      <c r="Z24" s="98" t="str">
        <f t="shared" si="36"/>
        <v>0.99999994726973+0.000412161689298394i</v>
      </c>
      <c r="AA24" s="160">
        <f t="shared" si="48"/>
        <v>1.0000000322083598</v>
      </c>
      <c r="AB24" s="160">
        <f t="shared" si="49"/>
        <v>4.1216168769282513E-4</v>
      </c>
      <c r="AC24" s="171" t="str">
        <f t="shared" si="50"/>
        <v>176.797031520571-400.139142622943i</v>
      </c>
      <c r="AD24" s="190">
        <f t="shared" si="51"/>
        <v>52.818705068041787</v>
      </c>
      <c r="AE24" s="169">
        <f t="shared" si="52"/>
        <v>-66.162294434462396</v>
      </c>
      <c r="AF24" s="98" t="str">
        <f t="shared" si="37"/>
        <v>-9.95024875621891E-06</v>
      </c>
      <c r="AG24" s="98" t="str">
        <f t="shared" si="38"/>
        <v>0.0000722127602693923i</v>
      </c>
      <c r="AH24" s="98">
        <f t="shared" si="53"/>
        <v>7.2212760269392301E-5</v>
      </c>
      <c r="AI24" s="98">
        <f t="shared" si="54"/>
        <v>1.5707963267948966</v>
      </c>
      <c r="AJ24" s="98" t="str">
        <f t="shared" si="39"/>
        <v>1+0.000720685510986439i</v>
      </c>
      <c r="AK24" s="98">
        <f t="shared" si="55"/>
        <v>1.0000002596937692</v>
      </c>
      <c r="AL24" s="98">
        <f t="shared" si="56"/>
        <v>7.2068538621477055E-4</v>
      </c>
      <c r="AM24" s="98" t="str">
        <f t="shared" si="40"/>
        <v>1+0.721406196497425i</v>
      </c>
      <c r="AN24" s="98">
        <f t="shared" si="57"/>
        <v>1.2330559193908772</v>
      </c>
      <c r="AO24" s="98">
        <f t="shared" si="58"/>
        <v>0.62494853972350617</v>
      </c>
      <c r="AP24" s="168" t="str">
        <f t="shared" si="59"/>
        <v>-0.0993037291198882+0.137862294036036i</v>
      </c>
      <c r="AQ24" s="98">
        <f t="shared" si="60"/>
        <v>-15.395946959460083</v>
      </c>
      <c r="AR24" s="169">
        <f t="shared" si="61"/>
        <v>125.765621508034</v>
      </c>
      <c r="AS24" s="168" t="str">
        <f t="shared" si="62"/>
        <v>37.6074956082924+64.1089533734803i</v>
      </c>
      <c r="AT24" s="190">
        <f t="shared" si="63"/>
        <v>37.422758108581704</v>
      </c>
      <c r="AU24" s="169">
        <f t="shared" si="64"/>
        <v>59.603327073571592</v>
      </c>
      <c r="AV24" s="225"/>
      <c r="AX24">
        <f t="shared" si="65"/>
        <v>0</v>
      </c>
      <c r="AY24">
        <f t="shared" si="66"/>
        <v>0</v>
      </c>
    </row>
    <row r="25" spans="1:51" x14ac:dyDescent="0.3">
      <c r="N25" s="170">
        <v>7</v>
      </c>
      <c r="O25" s="199">
        <f t="shared" si="41"/>
        <v>11.748975549395301</v>
      </c>
      <c r="P25" s="189" t="str">
        <f t="shared" si="32"/>
        <v>1078.86904761905</v>
      </c>
      <c r="Q25" s="160" t="str">
        <f t="shared" si="33"/>
        <v>1+2.30690595457415i</v>
      </c>
      <c r="R25" s="160">
        <f t="shared" si="42"/>
        <v>2.514321992754641</v>
      </c>
      <c r="S25" s="160">
        <f t="shared" si="43"/>
        <v>1.1617641462891213</v>
      </c>
      <c r="T25" s="160" t="str">
        <f t="shared" si="34"/>
        <v>1+1.47641981092746E-06i</v>
      </c>
      <c r="U25" s="160">
        <f t="shared" si="44"/>
        <v>1.0000000000010898</v>
      </c>
      <c r="V25" s="160">
        <f t="shared" si="45"/>
        <v>1.4764198109263873E-6</v>
      </c>
      <c r="W25" s="98" t="str">
        <f t="shared" si="35"/>
        <v>1-0.00106780586405517i</v>
      </c>
      <c r="X25" s="160">
        <f t="shared" si="46"/>
        <v>1.0000005701045191</v>
      </c>
      <c r="Y25" s="160">
        <f t="shared" si="47"/>
        <v>-1.0678054582146997E-3</v>
      </c>
      <c r="Z25" s="98" t="str">
        <f t="shared" si="36"/>
        <v>0.999999944784629+0.000421762168345644i</v>
      </c>
      <c r="AA25" s="160">
        <f t="shared" si="48"/>
        <v>1.0000000337262931</v>
      </c>
      <c r="AB25" s="160">
        <f t="shared" si="49"/>
        <v>4.2176216662524594E-4</v>
      </c>
      <c r="AC25" s="171" t="str">
        <f t="shared" si="50"/>
        <v>170.072167889087-393.945952620418i</v>
      </c>
      <c r="AD25" s="190">
        <f t="shared" si="51"/>
        <v>52.650961446029747</v>
      </c>
      <c r="AE25" s="169">
        <f t="shared" si="52"/>
        <v>-66.649443717564523</v>
      </c>
      <c r="AF25" s="98" t="str">
        <f t="shared" si="37"/>
        <v>-9.95024875621891E-06</v>
      </c>
      <c r="AG25" s="98" t="str">
        <f t="shared" si="38"/>
        <v>0.0000738948115369191i</v>
      </c>
      <c r="AH25" s="98">
        <f t="shared" si="53"/>
        <v>7.3894811536919094E-5</v>
      </c>
      <c r="AI25" s="98">
        <f t="shared" si="54"/>
        <v>1.5707963267948966</v>
      </c>
      <c r="AJ25" s="98" t="str">
        <f t="shared" si="39"/>
        <v>1+0.000737472433030697i</v>
      </c>
      <c r="AK25" s="98">
        <f t="shared" si="55"/>
        <v>1.0000002719327576</v>
      </c>
      <c r="AL25" s="98">
        <f t="shared" si="56"/>
        <v>7.3747229933544746E-4</v>
      </c>
      <c r="AM25" s="98" t="str">
        <f t="shared" si="40"/>
        <v>1+0.738209905463728i</v>
      </c>
      <c r="AN25" s="98">
        <f t="shared" si="57"/>
        <v>1.2429617309172338</v>
      </c>
      <c r="AO25" s="98">
        <f t="shared" si="58"/>
        <v>0.63591264816819815</v>
      </c>
      <c r="AP25" s="168" t="str">
        <f t="shared" si="59"/>
        <v>-0.0993037266891346+0.134727461158853i</v>
      </c>
      <c r="AQ25" s="98">
        <f t="shared" si="60"/>
        <v>-15.526447363506612</v>
      </c>
      <c r="AR25" s="169">
        <f t="shared" si="61"/>
        <v>126.39285682876557</v>
      </c>
      <c r="AS25" s="168" t="str">
        <f t="shared" si="62"/>
        <v>36.1865379528682+62.0336926027877i</v>
      </c>
      <c r="AT25" s="190">
        <f t="shared" si="63"/>
        <v>37.124514082523142</v>
      </c>
      <c r="AU25" s="169">
        <f t="shared" si="64"/>
        <v>59.743413111201079</v>
      </c>
      <c r="AV25" s="225"/>
      <c r="AX25">
        <f t="shared" si="65"/>
        <v>0</v>
      </c>
      <c r="AY25">
        <f t="shared" si="66"/>
        <v>0</v>
      </c>
    </row>
    <row r="26" spans="1:51" x14ac:dyDescent="0.3">
      <c r="A26" s="98" t="s">
        <v>160</v>
      </c>
      <c r="B26" s="205">
        <f>R_cs</f>
        <v>0.04</v>
      </c>
      <c r="C26" s="206" t="s">
        <v>36</v>
      </c>
      <c r="E26" s="98" t="s">
        <v>210</v>
      </c>
      <c r="N26" s="170">
        <v>8</v>
      </c>
      <c r="O26" s="199">
        <f t="shared" si="41"/>
        <v>12.022644346174133</v>
      </c>
      <c r="P26" s="189" t="str">
        <f t="shared" si="32"/>
        <v>1078.86904761905</v>
      </c>
      <c r="Q26" s="160" t="str">
        <f t="shared" si="33"/>
        <v>1+2.36064069716647i</v>
      </c>
      <c r="R26" s="160">
        <f t="shared" si="42"/>
        <v>2.5637130301807565</v>
      </c>
      <c r="S26" s="160">
        <f t="shared" si="43"/>
        <v>1.1701003803106353</v>
      </c>
      <c r="T26" s="160" t="str">
        <f t="shared" si="34"/>
        <v>1+1.51081004618654E-06i</v>
      </c>
      <c r="U26" s="160">
        <f t="shared" si="44"/>
        <v>1.0000000000011413</v>
      </c>
      <c r="V26" s="160">
        <f t="shared" si="45"/>
        <v>1.5108100461853905E-6</v>
      </c>
      <c r="W26" s="98" t="str">
        <f t="shared" si="35"/>
        <v>1-0.00109267825780395i</v>
      </c>
      <c r="X26" s="160">
        <f t="shared" si="46"/>
        <v>1.0000005969727095</v>
      </c>
      <c r="Y26" s="160">
        <f t="shared" si="47"/>
        <v>-1.0926778229380649E-3</v>
      </c>
      <c r="Z26" s="98" t="str">
        <f t="shared" si="36"/>
        <v>0.999999942182409+0.000431586271277233i</v>
      </c>
      <c r="AA26" s="160">
        <f t="shared" si="48"/>
        <v>1.0000000353157648</v>
      </c>
      <c r="AB26" s="160">
        <f t="shared" si="49"/>
        <v>4.3158626943379317E-4</v>
      </c>
      <c r="AC26" s="171" t="str">
        <f t="shared" si="50"/>
        <v>163.555702907999-387.739100209573i</v>
      </c>
      <c r="AD26" s="190">
        <f t="shared" si="51"/>
        <v>52.481991334589104</v>
      </c>
      <c r="AE26" s="169">
        <f t="shared" si="52"/>
        <v>-67.12906073476897</v>
      </c>
      <c r="AF26" s="98" t="str">
        <f t="shared" si="37"/>
        <v>-9.95024875621891E-06</v>
      </c>
      <c r="AG26" s="98" t="str">
        <f t="shared" si="38"/>
        <v>0.0000756160428116364i</v>
      </c>
      <c r="AH26" s="98">
        <f t="shared" si="53"/>
        <v>7.56160428116364E-5</v>
      </c>
      <c r="AI26" s="98">
        <f t="shared" si="54"/>
        <v>1.5707963267948966</v>
      </c>
      <c r="AJ26" s="98" t="str">
        <f t="shared" si="39"/>
        <v>1+0.000754650372720549i</v>
      </c>
      <c r="AK26" s="98">
        <f t="shared" si="55"/>
        <v>1.0000002847485518</v>
      </c>
      <c r="AL26" s="98">
        <f t="shared" si="56"/>
        <v>7.5465022946351031E-4</v>
      </c>
      <c r="AM26" s="98" t="str">
        <f t="shared" si="40"/>
        <v>1+0.75540502309327i</v>
      </c>
      <c r="AN26" s="98">
        <f t="shared" si="57"/>
        <v>1.2532504733350567</v>
      </c>
      <c r="AO26" s="98">
        <f t="shared" si="58"/>
        <v>0.64695135848051122</v>
      </c>
      <c r="AP26" s="168" t="str">
        <f t="shared" si="59"/>
        <v>-0.0993037241438229+0.131664062564734i</v>
      </c>
      <c r="AQ26" s="98">
        <f t="shared" si="60"/>
        <v>-15.654845078932354</v>
      </c>
      <c r="AR26" s="169">
        <f t="shared" si="61"/>
        <v>127.02434411803178</v>
      </c>
      <c r="AS26" s="168" t="str">
        <f t="shared" si="62"/>
        <v>34.8096147450619+60.0383449474834i</v>
      </c>
      <c r="AT26" s="190">
        <f t="shared" si="63"/>
        <v>36.82714625565675</v>
      </c>
      <c r="AU26" s="169">
        <f t="shared" si="64"/>
        <v>59.895283383262836</v>
      </c>
      <c r="AV26" s="225"/>
      <c r="AX26">
        <f t="shared" si="65"/>
        <v>0</v>
      </c>
      <c r="AY26">
        <f t="shared" si="66"/>
        <v>0</v>
      </c>
    </row>
    <row r="27" spans="1:51" x14ac:dyDescent="0.3">
      <c r="A27" s="98" t="s">
        <v>161</v>
      </c>
      <c r="B27" s="205">
        <f>R_sl</f>
        <v>2000</v>
      </c>
      <c r="C27" s="206" t="s">
        <v>36</v>
      </c>
      <c r="E27" s="98" t="s">
        <v>211</v>
      </c>
      <c r="N27" s="170">
        <v>9</v>
      </c>
      <c r="O27" s="199">
        <f t="shared" si="41"/>
        <v>12.302687708123818</v>
      </c>
      <c r="P27" s="189" t="str">
        <f t="shared" si="32"/>
        <v>1078.86904761905</v>
      </c>
      <c r="Q27" s="160" t="str">
        <f t="shared" si="33"/>
        <v>1+2.4156270827032i</v>
      </c>
      <c r="R27" s="160">
        <f t="shared" si="42"/>
        <v>2.6144319082143204</v>
      </c>
      <c r="S27" s="160">
        <f t="shared" si="43"/>
        <v>1.1783041469526723</v>
      </c>
      <c r="T27" s="160" t="str">
        <f t="shared" si="34"/>
        <v>1+1.54600133293005E-06i</v>
      </c>
      <c r="U27" s="160">
        <f t="shared" si="44"/>
        <v>1.000000000001195</v>
      </c>
      <c r="V27" s="160">
        <f t="shared" si="45"/>
        <v>1.5460013329288183E-6</v>
      </c>
      <c r="W27" s="98" t="str">
        <f t="shared" si="35"/>
        <v>1-0.00111813000402833i</v>
      </c>
      <c r="X27" s="160">
        <f t="shared" si="46"/>
        <v>1.0000006251071576</v>
      </c>
      <c r="Y27" s="160">
        <f t="shared" si="47"/>
        <v>-1.1181295380611547E-3</v>
      </c>
      <c r="Z27" s="98" t="str">
        <f t="shared" si="36"/>
        <v>0.99999993945755+0.000441639206962573i</v>
      </c>
      <c r="AA27" s="160">
        <f t="shared" si="48"/>
        <v>1.0000000369801456</v>
      </c>
      <c r="AB27" s="160">
        <f t="shared" si="49"/>
        <v>4.4163920498729154E-4</v>
      </c>
      <c r="AC27" s="171" t="str">
        <f t="shared" si="50"/>
        <v>157.244688328687-381.525646331736i</v>
      </c>
      <c r="AD27" s="190">
        <f t="shared" si="51"/>
        <v>52.311833072862214</v>
      </c>
      <c r="AE27" s="169">
        <f t="shared" si="52"/>
        <v>-67.601134189792418</v>
      </c>
      <c r="AF27" s="98" t="str">
        <f t="shared" si="37"/>
        <v>-9.95024875621891E-06</v>
      </c>
      <c r="AG27" s="98" t="str">
        <f t="shared" si="38"/>
        <v>0.000077377366713149i</v>
      </c>
      <c r="AH27" s="98">
        <f t="shared" si="53"/>
        <v>7.7377366713148998E-5</v>
      </c>
      <c r="AI27" s="98">
        <f t="shared" si="54"/>
        <v>1.5707963267948966</v>
      </c>
      <c r="AJ27" s="98" t="str">
        <f t="shared" si="39"/>
        <v>1+0.000772228438026998i</v>
      </c>
      <c r="AK27" s="98">
        <f t="shared" si="55"/>
        <v>1.0000002981683358</v>
      </c>
      <c r="AL27" s="98">
        <f t="shared" si="56"/>
        <v>7.7222828452431797E-4</v>
      </c>
      <c r="AM27" s="98" t="str">
        <f t="shared" si="40"/>
        <v>1+0.773000666465025i</v>
      </c>
      <c r="AN27" s="98">
        <f t="shared" si="57"/>
        <v>1.2639343457456058</v>
      </c>
      <c r="AO27" s="98">
        <f t="shared" si="58"/>
        <v>0.65805976309554814</v>
      </c>
      <c r="AP27" s="168" t="str">
        <f t="shared" si="59"/>
        <v>-0.0993037214785548+0.128670473999188i</v>
      </c>
      <c r="AQ27" s="98">
        <f t="shared" si="60"/>
        <v>-15.781112434025708</v>
      </c>
      <c r="AR27" s="169">
        <f t="shared" si="61"/>
        <v>127.6598016712298</v>
      </c>
      <c r="AS27" s="168" t="str">
        <f t="shared" si="62"/>
        <v>33.4761030225769+58.1196651013591i</v>
      </c>
      <c r="AT27" s="190">
        <f t="shared" si="63"/>
        <v>36.530720638836506</v>
      </c>
      <c r="AU27" s="169">
        <f t="shared" si="64"/>
        <v>60.058667481437432</v>
      </c>
      <c r="AV27" s="225"/>
      <c r="AX27">
        <f t="shared" si="65"/>
        <v>0</v>
      </c>
      <c r="AY27">
        <f t="shared" si="66"/>
        <v>0</v>
      </c>
    </row>
    <row r="28" spans="1:51" x14ac:dyDescent="0.3">
      <c r="A28" s="98" t="s">
        <v>146</v>
      </c>
      <c r="B28" s="207">
        <f>Rsl_int</f>
        <v>1333</v>
      </c>
      <c r="C28" s="206" t="s">
        <v>36</v>
      </c>
      <c r="E28" s="98" t="s">
        <v>212</v>
      </c>
      <c r="N28" s="170">
        <v>10</v>
      </c>
      <c r="O28" s="199">
        <f t="shared" si="41"/>
        <v>12.58925411794168</v>
      </c>
      <c r="P28" s="189" t="str">
        <f t="shared" si="32"/>
        <v>1078.86904761905</v>
      </c>
      <c r="Q28" s="160" t="str">
        <f t="shared" si="33"/>
        <v>1+2.47189426569379i</v>
      </c>
      <c r="R28" s="160">
        <f t="shared" si="42"/>
        <v>2.6665073149664975</v>
      </c>
      <c r="S28" s="160">
        <f t="shared" si="43"/>
        <v>1.1863753778852475</v>
      </c>
      <c r="T28" s="160" t="str">
        <f t="shared" si="34"/>
        <v>1+1.58201233004403E-06i</v>
      </c>
      <c r="U28" s="160">
        <f t="shared" si="44"/>
        <v>1.0000000000012514</v>
      </c>
      <c r="V28" s="160">
        <f t="shared" si="45"/>
        <v>1.58201233004271E-6</v>
      </c>
      <c r="W28" s="98" t="str">
        <f t="shared" si="35"/>
        <v>1-0.00114417459758104i</v>
      </c>
      <c r="X28" s="160">
        <f t="shared" si="46"/>
        <v>1.0000006545675406</v>
      </c>
      <c r="Y28" s="160">
        <f t="shared" si="47"/>
        <v>-1.1441740982882339E-3</v>
      </c>
      <c r="Z28" s="98" t="str">
        <f t="shared" si="36"/>
        <v>0.999999936604272+0.000451926305601231i</v>
      </c>
      <c r="AA28" s="160">
        <f t="shared" si="48"/>
        <v>1.0000000387229662</v>
      </c>
      <c r="AB28" s="160">
        <f t="shared" si="49"/>
        <v>4.5192630348467886E-4</v>
      </c>
      <c r="AC28" s="171" t="str">
        <f t="shared" si="50"/>
        <v>151.135937006436-375.312332893156i</v>
      </c>
      <c r="AD28" s="190">
        <f t="shared" si="51"/>
        <v>52.140524431304073</v>
      </c>
      <c r="AE28" s="169">
        <f t="shared" si="52"/>
        <v>-68.065661245133882</v>
      </c>
      <c r="AF28" s="98" t="str">
        <f t="shared" si="37"/>
        <v>-9.95024875621891E-06</v>
      </c>
      <c r="AG28" s="98" t="str">
        <f t="shared" si="38"/>
        <v>0.0000791797171187035i</v>
      </c>
      <c r="AH28" s="98">
        <f t="shared" si="53"/>
        <v>7.9179717118703499E-5</v>
      </c>
      <c r="AI28" s="98">
        <f t="shared" si="54"/>
        <v>1.5707963267948966</v>
      </c>
      <c r="AJ28" s="98" t="str">
        <f t="shared" si="39"/>
        <v>1+0.00079021594907294i</v>
      </c>
      <c r="AK28" s="98">
        <f t="shared" si="55"/>
        <v>1.0000003122205743</v>
      </c>
      <c r="AL28" s="98">
        <f t="shared" si="56"/>
        <v>7.9021578459185756E-4</v>
      </c>
      <c r="AM28" s="98" t="str">
        <f t="shared" si="40"/>
        <v>1+0.791006165022013i</v>
      </c>
      <c r="AN28" s="98">
        <f t="shared" si="57"/>
        <v>1.2750257852697851</v>
      </c>
      <c r="AO28" s="98">
        <f t="shared" si="58"/>
        <v>0.66923278638420458</v>
      </c>
      <c r="AP28" s="168" t="str">
        <f t="shared" si="59"/>
        <v>-0.0993037186876766+0.125745108221916i</v>
      </c>
      <c r="AQ28" s="98">
        <f t="shared" si="60"/>
        <v>-15.905223508986158</v>
      </c>
      <c r="AR28" s="169">
        <f t="shared" si="61"/>
        <v>128.2989381422334</v>
      </c>
      <c r="AS28" s="168" t="str">
        <f t="shared" si="62"/>
        <v>32.1853293445841+56.2745150807326i</v>
      </c>
      <c r="AT28" s="190">
        <f t="shared" si="63"/>
        <v>36.235300922317926</v>
      </c>
      <c r="AU28" s="169">
        <f t="shared" si="64"/>
        <v>60.233276897099564</v>
      </c>
      <c r="AV28" s="225"/>
      <c r="AX28">
        <f t="shared" si="65"/>
        <v>0</v>
      </c>
      <c r="AY28">
        <f t="shared" si="66"/>
        <v>0</v>
      </c>
    </row>
    <row r="29" spans="1:51" x14ac:dyDescent="0.3">
      <c r="A29" s="98" t="s">
        <v>144</v>
      </c>
      <c r="B29" s="207">
        <f>Isl</f>
        <v>2.9999999999999997E-5</v>
      </c>
      <c r="C29" s="206" t="s">
        <v>11</v>
      </c>
      <c r="E29" s="98" t="s">
        <v>213</v>
      </c>
      <c r="N29" s="170">
        <v>11</v>
      </c>
      <c r="O29" s="199">
        <f t="shared" si="41"/>
        <v>12.882495516931346</v>
      </c>
      <c r="P29" s="189" t="str">
        <f t="shared" si="32"/>
        <v>1078.86904761905</v>
      </c>
      <c r="Q29" s="160" t="str">
        <f t="shared" si="33"/>
        <v>1+2.52947207974343i</v>
      </c>
      <c r="R29" s="160">
        <f t="shared" si="42"/>
        <v>2.7199685663995368</v>
      </c>
      <c r="S29" s="160">
        <f t="shared" si="43"/>
        <v>1.1943141451483696</v>
      </c>
      <c r="T29" s="160" t="str">
        <f t="shared" si="34"/>
        <v>1+0.0000016188621310358i</v>
      </c>
      <c r="U29" s="160">
        <f t="shared" si="44"/>
        <v>1.0000000000013105</v>
      </c>
      <c r="V29" s="160">
        <f t="shared" si="45"/>
        <v>1.618862131034386E-6</v>
      </c>
      <c r="W29" s="98" t="str">
        <f t="shared" si="35"/>
        <v>1-0.00117082584765033i</v>
      </c>
      <c r="X29" s="160">
        <f t="shared" si="46"/>
        <v>1.0000006854163479</v>
      </c>
      <c r="Y29" s="160">
        <f t="shared" si="47"/>
        <v>-1.1708253126484691E-3</v>
      </c>
      <c r="Z29" s="98" t="str">
        <f t="shared" si="36"/>
        <v>0.999999933616524+0.00046245302154907i</v>
      </c>
      <c r="AA29" s="160">
        <f t="shared" si="48"/>
        <v>1.0000000405479239</v>
      </c>
      <c r="AB29" s="160">
        <f t="shared" si="49"/>
        <v>4.6245301928114324E-4</v>
      </c>
      <c r="AC29" s="171" t="str">
        <f t="shared" si="50"/>
        <v>145.22604770141-369.105580164519i</v>
      </c>
      <c r="AD29" s="190">
        <f t="shared" si="51"/>
        <v>51.968102569734299</v>
      </c>
      <c r="AE29" s="169">
        <f t="shared" si="52"/>
        <v>-68.522647130998379</v>
      </c>
      <c r="AF29" s="98" t="str">
        <f t="shared" si="37"/>
        <v>-9.95024875621891E-06</v>
      </c>
      <c r="AG29" s="98" t="str">
        <f t="shared" si="38"/>
        <v>0.0000810240496583417i</v>
      </c>
      <c r="AH29" s="98">
        <f t="shared" si="53"/>
        <v>8.1024049658341704E-5</v>
      </c>
      <c r="AI29" s="98">
        <f t="shared" si="54"/>
        <v>1.5707963267948966</v>
      </c>
      <c r="AJ29" s="98" t="str">
        <f t="shared" si="39"/>
        <v>1+0.000808622443074824i</v>
      </c>
      <c r="AK29" s="98">
        <f t="shared" si="55"/>
        <v>1.0000003269350743</v>
      </c>
      <c r="AL29" s="98">
        <f t="shared" si="56"/>
        <v>8.0862226683017194E-4</v>
      </c>
      <c r="AM29" s="98" t="str">
        <f t="shared" si="40"/>
        <v>1+0.809431065517899i</v>
      </c>
      <c r="AN29" s="98">
        <f t="shared" si="57"/>
        <v>1.2865374653796295</v>
      </c>
      <c r="AO29" s="98">
        <f t="shared" si="58"/>
        <v>0.68046519458269661</v>
      </c>
      <c r="AP29" s="168" t="str">
        <f t="shared" si="59"/>
        <v>-0.0993037157652684+0.122886414165249i</v>
      </c>
      <c r="AQ29" s="98">
        <f t="shared" si="60"/>
        <v>-16.027154234373484</v>
      </c>
      <c r="AR29" s="169">
        <f t="shared" si="61"/>
        <v>128.9414531120272</v>
      </c>
      <c r="AS29" s="168" t="str">
        <f t="shared" si="62"/>
        <v>30.9365750321475+54.4998638654496i</v>
      </c>
      <c r="AT29" s="190">
        <f t="shared" si="63"/>
        <v>35.940948335360829</v>
      </c>
      <c r="AU29" s="169">
        <f t="shared" si="64"/>
        <v>60.418805981028797</v>
      </c>
      <c r="AV29" s="225"/>
      <c r="AX29">
        <f t="shared" si="65"/>
        <v>0</v>
      </c>
      <c r="AY29">
        <f t="shared" si="66"/>
        <v>0</v>
      </c>
    </row>
    <row r="30" spans="1:51" x14ac:dyDescent="0.3">
      <c r="C30" s="206"/>
      <c r="N30" s="170">
        <v>12</v>
      </c>
      <c r="O30" s="199">
        <f t="shared" si="41"/>
        <v>13.182567385564075</v>
      </c>
      <c r="P30" s="189" t="str">
        <f t="shared" si="32"/>
        <v>1078.86904761905</v>
      </c>
      <c r="Q30" s="160" t="str">
        <f t="shared" si="33"/>
        <v>1+2.58839105337128i</v>
      </c>
      <c r="R30" s="160">
        <f t="shared" si="42"/>
        <v>2.7748456254668445</v>
      </c>
      <c r="S30" s="160">
        <f t="shared" si="43"/>
        <v>1.2021206542794634</v>
      </c>
      <c r="T30" s="160" t="str">
        <f t="shared" si="34"/>
        <v>1+1.65657027415762E-06i</v>
      </c>
      <c r="U30" s="160">
        <f t="shared" si="44"/>
        <v>1.0000000000013722</v>
      </c>
      <c r="V30" s="160">
        <f t="shared" si="45"/>
        <v>1.6565702741561047E-6</v>
      </c>
      <c r="W30" s="98" t="str">
        <f t="shared" si="35"/>
        <v>1-0.00119809788508176i</v>
      </c>
      <c r="X30" s="160">
        <f t="shared" si="46"/>
        <v>1.0000007177190136</v>
      </c>
      <c r="Y30" s="160">
        <f t="shared" si="47"/>
        <v>-1.1980973118169598E-3</v>
      </c>
      <c r="Z30" s="98" t="str">
        <f t="shared" si="36"/>
        <v>0.999999930487967+0.000473224936210224i</v>
      </c>
      <c r="AA30" s="160">
        <f t="shared" si="48"/>
        <v>1.0000000424588886</v>
      </c>
      <c r="AB30" s="160">
        <f t="shared" si="49"/>
        <v>4.7322493378009666E-4</v>
      </c>
      <c r="AC30" s="171" t="str">
        <f t="shared" si="50"/>
        <v>139.511429085008-362.911485883074i</v>
      </c>
      <c r="AD30" s="190">
        <f t="shared" si="51"/>
        <v>51.794603999911828</v>
      </c>
      <c r="AE30" s="169">
        <f t="shared" si="52"/>
        <v>-68.972104752112259</v>
      </c>
      <c r="AF30" s="98" t="str">
        <f t="shared" si="37"/>
        <v>-9.95024875621891E-06</v>
      </c>
      <c r="AG30" s="98" t="str">
        <f t="shared" si="38"/>
        <v>0.0000829113422215889i</v>
      </c>
      <c r="AH30" s="98">
        <f t="shared" si="53"/>
        <v>8.2911342221588896E-5</v>
      </c>
      <c r="AI30" s="98">
        <f t="shared" si="54"/>
        <v>1.5707963267948966</v>
      </c>
      <c r="AJ30" s="98" t="str">
        <f t="shared" si="39"/>
        <v>1+0.000827457679399411i</v>
      </c>
      <c r="AK30" s="98">
        <f t="shared" si="55"/>
        <v>1.000000342343047</v>
      </c>
      <c r="AL30" s="98">
        <f t="shared" si="56"/>
        <v>8.2745749054986741E-4</v>
      </c>
      <c r="AM30" s="98" t="str">
        <f t="shared" si="40"/>
        <v>1+0.82828513707881i</v>
      </c>
      <c r="AN30" s="98">
        <f t="shared" si="57"/>
        <v>1.2984822941825827</v>
      </c>
      <c r="AO30" s="98">
        <f t="shared" si="58"/>
        <v>0.69175160662923607</v>
      </c>
      <c r="AP30" s="168" t="str">
        <f t="shared" si="59"/>
        <v>-0.0993037127051316+0.120092876111743i</v>
      </c>
      <c r="AQ30" s="98">
        <f t="shared" si="60"/>
        <v>-16.146882484188648</v>
      </c>
      <c r="AR30" s="169">
        <f t="shared" si="61"/>
        <v>129.58703770931433</v>
      </c>
      <c r="AS30" s="168" t="str">
        <f t="shared" si="62"/>
        <v>29.7290812407446+52.7927867008033i</v>
      </c>
      <c r="AT30" s="190">
        <f t="shared" si="63"/>
        <v>35.647721515723184</v>
      </c>
      <c r="AU30" s="169">
        <f t="shared" si="64"/>
        <v>60.614932957202072</v>
      </c>
      <c r="AV30" s="225"/>
      <c r="AX30">
        <f t="shared" si="65"/>
        <v>0</v>
      </c>
      <c r="AY30">
        <f t="shared" si="66"/>
        <v>0</v>
      </c>
    </row>
    <row r="31" spans="1:51" x14ac:dyDescent="0.3">
      <c r="A31" s="98" t="s">
        <v>236</v>
      </c>
      <c r="B31" s="207">
        <f>Gcomp</f>
        <v>0.14499999999999999</v>
      </c>
      <c r="C31" s="206"/>
      <c r="E31" s="98" t="s">
        <v>237</v>
      </c>
      <c r="N31" s="170">
        <v>13</v>
      </c>
      <c r="O31" s="199">
        <f t="shared" si="41"/>
        <v>13.489628825916535</v>
      </c>
      <c r="P31" s="189" t="str">
        <f t="shared" si="32"/>
        <v>1078.86904761905</v>
      </c>
      <c r="Q31" s="160" t="str">
        <f t="shared" si="33"/>
        <v>1+2.64868242619703i</v>
      </c>
      <c r="R31" s="160">
        <f t="shared" si="42"/>
        <v>2.8311691215547308</v>
      </c>
      <c r="S31" s="160">
        <f t="shared" si="43"/>
        <v>1.2097952374385603</v>
      </c>
      <c r="T31" s="160" t="str">
        <f t="shared" si="34"/>
        <v>1+0.0000016951567527661i</v>
      </c>
      <c r="U31" s="160">
        <f t="shared" si="44"/>
        <v>1.0000000000014366</v>
      </c>
      <c r="V31" s="160">
        <f t="shared" si="45"/>
        <v>1.6951567527644762E-6</v>
      </c>
      <c r="W31" s="98" t="str">
        <f t="shared" si="35"/>
        <v>1-0.00122600516987055i</v>
      </c>
      <c r="X31" s="160">
        <f t="shared" si="46"/>
        <v>1.0000007515440559</v>
      </c>
      <c r="Y31" s="160">
        <f t="shared" si="47"/>
        <v>-1.2260045556062745E-3</v>
      </c>
      <c r="Z31" s="98" t="str">
        <f t="shared" si="36"/>
        <v>0.999999927211966+0.000484247760996429i</v>
      </c>
      <c r="AA31" s="160">
        <f t="shared" si="48"/>
        <v>1.0000000444599149</v>
      </c>
      <c r="AB31" s="160">
        <f t="shared" si="49"/>
        <v>4.8424775839250059E-4</v>
      </c>
      <c r="AC31" s="171" t="str">
        <f t="shared" si="50"/>
        <v>133.988322862079-356.73582592i</v>
      </c>
      <c r="AD31" s="190">
        <f t="shared" si="51"/>
        <v>51.620064552475853</v>
      </c>
      <c r="AE31" s="169">
        <f t="shared" si="52"/>
        <v>-69.414054294423977</v>
      </c>
      <c r="AF31" s="98" t="str">
        <f t="shared" si="37"/>
        <v>-9.95024875621891E-06</v>
      </c>
      <c r="AG31" s="98" t="str">
        <f t="shared" si="38"/>
        <v>0.0000848425954759433i</v>
      </c>
      <c r="AH31" s="98">
        <f t="shared" si="53"/>
        <v>8.4842595475943306E-5</v>
      </c>
      <c r="AI31" s="98">
        <f t="shared" si="54"/>
        <v>1.5707963267948966</v>
      </c>
      <c r="AJ31" s="98" t="str">
        <f t="shared" si="39"/>
        <v>1+0.000846731644738312i</v>
      </c>
      <c r="AK31" s="98">
        <f t="shared" si="55"/>
        <v>1.0000003584771748</v>
      </c>
      <c r="AL31" s="98">
        <f t="shared" si="56"/>
        <v>8.4673144238238418E-4</v>
      </c>
      <c r="AM31" s="98" t="str">
        <f t="shared" si="40"/>
        <v>1+0.84757837638305i</v>
      </c>
      <c r="AN31" s="98">
        <f t="shared" si="57"/>
        <v>1.3108734126955688</v>
      </c>
      <c r="AO31" s="98">
        <f t="shared" si="58"/>
        <v>0.70308650586322563</v>
      </c>
      <c r="AP31" s="168" t="str">
        <f t="shared" si="59"/>
        <v>-0.0993037095007752+0.117363012890531i</v>
      </c>
      <c r="AQ31" s="98">
        <f t="shared" si="60"/>
        <v>-16.264388162847617</v>
      </c>
      <c r="AR31" s="169">
        <f t="shared" si="61"/>
        <v>130.2353752805333</v>
      </c>
      <c r="AS31" s="168" t="str">
        <f t="shared" si="62"/>
        <v>28.5620538459712+51.1504640889216i</v>
      </c>
      <c r="AT31" s="190">
        <f t="shared" si="63"/>
        <v>35.355676389628236</v>
      </c>
      <c r="AU31" s="169">
        <f t="shared" si="64"/>
        <v>60.821320986109349</v>
      </c>
      <c r="AV31" s="225"/>
      <c r="AX31">
        <f t="shared" si="65"/>
        <v>0</v>
      </c>
      <c r="AY31">
        <f t="shared" si="66"/>
        <v>0</v>
      </c>
    </row>
    <row r="32" spans="1:51" x14ac:dyDescent="0.3">
      <c r="N32" s="170">
        <v>14</v>
      </c>
      <c r="O32" s="199">
        <f t="shared" si="41"/>
        <v>13.803842646028857</v>
      </c>
      <c r="P32" s="189" t="str">
        <f t="shared" si="32"/>
        <v>1078.86904761905</v>
      </c>
      <c r="Q32" s="160" t="str">
        <f t="shared" si="33"/>
        <v>1+2.71037816550461i</v>
      </c>
      <c r="R32" s="160">
        <f t="shared" si="42"/>
        <v>2.8889703702260663</v>
      </c>
      <c r="S32" s="160">
        <f t="shared" si="43"/>
        <v>1.2173383465632128</v>
      </c>
      <c r="T32" s="160" t="str">
        <f t="shared" si="34"/>
        <v>1+1.73464202592295E-06i</v>
      </c>
      <c r="U32" s="160">
        <f t="shared" si="44"/>
        <v>1.0000000000015046</v>
      </c>
      <c r="V32" s="160">
        <f t="shared" si="45"/>
        <v>1.7346420259212101E-6</v>
      </c>
      <c r="W32" s="98" t="str">
        <f t="shared" si="35"/>
        <v>1-0.00125456249882852i</v>
      </c>
      <c r="X32" s="160">
        <f t="shared" si="46"/>
        <v>1.0000007869632221</v>
      </c>
      <c r="Y32" s="160">
        <f t="shared" si="47"/>
        <v>-1.2545618406325184E-3</v>
      </c>
      <c r="Z32" s="98" t="str">
        <f t="shared" si="36"/>
        <v>0.999999923781571+0.000495527340355291i</v>
      </c>
      <c r="AA32" s="160">
        <f t="shared" si="48"/>
        <v>1.0000000465552452</v>
      </c>
      <c r="AB32" s="160">
        <f t="shared" si="49"/>
        <v>4.9552733756513172E-4</v>
      </c>
      <c r="AC32" s="171" t="str">
        <f t="shared" si="50"/>
        <v>128.652825935701-350.584056375562i</v>
      </c>
      <c r="AD32" s="190">
        <f t="shared" si="51"/>
        <v>51.444519348083787</v>
      </c>
      <c r="AE32" s="169">
        <f t="shared" si="52"/>
        <v>-69.848522833521272</v>
      </c>
      <c r="AF32" s="98" t="str">
        <f t="shared" si="37"/>
        <v>-9.95024875621891E-06</v>
      </c>
      <c r="AG32" s="98" t="str">
        <f t="shared" si="38"/>
        <v>0.0000868188333974437i</v>
      </c>
      <c r="AH32" s="98">
        <f t="shared" si="53"/>
        <v>8.6818833397443702E-5</v>
      </c>
      <c r="AI32" s="98">
        <f t="shared" si="54"/>
        <v>1.5707963267948966</v>
      </c>
      <c r="AJ32" s="98" t="str">
        <f t="shared" si="39"/>
        <v>1+0.000866454558403072i</v>
      </c>
      <c r="AK32" s="98">
        <f t="shared" si="55"/>
        <v>1.0000003753716804</v>
      </c>
      <c r="AL32" s="98">
        <f t="shared" si="56"/>
        <v>8.664543415747932E-4</v>
      </c>
      <c r="AM32" s="98" t="str">
        <f t="shared" si="40"/>
        <v>1+0.867321012961475i</v>
      </c>
      <c r="AN32" s="98">
        <f t="shared" si="57"/>
        <v>1.3237241931476962</v>
      </c>
      <c r="AO32" s="98">
        <f t="shared" si="58"/>
        <v>0.71446425253329238</v>
      </c>
      <c r="AP32" s="168" t="str">
        <f t="shared" si="59"/>
        <v>-0.0993037061454022+0.11469537709198i</v>
      </c>
      <c r="AQ32" s="98">
        <f t="shared" si="60"/>
        <v>-16.379653285344165</v>
      </c>
      <c r="AR32" s="169">
        <f t="shared" si="61"/>
        <v>130.88614210621367</v>
      </c>
      <c r="AS32" s="168" t="str">
        <f t="shared" si="62"/>
        <v>27.4346681269366+49.570180498226i</v>
      </c>
      <c r="AT32" s="190">
        <f t="shared" si="63"/>
        <v>35.064866062739611</v>
      </c>
      <c r="AU32" s="169">
        <f t="shared" si="64"/>
        <v>61.037619272692417</v>
      </c>
      <c r="AV32" s="225"/>
      <c r="AX32">
        <f t="shared" si="65"/>
        <v>0</v>
      </c>
      <c r="AY32">
        <f t="shared" si="66"/>
        <v>0</v>
      </c>
    </row>
    <row r="33" spans="1:51" x14ac:dyDescent="0.3">
      <c r="N33" s="170">
        <v>15</v>
      </c>
      <c r="O33" s="199">
        <f t="shared" si="41"/>
        <v>14.125375446227544</v>
      </c>
      <c r="P33" s="189" t="str">
        <f t="shared" si="32"/>
        <v>1078.86904761905</v>
      </c>
      <c r="Q33" s="160" t="str">
        <f t="shared" si="33"/>
        <v>1+2.77351098319163i</v>
      </c>
      <c r="R33" s="160">
        <f t="shared" si="42"/>
        <v>2.9482813932670342</v>
      </c>
      <c r="S33" s="160">
        <f t="shared" si="43"/>
        <v>1.224750546582094</v>
      </c>
      <c r="T33" s="160" t="str">
        <f t="shared" si="34"/>
        <v>1+1.77504702924264E-06i</v>
      </c>
      <c r="U33" s="160">
        <f t="shared" si="44"/>
        <v>1.0000000000015754</v>
      </c>
      <c r="V33" s="160">
        <f t="shared" si="45"/>
        <v>1.7750470292407757E-6</v>
      </c>
      <c r="W33" s="98" t="str">
        <f t="shared" si="35"/>
        <v>1-0.00128378501342945i</v>
      </c>
      <c r="X33" s="160">
        <f t="shared" si="46"/>
        <v>1.0000008240516407</v>
      </c>
      <c r="Y33" s="160">
        <f t="shared" si="47"/>
        <v>-1.283784308159759E-3</v>
      </c>
      <c r="Z33" s="98" t="str">
        <f t="shared" si="36"/>
        <v>0.999999920189507+0.000507069654869089i</v>
      </c>
      <c r="AA33" s="160">
        <f t="shared" si="48"/>
        <v>1.0000000487493264</v>
      </c>
      <c r="AB33" s="160">
        <f t="shared" si="49"/>
        <v>5.0706965187937954E-4</v>
      </c>
      <c r="AC33" s="171" t="str">
        <f t="shared" si="50"/>
        <v>123.500911556448-344.461316965769i</v>
      </c>
      <c r="AD33" s="190">
        <f t="shared" si="51"/>
        <v>51.268002772561317</v>
      </c>
      <c r="AE33" s="169">
        <f t="shared" si="52"/>
        <v>-70.275543946426041</v>
      </c>
      <c r="AF33" s="98" t="str">
        <f t="shared" si="37"/>
        <v>-9.95024875621891E-06</v>
      </c>
      <c r="AG33" s="98" t="str">
        <f t="shared" si="38"/>
        <v>0.0000888411038135943i</v>
      </c>
      <c r="AH33" s="98">
        <f t="shared" si="53"/>
        <v>8.8841103813594303E-5</v>
      </c>
      <c r="AI33" s="98">
        <f t="shared" si="54"/>
        <v>1.5707963267948966</v>
      </c>
      <c r="AJ33" s="98" t="str">
        <f t="shared" si="39"/>
        <v>1+0.000886636877743578i</v>
      </c>
      <c r="AK33" s="98">
        <f t="shared" si="55"/>
        <v>1.0000003930623993</v>
      </c>
      <c r="AL33" s="98">
        <f t="shared" si="56"/>
        <v>8.8663664540789629E-4</v>
      </c>
      <c r="AM33" s="98" t="str">
        <f t="shared" si="40"/>
        <v>1+0.887523514621322i</v>
      </c>
      <c r="AN33" s="98">
        <f t="shared" si="57"/>
        <v>1.3370482373518855</v>
      </c>
      <c r="AO33" s="98">
        <f t="shared" si="58"/>
        <v>0.72587909705173403</v>
      </c>
      <c r="AP33" s="168" t="str">
        <f t="shared" si="59"/>
        <v>-0.0993037026318958+0.112088554300263i</v>
      </c>
      <c r="AQ33" s="98">
        <f t="shared" si="60"/>
        <v>-16.492662049937103</v>
      </c>
      <c r="AR33" s="169">
        <f t="shared" si="61"/>
        <v>131.53900816008772</v>
      </c>
      <c r="AS33" s="168" t="str">
        <f t="shared" si="62"/>
        <v>26.3460732350881+48.0493228192868i</v>
      </c>
      <c r="AT33" s="190">
        <f t="shared" si="63"/>
        <v>34.775340722624215</v>
      </c>
      <c r="AU33" s="169">
        <f t="shared" si="64"/>
        <v>61.263464213661713</v>
      </c>
      <c r="AV33" s="225"/>
      <c r="AX33">
        <f t="shared" si="65"/>
        <v>0</v>
      </c>
      <c r="AY33">
        <f t="shared" si="66"/>
        <v>0</v>
      </c>
    </row>
    <row r="34" spans="1:51" x14ac:dyDescent="0.3">
      <c r="N34" s="170">
        <v>16</v>
      </c>
      <c r="O34" s="199">
        <f t="shared" si="41"/>
        <v>14.454397707459275</v>
      </c>
      <c r="P34" s="189" t="str">
        <f t="shared" si="32"/>
        <v>1078.86904761905</v>
      </c>
      <c r="Q34" s="160" t="str">
        <f t="shared" si="33"/>
        <v>1+2.8381143531137i</v>
      </c>
      <c r="R34" s="160">
        <f t="shared" si="42"/>
        <v>3.0091349390397895</v>
      </c>
      <c r="S34" s="160">
        <f t="shared" si="43"/>
        <v>1.232032508713427</v>
      </c>
      <c r="T34" s="160" t="str">
        <f t="shared" si="34"/>
        <v>1+1.81639318599277E-06i</v>
      </c>
      <c r="U34" s="160">
        <f t="shared" si="44"/>
        <v>1.0000000000016498</v>
      </c>
      <c r="V34" s="160">
        <f t="shared" si="45"/>
        <v>1.8163931859907726E-6</v>
      </c>
      <c r="W34" s="98" t="str">
        <f t="shared" si="35"/>
        <v>1-0.00131368820783741i</v>
      </c>
      <c r="X34" s="160">
        <f t="shared" si="46"/>
        <v>1.0000008628879813</v>
      </c>
      <c r="Y34" s="160">
        <f t="shared" si="47"/>
        <v>-1.3136874521273558E-3</v>
      </c>
      <c r="Z34" s="98" t="str">
        <f t="shared" si="36"/>
        <v>0.999999916428155+0.00051888082442576i</v>
      </c>
      <c r="AA34" s="160">
        <f t="shared" si="48"/>
        <v>1.0000000510468121</v>
      </c>
      <c r="AB34" s="160">
        <f t="shared" si="49"/>
        <v>5.1888082122222812E-4</v>
      </c>
      <c r="AC34" s="171" t="str">
        <f t="shared" si="50"/>
        <v>118.528449412333-338.372435567005i</v>
      </c>
      <c r="AD34" s="190">
        <f t="shared" si="51"/>
        <v>51.090548455873574</v>
      </c>
      <c r="AE34" s="169">
        <f t="shared" si="52"/>
        <v>-70.695157328263235</v>
      </c>
      <c r="AF34" s="98" t="str">
        <f t="shared" si="37"/>
        <v>-9.95024875621891E-06</v>
      </c>
      <c r="AG34" s="98" t="str">
        <f t="shared" si="38"/>
        <v>0.0000909104789589381i</v>
      </c>
      <c r="AH34" s="98">
        <f t="shared" si="53"/>
        <v>9.0910478958938098E-5</v>
      </c>
      <c r="AI34" s="98">
        <f t="shared" si="54"/>
        <v>1.5707963267948966</v>
      </c>
      <c r="AJ34" s="98" t="str">
        <f t="shared" si="39"/>
        <v>1+0.000907289303692691i</v>
      </c>
      <c r="AK34" s="98">
        <f t="shared" si="55"/>
        <v>1.0000004115868557</v>
      </c>
      <c r="AL34" s="98">
        <f t="shared" si="56"/>
        <v>9.0728905474052833E-4</v>
      </c>
      <c r="AM34" s="98" t="str">
        <f t="shared" si="40"/>
        <v>1+0.908196592996384i</v>
      </c>
      <c r="AN34" s="98">
        <f t="shared" si="57"/>
        <v>1.3508593751868623</v>
      </c>
      <c r="AO34" s="98">
        <f t="shared" si="58"/>
        <v>0.7373251939247355</v>
      </c>
      <c r="AP34" s="168" t="str">
        <f t="shared" si="59"/>
        <v>-0.099303698952803+0.109541162343408i</v>
      </c>
      <c r="AQ34" s="98">
        <f t="shared" si="60"/>
        <v>-16.603400902750664</v>
      </c>
      <c r="AR34" s="169">
        <f t="shared" si="61"/>
        <v>132.19363790691722</v>
      </c>
      <c r="AS34" s="168" t="str">
        <f t="shared" si="62"/>
        <v>25.2953964391948+46.5853785948614i</v>
      </c>
      <c r="AT34" s="190">
        <f t="shared" si="63"/>
        <v>34.487147553122909</v>
      </c>
      <c r="AU34" s="169">
        <f t="shared" si="64"/>
        <v>61.498480578654039</v>
      </c>
      <c r="AV34" s="225"/>
      <c r="AX34">
        <f t="shared" si="65"/>
        <v>0</v>
      </c>
      <c r="AY34">
        <f t="shared" si="66"/>
        <v>0</v>
      </c>
    </row>
    <row r="35" spans="1:51" x14ac:dyDescent="0.3">
      <c r="A35" s="98" t="s">
        <v>235</v>
      </c>
      <c r="B35" s="208">
        <f>IF(Dc_Mode_Loop="CCM",(Gcomp*(VIN_var/VOUT)*(VOUT/IOUT))/(2*R_cs*Acs),K35*K37)</f>
        <v>1078.8690476190475</v>
      </c>
      <c r="C35" s="98" t="s">
        <v>180</v>
      </c>
      <c r="E35" s="98" t="s">
        <v>239</v>
      </c>
      <c r="J35" s="98" t="s">
        <v>546</v>
      </c>
      <c r="K35" s="98">
        <f>Fsw/((1+B45/B46)*B46)</f>
        <v>9.1119413102082643</v>
      </c>
      <c r="N35" s="170">
        <v>17</v>
      </c>
      <c r="O35" s="199">
        <f t="shared" si="41"/>
        <v>14.791083881682074</v>
      </c>
      <c r="P35" s="189" t="str">
        <f t="shared" si="32"/>
        <v>1078.86904761905</v>
      </c>
      <c r="Q35" s="160" t="str">
        <f t="shared" si="33"/>
        <v>1+2.90422252883267i</v>
      </c>
      <c r="R35" s="160">
        <f t="shared" si="42"/>
        <v>3.0715645031448107</v>
      </c>
      <c r="S35" s="160">
        <f t="shared" si="43"/>
        <v>1.2391850038715246</v>
      </c>
      <c r="T35" s="160" t="str">
        <f t="shared" si="34"/>
        <v>1+1.85870241845291E-06i</v>
      </c>
      <c r="U35" s="160">
        <f t="shared" si="44"/>
        <v>1.0000000000017275</v>
      </c>
      <c r="V35" s="160">
        <f t="shared" si="45"/>
        <v>1.8587024184507695E-6</v>
      </c>
      <c r="W35" s="98" t="str">
        <f t="shared" si="35"/>
        <v>1-0.00134428793712188i</v>
      </c>
      <c r="X35" s="160">
        <f t="shared" si="46"/>
        <v>1.0000009035546207</v>
      </c>
      <c r="Y35" s="160">
        <f t="shared" si="47"/>
        <v>-1.3442871273640074E-3</v>
      </c>
      <c r="Z35" s="98" t="str">
        <f t="shared" si="36"/>
        <v>0.999999912489535+0.00053096711146374i</v>
      </c>
      <c r="AA35" s="160">
        <f t="shared" si="48"/>
        <v>1.0000000534525741</v>
      </c>
      <c r="AB35" s="160">
        <f t="shared" si="49"/>
        <v>5.3096710803109386E-4</v>
      </c>
      <c r="AC35" s="171" t="str">
        <f t="shared" si="50"/>
        <v>113.731224628692-332.321933788797i</v>
      </c>
      <c r="AD35" s="190">
        <f t="shared" si="51"/>
        <v>50.912189254717362</v>
      </c>
      <c r="AE35" s="169">
        <f t="shared" si="52"/>
        <v>-71.107408415139162</v>
      </c>
      <c r="AF35" s="98" t="str">
        <f t="shared" si="37"/>
        <v>-9.95024875621891E-06</v>
      </c>
      <c r="AG35" s="98" t="str">
        <f t="shared" si="38"/>
        <v>0.0000930280560435683i</v>
      </c>
      <c r="AH35" s="98">
        <f t="shared" si="53"/>
        <v>9.3028056043568296E-5</v>
      </c>
      <c r="AI35" s="98">
        <f t="shared" si="54"/>
        <v>1.5707963267948966</v>
      </c>
      <c r="AJ35" s="98" t="str">
        <f t="shared" si="39"/>
        <v>1+0.000928422786440016i</v>
      </c>
      <c r="AK35" s="98">
        <f t="shared" si="55"/>
        <v>1.0000004309843422</v>
      </c>
      <c r="AL35" s="98">
        <f t="shared" si="56"/>
        <v>9.2842251968297377E-4</v>
      </c>
      <c r="AM35" s="98" t="str">
        <f t="shared" si="40"/>
        <v>1+0.929351209226456i</v>
      </c>
      <c r="AN35" s="98">
        <f t="shared" si="57"/>
        <v>1.3651716632316524</v>
      </c>
      <c r="AO35" s="98">
        <f t="shared" si="58"/>
        <v>0.74879661628008987</v>
      </c>
      <c r="AP35" s="168" t="str">
        <f t="shared" si="59"/>
        <v>-0.0993036951003204+0.107051850560463i</v>
      </c>
      <c r="AQ35" s="98">
        <f t="shared" si="60"/>
        <v>-16.711858593733087</v>
      </c>
      <c r="AR35" s="169">
        <f t="shared" si="61"/>
        <v>132.84969113454321</v>
      </c>
      <c r="AS35" s="168" t="str">
        <f t="shared" si="62"/>
        <v>24.2817471400087+45.1759340511207i</v>
      </c>
      <c r="AT35" s="190">
        <f t="shared" si="63"/>
        <v>34.200330660984264</v>
      </c>
      <c r="AU35" s="169">
        <f t="shared" si="64"/>
        <v>61.742282719404017</v>
      </c>
      <c r="AV35" s="225"/>
      <c r="AX35">
        <f t="shared" si="65"/>
        <v>0</v>
      </c>
      <c r="AY35">
        <f t="shared" si="66"/>
        <v>0</v>
      </c>
    </row>
    <row r="36" spans="1:51" x14ac:dyDescent="0.3">
      <c r="A36" s="98" t="s">
        <v>252</v>
      </c>
      <c r="B36" s="209">
        <f>IF(Dc_Mode_Loop="CCM",2/(Cout*(VOUT/IOUT)),(2*B20/B17-1)/(Cout*(VOUT/IOUT)*(B20/B17-1)))</f>
        <v>32</v>
      </c>
      <c r="C36" s="98" t="s">
        <v>251</v>
      </c>
      <c r="E36" s="98" t="s">
        <v>242</v>
      </c>
      <c r="J36" s="98" t="s">
        <v>547</v>
      </c>
      <c r="K36" s="98">
        <f>(1+SQRT(1+2*(Dc_DCM_VIN_nom^2)/K38))/2</f>
        <v>10.5</v>
      </c>
      <c r="N36" s="170">
        <v>18</v>
      </c>
      <c r="O36" s="199">
        <f t="shared" si="41"/>
        <v>15.135612484362087</v>
      </c>
      <c r="P36" s="189" t="str">
        <f t="shared" si="32"/>
        <v>1078.86904761905</v>
      </c>
      <c r="Q36" s="160" t="str">
        <f t="shared" si="33"/>
        <v>1+2.97187056177837i</v>
      </c>
      <c r="R36" s="160">
        <f t="shared" si="42"/>
        <v>3.135604349398196</v>
      </c>
      <c r="S36" s="160">
        <f t="shared" si="43"/>
        <v>1.2462088962020499</v>
      </c>
      <c r="T36" s="160" t="str">
        <f t="shared" si="34"/>
        <v>1+1.90199715953816E-06i</v>
      </c>
      <c r="U36" s="160">
        <f t="shared" si="44"/>
        <v>1.0000000000018088</v>
      </c>
      <c r="V36" s="160">
        <f t="shared" si="45"/>
        <v>1.9019971595358664E-6</v>
      </c>
      <c r="W36" s="98" t="str">
        <f t="shared" si="35"/>
        <v>1-0.00137560042566438i</v>
      </c>
      <c r="X36" s="160">
        <f t="shared" si="46"/>
        <v>1.0000009461378179</v>
      </c>
      <c r="Y36" s="160">
        <f t="shared" si="47"/>
        <v>-1.3755995579932314E-3</v>
      </c>
      <c r="Z36" s="98" t="str">
        <f t="shared" si="36"/>
        <v>0.999999908365294+0.0005433349242924i</v>
      </c>
      <c r="AA36" s="160">
        <f t="shared" si="48"/>
        <v>1.0000000559717166</v>
      </c>
      <c r="AB36" s="160">
        <f t="shared" si="49"/>
        <v>5.4333492061425348E-4</v>
      </c>
      <c r="AC36" s="171" t="str">
        <f t="shared" si="50"/>
        <v>109.104955659234-326.314033449601i</v>
      </c>
      <c r="AD36" s="190">
        <f t="shared" si="51"/>
        <v>50.732957238530958</v>
      </c>
      <c r="AE36" s="169">
        <f t="shared" si="52"/>
        <v>-71.512348014410804</v>
      </c>
      <c r="AF36" s="98" t="str">
        <f t="shared" si="37"/>
        <v>-9.95024875621891E-06</v>
      </c>
      <c r="AG36" s="98" t="str">
        <f t="shared" si="38"/>
        <v>0.0000951949578348847i</v>
      </c>
      <c r="AH36" s="98">
        <f t="shared" si="53"/>
        <v>9.5194957834884701E-5</v>
      </c>
      <c r="AI36" s="98">
        <f t="shared" si="54"/>
        <v>1.5707963267948966</v>
      </c>
      <c r="AJ36" s="98" t="str">
        <f t="shared" si="39"/>
        <v>1+0.00095004853123784i</v>
      </c>
      <c r="AK36" s="98">
        <f t="shared" si="55"/>
        <v>1.0000004512960039</v>
      </c>
      <c r="AL36" s="98">
        <f t="shared" si="56"/>
        <v>9.5004824540252642E-4</v>
      </c>
      <c r="AM36" s="98" t="str">
        <f t="shared" si="40"/>
        <v>1+0.950998579769078i</v>
      </c>
      <c r="AN36" s="98">
        <f t="shared" si="57"/>
        <v>1.379999383595081</v>
      </c>
      <c r="AO36" s="98">
        <f t="shared" si="58"/>
        <v>0.76028737090733967</v>
      </c>
      <c r="AP36" s="168" t="str">
        <f t="shared" si="59"/>
        <v>-0.0993036910662762+0.104619299085345i</v>
      </c>
      <c r="AQ36" s="98">
        <f t="shared" si="60"/>
        <v>-16.81802622348971</v>
      </c>
      <c r="AR36" s="169">
        <f t="shared" si="61"/>
        <v>133.50682381529268</v>
      </c>
      <c r="AS36" s="168" t="str">
        <f t="shared" si="62"/>
        <v>23.3042206506247+43.8186719560764i</v>
      </c>
      <c r="AT36" s="190">
        <f t="shared" si="63"/>
        <v>33.91493101504124</v>
      </c>
      <c r="AU36" s="169">
        <f t="shared" si="64"/>
        <v>61.994475800881908</v>
      </c>
      <c r="AV36" s="225"/>
      <c r="AX36">
        <f t="shared" si="65"/>
        <v>0</v>
      </c>
      <c r="AY36">
        <f t="shared" si="66"/>
        <v>0</v>
      </c>
    </row>
    <row r="37" spans="1:51" x14ac:dyDescent="0.3">
      <c r="B37" s="210">
        <f>wp_lf/(2*PI())</f>
        <v>5.0929581789406511</v>
      </c>
      <c r="C37" s="98" t="s">
        <v>69</v>
      </c>
      <c r="J37" s="98" t="s">
        <v>548</v>
      </c>
      <c r="K37" s="98">
        <f>2*VOUT/Dc_DCM_VIN_nom*(K36-1)/(2*K36-1)</f>
        <v>123.31177025299257</v>
      </c>
      <c r="N37" s="170">
        <v>19</v>
      </c>
      <c r="O37" s="199">
        <f t="shared" si="41"/>
        <v>15.488166189124817</v>
      </c>
      <c r="P37" s="189" t="str">
        <f t="shared" si="32"/>
        <v>1078.86904761905</v>
      </c>
      <c r="Q37" s="160" t="str">
        <f t="shared" si="33"/>
        <v>1+3.04109431983327i</v>
      </c>
      <c r="R37" s="160">
        <f t="shared" si="42"/>
        <v>3.2012895311299441</v>
      </c>
      <c r="S37" s="160">
        <f t="shared" si="43"/>
        <v>1.2531051367639461</v>
      </c>
      <c r="T37" s="160" t="str">
        <f t="shared" si="34"/>
        <v>1+1.94630036469329E-06i</v>
      </c>
      <c r="U37" s="160">
        <f t="shared" si="44"/>
        <v>1.000000000001894</v>
      </c>
      <c r="V37" s="160">
        <f t="shared" si="45"/>
        <v>1.9463003646908324E-6</v>
      </c>
      <c r="W37" s="98" t="str">
        <f t="shared" si="35"/>
        <v>1-0.00140764227576078i</v>
      </c>
      <c r="X37" s="160">
        <f t="shared" si="46"/>
        <v>1.0000009907278975</v>
      </c>
      <c r="Y37" s="160">
        <f t="shared" si="47"/>
        <v>-1.4076413460344433E-3</v>
      </c>
      <c r="Z37" s="98" t="str">
        <f t="shared" si="36"/>
        <v>0.999999904046683+0.000555990820489807i</v>
      </c>
      <c r="AA37" s="160">
        <f t="shared" si="48"/>
        <v>1.0000000586095823</v>
      </c>
      <c r="AB37" s="160">
        <f t="shared" si="49"/>
        <v>5.5599081654860198E-4</v>
      </c>
      <c r="AC37" s="171" t="str">
        <f t="shared" si="50"/>
        <v>104.645311060312-320.352663835947i</v>
      </c>
      <c r="AD37" s="190">
        <f t="shared" si="51"/>
        <v>50.552883678715503</v>
      </c>
      <c r="AE37" s="169">
        <f t="shared" si="52"/>
        <v>-71.910031943373568</v>
      </c>
      <c r="AF37" s="98" t="str">
        <f t="shared" si="37"/>
        <v>-9.95024875621891E-06</v>
      </c>
      <c r="AG37" s="98" t="str">
        <f t="shared" si="38"/>
        <v>0.0000974123332528994i</v>
      </c>
      <c r="AH37" s="98">
        <f t="shared" si="53"/>
        <v>9.7412333252899406E-5</v>
      </c>
      <c r="AI37" s="98">
        <f t="shared" si="54"/>
        <v>1.5707963267948966</v>
      </c>
      <c r="AJ37" s="98" t="str">
        <f t="shared" si="39"/>
        <v>1+0.000972178004342305i</v>
      </c>
      <c r="AK37" s="98">
        <f t="shared" si="55"/>
        <v>1.0000004725649245</v>
      </c>
      <c r="AL37" s="98">
        <f t="shared" si="56"/>
        <v>9.7217769806425621E-4</v>
      </c>
      <c r="AM37" s="98" t="str">
        <f t="shared" si="40"/>
        <v>1+0.973150182346647i</v>
      </c>
      <c r="AN37" s="98">
        <f t="shared" si="57"/>
        <v>1.3953570429826598</v>
      </c>
      <c r="AO37" s="98">
        <f t="shared" si="58"/>
        <v>0.7717914137192895</v>
      </c>
      <c r="AP37" s="168" t="str">
        <f t="shared" si="59"/>
        <v>-0.0993036868421136+0.102242218147042i</v>
      </c>
      <c r="AQ37" s="98">
        <f t="shared" si="60"/>
        <v>-16.921897280577088</v>
      </c>
      <c r="AR37" s="169">
        <f t="shared" si="61"/>
        <v>134.16468899151468</v>
      </c>
      <c r="AS37" s="168" t="str">
        <f t="shared" si="62"/>
        <v>22.3619017408721+42.5113693300953i</v>
      </c>
      <c r="AT37" s="190">
        <f t="shared" si="63"/>
        <v>33.630986398138418</v>
      </c>
      <c r="AU37" s="169">
        <f t="shared" si="64"/>
        <v>62.254657048141169</v>
      </c>
      <c r="AV37" s="225"/>
      <c r="AX37">
        <f t="shared" si="65"/>
        <v>0</v>
      </c>
      <c r="AY37">
        <f t="shared" si="66"/>
        <v>0</v>
      </c>
    </row>
    <row r="38" spans="1:51" x14ac:dyDescent="0.3">
      <c r="B38" s="211"/>
      <c r="C38" s="98" t="s">
        <v>275</v>
      </c>
      <c r="E38" s="98" t="s">
        <v>274</v>
      </c>
      <c r="J38" s="98" t="s">
        <v>549</v>
      </c>
      <c r="K38" s="98">
        <f>(Lm*Fsw/(VOUT/IOUT))</f>
        <v>1.312E-2</v>
      </c>
      <c r="N38" s="170">
        <v>20</v>
      </c>
      <c r="O38" s="199">
        <f t="shared" si="41"/>
        <v>15.848931924611136</v>
      </c>
      <c r="P38" s="189" t="str">
        <f t="shared" si="32"/>
        <v>1078.86904761905</v>
      </c>
      <c r="Q38" s="160" t="str">
        <f t="shared" si="33"/>
        <v>1+3.11193050635019i</v>
      </c>
      <c r="R38" s="160">
        <f t="shared" si="42"/>
        <v>3.2686559128107917</v>
      </c>
      <c r="S38" s="160">
        <f t="shared" si="43"/>
        <v>1.2598747573735485</v>
      </c>
      <c r="T38" s="160" t="str">
        <f t="shared" si="34"/>
        <v>1+1.99163552406412E-06i</v>
      </c>
      <c r="U38" s="160">
        <f t="shared" si="44"/>
        <v>1.0000000000019833</v>
      </c>
      <c r="V38" s="160">
        <f t="shared" si="45"/>
        <v>1.9916355240614868E-6</v>
      </c>
      <c r="W38" s="98" t="str">
        <f t="shared" si="35"/>
        <v>1-0.00144043047642414i</v>
      </c>
      <c r="X38" s="160">
        <f t="shared" si="46"/>
        <v>1.0000010374194406</v>
      </c>
      <c r="Y38" s="160">
        <f t="shared" si="47"/>
        <v>-1.4404294802044775E-3</v>
      </c>
      <c r="Z38" s="98" t="str">
        <f t="shared" si="36"/>
        <v>0.999999899524543+0.000568941510379646i</v>
      </c>
      <c r="AA38" s="160">
        <f t="shared" si="48"/>
        <v>1.0000000613717672</v>
      </c>
      <c r="AB38" s="160">
        <f t="shared" si="49"/>
        <v>5.6894150615656837E-4</v>
      </c>
      <c r="AC38" s="171" t="str">
        <f t="shared" si="50"/>
        <v>100.347925150073-314.44146963126i</v>
      </c>
      <c r="AD38" s="190">
        <f t="shared" si="51"/>
        <v>50.371999040859599</v>
      </c>
      <c r="AE38" s="169">
        <f t="shared" si="52"/>
        <v>-72.300520677257566</v>
      </c>
      <c r="AF38" s="98" t="str">
        <f t="shared" si="37"/>
        <v>-9.95024875621891E-06</v>
      </c>
      <c r="AG38" s="98" t="str">
        <f t="shared" si="38"/>
        <v>0.0000996813579794094i</v>
      </c>
      <c r="AH38" s="98">
        <f t="shared" si="53"/>
        <v>9.9681357979409404E-5</v>
      </c>
      <c r="AI38" s="98">
        <f t="shared" si="54"/>
        <v>1.5707963267948966</v>
      </c>
      <c r="AJ38" s="98" t="str">
        <f t="shared" si="39"/>
        <v>1+0.000994822939092969i</v>
      </c>
      <c r="AK38" s="98">
        <f t="shared" si="55"/>
        <v>1.0000004948362178</v>
      </c>
      <c r="AL38" s="98">
        <f t="shared" si="56"/>
        <v>9.9482261091013565E-4</v>
      </c>
      <c r="AM38" s="98" t="str">
        <f t="shared" si="40"/>
        <v>1+0.995817762032062i</v>
      </c>
      <c r="AN38" s="98">
        <f t="shared" si="57"/>
        <v>1.4112593720427669</v>
      </c>
      <c r="AO38" s="98">
        <f t="shared" si="58"/>
        <v>0.78330266553890604</v>
      </c>
      <c r="AP38" s="168" t="str">
        <f t="shared" si="59"/>
        <v>-0.0993036824188729+0.0999193473857493i</v>
      </c>
      <c r="AQ38" s="98">
        <f t="shared" si="60"/>
        <v>-17.023467668929978</v>
      </c>
      <c r="AR38" s="169">
        <f t="shared" si="61"/>
        <v>134.82293767975742</v>
      </c>
      <c r="AS38" s="168" t="str">
        <f t="shared" si="62"/>
        <v>21.4538679460757+41.2518950320956i</v>
      </c>
      <c r="AT38" s="190">
        <f t="shared" si="63"/>
        <v>33.34853137192961</v>
      </c>
      <c r="AU38" s="169">
        <f t="shared" si="64"/>
        <v>62.522417002499871</v>
      </c>
      <c r="AV38" s="225"/>
      <c r="AX38">
        <f t="shared" si="65"/>
        <v>0</v>
      </c>
      <c r="AY38">
        <f t="shared" si="66"/>
        <v>0</v>
      </c>
    </row>
    <row r="39" spans="1:51" x14ac:dyDescent="0.3">
      <c r="A39" s="98" t="s">
        <v>253</v>
      </c>
      <c r="B39" s="209">
        <f>((VOUT/IOUT)*((VIN_var/VOUT)^2))/(Lm)</f>
        <v>69133.344394668427</v>
      </c>
      <c r="C39" s="98" t="s">
        <v>251</v>
      </c>
      <c r="E39" s="98" t="s">
        <v>243</v>
      </c>
      <c r="N39" s="170">
        <v>21</v>
      </c>
      <c r="O39" s="199">
        <f t="shared" si="41"/>
        <v>16.218100973589298</v>
      </c>
      <c r="P39" s="189" t="str">
        <f t="shared" si="32"/>
        <v>1078.86904761905</v>
      </c>
      <c r="Q39" s="160" t="str">
        <f t="shared" si="33"/>
        <v>1+3.18441667961284i</v>
      </c>
      <c r="R39" s="160">
        <f t="shared" si="42"/>
        <v>3.3377401920156191</v>
      </c>
      <c r="S39" s="160">
        <f t="shared" si="43"/>
        <v>1.2665188646239802</v>
      </c>
      <c r="T39" s="160" t="str">
        <f t="shared" si="34"/>
        <v>1+2.03802667495222E-06i</v>
      </c>
      <c r="U39" s="160">
        <f t="shared" si="44"/>
        <v>1.0000000000020768</v>
      </c>
      <c r="V39" s="160">
        <f t="shared" si="45"/>
        <v>2.0380266749493979E-6</v>
      </c>
      <c r="W39" s="98" t="str">
        <f t="shared" si="35"/>
        <v>1-0.00147398241239244i</v>
      </c>
      <c r="X39" s="160">
        <f t="shared" si="46"/>
        <v>1.0000010863114861</v>
      </c>
      <c r="Y39" s="160">
        <f t="shared" si="47"/>
        <v>-1.473981344923902E-3</v>
      </c>
      <c r="Z39" s="98" t="str">
        <f t="shared" si="36"/>
        <v>0.99999989478928+0.000582193860589118i</v>
      </c>
      <c r="AA39" s="160">
        <f t="shared" si="48"/>
        <v>1.0000000642641291</v>
      </c>
      <c r="AB39" s="160">
        <f t="shared" si="49"/>
        <v>5.8219385606400923E-4</v>
      </c>
      <c r="AC39" s="171" t="str">
        <f t="shared" si="50"/>
        <v>96.208412562742-308.583819407311i</v>
      </c>
      <c r="AD39" s="190">
        <f t="shared" si="51"/>
        <v>50.190332979763639</v>
      </c>
      <c r="AE39" s="169">
        <f t="shared" si="52"/>
        <v>-72.683879007283991</v>
      </c>
      <c r="AF39" s="98" t="str">
        <f t="shared" si="37"/>
        <v>-9.95024875621891E-06</v>
      </c>
      <c r="AG39" s="98" t="str">
        <f t="shared" si="38"/>
        <v>0.000102003235081359i</v>
      </c>
      <c r="AH39" s="98">
        <f t="shared" si="53"/>
        <v>1.0200323508135899E-4</v>
      </c>
      <c r="AI39" s="98">
        <f t="shared" si="54"/>
        <v>1.5707963267948966</v>
      </c>
      <c r="AJ39" s="98" t="str">
        <f t="shared" si="39"/>
        <v>1+0.00101799534213398i</v>
      </c>
      <c r="AK39" s="98">
        <f t="shared" si="55"/>
        <v>1.0000005181571241</v>
      </c>
      <c r="AL39" s="98">
        <f t="shared" si="56"/>
        <v>1.0179949904797485E-3</v>
      </c>
      <c r="AM39" s="98" t="str">
        <f t="shared" si="40"/>
        <v>1+1.01901333747611i</v>
      </c>
      <c r="AN39" s="98">
        <f t="shared" si="57"/>
        <v>1.4277213250330751</v>
      </c>
      <c r="AO39" s="98">
        <f t="shared" si="58"/>
        <v>0.79481502811175009</v>
      </c>
      <c r="AP39" s="168" t="str">
        <f t="shared" si="59"/>
        <v>-0.0993036777871711+0.0976494551846138i</v>
      </c>
      <c r="AQ39" s="98">
        <f t="shared" si="60"/>
        <v>-17.122735725174952</v>
      </c>
      <c r="AR39" s="169">
        <f t="shared" si="61"/>
        <v>135.48121978785517</v>
      </c>
      <c r="AS39" s="168" t="str">
        <f t="shared" si="62"/>
        <v>20.5791926423654+40.0382072436865i</v>
      </c>
      <c r="AT39" s="190">
        <f t="shared" si="63"/>
        <v>33.067597254588676</v>
      </c>
      <c r="AU39" s="169">
        <f t="shared" si="64"/>
        <v>62.797340780571211</v>
      </c>
      <c r="AV39" s="225"/>
      <c r="AX39">
        <f t="shared" si="65"/>
        <v>0</v>
      </c>
      <c r="AY39">
        <f t="shared" si="66"/>
        <v>0</v>
      </c>
    </row>
    <row r="40" spans="1:51" x14ac:dyDescent="0.3">
      <c r="B40" s="211">
        <f>wz_rhp/(2*PI())</f>
        <v>11002.913492885855</v>
      </c>
      <c r="C40" s="98" t="s">
        <v>69</v>
      </c>
      <c r="N40" s="170">
        <v>22</v>
      </c>
      <c r="O40" s="199">
        <f t="shared" si="41"/>
        <v>16.595869074375614</v>
      </c>
      <c r="P40" s="189" t="str">
        <f t="shared" si="32"/>
        <v>1078.86904761905</v>
      </c>
      <c r="Q40" s="160" t="str">
        <f t="shared" si="33"/>
        <v>1+3.25859127274978i</v>
      </c>
      <c r="R40" s="160">
        <f t="shared" si="42"/>
        <v>3.408579921732954</v>
      </c>
      <c r="S40" s="160">
        <f t="shared" si="43"/>
        <v>1.2730386340907718</v>
      </c>
      <c r="T40" s="160" t="str">
        <f t="shared" si="34"/>
        <v>1+2.08549841455986E-06i</v>
      </c>
      <c r="U40" s="160">
        <f t="shared" si="44"/>
        <v>1.0000000000021747</v>
      </c>
      <c r="V40" s="160">
        <f t="shared" si="45"/>
        <v>2.0854984145568367E-6</v>
      </c>
      <c r="W40" s="98" t="str">
        <f t="shared" si="35"/>
        <v>1-0.00150831587334627i</v>
      </c>
      <c r="X40" s="160">
        <f t="shared" si="46"/>
        <v>1.00000113750774</v>
      </c>
      <c r="Y40" s="160">
        <f t="shared" si="47"/>
        <v>-1.508314729533194E-3</v>
      </c>
      <c r="Z40" s="98" t="str">
        <f t="shared" si="36"/>
        <v>0.999999889830852+0.000595754897689725i</v>
      </c>
      <c r="AA40" s="160">
        <f t="shared" si="48"/>
        <v>1.0000000672928049</v>
      </c>
      <c r="AB40" s="160">
        <f t="shared" si="49"/>
        <v>5.9575489284098321E-4</v>
      </c>
      <c r="AC40" s="171" t="str">
        <f t="shared" si="50"/>
        <v>92.2223817156779-302.782814577875i</v>
      </c>
      <c r="AD40" s="190">
        <f t="shared" si="51"/>
        <v>50.007914337058494</v>
      </c>
      <c r="AE40" s="169">
        <f t="shared" si="52"/>
        <v>-73.060175709406749</v>
      </c>
      <c r="AF40" s="98" t="str">
        <f t="shared" si="37"/>
        <v>-9.95024875621891E-06</v>
      </c>
      <c r="AG40" s="98" t="str">
        <f t="shared" si="38"/>
        <v>0.000104379195648721i</v>
      </c>
      <c r="AH40" s="98">
        <f t="shared" si="53"/>
        <v>1.04379195648721E-4</v>
      </c>
      <c r="AI40" s="98">
        <f t="shared" si="54"/>
        <v>1.5707963267948966</v>
      </c>
      <c r="AJ40" s="98" t="str">
        <f t="shared" si="39"/>
        <v>1+0.00104170749978015i</v>
      </c>
      <c r="AK40" s="98">
        <f t="shared" si="55"/>
        <v>1.0000005425771104</v>
      </c>
      <c r="AL40" s="98">
        <f t="shared" si="56"/>
        <v>1.041707122975863E-3</v>
      </c>
      <c r="AM40" s="98" t="str">
        <f t="shared" si="40"/>
        <v>1+1.04274920727993i</v>
      </c>
      <c r="AN40" s="98">
        <f t="shared" si="57"/>
        <v>1.4447580798469073</v>
      </c>
      <c r="AO40" s="98">
        <f t="shared" si="58"/>
        <v>0.80632240024142177</v>
      </c>
      <c r="AP40" s="168" t="str">
        <f t="shared" si="59"/>
        <v>-0.0993036729371853+0.0954313380167164i</v>
      </c>
      <c r="AQ40" s="98">
        <f t="shared" si="60"/>
        <v>-17.219702225675885</v>
      </c>
      <c r="AR40" s="169">
        <f t="shared" si="61"/>
        <v>136.13918503905657</v>
      </c>
      <c r="AS40" s="168" t="str">
        <f t="shared" si="62"/>
        <v>19.736947892252+38.8683508720572i</v>
      </c>
      <c r="AT40" s="190">
        <f t="shared" si="63"/>
        <v>32.788212111382606</v>
      </c>
      <c r="AU40" s="169">
        <f t="shared" si="64"/>
        <v>63.079009329649843</v>
      </c>
      <c r="AV40" s="225"/>
      <c r="AX40">
        <f t="shared" si="65"/>
        <v>0</v>
      </c>
      <c r="AY40">
        <f t="shared" si="66"/>
        <v>0</v>
      </c>
    </row>
    <row r="41" spans="1:51" x14ac:dyDescent="0.3">
      <c r="B41" s="211"/>
      <c r="N41" s="170">
        <v>23</v>
      </c>
      <c r="O41" s="199">
        <f t="shared" si="41"/>
        <v>16.982436524617448</v>
      </c>
      <c r="P41" s="189" t="str">
        <f t="shared" si="32"/>
        <v>1078.86904761905</v>
      </c>
      <c r="Q41" s="160" t="str">
        <f t="shared" si="33"/>
        <v>1+3.33449361411206i</v>
      </c>
      <c r="R41" s="160">
        <f t="shared" si="42"/>
        <v>3.4812135330304157</v>
      </c>
      <c r="S41" s="160">
        <f t="shared" si="43"/>
        <v>1.2794353047325326</v>
      </c>
      <c r="T41" s="160" t="str">
        <f t="shared" si="34"/>
        <v>1+2.13407591303172E-06i</v>
      </c>
      <c r="U41" s="160">
        <f t="shared" si="44"/>
        <v>1.0000000000022773</v>
      </c>
      <c r="V41" s="160">
        <f t="shared" si="45"/>
        <v>2.13407591302848E-6</v>
      </c>
      <c r="W41" s="98" t="str">
        <f t="shared" si="35"/>
        <v>1-0.00154344906334106i</v>
      </c>
      <c r="X41" s="160">
        <f t="shared" si="46"/>
        <v>1.0000011911167961</v>
      </c>
      <c r="Y41" s="160">
        <f t="shared" si="47"/>
        <v>-1.5434478377233463E-3</v>
      </c>
      <c r="Z41" s="98" t="str">
        <f t="shared" si="36"/>
        <v>0.99999988463874+0.000609631811922831i</v>
      </c>
      <c r="AA41" s="160">
        <f t="shared" si="48"/>
        <v>1.0000000704642173</v>
      </c>
      <c r="AB41" s="160">
        <f t="shared" si="49"/>
        <v>6.0963180672731051E-4</v>
      </c>
      <c r="AC41" s="171" t="str">
        <f t="shared" si="50"/>
        <v>88.3854472132829-297.041298721323i</v>
      </c>
      <c r="AD41" s="190">
        <f t="shared" si="51"/>
        <v>49.824771141221333</v>
      </c>
      <c r="AE41" s="169">
        <f t="shared" si="52"/>
        <v>-73.429483224248045</v>
      </c>
      <c r="AF41" s="98" t="str">
        <f t="shared" si="37"/>
        <v>-9.95024875621891E-06</v>
      </c>
      <c r="AG41" s="98" t="str">
        <f t="shared" si="38"/>
        <v>0.000106810499447238i</v>
      </c>
      <c r="AH41" s="98">
        <f t="shared" si="53"/>
        <v>1.06810499447238E-4</v>
      </c>
      <c r="AI41" s="98">
        <f t="shared" si="54"/>
        <v>1.5707963267948966</v>
      </c>
      <c r="AJ41" s="98" t="str">
        <f t="shared" si="39"/>
        <v>1+0.00106597198453133i</v>
      </c>
      <c r="AK41" s="98">
        <f t="shared" si="55"/>
        <v>1.0000005681479744</v>
      </c>
      <c r="AL41" s="98">
        <f t="shared" si="56"/>
        <v>1.0659715807782746E-3</v>
      </c>
      <c r="AM41" s="98" t="str">
        <f t="shared" si="40"/>
        <v>1+1.06703795651586i</v>
      </c>
      <c r="AN41" s="98">
        <f t="shared" si="57"/>
        <v>1.4623850384373953</v>
      </c>
      <c r="AO41" s="98">
        <f t="shared" si="58"/>
        <v>0.81781869394397333</v>
      </c>
      <c r="AP41" s="168" t="str">
        <f t="shared" si="59"/>
        <v>-0.0993036678586264+0.0932638198069421i</v>
      </c>
      <c r="AQ41" s="98">
        <f t="shared" si="60"/>
        <v>-17.31437038324885</v>
      </c>
      <c r="AR41" s="169">
        <f t="shared" si="61"/>
        <v>136.79648389723138</v>
      </c>
      <c r="AS41" s="168" t="str">
        <f t="shared" si="62"/>
        <v>18.9262070655615+37.7404548909729i</v>
      </c>
      <c r="AT41" s="190">
        <f t="shared" si="63"/>
        <v>32.510400757972484</v>
      </c>
      <c r="AU41" s="169">
        <f t="shared" si="64"/>
        <v>63.367000672983373</v>
      </c>
      <c r="AV41" s="225"/>
      <c r="AX41">
        <f t="shared" si="65"/>
        <v>0</v>
      </c>
      <c r="AY41">
        <f t="shared" si="66"/>
        <v>0</v>
      </c>
    </row>
    <row r="42" spans="1:51" x14ac:dyDescent="0.3">
      <c r="A42" s="98" t="s">
        <v>254</v>
      </c>
      <c r="B42" s="209">
        <f>1/(Cout*Resr)</f>
        <v>50000000.000000007</v>
      </c>
      <c r="C42" s="98" t="s">
        <v>251</v>
      </c>
      <c r="E42" s="98" t="s">
        <v>244</v>
      </c>
      <c r="N42" s="170">
        <v>24</v>
      </c>
      <c r="O42" s="199">
        <f t="shared" si="41"/>
        <v>17.378008287493756</v>
      </c>
      <c r="P42" s="189" t="str">
        <f t="shared" si="32"/>
        <v>1078.86904761905</v>
      </c>
      <c r="Q42" s="160" t="str">
        <f t="shared" si="33"/>
        <v>1+3.41216394812581i</v>
      </c>
      <c r="R42" s="160">
        <f t="shared" si="42"/>
        <v>3.5556803580875367</v>
      </c>
      <c r="S42" s="160">
        <f t="shared" si="43"/>
        <v>1.2857101734936465</v>
      </c>
      <c r="T42" s="160" t="str">
        <f t="shared" si="34"/>
        <v>1+2.18378492680052E-06i</v>
      </c>
      <c r="U42" s="160">
        <f t="shared" si="44"/>
        <v>1.0000000000023843</v>
      </c>
      <c r="V42" s="160">
        <f t="shared" si="45"/>
        <v>2.1837849267970486E-6</v>
      </c>
      <c r="W42" s="98" t="str">
        <f t="shared" si="35"/>
        <v>1-0.00157940061045921i</v>
      </c>
      <c r="X42" s="160">
        <f t="shared" si="46"/>
        <v>1.0000012472523665</v>
      </c>
      <c r="Y42" s="160">
        <f t="shared" si="47"/>
        <v>-1.5793992971862574E-3</v>
      </c>
      <c r="Z42" s="98" t="str">
        <f t="shared" si="36"/>
        <v>0.999999879201931+0.000623831961012054i</v>
      </c>
      <c r="AA42" s="160">
        <f t="shared" si="48"/>
        <v>1.0000000737850934</v>
      </c>
      <c r="AB42" s="160">
        <f t="shared" si="49"/>
        <v>6.2383195544495366E-4</v>
      </c>
      <c r="AC42" s="171" t="str">
        <f t="shared" si="50"/>
        <v>84.6932412172247-291.361867185783i</v>
      </c>
      <c r="AD42" s="190">
        <f t="shared" si="51"/>
        <v>49.640930609791937</v>
      </c>
      <c r="AE42" s="169">
        <f t="shared" si="52"/>
        <v>-73.791877348626215</v>
      </c>
      <c r="AF42" s="98" t="str">
        <f t="shared" si="37"/>
        <v>-9.95024875621891E-06</v>
      </c>
      <c r="AG42" s="98" t="str">
        <f t="shared" si="38"/>
        <v>0.000109298435586366i</v>
      </c>
      <c r="AH42" s="98">
        <f t="shared" si="53"/>
        <v>1.09298435586366E-4</v>
      </c>
      <c r="AI42" s="98">
        <f t="shared" si="54"/>
        <v>1.5707963267948966</v>
      </c>
      <c r="AJ42" s="98" t="str">
        <f t="shared" si="39"/>
        <v>1+0.00109080166173852i</v>
      </c>
      <c r="AK42" s="98">
        <f t="shared" si="55"/>
        <v>1.0000005949239557</v>
      </c>
      <c r="AL42" s="98">
        <f t="shared" si="56"/>
        <v>1.0908012291093406E-3</v>
      </c>
      <c r="AM42" s="98" t="str">
        <f t="shared" si="40"/>
        <v>1+1.09189246340026i</v>
      </c>
      <c r="AN42" s="98">
        <f t="shared" si="57"/>
        <v>1.4806178276754229</v>
      </c>
      <c r="AO42" s="98">
        <f t="shared" si="58"/>
        <v>0.82929785051711802</v>
      </c>
      <c r="AP42" s="168" t="str">
        <f t="shared" si="59"/>
        <v>-0.0993036625407238+0.0911457513084118i</v>
      </c>
      <c r="AQ42" s="98">
        <f t="shared" si="60"/>
        <v>-17.40674583357443</v>
      </c>
      <c r="AR42" s="169">
        <f t="shared" si="61"/>
        <v>137.45276848718626</v>
      </c>
      <c r="AS42" s="168" t="str">
        <f t="shared" si="62"/>
        <v>18.1460472419545+36.6527296377407i</v>
      </c>
      <c r="AT42" s="190">
        <f t="shared" si="63"/>
        <v>32.234184776217518</v>
      </c>
      <c r="AU42" s="169">
        <f t="shared" si="64"/>
        <v>63.660891138560032</v>
      </c>
      <c r="AV42" s="225"/>
      <c r="AX42">
        <f t="shared" si="65"/>
        <v>0</v>
      </c>
      <c r="AY42">
        <f t="shared" si="66"/>
        <v>0</v>
      </c>
    </row>
    <row r="43" spans="1:51" x14ac:dyDescent="0.3">
      <c r="B43" s="209">
        <f>wz_esr/(2*PI())</f>
        <v>7957747.1545947678</v>
      </c>
      <c r="C43" s="98" t="s">
        <v>69</v>
      </c>
      <c r="N43" s="170">
        <v>25</v>
      </c>
      <c r="O43" s="199">
        <f t="shared" si="41"/>
        <v>17.782794100389236</v>
      </c>
      <c r="P43" s="189" t="str">
        <f t="shared" si="32"/>
        <v>1078.86904761905</v>
      </c>
      <c r="Q43" s="160" t="str">
        <f t="shared" si="33"/>
        <v>1+3.49164345663016i</v>
      </c>
      <c r="R43" s="160">
        <f t="shared" si="42"/>
        <v>3.6320206536070541</v>
      </c>
      <c r="S43" s="160">
        <f t="shared" si="43"/>
        <v>1.2918645901141061</v>
      </c>
      <c r="T43" s="160" t="str">
        <f t="shared" si="34"/>
        <v>1+0.0000022346518122433i</v>
      </c>
      <c r="U43" s="160">
        <f t="shared" si="44"/>
        <v>1.0000000000024967</v>
      </c>
      <c r="V43" s="160">
        <f t="shared" si="45"/>
        <v>2.2346518122395804E-6</v>
      </c>
      <c r="W43" s="98" t="str">
        <f t="shared" si="35"/>
        <v>1-0.00161618957668685i</v>
      </c>
      <c r="X43" s="160">
        <f t="shared" si="46"/>
        <v>1.0000013060335211</v>
      </c>
      <c r="Y43" s="160">
        <f t="shared" si="47"/>
        <v>-1.6161881694896276E-3</v>
      </c>
      <c r="Z43" s="98" t="str">
        <f t="shared" si="36"/>
        <v>0.999999873508894+0.000638362874064392i</v>
      </c>
      <c r="AA43" s="160">
        <f t="shared" si="48"/>
        <v>1.0000000772624786</v>
      </c>
      <c r="AB43" s="160">
        <f t="shared" si="49"/>
        <v>6.3836286809913604E-4</v>
      </c>
      <c r="AC43" s="171" t="str">
        <f t="shared" si="50"/>
        <v>81.1414238170009-285.746876897709i</v>
      </c>
      <c r="AD43" s="190">
        <f t="shared" si="51"/>
        <v>49.456419153603761</v>
      </c>
      <c r="AE43" s="169">
        <f t="shared" si="52"/>
        <v>-74.147436938969449</v>
      </c>
      <c r="AF43" s="98" t="str">
        <f t="shared" si="37"/>
        <v>-9.95024875621891E-06</v>
      </c>
      <c r="AG43" s="98" t="str">
        <f t="shared" si="38"/>
        <v>0.000111844323202778i</v>
      </c>
      <c r="AH43" s="98">
        <f t="shared" si="53"/>
        <v>1.11844323202778E-4</v>
      </c>
      <c r="AI43" s="98">
        <f t="shared" si="54"/>
        <v>1.5707963267948966</v>
      </c>
      <c r="AJ43" s="98" t="str">
        <f t="shared" si="39"/>
        <v>1+0.00111620969642522i</v>
      </c>
      <c r="AK43" s="98">
        <f t="shared" si="55"/>
        <v>1.0000006229618492</v>
      </c>
      <c r="AL43" s="98">
        <f t="shared" si="56"/>
        <v>1.1162092328547177E-3</v>
      </c>
      <c r="AM43" s="98" t="str">
        <f t="shared" si="40"/>
        <v>1+1.11732590612165i</v>
      </c>
      <c r="AN43" s="98">
        <f t="shared" si="57"/>
        <v>1.4994723006746629</v>
      </c>
      <c r="AO43" s="98">
        <f t="shared" si="58"/>
        <v>0.8407538564209257</v>
      </c>
      <c r="AP43" s="168" t="str">
        <f t="shared" si="59"/>
        <v>-0.0993036569721956+0.0890760094931347i</v>
      </c>
      <c r="AQ43" s="98">
        <f t="shared" si="60"/>
        <v>-17.496836611431025</v>
      </c>
      <c r="AR43" s="169">
        <f t="shared" si="61"/>
        <v>138.10769350417092</v>
      </c>
      <c r="AS43" s="168" t="str">
        <f t="shared" si="62"/>
        <v>17.3955514022149+35.6034640825359i</v>
      </c>
      <c r="AT43" s="190">
        <f t="shared" si="63"/>
        <v>31.959582542172726</v>
      </c>
      <c r="AU43" s="169">
        <f t="shared" si="64"/>
        <v>63.960256565201483</v>
      </c>
      <c r="AV43" s="225"/>
      <c r="AX43">
        <f t="shared" si="65"/>
        <v>0</v>
      </c>
      <c r="AY43">
        <f t="shared" si="66"/>
        <v>0</v>
      </c>
    </row>
    <row r="44" spans="1:51" x14ac:dyDescent="0.3">
      <c r="B44" s="211"/>
      <c r="N44" s="170">
        <v>26</v>
      </c>
      <c r="O44" s="199">
        <f t="shared" si="41"/>
        <v>18.197008586099841</v>
      </c>
      <c r="P44" s="189" t="str">
        <f t="shared" si="32"/>
        <v>1078.86904761905</v>
      </c>
      <c r="Q44" s="160" t="str">
        <f t="shared" si="33"/>
        <v>1+3.57297428071259i</v>
      </c>
      <c r="R44" s="160">
        <f t="shared" si="42"/>
        <v>3.710275624617887</v>
      </c>
      <c r="S44" s="160">
        <f t="shared" si="43"/>
        <v>1.2978999521501047</v>
      </c>
      <c r="T44" s="160" t="str">
        <f t="shared" si="34"/>
        <v>1+2.28670353965606E-06i</v>
      </c>
      <c r="U44" s="160">
        <f t="shared" si="44"/>
        <v>1.0000000000026144</v>
      </c>
      <c r="V44" s="160">
        <f t="shared" si="45"/>
        <v>2.2867035396520742E-6</v>
      </c>
      <c r="W44" s="98" t="str">
        <f t="shared" si="35"/>
        <v>1-0.00165383546802085i</v>
      </c>
      <c r="X44" s="160">
        <f t="shared" si="46"/>
        <v>1.0000013675849424</v>
      </c>
      <c r="Y44" s="160">
        <f t="shared" si="47"/>
        <v>-1.6538339601819712E-3</v>
      </c>
      <c r="Z44" s="98" t="str">
        <f t="shared" si="36"/>
        <v>0.999999867547551+0.000653232255562295i</v>
      </c>
      <c r="AA44" s="160">
        <f t="shared" si="48"/>
        <v>1.0000000809037464</v>
      </c>
      <c r="AB44" s="160">
        <f t="shared" si="49"/>
        <v>6.532322491704086E-4</v>
      </c>
      <c r="AC44" s="171" t="str">
        <f t="shared" si="50"/>
        <v>77.7256924384365-280.198456301493i</v>
      </c>
      <c r="AD44" s="190">
        <f t="shared" si="51"/>
        <v>49.271262382845393</v>
      </c>
      <c r="AE44" s="169">
        <f t="shared" si="52"/>
        <v>-74.496243626823826</v>
      </c>
      <c r="AF44" s="98" t="str">
        <f t="shared" si="37"/>
        <v>-9.95024875621891E-06</v>
      </c>
      <c r="AG44" s="98" t="str">
        <f t="shared" si="38"/>
        <v>0.000114449512159786i</v>
      </c>
      <c r="AH44" s="98">
        <f t="shared" si="53"/>
        <v>1.14449512159786E-4</v>
      </c>
      <c r="AI44" s="98">
        <f t="shared" si="54"/>
        <v>1.5707963267948966</v>
      </c>
      <c r="AJ44" s="98" t="str">
        <f t="shared" si="39"/>
        <v>1+0.00114220956026776i</v>
      </c>
      <c r="AK44" s="98">
        <f t="shared" si="55"/>
        <v>1.0000006523211271</v>
      </c>
      <c r="AL44" s="98">
        <f t="shared" si="56"/>
        <v>1.1422090635430351E-3</v>
      </c>
      <c r="AM44" s="98" t="str">
        <f t="shared" si="40"/>
        <v>1+1.14335176982803i</v>
      </c>
      <c r="AN44" s="98">
        <f t="shared" si="57"/>
        <v>1.5189645386146737</v>
      </c>
      <c r="AO44" s="98">
        <f t="shared" si="58"/>
        <v>0.85218075886915512</v>
      </c>
      <c r="AP44" s="168" t="str">
        <f t="shared" si="59"/>
        <v>-0.0993036511412327+0.0870534969565657i</v>
      </c>
      <c r="AQ44" s="98">
        <f t="shared" si="60"/>
        <v>-17.584653116959959</v>
      </c>
      <c r="AR44" s="169">
        <f t="shared" si="61"/>
        <v>138.76091710679569</v>
      </c>
      <c r="AS44" s="168" t="str">
        <f t="shared" si="62"/>
        <v>16.6738104162592+34.5910230850118i</v>
      </c>
      <c r="AT44" s="190">
        <f t="shared" si="63"/>
        <v>31.686609265885433</v>
      </c>
      <c r="AU44" s="169">
        <f t="shared" si="64"/>
        <v>64.264673479971847</v>
      </c>
      <c r="AV44" s="225"/>
      <c r="AX44">
        <f t="shared" si="65"/>
        <v>0</v>
      </c>
      <c r="AY44">
        <f t="shared" si="66"/>
        <v>0</v>
      </c>
    </row>
    <row r="45" spans="1:51" x14ac:dyDescent="0.3">
      <c r="A45" s="98" t="s">
        <v>247</v>
      </c>
      <c r="B45" s="211">
        <f>(Isl*(Rsl_int+R_sl)*Fsw)</f>
        <v>9999</v>
      </c>
      <c r="C45" s="98" t="s">
        <v>180</v>
      </c>
      <c r="E45" s="98" t="s">
        <v>248</v>
      </c>
      <c r="N45" s="170">
        <v>27</v>
      </c>
      <c r="O45" s="199">
        <f t="shared" si="41"/>
        <v>18.62087136662868</v>
      </c>
      <c r="P45" s="189" t="str">
        <f t="shared" si="32"/>
        <v>1078.86904761905</v>
      </c>
      <c r="Q45" s="160" t="str">
        <f t="shared" si="33"/>
        <v>1+3.65619954305256i</v>
      </c>
      <c r="R45" s="160">
        <f t="shared" si="42"/>
        <v>3.79048744868226</v>
      </c>
      <c r="S45" s="160">
        <f t="shared" si="43"/>
        <v>1.3038177002074132</v>
      </c>
      <c r="T45" s="160" t="str">
        <f t="shared" si="34"/>
        <v>1+2.33996770755364E-06i</v>
      </c>
      <c r="U45" s="160">
        <f t="shared" si="44"/>
        <v>1.0000000000027378</v>
      </c>
      <c r="V45" s="160">
        <f t="shared" si="45"/>
        <v>2.3399677075493694E-6</v>
      </c>
      <c r="W45" s="98" t="str">
        <f t="shared" si="35"/>
        <v>1-0.0016923582448111i</v>
      </c>
      <c r="X45" s="160">
        <f t="shared" si="46"/>
        <v>1.0000014320371891</v>
      </c>
      <c r="Y45" s="160">
        <f t="shared" si="47"/>
        <v>-1.6923566291327571E-3</v>
      </c>
      <c r="Z45" s="98" t="str">
        <f t="shared" si="36"/>
        <v>0.99999986130526+0.000668447989448647i</v>
      </c>
      <c r="AA45" s="160">
        <f t="shared" si="48"/>
        <v>1.0000000847166233</v>
      </c>
      <c r="AB45" s="160">
        <f t="shared" si="49"/>
        <v>6.6844798259961676E-4</v>
      </c>
      <c r="AC45" s="171" t="str">
        <f t="shared" si="50"/>
        <v>74.4417903306659-274.718515364686i</v>
      </c>
      <c r="AD45" s="190">
        <f t="shared" si="51"/>
        <v>49.085485114780226</v>
      </c>
      <c r="AE45" s="169">
        <f t="shared" si="52"/>
        <v>-74.838381546571483</v>
      </c>
      <c r="AF45" s="98" t="str">
        <f t="shared" si="37"/>
        <v>-9.95024875621891E-06</v>
      </c>
      <c r="AG45" s="98" t="str">
        <f t="shared" si="38"/>
        <v>0.00011711538376306i</v>
      </c>
      <c r="AH45" s="98">
        <f t="shared" si="53"/>
        <v>1.1711538376306001E-4</v>
      </c>
      <c r="AI45" s="98">
        <f t="shared" si="54"/>
        <v>1.5707963267948966</v>
      </c>
      <c r="AJ45" s="98" t="str">
        <f t="shared" si="39"/>
        <v>1+0.00116881503873808i</v>
      </c>
      <c r="AK45" s="98">
        <f t="shared" si="55"/>
        <v>1.000000683064064</v>
      </c>
      <c r="AL45" s="98">
        <f t="shared" si="56"/>
        <v>1.1688145064879675E-3</v>
      </c>
      <c r="AM45" s="98" t="str">
        <f t="shared" si="40"/>
        <v>1+1.16998385377682i</v>
      </c>
      <c r="AN45" s="98">
        <f t="shared" si="57"/>
        <v>1.5391108530896855</v>
      </c>
      <c r="AO45" s="98">
        <f t="shared" si="58"/>
        <v>0.86357268103357865</v>
      </c>
      <c r="AP45" s="168" t="str">
        <f t="shared" si="59"/>
        <v>-0.099303645035465+0.085077141335744i</v>
      </c>
      <c r="AQ45" s="98">
        <f t="shared" si="60"/>
        <v>-17.670208072263879</v>
      </c>
      <c r="AR45" s="169">
        <f t="shared" si="61"/>
        <v>139.41210178776586</v>
      </c>
      <c r="AS45" s="168" t="str">
        <f t="shared" si="62"/>
        <v>15.9799248364262+33.6138446516926i</v>
      </c>
      <c r="AT45" s="190">
        <f t="shared" si="63"/>
        <v>31.415277042516344</v>
      </c>
      <c r="AU45" s="169">
        <f t="shared" si="64"/>
        <v>64.573720241194394</v>
      </c>
      <c r="AV45" s="225"/>
      <c r="AX45">
        <f t="shared" si="65"/>
        <v>0</v>
      </c>
      <c r="AY45">
        <f t="shared" si="66"/>
        <v>0</v>
      </c>
    </row>
    <row r="46" spans="1:51" x14ac:dyDescent="0.3">
      <c r="A46" s="98" t="s">
        <v>250</v>
      </c>
      <c r="B46" s="211">
        <f>(R_cs*VIN_var*Acs)/Lm</f>
        <v>975.6097560975611</v>
      </c>
      <c r="C46" s="98" t="s">
        <v>180</v>
      </c>
      <c r="E46" s="98" t="s">
        <v>249</v>
      </c>
      <c r="N46" s="170">
        <v>28</v>
      </c>
      <c r="O46" s="199">
        <f t="shared" si="41"/>
        <v>19.054607179632477</v>
      </c>
      <c r="P46" s="189" t="str">
        <f t="shared" si="32"/>
        <v>1078.86904761905</v>
      </c>
      <c r="Q46" s="160" t="str">
        <f t="shared" si="33"/>
        <v>1+3.74136337078578i</v>
      </c>
      <c r="R46" s="160">
        <f t="shared" si="42"/>
        <v>3.872699300521218</v>
      </c>
      <c r="S46" s="160">
        <f t="shared" si="43"/>
        <v>1.3096193133883405</v>
      </c>
      <c r="T46" s="160" t="str">
        <f t="shared" si="34"/>
        <v>1+0.0000023944725573029i</v>
      </c>
      <c r="U46" s="160">
        <f t="shared" si="44"/>
        <v>1.0000000000028666</v>
      </c>
      <c r="V46" s="160">
        <f t="shared" si="45"/>
        <v>2.3944725572983237E-6</v>
      </c>
      <c r="W46" s="98" t="str">
        <f t="shared" si="35"/>
        <v>1-0.00173177833234375i</v>
      </c>
      <c r="X46" s="160">
        <f t="shared" si="46"/>
        <v>1.0000014995269719</v>
      </c>
      <c r="Y46" s="160">
        <f t="shared" si="47"/>
        <v>-1.7317766011133548E-3</v>
      </c>
      <c r="Z46" s="98" t="str">
        <f t="shared" si="36"/>
        <v>0.999999854768778+0.00068401814330696i</v>
      </c>
      <c r="AA46" s="160">
        <f t="shared" si="48"/>
        <v>1.0000000887091947</v>
      </c>
      <c r="AB46" s="160">
        <f t="shared" si="49"/>
        <v>6.8401813596809214E-4</v>
      </c>
      <c r="AC46" s="171" t="str">
        <f t="shared" si="50"/>
        <v>71.2855141742277-269.308755589824i</v>
      </c>
      <c r="AD46" s="190">
        <f t="shared" si="51"/>
        <v>48.899111382955383</v>
      </c>
      <c r="AE46" s="169">
        <f t="shared" si="52"/>
        <v>-75.173937075405604</v>
      </c>
      <c r="AF46" s="98" t="str">
        <f t="shared" si="37"/>
        <v>-9.95024875621891E-06</v>
      </c>
      <c r="AG46" s="98" t="str">
        <f t="shared" si="38"/>
        <v>0.000119843351493011i</v>
      </c>
      <c r="AH46" s="98">
        <f t="shared" si="53"/>
        <v>1.19843351493011E-4</v>
      </c>
      <c r="AI46" s="98">
        <f t="shared" si="54"/>
        <v>1.5707963267948966</v>
      </c>
      <c r="AJ46" s="98" t="str">
        <f t="shared" si="39"/>
        <v>1+0.00119604023841304i</v>
      </c>
      <c r="AK46" s="98">
        <f t="shared" si="55"/>
        <v>1.0000007152558701</v>
      </c>
      <c r="AL46" s="98">
        <f t="shared" si="56"/>
        <v>1.1960396680967911E-3</v>
      </c>
      <c r="AM46" s="98" t="str">
        <f t="shared" si="40"/>
        <v>1+1.19723627865145i</v>
      </c>
      <c r="AN46" s="98">
        <f t="shared" si="57"/>
        <v>1.5599277890079311</v>
      </c>
      <c r="AO46" s="98">
        <f t="shared" si="58"/>
        <v>0.87492383676843999</v>
      </c>
      <c r="AP46" s="168" t="str">
        <f t="shared" si="59"/>
        <v>-0.0993036386419419+0.0831458947407146i</v>
      </c>
      <c r="AQ46" s="98">
        <f t="shared" si="60"/>
        <v>-17.753516468718942</v>
      </c>
      <c r="AR46" s="169">
        <f t="shared" si="61"/>
        <v>140.06091521711238</v>
      </c>
      <c r="AS46" s="168" t="str">
        <f t="shared" si="62"/>
        <v>15.3130065050618+32.670437206271i</v>
      </c>
      <c r="AT46" s="190">
        <f t="shared" si="63"/>
        <v>31.145594914236444</v>
      </c>
      <c r="AU46" s="169">
        <f t="shared" si="64"/>
        <v>64.886978141706777</v>
      </c>
      <c r="AV46" s="225"/>
      <c r="AX46">
        <f t="shared" si="65"/>
        <v>0</v>
      </c>
      <c r="AY46">
        <f t="shared" si="66"/>
        <v>0</v>
      </c>
    </row>
    <row r="47" spans="1:51" x14ac:dyDescent="0.3">
      <c r="B47" s="211"/>
      <c r="N47" s="170">
        <v>29</v>
      </c>
      <c r="O47" s="199">
        <f t="shared" si="41"/>
        <v>19.498445997580465</v>
      </c>
      <c r="P47" s="189" t="str">
        <f t="shared" si="32"/>
        <v>1078.86904761905</v>
      </c>
      <c r="Q47" s="160" t="str">
        <f t="shared" si="33"/>
        <v>1+3.828510918901i</v>
      </c>
      <c r="R47" s="160">
        <f t="shared" si="42"/>
        <v>3.9569553770726524</v>
      </c>
      <c r="S47" s="160">
        <f t="shared" si="43"/>
        <v>1.3153063049518279</v>
      </c>
      <c r="T47" s="160" t="str">
        <f t="shared" si="34"/>
        <v>1+2.45024698809664E-06i</v>
      </c>
      <c r="U47" s="160">
        <f t="shared" si="44"/>
        <v>1.0000000000030018</v>
      </c>
      <c r="V47" s="160">
        <f t="shared" si="45"/>
        <v>2.4502469880917367E-6</v>
      </c>
      <c r="W47" s="98" t="str">
        <f t="shared" si="35"/>
        <v>1-0.00177211663167101i</v>
      </c>
      <c r="X47" s="160">
        <f t="shared" si="46"/>
        <v>1.0000015701974454</v>
      </c>
      <c r="Y47" s="160">
        <f t="shared" si="47"/>
        <v>-1.772114776624377E-3</v>
      </c>
      <c r="Z47" s="98" t="str">
        <f t="shared" si="36"/>
        <v>0.999999847924241+0.000699950972638906i</v>
      </c>
      <c r="AA47" s="160">
        <f t="shared" si="48"/>
        <v>1.0000000928899304</v>
      </c>
      <c r="AB47" s="160">
        <f t="shared" si="49"/>
        <v>6.9995096477516749E-4</v>
      </c>
      <c r="AC47" s="171" t="str">
        <f t="shared" si="50"/>
        <v>68.2527208544805-263.970679980297i</v>
      </c>
      <c r="AD47" s="190">
        <f t="shared" si="51"/>
        <v>48.712164447743163</v>
      </c>
      <c r="AE47" s="169">
        <f t="shared" si="52"/>
        <v>-75.50299858553683</v>
      </c>
      <c r="AF47" s="98" t="str">
        <f t="shared" si="37"/>
        <v>-9.95024875621891E-06</v>
      </c>
      <c r="AG47" s="98" t="str">
        <f t="shared" si="38"/>
        <v>0.000122634861754237i</v>
      </c>
      <c r="AH47" s="98">
        <f t="shared" si="53"/>
        <v>1.22634861754237E-4</v>
      </c>
      <c r="AI47" s="98">
        <f t="shared" si="54"/>
        <v>1.5707963267948966</v>
      </c>
      <c r="AJ47" s="98" t="str">
        <f t="shared" si="39"/>
        <v>1+0.00122389959445387i</v>
      </c>
      <c r="AK47" s="98">
        <f t="shared" si="55"/>
        <v>1.0000007489648282</v>
      </c>
      <c r="AL47" s="98">
        <f t="shared" si="56"/>
        <v>1.2238989833490241E-3</v>
      </c>
      <c r="AM47" s="98" t="str">
        <f t="shared" si="40"/>
        <v>1+1.22512349404832i</v>
      </c>
      <c r="AN47" s="98">
        <f t="shared" si="57"/>
        <v>1.581432128062777</v>
      </c>
      <c r="AO47" s="98">
        <f t="shared" si="58"/>
        <v>0.8862285447676076</v>
      </c>
      <c r="AP47" s="168" t="str">
        <f t="shared" si="59"/>
        <v>-0.0993036319471032+0.0812587331989222i</v>
      </c>
      <c r="AQ47" s="98">
        <f t="shared" si="60"/>
        <v>-17.834595505461682</v>
      </c>
      <c r="AR47" s="169">
        <f t="shared" si="61"/>
        <v>140.70703105290838</v>
      </c>
      <c r="AS47" s="168" t="str">
        <f t="shared" si="62"/>
        <v>14.6721799857353+31.7593768836047i</v>
      </c>
      <c r="AT47" s="190">
        <f t="shared" si="63"/>
        <v>30.877568942281478</v>
      </c>
      <c r="AU47" s="169">
        <f t="shared" si="64"/>
        <v>65.204032467371604</v>
      </c>
      <c r="AV47" s="225"/>
      <c r="AX47">
        <f t="shared" si="65"/>
        <v>0</v>
      </c>
      <c r="AY47">
        <f t="shared" si="66"/>
        <v>0</v>
      </c>
    </row>
    <row r="48" spans="1:51" x14ac:dyDescent="0.3">
      <c r="A48" s="98" t="s">
        <v>245</v>
      </c>
      <c r="B48" s="211">
        <f>2*PI()*Fsw</f>
        <v>628318.53071795858</v>
      </c>
      <c r="C48" s="98" t="s">
        <v>251</v>
      </c>
      <c r="N48" s="170">
        <v>30</v>
      </c>
      <c r="O48" s="199">
        <f t="shared" si="41"/>
        <v>19.952623149688804</v>
      </c>
      <c r="P48" s="189" t="str">
        <f t="shared" si="32"/>
        <v>1078.86904761905</v>
      </c>
      <c r="Q48" s="160" t="str">
        <f t="shared" si="33"/>
        <v>1+3.91768839418175i</v>
      </c>
      <c r="R48" s="160">
        <f t="shared" si="42"/>
        <v>4.0433009229967505</v>
      </c>
      <c r="S48" s="160">
        <f t="shared" si="43"/>
        <v>1.3208802181851917</v>
      </c>
      <c r="T48" s="160" t="str">
        <f t="shared" si="34"/>
        <v>1+2.50732057227632E-06i</v>
      </c>
      <c r="U48" s="160">
        <f t="shared" si="44"/>
        <v>1.0000000000031433</v>
      </c>
      <c r="V48" s="160">
        <f t="shared" si="45"/>
        <v>2.507320572271066E-6</v>
      </c>
      <c r="W48" s="98" t="str">
        <f t="shared" si="35"/>
        <v>1-0.00181339453069313i</v>
      </c>
      <c r="X48" s="160">
        <f t="shared" si="46"/>
        <v>1.0000016441985102</v>
      </c>
      <c r="Y48" s="160">
        <f t="shared" si="47"/>
        <v>-1.813392542975027E-3</v>
      </c>
      <c r="Z48" s="98" t="str">
        <f t="shared" si="36"/>
        <v>0.999999840757132+0.000716254925241491i</v>
      </c>
      <c r="AA48" s="160">
        <f t="shared" si="48"/>
        <v>1.0000000972676988</v>
      </c>
      <c r="AB48" s="160">
        <f t="shared" si="49"/>
        <v>7.1625491681534266E-4</v>
      </c>
      <c r="AC48" s="171" t="str">
        <f t="shared" si="50"/>
        <v>65.339333445448-258.705602913587i</v>
      </c>
      <c r="AD48" s="190">
        <f t="shared" si="51"/>
        <v>48.52466680806296</v>
      </c>
      <c r="AE48" s="169">
        <f t="shared" si="52"/>
        <v>-75.82565620854615</v>
      </c>
      <c r="AF48" s="98" t="str">
        <f t="shared" si="37"/>
        <v>-9.95024875621891E-06</v>
      </c>
      <c r="AG48" s="98" t="str">
        <f t="shared" si="38"/>
        <v>0.00012549139464243i</v>
      </c>
      <c r="AH48" s="98">
        <f t="shared" si="53"/>
        <v>1.2549139464242999E-4</v>
      </c>
      <c r="AI48" s="98">
        <f t="shared" si="54"/>
        <v>1.5707963267948966</v>
      </c>
      <c r="AJ48" s="98" t="str">
        <f t="shared" si="39"/>
        <v>1+0.0012524078782599i</v>
      </c>
      <c r="AK48" s="98">
        <f t="shared" si="55"/>
        <v>1.0000007842624392</v>
      </c>
      <c r="AL48" s="98">
        <f t="shared" si="56"/>
        <v>1.2524072234492878E-3</v>
      </c>
      <c r="AM48" s="98" t="str">
        <f t="shared" si="40"/>
        <v>1+1.25366028613816i</v>
      </c>
      <c r="AN48" s="98">
        <f t="shared" si="57"/>
        <v>1.6036408927936494</v>
      </c>
      <c r="AO48" s="98">
        <f t="shared" si="58"/>
        <v>0.89748124207361035</v>
      </c>
      <c r="AP48" s="168" t="str">
        <f t="shared" si="59"/>
        <v>-0.0993036249367469+0.0794146561122856i</v>
      </c>
      <c r="AQ48" s="98">
        <f t="shared" si="60"/>
        <v>-17.913464519579708</v>
      </c>
      <c r="AR48" s="169">
        <f t="shared" si="61"/>
        <v>141.35012971484147</v>
      </c>
      <c r="AS48" s="168" t="str">
        <f t="shared" si="62"/>
        <v>14.0565838276202+30.879304856942i</v>
      </c>
      <c r="AT48" s="190">
        <f t="shared" si="63"/>
        <v>30.611202288483248</v>
      </c>
      <c r="AU48" s="169">
        <f t="shared" si="64"/>
        <v>65.524473506295351</v>
      </c>
      <c r="AV48" s="225"/>
      <c r="AX48">
        <f t="shared" si="65"/>
        <v>0</v>
      </c>
      <c r="AY48">
        <f t="shared" si="66"/>
        <v>0</v>
      </c>
    </row>
    <row r="49" spans="1:51" x14ac:dyDescent="0.3">
      <c r="A49" s="98" t="s">
        <v>246</v>
      </c>
      <c r="B49" s="211">
        <f>1/(PI()*(((VIN_var/VOUT)*(1+(B45/B46)))-0.5))</f>
        <v>0.55713747847420658</v>
      </c>
      <c r="N49" s="170">
        <v>31</v>
      </c>
      <c r="O49" s="199">
        <f t="shared" si="41"/>
        <v>20.4173794466953</v>
      </c>
      <c r="P49" s="189" t="str">
        <f t="shared" si="32"/>
        <v>1078.86904761905</v>
      </c>
      <c r="Q49" s="160" t="str">
        <f t="shared" si="33"/>
        <v>1+4.00894307970581i</v>
      </c>
      <c r="R49" s="160">
        <f t="shared" si="42"/>
        <v>4.1317822566443532</v>
      </c>
      <c r="S49" s="160">
        <f t="shared" si="43"/>
        <v>1.3263426224850985</v>
      </c>
      <c r="T49" s="160" t="str">
        <f t="shared" si="34"/>
        <v>1+2.56572357101172E-06i</v>
      </c>
      <c r="U49" s="160">
        <f t="shared" si="44"/>
        <v>1.0000000000032916</v>
      </c>
      <c r="V49" s="160">
        <f t="shared" si="45"/>
        <v>2.5657235710060901E-6</v>
      </c>
      <c r="W49" s="98" t="str">
        <f t="shared" si="35"/>
        <v>1-0.00185563391549852i</v>
      </c>
      <c r="X49" s="160">
        <f t="shared" si="46"/>
        <v>1.000001721687132</v>
      </c>
      <c r="Y49" s="160">
        <f t="shared" si="47"/>
        <v>-1.8556317856203975E-3</v>
      </c>
      <c r="Z49" s="98" t="str">
        <f t="shared" si="36"/>
        <v>0.999999833252247+0.000732938645686191i</v>
      </c>
      <c r="AA49" s="160">
        <f t="shared" si="48"/>
        <v>1.000000101851785</v>
      </c>
      <c r="AB49" s="160">
        <f t="shared" si="49"/>
        <v>7.329386366574102E-4</v>
      </c>
      <c r="AC49" s="171" t="str">
        <f t="shared" si="50"/>
        <v>62.5413464496618-253.514659880963i</v>
      </c>
      <c r="AD49" s="190">
        <f t="shared" si="51"/>
        <v>48.336640214142477</v>
      </c>
      <c r="AE49" s="169">
        <f t="shared" si="52"/>
        <v>-76.142001611746522</v>
      </c>
      <c r="AF49" s="98" t="str">
        <f t="shared" si="37"/>
        <v>-9.95024875621891E-06</v>
      </c>
      <c r="AG49" s="98" t="str">
        <f t="shared" si="38"/>
        <v>0.000128414464729137i</v>
      </c>
      <c r="AH49" s="98">
        <f t="shared" si="53"/>
        <v>1.2841446472913699E-4</v>
      </c>
      <c r="AI49" s="98">
        <f t="shared" si="54"/>
        <v>1.5707963267948966</v>
      </c>
      <c r="AJ49" s="98" t="str">
        <f t="shared" si="39"/>
        <v>1+0.00128158020530056i</v>
      </c>
      <c r="AK49" s="98">
        <f t="shared" si="55"/>
        <v>1.000000821223574</v>
      </c>
      <c r="AL49" s="98">
        <f t="shared" si="56"/>
        <v>1.2815795036583788E-3</v>
      </c>
      <c r="AM49" s="98" t="str">
        <f t="shared" si="40"/>
        <v>1+1.28286178550586i</v>
      </c>
      <c r="AN49" s="98">
        <f t="shared" si="57"/>
        <v>1.6265713512512396</v>
      </c>
      <c r="AO49" s="98">
        <f t="shared" si="58"/>
        <v>0.90867649686505725</v>
      </c>
      <c r="AP49" s="168" t="str">
        <f t="shared" si="59"/>
        <v>-0.0993036175960035+0.0776126857266694i</v>
      </c>
      <c r="AQ49" s="98">
        <f t="shared" si="60"/>
        <v>-17.990144908597529</v>
      </c>
      <c r="AR49" s="169">
        <f t="shared" si="61"/>
        <v>141.98989911643025</v>
      </c>
      <c r="AS49" s="168" t="str">
        <f t="shared" si="62"/>
        <v>13.4653716726683+30.0289247067204i</v>
      </c>
      <c r="AT49" s="190">
        <f t="shared" si="63"/>
        <v>30.346495305544956</v>
      </c>
      <c r="AU49" s="169">
        <f t="shared" si="64"/>
        <v>65.847897504683687</v>
      </c>
      <c r="AV49" s="225"/>
      <c r="AX49">
        <f t="shared" si="65"/>
        <v>0</v>
      </c>
      <c r="AY49">
        <f t="shared" si="66"/>
        <v>0</v>
      </c>
    </row>
    <row r="50" spans="1:51" x14ac:dyDescent="0.3">
      <c r="A50" s="98" t="s">
        <v>544</v>
      </c>
      <c r="B50" s="209">
        <f>2*Fsw*((1-1/(B20/B17))/Dc_VIN_nom)^2</f>
        <v>200000</v>
      </c>
      <c r="C50" s="98" t="s">
        <v>251</v>
      </c>
      <c r="E50" s="98" t="s">
        <v>545</v>
      </c>
      <c r="N50" s="170">
        <v>32</v>
      </c>
      <c r="O50" s="199">
        <f t="shared" si="41"/>
        <v>20.8929613085404</v>
      </c>
      <c r="P50" s="189" t="str">
        <f t="shared" si="32"/>
        <v>1078.86904761905</v>
      </c>
      <c r="Q50" s="160" t="str">
        <f t="shared" si="33"/>
        <v>1+4.10232335991541i</v>
      </c>
      <c r="R50" s="160">
        <f t="shared" si="42"/>
        <v>4.2224467965040908</v>
      </c>
      <c r="S50" s="160">
        <f t="shared" si="43"/>
        <v>1.3316951096445329</v>
      </c>
      <c r="T50" s="160" t="str">
        <f t="shared" si="34"/>
        <v>1+2.62548695034586E-06i</v>
      </c>
      <c r="U50" s="160">
        <f t="shared" si="44"/>
        <v>1.0000000000034466</v>
      </c>
      <c r="V50" s="160">
        <f t="shared" si="45"/>
        <v>2.6254869503398275E-6</v>
      </c>
      <c r="W50" s="98" t="str">
        <f t="shared" si="35"/>
        <v>1-0.00189885718196814i</v>
      </c>
      <c r="X50" s="160">
        <f t="shared" si="46"/>
        <v>1.0000018028276736</v>
      </c>
      <c r="Y50" s="160">
        <f t="shared" si="47"/>
        <v>-1.8988548997628362E-3</v>
      </c>
      <c r="Z50" s="98" t="str">
        <f t="shared" si="36"/>
        <v>0.999999825393667+0.00075001097990243i</v>
      </c>
      <c r="AA50" s="160">
        <f t="shared" si="48"/>
        <v>1.0000001066519115</v>
      </c>
      <c r="AB50" s="160">
        <f t="shared" si="49"/>
        <v>7.5001097022791717E-4</v>
      </c>
      <c r="AC50" s="171" t="str">
        <f t="shared" si="50"/>
        <v>59.8548303395527-248.398817058036i</v>
      </c>
      <c r="AD50" s="190">
        <f t="shared" si="51"/>
        <v>48.148105681184333</v>
      </c>
      <c r="AE50" s="169">
        <f t="shared" si="52"/>
        <v>-76.452127786368436</v>
      </c>
      <c r="AF50" s="98" t="str">
        <f t="shared" si="37"/>
        <v>-9.95024875621891E-06</v>
      </c>
      <c r="AG50" s="98" t="str">
        <f t="shared" si="38"/>
        <v>0.00013140562186481i</v>
      </c>
      <c r="AH50" s="98">
        <f t="shared" si="53"/>
        <v>1.3140562186480999E-4</v>
      </c>
      <c r="AI50" s="98">
        <f t="shared" si="54"/>
        <v>1.5707963267948966</v>
      </c>
      <c r="AJ50" s="98" t="str">
        <f t="shared" si="39"/>
        <v>1+0.0013114320431298i</v>
      </c>
      <c r="AK50" s="98">
        <f t="shared" si="55"/>
        <v>1.0000008599266321</v>
      </c>
      <c r="AL50" s="98">
        <f t="shared" si="56"/>
        <v>1.3114312913066926E-3</v>
      </c>
      <c r="AM50" s="98" t="str">
        <f t="shared" si="40"/>
        <v>1+1.31274347517293i</v>
      </c>
      <c r="AN50" s="98">
        <f t="shared" si="57"/>
        <v>1.6502410222779886</v>
      </c>
      <c r="AO50" s="98">
        <f t="shared" si="58"/>
        <v>0.91980902045696422</v>
      </c>
      <c r="AP50" s="168" t="str">
        <f t="shared" si="59"/>
        <v>-0.0993036099093035+0.0758518666134636i</v>
      </c>
      <c r="AQ50" s="98">
        <f t="shared" si="60"/>
        <v>-18.064660045904557</v>
      </c>
      <c r="AR50" s="169">
        <f t="shared" si="61"/>
        <v>142.62603535213319</v>
      </c>
      <c r="AS50" s="168" t="str">
        <f t="shared" si="62"/>
        <v>12.8977132152018+29.2069998381509i</v>
      </c>
      <c r="AT50" s="190">
        <f t="shared" si="63"/>
        <v>30.083445635279777</v>
      </c>
      <c r="AU50" s="169">
        <f t="shared" si="64"/>
        <v>66.173907565764793</v>
      </c>
      <c r="AV50" s="225"/>
      <c r="AX50">
        <f t="shared" si="65"/>
        <v>0</v>
      </c>
      <c r="AY50">
        <f t="shared" si="66"/>
        <v>0</v>
      </c>
    </row>
    <row r="51" spans="1:51" x14ac:dyDescent="0.3">
      <c r="N51" s="170">
        <v>33</v>
      </c>
      <c r="O51" s="199">
        <f t="shared" si="41"/>
        <v>21.379620895022335</v>
      </c>
      <c r="P51" s="189" t="str">
        <f t="shared" si="32"/>
        <v>1078.86904761905</v>
      </c>
      <c r="Q51" s="160" t="str">
        <f t="shared" si="33"/>
        <v>1+4.19787874627106i</v>
      </c>
      <c r="R51" s="160">
        <f t="shared" si="42"/>
        <v>4.3153430881442425</v>
      </c>
      <c r="S51" s="160">
        <f t="shared" si="43"/>
        <v>1.3369392903417989</v>
      </c>
      <c r="T51" s="160" t="str">
        <f t="shared" si="34"/>
        <v>1+2.68664239761348E-06i</v>
      </c>
      <c r="U51" s="160">
        <f t="shared" si="44"/>
        <v>1.0000000000036091</v>
      </c>
      <c r="V51" s="160">
        <f t="shared" si="45"/>
        <v>2.6866423976070158E-6</v>
      </c>
      <c r="W51" s="98" t="str">
        <f t="shared" si="35"/>
        <v>1-0.00194308724764997i</v>
      </c>
      <c r="X51" s="160">
        <f t="shared" si="46"/>
        <v>1.0000018877922441</v>
      </c>
      <c r="Y51" s="160">
        <f t="shared" si="47"/>
        <v>-1.9430848022231777E-3</v>
      </c>
      <c r="Z51" s="98" t="str">
        <f t="shared" si="36"/>
        <v>0.999999817164724+0.000767480979867777i</v>
      </c>
      <c r="AA51" s="160">
        <f t="shared" si="48"/>
        <v>1.0000001116782615</v>
      </c>
      <c r="AB51" s="160">
        <f t="shared" si="49"/>
        <v>7.6748096950134982E-4</v>
      </c>
      <c r="AC51" s="171" t="str">
        <f t="shared" si="50"/>
        <v>57.2759354455643-243.358880675575i</v>
      </c>
      <c r="AD51" s="190">
        <f t="shared" si="51"/>
        <v>47.959083503813233</v>
      </c>
      <c r="AE51" s="169">
        <f t="shared" si="52"/>
        <v>-76.756128847342453</v>
      </c>
      <c r="AF51" s="98" t="str">
        <f t="shared" si="37"/>
        <v>-9.95024875621891E-06</v>
      </c>
      <c r="AG51" s="98" t="str">
        <f t="shared" si="38"/>
        <v>0.000134466452000555i</v>
      </c>
      <c r="AH51" s="98">
        <f t="shared" si="53"/>
        <v>1.3446645200055501E-4</v>
      </c>
      <c r="AI51" s="98">
        <f t="shared" si="54"/>
        <v>1.5707963267948966</v>
      </c>
      <c r="AJ51" s="98" t="str">
        <f t="shared" si="39"/>
        <v>1+0.00134197921958715i</v>
      </c>
      <c r="AK51" s="98">
        <f t="shared" si="55"/>
        <v>1.0000009004537076</v>
      </c>
      <c r="AL51" s="98">
        <f t="shared" si="56"/>
        <v>1.3419784139942154E-3</v>
      </c>
      <c r="AM51" s="98" t="str">
        <f t="shared" si="40"/>
        <v>1+1.34332119880674i</v>
      </c>
      <c r="AN51" s="98">
        <f t="shared" si="57"/>
        <v>1.6746676814113231</v>
      </c>
      <c r="AO51" s="98">
        <f t="shared" si="58"/>
        <v>0.93087367845703417</v>
      </c>
      <c r="AP51" s="168" t="str">
        <f t="shared" si="59"/>
        <v>-0.0993036018603406+0.074131265163004i</v>
      </c>
      <c r="AQ51" s="98">
        <f t="shared" si="60"/>
        <v>-18.137035189815794</v>
      </c>
      <c r="AR51" s="169">
        <f t="shared" si="61"/>
        <v>143.25824333608657</v>
      </c>
      <c r="AS51" s="168" t="str">
        <f t="shared" si="62"/>
        <v>12.352795023468+28.4123509537597i</v>
      </c>
      <c r="AT51" s="190">
        <f t="shared" si="63"/>
        <v>29.822048313997445</v>
      </c>
      <c r="AU51" s="169">
        <f t="shared" si="64"/>
        <v>66.502114488744155</v>
      </c>
      <c r="AV51" s="225"/>
      <c r="AX51">
        <f t="shared" si="65"/>
        <v>0</v>
      </c>
      <c r="AY51">
        <f t="shared" si="66"/>
        <v>0</v>
      </c>
    </row>
    <row r="52" spans="1:51" x14ac:dyDescent="0.3">
      <c r="N52" s="170">
        <v>34</v>
      </c>
      <c r="O52" s="199">
        <f t="shared" si="41"/>
        <v>21.877616239495538</v>
      </c>
      <c r="P52" s="189" t="str">
        <f t="shared" si="32"/>
        <v>1078.86904761905</v>
      </c>
      <c r="Q52" s="160" t="str">
        <f t="shared" si="33"/>
        <v>1+4.2956599035035i</v>
      </c>
      <c r="R52" s="160">
        <f t="shared" si="42"/>
        <v>4.4105208316669025</v>
      </c>
      <c r="S52" s="160">
        <f t="shared" si="43"/>
        <v>1.3420767908270528</v>
      </c>
      <c r="T52" s="160" t="str">
        <f t="shared" si="34"/>
        <v>1+2.74922233824224E-06i</v>
      </c>
      <c r="U52" s="160">
        <f t="shared" si="44"/>
        <v>1.0000000000037792</v>
      </c>
      <c r="V52" s="160">
        <f t="shared" si="45"/>
        <v>2.7492223382353136E-6</v>
      </c>
      <c r="W52" s="98" t="str">
        <f t="shared" si="35"/>
        <v>1-0.00198834756391032i</v>
      </c>
      <c r="X52" s="160">
        <f t="shared" si="46"/>
        <v>1.0000019767610637</v>
      </c>
      <c r="Y52" s="160">
        <f t="shared" si="47"/>
        <v>-1.9883449435885822E-3</v>
      </c>
      <c r="Z52" s="98" t="str">
        <f t="shared" si="36"/>
        <v>0.999999808547963+0.000785357908407463i</v>
      </c>
      <c r="AA52" s="160">
        <f t="shared" si="48"/>
        <v>1.0000001169414967</v>
      </c>
      <c r="AB52" s="160">
        <f t="shared" si="49"/>
        <v>7.8535789729963573E-4</v>
      </c>
      <c r="AC52" s="171" t="str">
        <f t="shared" si="50"/>
        <v>54.8008952354171-238.395506164597i</v>
      </c>
      <c r="AD52" s="190">
        <f t="shared" si="51"/>
        <v>47.769593271185769</v>
      </c>
      <c r="AE52" s="169">
        <f t="shared" si="52"/>
        <v>-77.054099844421344</v>
      </c>
      <c r="AF52" s="98" t="str">
        <f t="shared" si="37"/>
        <v>-9.95024875621891E-06</v>
      </c>
      <c r="AG52" s="98" t="str">
        <f t="shared" si="38"/>
        <v>0.000137598578029024i</v>
      </c>
      <c r="AH52" s="98">
        <f t="shared" si="53"/>
        <v>1.3759857802902401E-4</v>
      </c>
      <c r="AI52" s="98">
        <f t="shared" si="54"/>
        <v>1.5707963267948966</v>
      </c>
      <c r="AJ52" s="98" t="str">
        <f t="shared" si="39"/>
        <v>1+0.00137323793118993i</v>
      </c>
      <c r="AK52" s="98">
        <f t="shared" si="55"/>
        <v>1.0000009428907632</v>
      </c>
      <c r="AL52" s="98">
        <f t="shared" si="56"/>
        <v>1.3732370679815924E-3</v>
      </c>
      <c r="AM52" s="98" t="str">
        <f t="shared" si="40"/>
        <v>1+1.37461116912112i</v>
      </c>
      <c r="AN52" s="98">
        <f t="shared" si="57"/>
        <v>1.6998693674140177</v>
      </c>
      <c r="AO52" s="98">
        <f t="shared" si="58"/>
        <v>0.94186550103002109</v>
      </c>
      <c r="AP52" s="168" t="str">
        <f t="shared" si="59"/>
        <v>-0.0993035934320441+0.0724499690895589i</v>
      </c>
      <c r="AQ52" s="98">
        <f t="shared" si="60"/>
        <v>-18.207297386991304</v>
      </c>
      <c r="AR52" s="169">
        <f t="shared" si="61"/>
        <v>143.88623738972865</v>
      </c>
      <c r="AS52" s="168" t="str">
        <f t="shared" si="62"/>
        <v>11.8298212325449+27.6438535860816i</v>
      </c>
      <c r="AT52" s="190">
        <f t="shared" si="63"/>
        <v>29.562295884194462</v>
      </c>
      <c r="AU52" s="169">
        <f t="shared" si="64"/>
        <v>66.83213754530729</v>
      </c>
      <c r="AV52" s="225"/>
      <c r="AX52">
        <f t="shared" si="65"/>
        <v>0</v>
      </c>
      <c r="AY52">
        <f t="shared" si="66"/>
        <v>0</v>
      </c>
    </row>
    <row r="53" spans="1:51" ht="15.6" x14ac:dyDescent="0.3">
      <c r="A53" s="212" t="s">
        <v>261</v>
      </c>
      <c r="N53" s="170">
        <v>35</v>
      </c>
      <c r="O53" s="199">
        <f t="shared" si="41"/>
        <v>22.387211385683404</v>
      </c>
      <c r="P53" s="189" t="str">
        <f t="shared" si="32"/>
        <v>1078.86904761905</v>
      </c>
      <c r="Q53" s="160" t="str">
        <f t="shared" si="33"/>
        <v>1+4.39571867647656i</v>
      </c>
      <c r="R53" s="160">
        <f t="shared" si="42"/>
        <v>4.5080309096904863</v>
      </c>
      <c r="S53" s="160">
        <f t="shared" si="43"/>
        <v>1.3471092498012582</v>
      </c>
      <c r="T53" s="160" t="str">
        <f t="shared" si="34"/>
        <v>1+0.000002813259952945i</v>
      </c>
      <c r="U53" s="160">
        <f t="shared" si="44"/>
        <v>1.0000000000039573</v>
      </c>
      <c r="V53" s="160">
        <f t="shared" si="45"/>
        <v>2.8132599529375785E-6</v>
      </c>
      <c r="W53" s="98" t="str">
        <f t="shared" si="35"/>
        <v>1-0.00203466212836794i</v>
      </c>
      <c r="X53" s="160">
        <f t="shared" si="46"/>
        <v>1.000002069922846</v>
      </c>
      <c r="Y53" s="160">
        <f t="shared" si="47"/>
        <v>-2.0346593206429261E-3</v>
      </c>
      <c r="Z53" s="98" t="str">
        <f t="shared" si="36"/>
        <v>0.999999799525107+0.000803651244105629i</v>
      </c>
      <c r="AA53" s="160">
        <f t="shared" si="48"/>
        <v>1.0000001224527806</v>
      </c>
      <c r="AB53" s="160">
        <f t="shared" si="49"/>
        <v>8.0365123220337703E-4</v>
      </c>
      <c r="AC53" s="171" t="str">
        <f t="shared" si="50"/>
        <v>52.4260290279973-233.509207054092i</v>
      </c>
      <c r="AD53" s="190">
        <f t="shared" si="51"/>
        <v>47.579653882655862</v>
      </c>
      <c r="AE53" s="169">
        <f t="shared" si="52"/>
        <v>-77.346136584350162</v>
      </c>
      <c r="AF53" s="98" t="str">
        <f t="shared" si="37"/>
        <v>-9.95024875621891E-06</v>
      </c>
      <c r="AG53" s="98" t="str">
        <f t="shared" si="38"/>
        <v>0.000140803660644897i</v>
      </c>
      <c r="AH53" s="98">
        <f t="shared" si="53"/>
        <v>1.40803660644897E-4</v>
      </c>
      <c r="AI53" s="98">
        <f t="shared" si="54"/>
        <v>1.5707963267948966</v>
      </c>
      <c r="AJ53" s="98" t="str">
        <f t="shared" si="39"/>
        <v>1+0.00140522475172078i</v>
      </c>
      <c r="AK53" s="98">
        <f t="shared" si="55"/>
        <v>1.000000987327814</v>
      </c>
      <c r="AL53" s="98">
        <f t="shared" si="56"/>
        <v>1.4052238267764311E-3</v>
      </c>
      <c r="AM53" s="98" t="str">
        <f t="shared" si="40"/>
        <v>1+1.4066299764725i</v>
      </c>
      <c r="AN53" s="98">
        <f t="shared" si="57"/>
        <v>1.7258643894324452</v>
      </c>
      <c r="AO53" s="98">
        <f t="shared" si="58"/>
        <v>0.95277969223132397</v>
      </c>
      <c r="AP53" s="168" t="str">
        <f t="shared" si="59"/>
        <v>-0.0993035846065356+0.0708070869476224i</v>
      </c>
      <c r="AQ53" s="98">
        <f t="shared" si="60"/>
        <v>-18.275475370968273</v>
      </c>
      <c r="AR53" s="169">
        <f t="shared" si="61"/>
        <v>144.5097417760829</v>
      </c>
      <c r="AS53" s="168" t="str">
        <f t="shared" si="62"/>
        <v>11.328014117783+26.900435694805i</v>
      </c>
      <c r="AT53" s="190">
        <f t="shared" si="63"/>
        <v>29.304178511687574</v>
      </c>
      <c r="AU53" s="169">
        <f t="shared" si="64"/>
        <v>67.163605191732771</v>
      </c>
      <c r="AV53" s="225"/>
      <c r="AX53">
        <f t="shared" si="65"/>
        <v>0</v>
      </c>
      <c r="AY53">
        <f t="shared" si="66"/>
        <v>0</v>
      </c>
    </row>
    <row r="54" spans="1:51" x14ac:dyDescent="0.3">
      <c r="A54" s="98" t="s">
        <v>226</v>
      </c>
      <c r="N54" s="170">
        <v>36</v>
      </c>
      <c r="O54" s="199">
        <f t="shared" si="41"/>
        <v>22.908676527677727</v>
      </c>
      <c r="P54" s="189" t="str">
        <f t="shared" si="32"/>
        <v>1078.86904761905</v>
      </c>
      <c r="Q54" s="160" t="str">
        <f t="shared" si="33"/>
        <v>1+4.49810811767609i</v>
      </c>
      <c r="R54" s="160">
        <f t="shared" si="42"/>
        <v>4.6079254158789871</v>
      </c>
      <c r="S54" s="160">
        <f t="shared" si="43"/>
        <v>1.3520383154821363</v>
      </c>
      <c r="T54" s="160" t="str">
        <f t="shared" si="34"/>
        <v>1+0.0000028787891953127i</v>
      </c>
      <c r="U54" s="160">
        <f t="shared" si="44"/>
        <v>1.0000000000041438</v>
      </c>
      <c r="V54" s="160">
        <f t="shared" si="45"/>
        <v>2.8787891953047474E-6</v>
      </c>
      <c r="W54" s="98" t="str">
        <f t="shared" si="35"/>
        <v>1-0.00208205549761796i</v>
      </c>
      <c r="X54" s="160">
        <f t="shared" si="46"/>
        <v>1.0000021674751987</v>
      </c>
      <c r="Y54" s="160">
        <f t="shared" si="47"/>
        <v>-2.0820524890867559E-3</v>
      </c>
      <c r="Z54" s="98" t="str">
        <f t="shared" si="36"/>
        <v>0.999999790077016+0.000822370686330999i</v>
      </c>
      <c r="AA54" s="160">
        <f t="shared" si="48"/>
        <v>1.0000001282238027</v>
      </c>
      <c r="AB54" s="160">
        <f t="shared" si="49"/>
        <v>8.2237067357750638E-4</v>
      </c>
      <c r="AC54" s="171" t="str">
        <f t="shared" si="50"/>
        <v>50.1477441840763-228.700363603583i</v>
      </c>
      <c r="AD54" s="190">
        <f t="shared" si="51"/>
        <v>47.389283563893201</v>
      </c>
      <c r="AE54" s="169">
        <f t="shared" si="52"/>
        <v>-77.632335463773401</v>
      </c>
      <c r="AF54" s="98" t="str">
        <f t="shared" si="37"/>
        <v>-9.95024875621891E-06</v>
      </c>
      <c r="AG54" s="98" t="str">
        <f t="shared" si="38"/>
        <v>0.0001440833992254i</v>
      </c>
      <c r="AH54" s="98">
        <f t="shared" si="53"/>
        <v>1.4408339922540001E-4</v>
      </c>
      <c r="AI54" s="98">
        <f t="shared" si="54"/>
        <v>1.5707963267948966</v>
      </c>
      <c r="AJ54" s="98" t="str">
        <f t="shared" si="39"/>
        <v>1+0.00143795664101533i</v>
      </c>
      <c r="AK54" s="98">
        <f t="shared" si="55"/>
        <v>1.0000010338591163</v>
      </c>
      <c r="AL54" s="98">
        <f t="shared" si="56"/>
        <v>1.4379556499196592E-3</v>
      </c>
      <c r="AM54" s="98" t="str">
        <f t="shared" si="40"/>
        <v>1+1.43939459765635i</v>
      </c>
      <c r="AN54" s="98">
        <f t="shared" si="57"/>
        <v>1.7526713347807927</v>
      </c>
      <c r="AO54" s="98">
        <f t="shared" si="58"/>
        <v>0.96361163838045227</v>
      </c>
      <c r="AP54" s="168" t="str">
        <f t="shared" si="59"/>
        <v>-0.0993035753650953+0.0692017476592592i</v>
      </c>
      <c r="AQ54" s="98">
        <f t="shared" si="60"/>
        <v>-18.341599456573171</v>
      </c>
      <c r="AR54" s="169">
        <f t="shared" si="61"/>
        <v>145.12849117901902</v>
      </c>
      <c r="AS54" s="168" t="str">
        <f t="shared" si="62"/>
        <v>10.846614557703+26.1810753318406i</v>
      </c>
      <c r="AT54" s="190">
        <f t="shared" si="63"/>
        <v>29.047684107320016</v>
      </c>
      <c r="AU54" s="169">
        <f t="shared" si="64"/>
        <v>67.496155715245678</v>
      </c>
      <c r="AV54" s="225"/>
      <c r="AX54">
        <f t="shared" si="65"/>
        <v>0</v>
      </c>
      <c r="AY54">
        <f t="shared" si="66"/>
        <v>0</v>
      </c>
    </row>
    <row r="55" spans="1:51" x14ac:dyDescent="0.3">
      <c r="A55" s="98" t="s">
        <v>224</v>
      </c>
      <c r="B55" s="187">
        <f>RFBT</f>
        <v>100000</v>
      </c>
      <c r="C55" s="206" t="s">
        <v>36</v>
      </c>
      <c r="E55" s="98" t="s">
        <v>227</v>
      </c>
      <c r="N55" s="170">
        <v>37</v>
      </c>
      <c r="O55" s="199">
        <f t="shared" si="41"/>
        <v>23.442288153199236</v>
      </c>
      <c r="P55" s="189" t="str">
        <f t="shared" si="32"/>
        <v>1078.86904761905</v>
      </c>
      <c r="Q55" s="160" t="str">
        <f t="shared" si="33"/>
        <v>1+4.60288251533913i</v>
      </c>
      <c r="R55" s="160">
        <f t="shared" si="42"/>
        <v>4.7102576840354153</v>
      </c>
      <c r="S55" s="160">
        <f t="shared" si="43"/>
        <v>1.3568656428512806</v>
      </c>
      <c r="T55" s="160" t="str">
        <f t="shared" si="34"/>
        <v>1+2.94584480981704E-06i</v>
      </c>
      <c r="U55" s="160">
        <f t="shared" si="44"/>
        <v>1.000000000004339</v>
      </c>
      <c r="V55" s="160">
        <f t="shared" si="45"/>
        <v>2.9458448098085188E-6</v>
      </c>
      <c r="W55" s="98" t="str">
        <f t="shared" si="35"/>
        <v>1-0.00213055280025208i</v>
      </c>
      <c r="X55" s="160">
        <f t="shared" si="46"/>
        <v>1.0000022696250417</v>
      </c>
      <c r="Y55" s="160">
        <f t="shared" si="47"/>
        <v>-2.1305495765532095E-3</v>
      </c>
      <c r="Z55" s="98" t="str">
        <f t="shared" si="36"/>
        <v>0.99999978018365+0.000841526160379627i</v>
      </c>
      <c r="AA55" s="160">
        <f t="shared" si="48"/>
        <v>1.0000001342668043</v>
      </c>
      <c r="AB55" s="160">
        <f t="shared" si="49"/>
        <v>8.4152614671401365E-4</v>
      </c>
      <c r="AC55" s="171" t="str">
        <f t="shared" si="50"/>
        <v>47.9625378146894-223.969231156381i</v>
      </c>
      <c r="AD55" s="190">
        <f t="shared" si="51"/>
        <v>47.198499883362565</v>
      </c>
      <c r="AE55" s="169">
        <f t="shared" si="52"/>
        <v>-77.91279331254546</v>
      </c>
      <c r="AF55" s="98" t="str">
        <f t="shared" si="37"/>
        <v>-9.95024875621891E-06</v>
      </c>
      <c r="AG55" s="98" t="str">
        <f t="shared" si="38"/>
        <v>0.000147439532731342i</v>
      </c>
      <c r="AH55" s="98">
        <f t="shared" si="53"/>
        <v>1.47439532731342E-4</v>
      </c>
      <c r="AI55" s="98">
        <f t="shared" si="54"/>
        <v>1.5707963267948966</v>
      </c>
      <c r="AJ55" s="98" t="str">
        <f t="shared" si="39"/>
        <v>1+0.00147145095395457i</v>
      </c>
      <c r="AK55" s="98">
        <f t="shared" si="55"/>
        <v>1.0000010825833689</v>
      </c>
      <c r="AL55" s="98">
        <f t="shared" si="56"/>
        <v>1.4714498919764876E-3</v>
      </c>
      <c r="AM55" s="98" t="str">
        <f t="shared" si="40"/>
        <v>1+1.47292240490852i</v>
      </c>
      <c r="AN55" s="98">
        <f t="shared" si="57"/>
        <v>1.780309077346262</v>
      </c>
      <c r="AO55" s="98">
        <f t="shared" si="58"/>
        <v>0.97435691545417047</v>
      </c>
      <c r="AP55" s="168" t="str">
        <f t="shared" si="59"/>
        <v>-0.0993035656881212+0.0676331000522453i</v>
      </c>
      <c r="AQ55" s="98">
        <f t="shared" si="60"/>
        <v>-18.405701430991211</v>
      </c>
      <c r="AR55" s="169">
        <f t="shared" si="61"/>
        <v>145.74223112633391</v>
      </c>
      <c r="AS55" s="168" t="str">
        <f t="shared" si="62"/>
        <v>10.384882394974+25.4847983770362i</v>
      </c>
      <c r="AT55" s="190">
        <f t="shared" si="63"/>
        <v>28.792798452371365</v>
      </c>
      <c r="AU55" s="169">
        <f t="shared" si="64"/>
        <v>67.829437813788402</v>
      </c>
      <c r="AV55" s="225"/>
      <c r="AX55">
        <f t="shared" si="65"/>
        <v>0</v>
      </c>
      <c r="AY55">
        <f t="shared" si="66"/>
        <v>0</v>
      </c>
    </row>
    <row r="56" spans="1:51" x14ac:dyDescent="0.3">
      <c r="A56" s="98" t="s">
        <v>225</v>
      </c>
      <c r="B56" s="187">
        <f>RFBB</f>
        <v>500</v>
      </c>
      <c r="C56" s="206" t="s">
        <v>36</v>
      </c>
      <c r="E56" s="98" t="s">
        <v>228</v>
      </c>
      <c r="N56" s="170">
        <v>38</v>
      </c>
      <c r="O56" s="199">
        <f t="shared" si="41"/>
        <v>23.988329190194907</v>
      </c>
      <c r="P56" s="189" t="str">
        <f t="shared" si="32"/>
        <v>1078.86904761905</v>
      </c>
      <c r="Q56" s="160" t="str">
        <f t="shared" si="33"/>
        <v>1+4.71009742223812i</v>
      </c>
      <c r="R56" s="160">
        <f t="shared" si="42"/>
        <v>4.8150823177775663</v>
      </c>
      <c r="S56" s="160">
        <f t="shared" si="43"/>
        <v>1.3615928910763497</v>
      </c>
      <c r="T56" s="160" t="str">
        <f t="shared" si="34"/>
        <v>1+0.0000030144623502324i</v>
      </c>
      <c r="U56" s="160">
        <f t="shared" si="44"/>
        <v>1.0000000000045435</v>
      </c>
      <c r="V56" s="160">
        <f t="shared" si="45"/>
        <v>3.0144623502232695E-6</v>
      </c>
      <c r="W56" s="98" t="str">
        <f t="shared" si="35"/>
        <v>1-0.00218017975018208i</v>
      </c>
      <c r="X56" s="160">
        <f t="shared" si="46"/>
        <v>1.0000023765890473</v>
      </c>
      <c r="Y56" s="160">
        <f t="shared" si="47"/>
        <v>-2.1801762959269494E-3</v>
      </c>
      <c r="Z56" s="98" t="str">
        <f t="shared" si="36"/>
        <v>0.999999769824025+0.0008611278227374i</v>
      </c>
      <c r="AA56" s="160">
        <f t="shared" si="48"/>
        <v>1.0000001405946053</v>
      </c>
      <c r="AB56" s="160">
        <f t="shared" si="49"/>
        <v>8.6112780809443072E-4</v>
      </c>
      <c r="AC56" s="171" t="str">
        <f t="shared" si="50"/>
        <v>45.8669980464355-219.315948202639i</v>
      </c>
      <c r="AD56" s="190">
        <f t="shared" si="51"/>
        <v>47.007319769078613</v>
      </c>
      <c r="AE56" s="169">
        <f t="shared" si="52"/>
        <v>-78.187607247096892</v>
      </c>
      <c r="AF56" s="98" t="str">
        <f t="shared" si="37"/>
        <v>-9.95024875621891E-06</v>
      </c>
      <c r="AG56" s="98" t="str">
        <f t="shared" si="38"/>
        <v>0.000150873840629131i</v>
      </c>
      <c r="AH56" s="98">
        <f t="shared" si="53"/>
        <v>1.5087384062913099E-4</v>
      </c>
      <c r="AI56" s="98">
        <f t="shared" si="54"/>
        <v>1.5707963267948966</v>
      </c>
      <c r="AJ56" s="98" t="str">
        <f t="shared" si="39"/>
        <v>1+0.00150572544966653i</v>
      </c>
      <c r="AK56" s="98">
        <f t="shared" si="55"/>
        <v>1.0000011336039223</v>
      </c>
      <c r="AL56" s="98">
        <f t="shared" si="56"/>
        <v>1.5057243117365825E-3</v>
      </c>
      <c r="AM56" s="98" t="str">
        <f t="shared" si="40"/>
        <v>1+1.5072311751162i</v>
      </c>
      <c r="AN56" s="98">
        <f t="shared" si="57"/>
        <v>1.80879678660765</v>
      </c>
      <c r="AO56" s="98">
        <f t="shared" si="58"/>
        <v>0.98501129548824573</v>
      </c>
      <c r="AP56" s="168" t="str">
        <f t="shared" si="59"/>
        <v>-0.099303555555087+0.0661003124087665i</v>
      </c>
      <c r="AQ56" s="98">
        <f t="shared" si="60"/>
        <v>-18.467814442266398</v>
      </c>
      <c r="AR56" s="169">
        <f t="shared" si="61"/>
        <v>146.35071835601735</v>
      </c>
      <c r="AS56" s="168" t="str">
        <f t="shared" si="62"/>
        <v>9.94209670377001+24.810676346579i</v>
      </c>
      <c r="AT56" s="190">
        <f t="shared" si="63"/>
        <v>28.539505326812211</v>
      </c>
      <c r="AU56" s="169">
        <f t="shared" si="64"/>
        <v>68.163111108920461</v>
      </c>
      <c r="AV56" s="225"/>
      <c r="AX56">
        <f t="shared" si="65"/>
        <v>0</v>
      </c>
      <c r="AY56">
        <f t="shared" si="66"/>
        <v>0</v>
      </c>
    </row>
    <row r="57" spans="1:51" x14ac:dyDescent="0.3">
      <c r="A57" s="98" t="s">
        <v>214</v>
      </c>
      <c r="B57" s="187">
        <f>RCOMP</f>
        <v>10000</v>
      </c>
      <c r="C57" s="206" t="s">
        <v>36</v>
      </c>
      <c r="E57" s="98" t="s">
        <v>221</v>
      </c>
      <c r="N57" s="170">
        <v>39</v>
      </c>
      <c r="O57" s="199">
        <f t="shared" si="41"/>
        <v>24.547089156850316</v>
      </c>
      <c r="P57" s="189" t="str">
        <f t="shared" si="32"/>
        <v>1078.86904761905</v>
      </c>
      <c r="Q57" s="160" t="str">
        <f t="shared" si="33"/>
        <v>1+4.81980968513591i</v>
      </c>
      <c r="R57" s="160">
        <f t="shared" si="42"/>
        <v>4.9224552208151087</v>
      </c>
      <c r="S57" s="160">
        <f t="shared" si="43"/>
        <v>1.366221721102082</v>
      </c>
      <c r="T57" s="160" t="str">
        <f t="shared" si="34"/>
        <v>1+3.08467819848698E-06i</v>
      </c>
      <c r="U57" s="160">
        <f t="shared" si="44"/>
        <v>1.0000000000047575</v>
      </c>
      <c r="V57" s="160">
        <f t="shared" si="45"/>
        <v>3.0846781984771965E-6</v>
      </c>
      <c r="W57" s="98" t="str">
        <f t="shared" si="35"/>
        <v>1-0.00223096266027372i</v>
      </c>
      <c r="X57" s="160">
        <f t="shared" si="46"/>
        <v>1.0000024885940992</v>
      </c>
      <c r="Y57" s="160">
        <f t="shared" si="47"/>
        <v>-2.2309589589731599E-3</v>
      </c>
      <c r="Z57" s="98" t="str">
        <f t="shared" si="36"/>
        <v>0.999999758976166+0.000881186066465163i</v>
      </c>
      <c r="AA57" s="160">
        <f t="shared" si="48"/>
        <v>1.0000001472206261</v>
      </c>
      <c r="AB57" s="160">
        <f t="shared" si="49"/>
        <v>8.8118605077493802E-4</v>
      </c>
      <c r="AC57" s="171" t="str">
        <f t="shared" si="50"/>
        <v>43.8578048812787-214.740544144208i</v>
      </c>
      <c r="AD57" s="190">
        <f t="shared" si="51"/>
        <v>46.815759525556388</v>
      </c>
      <c r="AE57" s="169">
        <f t="shared" si="52"/>
        <v>-78.45687453349808</v>
      </c>
      <c r="AF57" s="98" t="str">
        <f t="shared" si="37"/>
        <v>-9.95024875621891E-06</v>
      </c>
      <c r="AG57" s="98" t="str">
        <f t="shared" si="38"/>
        <v>0.000154388143834274i</v>
      </c>
      <c r="AH57" s="98">
        <f t="shared" si="53"/>
        <v>1.5438814383427401E-4</v>
      </c>
      <c r="AI57" s="98">
        <f t="shared" si="54"/>
        <v>1.5707963267948966</v>
      </c>
      <c r="AJ57" s="98" t="str">
        <f t="shared" si="39"/>
        <v>1+0.00154079830094255i</v>
      </c>
      <c r="AK57" s="98">
        <f t="shared" si="55"/>
        <v>1.0000011870289975</v>
      </c>
      <c r="AL57" s="98">
        <f t="shared" si="56"/>
        <v>1.5407970816287216E-3</v>
      </c>
      <c r="AM57" s="98" t="str">
        <f t="shared" si="40"/>
        <v>1+1.54233909924349i</v>
      </c>
      <c r="AN57" s="98">
        <f t="shared" si="57"/>
        <v>1.8381539372574922</v>
      </c>
      <c r="AO57" s="98">
        <f t="shared" si="58"/>
        <v>0.9955707519855812</v>
      </c>
      <c r="AP57" s="168" t="str">
        <f t="shared" si="59"/>
        <v>-0.0993035449444992+0.0646025720244289i</v>
      </c>
      <c r="AQ57" s="98">
        <f t="shared" si="60"/>
        <v>-18.527972885995815</v>
      </c>
      <c r="AR57" s="169">
        <f t="shared" si="61"/>
        <v>146.95372112557601</v>
      </c>
      <c r="AS57" s="168" t="str">
        <f t="shared" si="62"/>
        <v>9.51755597144611+24.1578242755067i</v>
      </c>
      <c r="AT57" s="190">
        <f t="shared" si="63"/>
        <v>28.287786639560561</v>
      </c>
      <c r="AU57" s="169">
        <f t="shared" si="64"/>
        <v>68.496846592077929</v>
      </c>
      <c r="AV57" s="225"/>
      <c r="AX57">
        <f t="shared" si="65"/>
        <v>0</v>
      </c>
      <c r="AY57">
        <f t="shared" si="66"/>
        <v>0</v>
      </c>
    </row>
    <row r="58" spans="1:51" x14ac:dyDescent="0.3">
      <c r="A58" s="98" t="s">
        <v>219</v>
      </c>
      <c r="B58" s="187">
        <f>CCOMP</f>
        <v>1.0000000000000002E-6</v>
      </c>
      <c r="C58" s="206" t="s">
        <v>193</v>
      </c>
      <c r="E58" s="98" t="s">
        <v>222</v>
      </c>
      <c r="N58" s="170">
        <v>40</v>
      </c>
      <c r="O58" s="199">
        <f t="shared" si="41"/>
        <v>25.118864315095799</v>
      </c>
      <c r="P58" s="189" t="str">
        <f t="shared" si="32"/>
        <v>1078.86904761905</v>
      </c>
      <c r="Q58" s="160" t="str">
        <f t="shared" si="33"/>
        <v>1+4.9320774749265i</v>
      </c>
      <c r="R58" s="160">
        <f t="shared" si="42"/>
        <v>5.0324336278462098</v>
      </c>
      <c r="S58" s="160">
        <f t="shared" si="43"/>
        <v>1.3707537934036804</v>
      </c>
      <c r="T58" s="160" t="str">
        <f t="shared" si="34"/>
        <v>1+3.15652958395296E-06i</v>
      </c>
      <c r="U58" s="160">
        <f t="shared" si="44"/>
        <v>1.0000000000049818</v>
      </c>
      <c r="V58" s="160">
        <f t="shared" si="45"/>
        <v>3.1565295839424762E-6</v>
      </c>
      <c r="W58" s="98" t="str">
        <f t="shared" si="35"/>
        <v>1-0.00228292845629814i</v>
      </c>
      <c r="X58" s="160">
        <f t="shared" si="46"/>
        <v>1.0000026058777729</v>
      </c>
      <c r="Y58" s="160">
        <f t="shared" si="47"/>
        <v>-2.2829244902836934E-3</v>
      </c>
      <c r="Z58" s="98" t="str">
        <f t="shared" si="36"/>
        <v>0.999999747617062+0.000901711526709247i</v>
      </c>
      <c r="AA58" s="160">
        <f t="shared" si="48"/>
        <v>1.0000001541589205</v>
      </c>
      <c r="AB58" s="160">
        <f t="shared" si="49"/>
        <v>9.0171150989686825E-4</v>
      </c>
      <c r="AC58" s="171" t="str">
        <f t="shared" si="50"/>
        <v>41.931730686711-210.242946756007i</v>
      </c>
      <c r="AD58" s="190">
        <f t="shared" si="51"/>
        <v>46.623834850887192</v>
      </c>
      <c r="AE58" s="169">
        <f t="shared" si="52"/>
        <v>-78.720692459851179</v>
      </c>
      <c r="AF58" s="98" t="str">
        <f t="shared" si="37"/>
        <v>-9.95024875621891E-06</v>
      </c>
      <c r="AG58" s="98" t="str">
        <f t="shared" si="38"/>
        <v>0.000157984305676845i</v>
      </c>
      <c r="AH58" s="98">
        <f t="shared" si="53"/>
        <v>1.5798430567684501E-4</v>
      </c>
      <c r="AI58" s="98">
        <f t="shared" si="54"/>
        <v>1.5707963267948966</v>
      </c>
      <c r="AJ58" s="98" t="str">
        <f t="shared" si="39"/>
        <v>1+0.00157668810387261i</v>
      </c>
      <c r="AK58" s="98">
        <f t="shared" si="55"/>
        <v>1.0000012429719161</v>
      </c>
      <c r="AL58" s="98">
        <f t="shared" si="56"/>
        <v>1.5766867973543914E-3</v>
      </c>
      <c r="AM58" s="98" t="str">
        <f t="shared" si="40"/>
        <v>1+1.57826479197648i</v>
      </c>
      <c r="AN58" s="98">
        <f t="shared" si="57"/>
        <v>1.8684003194156658</v>
      </c>
      <c r="AO58" s="98">
        <f t="shared" si="58"/>
        <v>1.0060314643368555</v>
      </c>
      <c r="AP58" s="168" t="str">
        <f t="shared" si="59"/>
        <v>-0.099303533833854+0.0631390847773541i</v>
      </c>
      <c r="AQ58" s="98">
        <f t="shared" si="60"/>
        <v>-18.586212290962401</v>
      </c>
      <c r="AR58" s="169">
        <f t="shared" si="61"/>
        <v>147.5510194647654</v>
      </c>
      <c r="AS58" s="168" t="str">
        <f t="shared" si="62"/>
        <v>9.11057820210841+23.5253986752037i</v>
      </c>
      <c r="AT58" s="190">
        <f t="shared" si="63"/>
        <v>28.037622559924785</v>
      </c>
      <c r="AU58" s="169">
        <f t="shared" si="64"/>
        <v>68.830327004914224</v>
      </c>
      <c r="AV58" s="225"/>
      <c r="AX58">
        <f t="shared" si="65"/>
        <v>0</v>
      </c>
      <c r="AY58">
        <f t="shared" si="66"/>
        <v>0</v>
      </c>
    </row>
    <row r="59" spans="1:51" x14ac:dyDescent="0.3">
      <c r="A59" s="98" t="s">
        <v>220</v>
      </c>
      <c r="B59" s="187">
        <f>CHF</f>
        <v>1.0000000000000001E-9</v>
      </c>
      <c r="C59" s="206" t="s">
        <v>193</v>
      </c>
      <c r="E59" s="98" t="s">
        <v>223</v>
      </c>
      <c r="N59" s="170">
        <v>41</v>
      </c>
      <c r="O59" s="199">
        <f t="shared" si="41"/>
        <v>25.703957827688647</v>
      </c>
      <c r="P59" s="189" t="str">
        <f t="shared" si="32"/>
        <v>1078.86904761905</v>
      </c>
      <c r="Q59" s="160" t="str">
        <f t="shared" si="33"/>
        <v>1+5.04696031747803i</v>
      </c>
      <c r="R59" s="160">
        <f t="shared" si="42"/>
        <v>5.1450761360934143</v>
      </c>
      <c r="S59" s="160">
        <f t="shared" si="43"/>
        <v>1.3751907658960834</v>
      </c>
      <c r="T59" s="160" t="str">
        <f t="shared" si="34"/>
        <v>1+3.23005460318594E-06i</v>
      </c>
      <c r="U59" s="160">
        <f t="shared" si="44"/>
        <v>1.0000000000052167</v>
      </c>
      <c r="V59" s="160">
        <f t="shared" si="45"/>
        <v>3.2300546031747064E-6</v>
      </c>
      <c r="W59" s="98" t="str">
        <f t="shared" si="35"/>
        <v>1-0.0023361046912082i</v>
      </c>
      <c r="X59" s="160">
        <f t="shared" si="46"/>
        <v>1.0000027286888413</v>
      </c>
      <c r="Y59" s="160">
        <f t="shared" si="47"/>
        <v>-2.3361004415477817E-3</v>
      </c>
      <c r="Z59" s="98" t="str">
        <f t="shared" si="36"/>
        <v>0.999999735722621+0.00092271508634035i</v>
      </c>
      <c r="AA59" s="160">
        <f t="shared" si="48"/>
        <v>1.0000001614242082</v>
      </c>
      <c r="AB59" s="160">
        <f t="shared" si="49"/>
        <v>9.2271506832556076E-4</v>
      </c>
      <c r="AC59" s="171" t="str">
        <f t="shared" si="50"/>
        <v>40.0856403503015-205.822989340904i</v>
      </c>
      <c r="AD59" s="190">
        <f t="shared" si="51"/>
        <v>46.431560853873592</v>
      </c>
      <c r="AE59" s="169">
        <f t="shared" si="52"/>
        <v>-78.979158217639991</v>
      </c>
      <c r="AF59" s="98" t="str">
        <f t="shared" si="37"/>
        <v>-9.95024875621891E-06</v>
      </c>
      <c r="AG59" s="98" t="str">
        <f t="shared" si="38"/>
        <v>0.000161664232889456i</v>
      </c>
      <c r="AH59" s="98">
        <f t="shared" si="53"/>
        <v>1.6166423288945599E-4</v>
      </c>
      <c r="AI59" s="98">
        <f t="shared" si="54"/>
        <v>1.5707963267948966</v>
      </c>
      <c r="AJ59" s="98" t="str">
        <f t="shared" si="39"/>
        <v>1+0.00161341388770526i</v>
      </c>
      <c r="AK59" s="98">
        <f t="shared" si="55"/>
        <v>1.0000013015513394</v>
      </c>
      <c r="AL59" s="98">
        <f t="shared" si="56"/>
        <v>1.6134124877458644E-3</v>
      </c>
      <c r="AM59" s="98" t="str">
        <f t="shared" si="40"/>
        <v>1+1.61502730159297i</v>
      </c>
      <c r="AN59" s="98">
        <f t="shared" si="57"/>
        <v>1.8995560494206718</v>
      </c>
      <c r="AO59" s="98">
        <f t="shared" si="58"/>
        <v>1.0163898212677382</v>
      </c>
      <c r="AP59" s="168" t="str">
        <f t="shared" si="59"/>
        <v>-0.0993035221995816+0.0617090747071209i</v>
      </c>
      <c r="AQ59" s="98">
        <f t="shared" si="60"/>
        <v>-18.642569204426355</v>
      </c>
      <c r="AR59" s="169">
        <f t="shared" si="61"/>
        <v>148.14240537253593</v>
      </c>
      <c r="AS59" s="168" t="str">
        <f t="shared" si="62"/>
        <v>8.72050094927018+22.9125955662582i</v>
      </c>
      <c r="AT59" s="190">
        <f t="shared" si="63"/>
        <v>27.788991649447215</v>
      </c>
      <c r="AU59" s="169">
        <f t="shared" si="64"/>
        <v>69.163247154895927</v>
      </c>
      <c r="AV59" s="225"/>
      <c r="AX59">
        <f t="shared" si="65"/>
        <v>0</v>
      </c>
      <c r="AY59">
        <f t="shared" si="66"/>
        <v>0</v>
      </c>
    </row>
    <row r="60" spans="1:51" x14ac:dyDescent="0.3">
      <c r="N60" s="170">
        <v>42</v>
      </c>
      <c r="O60" s="199">
        <f t="shared" si="41"/>
        <v>26.302679918953825</v>
      </c>
      <c r="P60" s="189" t="str">
        <f t="shared" si="32"/>
        <v>1078.86904761905</v>
      </c>
      <c r="Q60" s="160" t="str">
        <f t="shared" si="33"/>
        <v>1+5.16451912519431i</v>
      </c>
      <c r="R60" s="160">
        <f t="shared" si="42"/>
        <v>5.2604427374982237</v>
      </c>
      <c r="S60" s="160">
        <f t="shared" si="43"/>
        <v>1.3795342919925659</v>
      </c>
      <c r="T60" s="160" t="str">
        <f t="shared" si="34"/>
        <v>1+3.30529224012436E-06i</v>
      </c>
      <c r="U60" s="160">
        <f t="shared" si="44"/>
        <v>1.0000000000054625</v>
      </c>
      <c r="V60" s="160">
        <f t="shared" si="45"/>
        <v>3.3052922401123231E-6</v>
      </c>
      <c r="W60" s="98" t="str">
        <f t="shared" si="35"/>
        <v>1-0.00239051955974754i</v>
      </c>
      <c r="X60" s="160">
        <f t="shared" si="46"/>
        <v>1.0000028572878008</v>
      </c>
      <c r="Y60" s="160">
        <f t="shared" si="47"/>
        <v>-2.3905150061550636E-3</v>
      </c>
      <c r="Z60" s="98" t="str">
        <f t="shared" si="36"/>
        <v>0.999999723267612+0.00094420788172381i</v>
      </c>
      <c r="AA60" s="160">
        <f t="shared" si="48"/>
        <v>1.000000169031898</v>
      </c>
      <c r="AB60" s="160">
        <f t="shared" si="49"/>
        <v>9.4420786242061503E-4</v>
      </c>
      <c r="AC60" s="171" t="str">
        <f t="shared" si="50"/>
        <v>38.3164911308475-201.480417577228i</v>
      </c>
      <c r="AD60" s="190">
        <f t="shared" si="51"/>
        <v>46.238952071164327</v>
      </c>
      <c r="AE60" s="169">
        <f t="shared" si="52"/>
        <v>-79.232368791661941</v>
      </c>
      <c r="AF60" s="98" t="str">
        <f t="shared" si="37"/>
        <v>-9.95024875621891E-06</v>
      </c>
      <c r="AG60" s="98" t="str">
        <f t="shared" si="38"/>
        <v>0.000165429876618224i</v>
      </c>
      <c r="AH60" s="98">
        <f t="shared" si="53"/>
        <v>1.6542987661822401E-4</v>
      </c>
      <c r="AI60" s="98">
        <f t="shared" si="54"/>
        <v>1.5707963267948966</v>
      </c>
      <c r="AJ60" s="98" t="str">
        <f t="shared" si="39"/>
        <v>1+0.00165099512493724i</v>
      </c>
      <c r="AK60" s="98">
        <f t="shared" si="55"/>
        <v>1.0000013628915225</v>
      </c>
      <c r="AL60" s="98">
        <f t="shared" si="56"/>
        <v>1.6509936248538313E-3</v>
      </c>
      <c r="AM60" s="98" t="str">
        <f t="shared" si="40"/>
        <v>1+1.65264612006218i</v>
      </c>
      <c r="AN60" s="98">
        <f t="shared" si="57"/>
        <v>1.9316415811833669</v>
      </c>
      <c r="AO60" s="98">
        <f t="shared" si="58"/>
        <v>1.0266424233340912</v>
      </c>
      <c r="AP60" s="168" t="str">
        <f t="shared" si="59"/>
        <v>-0.0993035100170061+0.0603117836033439i</v>
      </c>
      <c r="AQ60" s="98">
        <f t="shared" si="60"/>
        <v>-18.697081077759222</v>
      </c>
      <c r="AR60" s="169">
        <f t="shared" si="61"/>
        <v>148.72768295941947</v>
      </c>
      <c r="AS60" s="168" t="str">
        <f t="shared" si="62"/>
        <v>8.3466812844005+22.318648586634i</v>
      </c>
      <c r="AT60" s="190">
        <f t="shared" si="63"/>
        <v>27.541870993405123</v>
      </c>
      <c r="AU60" s="169">
        <f t="shared" si="64"/>
        <v>69.495314167757584</v>
      </c>
      <c r="AV60" s="225"/>
      <c r="AX60">
        <f t="shared" si="65"/>
        <v>0</v>
      </c>
      <c r="AY60">
        <f t="shared" si="66"/>
        <v>0</v>
      </c>
    </row>
    <row r="61" spans="1:51" x14ac:dyDescent="0.3">
      <c r="A61" s="98" t="s">
        <v>264</v>
      </c>
      <c r="B61" s="211">
        <f>-(RFBB*gm_ea)/(RFBB+RFBT)</f>
        <v>-9.9502487562189058E-6</v>
      </c>
      <c r="C61" s="98" t="s">
        <v>180</v>
      </c>
      <c r="N61" s="170">
        <v>43</v>
      </c>
      <c r="O61" s="199">
        <f t="shared" si="41"/>
        <v>26.915348039269158</v>
      </c>
      <c r="P61" s="189" t="str">
        <f t="shared" si="32"/>
        <v>1078.86904761905</v>
      </c>
      <c r="Q61" s="160" t="str">
        <f t="shared" si="33"/>
        <v>1+5.28481622931128i</v>
      </c>
      <c r="R61" s="160">
        <f t="shared" si="42"/>
        <v>5.3785948515938529</v>
      </c>
      <c r="S61" s="160">
        <f t="shared" si="43"/>
        <v>1.3837860188061104</v>
      </c>
      <c r="T61" s="160" t="str">
        <f t="shared" si="34"/>
        <v>1+3.38228238675922E-06i</v>
      </c>
      <c r="U61" s="160">
        <f t="shared" si="44"/>
        <v>1.0000000000057199</v>
      </c>
      <c r="V61" s="160">
        <f t="shared" si="45"/>
        <v>3.3822823867463221E-6</v>
      </c>
      <c r="W61" s="98" t="str">
        <f t="shared" si="35"/>
        <v>1-0.00244620191339974i</v>
      </c>
      <c r="X61" s="160">
        <f t="shared" si="46"/>
        <v>1.0000029919474247</v>
      </c>
      <c r="Y61" s="160">
        <f t="shared" si="47"/>
        <v>-2.4461970341382818E-3</v>
      </c>
      <c r="Z61" s="98" t="str">
        <f t="shared" si="36"/>
        <v>0.999999710225616+0.000966201308624232i</v>
      </c>
      <c r="AA61" s="160">
        <f t="shared" si="48"/>
        <v>1.0000001769981266</v>
      </c>
      <c r="AB61" s="160">
        <f t="shared" si="49"/>
        <v>9.6620128794048577E-4</v>
      </c>
      <c r="AC61" s="171" t="str">
        <f t="shared" si="50"/>
        <v>36.6213322364957-197.214896059864i</v>
      </c>
      <c r="AD61" s="190">
        <f t="shared" si="51"/>
        <v>46.046022484336632</v>
      </c>
      <c r="AE61" s="169">
        <f t="shared" si="52"/>
        <v>-79.480420858167633</v>
      </c>
      <c r="AF61" s="98" t="str">
        <f t="shared" si="37"/>
        <v>-9.95024875621891E-06</v>
      </c>
      <c r="AG61" s="98" t="str">
        <f t="shared" si="38"/>
        <v>0.000169283233457299i</v>
      </c>
      <c r="AH61" s="98">
        <f t="shared" si="53"/>
        <v>1.6928323345729901E-4</v>
      </c>
      <c r="AI61" s="98">
        <f t="shared" si="54"/>
        <v>1.5707963267948966</v>
      </c>
      <c r="AJ61" s="98" t="str">
        <f t="shared" si="39"/>
        <v>1+0.00168945174163797i</v>
      </c>
      <c r="AK61" s="98">
        <f t="shared" si="55"/>
        <v>1.0000014271225752</v>
      </c>
      <c r="AL61" s="98">
        <f t="shared" si="56"/>
        <v>1.6894501342697621E-3</v>
      </c>
      <c r="AM61" s="98" t="str">
        <f t="shared" si="40"/>
        <v>1+1.69114119337961i</v>
      </c>
      <c r="AN61" s="98">
        <f t="shared" si="57"/>
        <v>1.9646777180864581</v>
      </c>
      <c r="AO61" s="98">
        <f t="shared" si="58"/>
        <v>1.0367860844931573</v>
      </c>
      <c r="AP61" s="168" t="str">
        <f t="shared" si="59"/>
        <v>-0.0993034972602866+0.0589464706036576i</v>
      </c>
      <c r="AQ61" s="98">
        <f t="shared" si="60"/>
        <v>-18.749786153071849</v>
      </c>
      <c r="AR61" s="169">
        <f t="shared" si="61"/>
        <v>149.30666853696044</v>
      </c>
      <c r="AS61" s="168" t="str">
        <f t="shared" si="62"/>
        <v>7.98849570778127+21.7428271747138i</v>
      </c>
      <c r="AT61" s="190">
        <f t="shared" si="63"/>
        <v>27.296236331264787</v>
      </c>
      <c r="AU61" s="169">
        <f t="shared" si="64"/>
        <v>69.826247678792797</v>
      </c>
      <c r="AV61" s="225"/>
      <c r="AX61">
        <f t="shared" si="65"/>
        <v>0</v>
      </c>
      <c r="AY61">
        <f t="shared" si="66"/>
        <v>0</v>
      </c>
    </row>
    <row r="62" spans="1:51" x14ac:dyDescent="0.3">
      <c r="A62" s="98" t="s">
        <v>263</v>
      </c>
      <c r="B62" s="211">
        <f>1/(RCOMP*CCOMP)</f>
        <v>99.999999999999986</v>
      </c>
      <c r="E62" s="98" t="s">
        <v>278</v>
      </c>
      <c r="N62" s="170">
        <v>44</v>
      </c>
      <c r="O62" s="199">
        <f t="shared" si="41"/>
        <v>27.542287033381665</v>
      </c>
      <c r="P62" s="189" t="str">
        <f t="shared" si="32"/>
        <v>1078.86904761905</v>
      </c>
      <c r="Q62" s="160" t="str">
        <f t="shared" si="33"/>
        <v>1+5.40791541294584i</v>
      </c>
      <c r="R62" s="160">
        <f t="shared" si="42"/>
        <v>5.4995953590766264</v>
      </c>
      <c r="S62" s="160">
        <f t="shared" si="43"/>
        <v>1.3879475854870491</v>
      </c>
      <c r="T62" s="160" t="str">
        <f t="shared" si="34"/>
        <v>1+3.46106586428534E-06i</v>
      </c>
      <c r="U62" s="160">
        <f t="shared" si="44"/>
        <v>1.0000000000059894</v>
      </c>
      <c r="V62" s="160">
        <f t="shared" si="45"/>
        <v>3.4610658642715198E-6</v>
      </c>
      <c r="W62" s="98" t="str">
        <f t="shared" si="35"/>
        <v>1-0.00250318127568573i</v>
      </c>
      <c r="X62" s="160">
        <f t="shared" si="46"/>
        <v>1.0000031329533419</v>
      </c>
      <c r="Y62" s="160">
        <f t="shared" si="47"/>
        <v>-2.5031760474637675E-3</v>
      </c>
      <c r="Z62" s="98" t="str">
        <f t="shared" si="36"/>
        <v>0.99999969656897+0.000988707028247673i</v>
      </c>
      <c r="AA62" s="160">
        <f t="shared" si="48"/>
        <v>1.0000001853397928</v>
      </c>
      <c r="AB62" s="160">
        <f t="shared" si="49"/>
        <v>9.8870700608463878E-4</v>
      </c>
      <c r="AC62" s="171" t="str">
        <f t="shared" si="50"/>
        <v>34.9973041583687-193.026014537474i</v>
      </c>
      <c r="AD62" s="190">
        <f t="shared" si="51"/>
        <v>45.852785536877441</v>
      </c>
      <c r="AE62" s="169">
        <f t="shared" si="52"/>
        <v>-79.723410690835877</v>
      </c>
      <c r="AF62" s="98" t="str">
        <f t="shared" si="37"/>
        <v>-9.95024875621891E-06</v>
      </c>
      <c r="AG62" s="98" t="str">
        <f t="shared" si="38"/>
        <v>0.000173226346507481i</v>
      </c>
      <c r="AH62" s="98">
        <f t="shared" si="53"/>
        <v>1.73226346507481E-4</v>
      </c>
      <c r="AI62" s="98">
        <f t="shared" si="54"/>
        <v>1.5707963267948966</v>
      </c>
      <c r="AJ62" s="98" t="str">
        <f t="shared" si="39"/>
        <v>1+0.00172880412801466i</v>
      </c>
      <c r="AK62" s="98">
        <f t="shared" si="55"/>
        <v>1.0000014943807398</v>
      </c>
      <c r="AL62" s="98">
        <f t="shared" si="56"/>
        <v>1.7288024056887337E-3</v>
      </c>
      <c r="AM62" s="98" t="str">
        <f t="shared" si="40"/>
        <v>1+1.73053293214267i</v>
      </c>
      <c r="AN62" s="98">
        <f t="shared" si="57"/>
        <v>1.9986856254124374</v>
      </c>
      <c r="AO62" s="98">
        <f t="shared" si="58"/>
        <v>1.0468178327848114</v>
      </c>
      <c r="AP62" s="168" t="str">
        <f t="shared" si="59"/>
        <v>-0.0993034839023652+0.0576124118009025i</v>
      </c>
      <c r="AQ62" s="98">
        <f t="shared" si="60"/>
        <v>-18.80072335143997</v>
      </c>
      <c r="AR62" s="169">
        <f t="shared" si="61"/>
        <v>149.87919065614318</v>
      </c>
      <c r="AS62" s="168" t="str">
        <f t="shared" si="62"/>
        <v>7.6453400077032+21.1844348264531i</v>
      </c>
      <c r="AT62" s="190">
        <f t="shared" si="63"/>
        <v>27.052062185437464</v>
      </c>
      <c r="AU62" s="169">
        <f t="shared" si="64"/>
        <v>70.155779965307275</v>
      </c>
      <c r="AV62" s="225"/>
      <c r="AX62">
        <f t="shared" si="65"/>
        <v>0</v>
      </c>
      <c r="AY62">
        <f t="shared" si="66"/>
        <v>0</v>
      </c>
    </row>
    <row r="63" spans="1:51" x14ac:dyDescent="0.3">
      <c r="A63" s="98" t="s">
        <v>268</v>
      </c>
      <c r="B63" s="211">
        <f>(CCOMP+CHF)</f>
        <v>1.0010000000000002E-6</v>
      </c>
      <c r="E63" s="98" t="s">
        <v>279</v>
      </c>
      <c r="N63" s="170">
        <v>45</v>
      </c>
      <c r="O63" s="199">
        <f t="shared" si="41"/>
        <v>28.183829312644548</v>
      </c>
      <c r="P63" s="189" t="str">
        <f t="shared" si="32"/>
        <v>1078.86904761905</v>
      </c>
      <c r="Q63" s="160" t="str">
        <f t="shared" si="33"/>
        <v>1+5.53388194491456i</v>
      </c>
      <c r="R63" s="160">
        <f t="shared" si="42"/>
        <v>5.6235086360964495</v>
      </c>
      <c r="S63" s="160">
        <f t="shared" si="43"/>
        <v>1.392020621690534</v>
      </c>
      <c r="T63" s="160" t="str">
        <f t="shared" si="34"/>
        <v>1+3.54168444474532E-06i</v>
      </c>
      <c r="U63" s="160">
        <f t="shared" si="44"/>
        <v>1.0000000000062719</v>
      </c>
      <c r="V63" s="160">
        <f t="shared" si="45"/>
        <v>3.5416844447305119E-6</v>
      </c>
      <c r="W63" s="98" t="str">
        <f t="shared" si="35"/>
        <v>1-0.00256148785781761i</v>
      </c>
      <c r="X63" s="160">
        <f t="shared" si="46"/>
        <v>1.0000032806046417</v>
      </c>
      <c r="Y63" s="160">
        <f t="shared" si="47"/>
        <v>-2.5614822556778373E-3</v>
      </c>
      <c r="Z63" s="98" t="str">
        <f t="shared" si="36"/>
        <v>0.999999682268706+0.00101173697342457i</v>
      </c>
      <c r="AA63" s="160">
        <f t="shared" si="48"/>
        <v>1.0000001940745893</v>
      </c>
      <c r="AB63" s="160">
        <f t="shared" si="49"/>
        <v>1.0117369496764506E-3</v>
      </c>
      <c r="AC63" s="171" t="str">
        <f t="shared" si="50"/>
        <v>33.4416377864219-188.913293849755i</v>
      </c>
      <c r="AD63" s="190">
        <f t="shared" si="51"/>
        <v>45.65925415102042</v>
      </c>
      <c r="AE63" s="169">
        <f t="shared" si="52"/>
        <v>-79.961434074215461</v>
      </c>
      <c r="AF63" s="98" t="str">
        <f t="shared" si="37"/>
        <v>-9.95024875621891E-06</v>
      </c>
      <c r="AG63" s="98" t="str">
        <f t="shared" si="38"/>
        <v>0.000177261306459503i</v>
      </c>
      <c r="AH63" s="98">
        <f t="shared" si="53"/>
        <v>1.7726130645950299E-4</v>
      </c>
      <c r="AI63" s="98">
        <f t="shared" si="54"/>
        <v>1.5707963267948966</v>
      </c>
      <c r="AJ63" s="98" t="str">
        <f t="shared" si="39"/>
        <v>1+0.00176907314922344i</v>
      </c>
      <c r="AK63" s="98">
        <f t="shared" si="55"/>
        <v>1.0000015648086793</v>
      </c>
      <c r="AL63" s="98">
        <f t="shared" si="56"/>
        <v>1.7690713037181159E-3</v>
      </c>
      <c r="AM63" s="98" t="str">
        <f t="shared" si="40"/>
        <v>1+1.77084222237266i</v>
      </c>
      <c r="AN63" s="98">
        <f t="shared" si="57"/>
        <v>2.0336868432818616</v>
      </c>
      <c r="AO63" s="98">
        <f t="shared" si="58"/>
        <v>1.0567349101621339</v>
      </c>
      <c r="AP63" s="168" t="str">
        <f t="shared" si="59"/>
        <v>-0.0993034699149081+0.0563088998592972i</v>
      </c>
      <c r="AQ63" s="98">
        <f t="shared" si="60"/>
        <v>-18.849932163287953</v>
      </c>
      <c r="AR63" s="169">
        <f t="shared" si="61"/>
        <v>150.44509009706576</v>
      </c>
      <c r="AS63" s="168" t="str">
        <f t="shared" si="62"/>
        <v>7.31662907364664+20.6428074255819i</v>
      </c>
      <c r="AT63" s="190">
        <f t="shared" si="63"/>
        <v>26.809321987732481</v>
      </c>
      <c r="AU63" s="169">
        <f t="shared" si="64"/>
        <v>70.48365602285034</v>
      </c>
      <c r="AV63" s="225"/>
      <c r="AX63">
        <f t="shared" si="65"/>
        <v>0</v>
      </c>
      <c r="AY63">
        <f t="shared" si="66"/>
        <v>0</v>
      </c>
    </row>
    <row r="64" spans="1:51" x14ac:dyDescent="0.3">
      <c r="A64" s="98" t="s">
        <v>269</v>
      </c>
      <c r="B64" s="211">
        <f>(CCOMP+CHF)/(RCOMP*CHF*CCOMP)</f>
        <v>100100</v>
      </c>
      <c r="E64" s="98" t="s">
        <v>280</v>
      </c>
      <c r="N64" s="170">
        <v>46</v>
      </c>
      <c r="O64" s="199">
        <f t="shared" si="41"/>
        <v>28.840315031266066</v>
      </c>
      <c r="P64" s="189" t="str">
        <f t="shared" si="32"/>
        <v>1078.86904761905</v>
      </c>
      <c r="Q64" s="160" t="str">
        <f t="shared" si="33"/>
        <v>1+5.66278261434006i</v>
      </c>
      <c r="R64" s="160">
        <f t="shared" si="42"/>
        <v>5.7504005892869801</v>
      </c>
      <c r="S64" s="160">
        <f t="shared" si="43"/>
        <v>1.3960067461674863</v>
      </c>
      <c r="T64" s="160" t="str">
        <f t="shared" si="34"/>
        <v>1+3.62418087317764E-06i</v>
      </c>
      <c r="U64" s="160">
        <f t="shared" si="44"/>
        <v>1.0000000000065672</v>
      </c>
      <c r="V64" s="160">
        <f t="shared" si="45"/>
        <v>3.6241808731617726E-6</v>
      </c>
      <c r="W64" s="98" t="str">
        <f t="shared" si="35"/>
        <v>1-0.002621152574717i</v>
      </c>
      <c r="X64" s="160">
        <f t="shared" si="46"/>
        <v>1.0000034352145097</v>
      </c>
      <c r="Y64" s="160">
        <f t="shared" si="47"/>
        <v>-2.6211465719171967E-3</v>
      </c>
      <c r="Z64" s="98" t="str">
        <f t="shared" si="36"/>
        <v>0.999999667294492+0.00103530335493671i</v>
      </c>
      <c r="AA64" s="160">
        <f t="shared" si="48"/>
        <v>1.0000002032210451</v>
      </c>
      <c r="AB64" s="160">
        <f t="shared" si="49"/>
        <v>1.0353033294901405E-3</v>
      </c>
      <c r="AC64" s="171" t="str">
        <f t="shared" si="50"/>
        <v>31.951653332492-184.876191569878i</v>
      </c>
      <c r="AD64" s="190">
        <f t="shared" si="51"/>
        <v>45.465440744401533</v>
      </c>
      <c r="AE64" s="169">
        <f t="shared" si="52"/>
        <v>-80.19458622427122</v>
      </c>
      <c r="AF64" s="98" t="str">
        <f t="shared" si="37"/>
        <v>-9.95024875621891E-06</v>
      </c>
      <c r="AG64" s="98" t="str">
        <f t="shared" si="38"/>
        <v>0.00018139025270254i</v>
      </c>
      <c r="AH64" s="98">
        <f t="shared" si="53"/>
        <v>1.8139025270253999E-4</v>
      </c>
      <c r="AI64" s="98">
        <f t="shared" si="54"/>
        <v>1.5707963267948966</v>
      </c>
      <c r="AJ64" s="98" t="str">
        <f t="shared" si="39"/>
        <v>1+0.00181028015643239i</v>
      </c>
      <c r="AK64" s="98">
        <f t="shared" si="55"/>
        <v>1.0000016385557799</v>
      </c>
      <c r="AL64" s="98">
        <f t="shared" si="56"/>
        <v>1.8102781789379825E-3</v>
      </c>
      <c r="AM64" s="98" t="str">
        <f t="shared" si="40"/>
        <v>1+1.81209043658882i</v>
      </c>
      <c r="AN64" s="98">
        <f t="shared" si="57"/>
        <v>2.0697033000835314</v>
      </c>
      <c r="AO64" s="98">
        <f t="shared" si="58"/>
        <v>1.066534771515067</v>
      </c>
      <c r="AP64" s="168" t="str">
        <f t="shared" si="59"/>
        <v>-0.099303455268247+0.0550352436394011i</v>
      </c>
      <c r="AQ64" s="98">
        <f t="shared" si="60"/>
        <v>-18.897452541439613</v>
      </c>
      <c r="AR64" s="169">
        <f t="shared" si="61"/>
        <v>151.00421981236514</v>
      </c>
      <c r="AS64" s="168" t="str">
        <f t="shared" si="62"/>
        <v>7.00179666872317+20.1173116455586i</v>
      </c>
      <c r="AT64" s="190">
        <f t="shared" si="63"/>
        <v>26.567988202961914</v>
      </c>
      <c r="AU64" s="169">
        <f t="shared" si="64"/>
        <v>70.809633588093902</v>
      </c>
      <c r="AV64" s="225"/>
      <c r="AX64">
        <f t="shared" si="65"/>
        <v>0</v>
      </c>
      <c r="AY64">
        <f t="shared" si="66"/>
        <v>0</v>
      </c>
    </row>
    <row r="65" spans="1:51" x14ac:dyDescent="0.3">
      <c r="N65" s="170">
        <v>47</v>
      </c>
      <c r="O65" s="199">
        <f t="shared" si="41"/>
        <v>29.512092266663863</v>
      </c>
      <c r="P65" s="189" t="str">
        <f t="shared" si="32"/>
        <v>1078.86904761905</v>
      </c>
      <c r="Q65" s="160" t="str">
        <f t="shared" si="33"/>
        <v>1+5.79468576606347i</v>
      </c>
      <c r="R65" s="160">
        <f t="shared" si="42"/>
        <v>5.8803386915566849</v>
      </c>
      <c r="S65" s="160">
        <f t="shared" si="43"/>
        <v>1.3999075654727995</v>
      </c>
      <c r="T65" s="160" t="str">
        <f t="shared" si="34"/>
        <v>1+3.70859889028062E-06i</v>
      </c>
      <c r="U65" s="160">
        <f t="shared" si="44"/>
        <v>1.0000000000068767</v>
      </c>
      <c r="V65" s="160">
        <f t="shared" si="45"/>
        <v>3.7085988902636174E-6</v>
      </c>
      <c r="W65" s="98" t="str">
        <f t="shared" si="35"/>
        <v>1-0.00268220706140656i</v>
      </c>
      <c r="X65" s="160">
        <f t="shared" si="46"/>
        <v>1.0000035971108905</v>
      </c>
      <c r="Y65" s="160">
        <f t="shared" si="47"/>
        <v>-2.6822006292919354E-3</v>
      </c>
      <c r="Z65" s="98" t="str">
        <f t="shared" si="36"/>
        <v>0.999999651614564+0.00105941866799148i</v>
      </c>
      <c r="AA65" s="160">
        <f t="shared" si="48"/>
        <v>1.0000002127985592</v>
      </c>
      <c r="AB65" s="160">
        <f t="shared" si="49"/>
        <v>1.0594186407249888E-3</v>
      </c>
      <c r="AC65" s="171" t="str">
        <f t="shared" si="50"/>
        <v>30.5247590837687-180.91410735821i</v>
      </c>
      <c r="AD65" s="190">
        <f t="shared" si="51"/>
        <v>45.271357246499342</v>
      </c>
      <c r="AE65" s="169">
        <f t="shared" si="52"/>
        <v>-80.422961715677886</v>
      </c>
      <c r="AF65" s="98" t="str">
        <f t="shared" si="37"/>
        <v>-9.95024875621891E-06</v>
      </c>
      <c r="AG65" s="98" t="str">
        <f t="shared" si="38"/>
        <v>0.000185615374458545i</v>
      </c>
      <c r="AH65" s="98">
        <f t="shared" si="53"/>
        <v>1.8561537445854501E-4</v>
      </c>
      <c r="AI65" s="98">
        <f t="shared" si="54"/>
        <v>1.5707963267948966</v>
      </c>
      <c r="AJ65" s="98" t="str">
        <f t="shared" si="39"/>
        <v>1+0.00185244699814217i</v>
      </c>
      <c r="AK65" s="98">
        <f t="shared" si="55"/>
        <v>1.0000017157784684</v>
      </c>
      <c r="AL65" s="98">
        <f t="shared" si="56"/>
        <v>1.8524448792189327E-3</v>
      </c>
      <c r="AM65" s="98" t="str">
        <f t="shared" si="40"/>
        <v>1+1.85429944514031i</v>
      </c>
      <c r="AN65" s="98">
        <f t="shared" si="57"/>
        <v>2.1067573263780672</v>
      </c>
      <c r="AO65" s="98">
        <f t="shared" si="58"/>
        <v>1.0762150829346488</v>
      </c>
      <c r="AP65" s="168" t="str">
        <f t="shared" si="59"/>
        <v>-0.0993034399313139+0.0537907678316599i</v>
      </c>
      <c r="AQ65" s="98">
        <f t="shared" si="60"/>
        <v>-18.943324797295407</v>
      </c>
      <c r="AR65" s="169">
        <f t="shared" si="61"/>
        <v>151.55644482711736</v>
      </c>
      <c r="AS65" s="168" t="str">
        <f t="shared" si="62"/>
        <v>6.70029516628462+19.6073434217656i</v>
      </c>
      <c r="AT65" s="190">
        <f t="shared" si="63"/>
        <v>26.328032449203921</v>
      </c>
      <c r="AU65" s="169">
        <f t="shared" si="64"/>
        <v>71.13348311143946</v>
      </c>
      <c r="AV65" s="225"/>
      <c r="AX65">
        <f t="shared" si="65"/>
        <v>0</v>
      </c>
      <c r="AY65">
        <f t="shared" si="66"/>
        <v>0</v>
      </c>
    </row>
    <row r="66" spans="1:51" x14ac:dyDescent="0.3">
      <c r="N66" s="170">
        <v>48</v>
      </c>
      <c r="O66" s="199">
        <f t="shared" si="41"/>
        <v>30.199517204020164</v>
      </c>
      <c r="P66" s="189" t="str">
        <f t="shared" si="32"/>
        <v>1078.86904761905</v>
      </c>
      <c r="Q66" s="160" t="str">
        <f t="shared" si="33"/>
        <v>1+5.92966133688178i</v>
      </c>
      <c r="R66" s="160">
        <f t="shared" si="42"/>
        <v>6.0133920186622296</v>
      </c>
      <c r="S66" s="160">
        <f t="shared" si="43"/>
        <v>1.4037246727847161</v>
      </c>
      <c r="T66" s="160" t="str">
        <f t="shared" si="34"/>
        <v>1+3.79498325560434E-06i</v>
      </c>
      <c r="U66" s="160">
        <f t="shared" si="44"/>
        <v>1.0000000000072009</v>
      </c>
      <c r="V66" s="160">
        <f t="shared" si="45"/>
        <v>3.7949832555861214E-6</v>
      </c>
      <c r="W66" s="98" t="str">
        <f t="shared" si="35"/>
        <v>1-0.00274468368978328i</v>
      </c>
      <c r="X66" s="160">
        <f t="shared" si="46"/>
        <v>1.0000037666371846</v>
      </c>
      <c r="Y66" s="160">
        <f t="shared" si="47"/>
        <v>-2.7446767976496878E-3</v>
      </c>
      <c r="Z66" s="98" t="str">
        <f t="shared" si="36"/>
        <v>0.999999635195664+0.0010840956988471i</v>
      </c>
      <c r="AA66" s="160">
        <f t="shared" si="48"/>
        <v>1.0000002228274478</v>
      </c>
      <c r="AB66" s="160">
        <f t="shared" si="49"/>
        <v>1.0840956696305277E-3</v>
      </c>
      <c r="AC66" s="171" t="str">
        <f t="shared" si="50"/>
        <v>29.1584500082506-177.026388034278i</v>
      </c>
      <c r="AD66" s="190">
        <f t="shared" si="51"/>
        <v>45.077015114830054</v>
      </c>
      <c r="AE66" s="169">
        <f t="shared" si="52"/>
        <v>-80.646654415513879</v>
      </c>
      <c r="AF66" s="98" t="str">
        <f t="shared" si="37"/>
        <v>-9.95024875621891E-06</v>
      </c>
      <c r="AG66" s="98" t="str">
        <f t="shared" si="38"/>
        <v>0.000189938911942997i</v>
      </c>
      <c r="AH66" s="98">
        <f t="shared" si="53"/>
        <v>1.8993891194299701E-4</v>
      </c>
      <c r="AI66" s="98">
        <f t="shared" si="54"/>
        <v>1.5707963267948966</v>
      </c>
      <c r="AJ66" s="98" t="str">
        <f t="shared" si="39"/>
        <v>1+0.0018955960317704i</v>
      </c>
      <c r="AK66" s="98">
        <f t="shared" si="55"/>
        <v>1.0000017966405439</v>
      </c>
      <c r="AL66" s="98">
        <f t="shared" si="56"/>
        <v>1.895593761303465E-3</v>
      </c>
      <c r="AM66" s="98" t="str">
        <f t="shared" si="40"/>
        <v>1+1.89749162780217i</v>
      </c>
      <c r="AN66" s="98">
        <f t="shared" si="57"/>
        <v>2.1448716692565384</v>
      </c>
      <c r="AO66" s="98">
        <f t="shared" si="58"/>
        <v>1.0857737192683083</v>
      </c>
      <c r="AP66" s="168" t="str">
        <f t="shared" si="59"/>
        <v>-0.0993034238715789+0.0525748125983496i</v>
      </c>
      <c r="AQ66" s="98">
        <f t="shared" si="60"/>
        <v>-18.987589500540565</v>
      </c>
      <c r="AR66" s="169">
        <f t="shared" si="61"/>
        <v>152.10164209810227</v>
      </c>
      <c r="AS66" s="168" t="str">
        <f t="shared" si="62"/>
        <v>6.41159525525733+19.1123264922646i</v>
      </c>
      <c r="AT66" s="190">
        <f t="shared" si="63"/>
        <v>26.089425614289475</v>
      </c>
      <c r="AU66" s="169">
        <f t="shared" si="64"/>
        <v>71.454987682588396</v>
      </c>
      <c r="AV66" s="225"/>
      <c r="AX66">
        <f t="shared" si="65"/>
        <v>0</v>
      </c>
      <c r="AY66">
        <f t="shared" si="66"/>
        <v>0</v>
      </c>
    </row>
    <row r="67" spans="1:51" x14ac:dyDescent="0.3">
      <c r="N67" s="170">
        <v>49</v>
      </c>
      <c r="O67" s="199">
        <f t="shared" si="41"/>
        <v>30.902954325135919</v>
      </c>
      <c r="P67" s="189" t="str">
        <f t="shared" si="32"/>
        <v>1078.86904761905</v>
      </c>
      <c r="Q67" s="160" t="str">
        <f t="shared" si="33"/>
        <v>1+6.06778089262925i</v>
      </c>
      <c r="R67" s="160">
        <f t="shared" si="42"/>
        <v>6.1496312865859366</v>
      </c>
      <c r="S67" s="160">
        <f t="shared" si="43"/>
        <v>1.4074596468294454</v>
      </c>
      <c r="T67" s="160" t="str">
        <f t="shared" si="34"/>
        <v>1+3.88337977128272E-06i</v>
      </c>
      <c r="U67" s="160">
        <f t="shared" si="44"/>
        <v>1.0000000000075402</v>
      </c>
      <c r="V67" s="160">
        <f t="shared" si="45"/>
        <v>3.8833797712631981E-6</v>
      </c>
      <c r="W67" s="98" t="str">
        <f t="shared" si="35"/>
        <v>1-0.00280861558578252i</v>
      </c>
      <c r="X67" s="160">
        <f t="shared" si="46"/>
        <v>1.0000039441529762</v>
      </c>
      <c r="Y67" s="160">
        <f t="shared" si="47"/>
        <v>-2.8086082007298951E-3</v>
      </c>
      <c r="Z67" s="98" t="str">
        <f t="shared" si="36"/>
        <v>0.999999618002966+0.00110934753159194i</v>
      </c>
      <c r="AA67" s="160">
        <f t="shared" si="48"/>
        <v>1.0000002333289846</v>
      </c>
      <c r="AB67" s="160">
        <f t="shared" si="49"/>
        <v>1.109347500285817E-3</v>
      </c>
      <c r="AC67" s="171" t="str">
        <f t="shared" si="50"/>
        <v>27.850306232144-173.212332374651i</v>
      </c>
      <c r="AD67" s="190">
        <f t="shared" si="51"/>
        <v>44.882425350873376</v>
      </c>
      <c r="AE67" s="169">
        <f t="shared" si="52"/>
        <v>-80.865757423016873</v>
      </c>
      <c r="AF67" s="98" t="str">
        <f t="shared" si="37"/>
        <v>-9.95024875621891E-06</v>
      </c>
      <c r="AG67" s="98" t="str">
        <f t="shared" si="38"/>
        <v>0.0001943631575527i</v>
      </c>
      <c r="AH67" s="98">
        <f t="shared" si="53"/>
        <v>1.9436315755269999E-4</v>
      </c>
      <c r="AI67" s="98">
        <f t="shared" si="54"/>
        <v>1.5707963267948966</v>
      </c>
      <c r="AJ67" s="98" t="str">
        <f t="shared" si="39"/>
        <v>1+0.00193975013550585i</v>
      </c>
      <c r="AK67" s="98">
        <f t="shared" si="55"/>
        <v>1.0000018813135245</v>
      </c>
      <c r="AL67" s="98">
        <f t="shared" si="56"/>
        <v>1.9397477026569447E-3</v>
      </c>
      <c r="AM67" s="98" t="str">
        <f t="shared" si="40"/>
        <v>1+1.94168988564136i</v>
      </c>
      <c r="AN67" s="98">
        <f t="shared" si="57"/>
        <v>2.1840695071361531</v>
      </c>
      <c r="AO67" s="98">
        <f t="shared" si="58"/>
        <v>1.09520876101894</v>
      </c>
      <c r="AP67" s="168" t="str">
        <f t="shared" si="59"/>
        <v>-0.0993034070549776+0.0513867332237186i</v>
      </c>
      <c r="AQ67" s="98">
        <f t="shared" si="60"/>
        <v>-19.030287382738166</v>
      </c>
      <c r="AR67" s="169">
        <f t="shared" si="61"/>
        <v>152.63970033545488</v>
      </c>
      <c r="AS67" s="168" t="str">
        <f t="shared" si="62"/>
        <v>6.13518561841789+18.6317110052921i</v>
      </c>
      <c r="AT67" s="190">
        <f t="shared" si="63"/>
        <v>25.85213796813521</v>
      </c>
      <c r="AU67" s="169">
        <f t="shared" si="64"/>
        <v>71.773942912437988</v>
      </c>
      <c r="AV67" s="225"/>
      <c r="AX67">
        <f t="shared" si="65"/>
        <v>0</v>
      </c>
      <c r="AY67">
        <f t="shared" si="66"/>
        <v>0</v>
      </c>
    </row>
    <row r="68" spans="1:51" x14ac:dyDescent="0.3">
      <c r="A68" s="214" t="str">
        <f>"Crossover Frequency = "&amp;B68</f>
        <v>Crossover Frequency = 0.5 kHz</v>
      </c>
      <c r="B68" t="str">
        <f>ROUND(D68,1)&amp;" kHz"</f>
        <v>0.5 kHz</v>
      </c>
      <c r="C68" s="215"/>
      <c r="D68" s="216">
        <f>AY12</f>
        <v>0.537031796370253</v>
      </c>
      <c r="N68" s="170">
        <v>50</v>
      </c>
      <c r="O68" s="199">
        <f t="shared" si="41"/>
        <v>31.622776601683803</v>
      </c>
      <c r="P68" s="189" t="str">
        <f t="shared" si="32"/>
        <v>1078.86904761905</v>
      </c>
      <c r="Q68" s="160" t="str">
        <f t="shared" si="33"/>
        <v>1+6.20911766612256i</v>
      </c>
      <c r="R68" s="160">
        <f t="shared" si="42"/>
        <v>6.289128889739442</v>
      </c>
      <c r="S68" s="160">
        <f t="shared" si="43"/>
        <v>1.4111140509052629</v>
      </c>
      <c r="T68" s="160" t="str">
        <f t="shared" si="34"/>
        <v>1+3.97383530631844E-06i</v>
      </c>
      <c r="U68" s="160">
        <f t="shared" si="44"/>
        <v>1.0000000000078957</v>
      </c>
      <c r="V68" s="160">
        <f t="shared" si="45"/>
        <v>3.9738353062975228E-6</v>
      </c>
      <c r="W68" s="98" t="str">
        <f t="shared" si="35"/>
        <v>1-0.00287403664694175i</v>
      </c>
      <c r="X68" s="160">
        <f t="shared" si="46"/>
        <v>1.0000041300347955</v>
      </c>
      <c r="Y68" s="160">
        <f t="shared" si="47"/>
        <v>-2.8740287337170574E-3</v>
      </c>
      <c r="Z68" s="98" t="str">
        <f t="shared" si="36"/>
        <v>0.9999996+0.00113518755508198i</v>
      </c>
      <c r="AA68" s="160">
        <f t="shared" si="48"/>
        <v>1.0000002443254428</v>
      </c>
      <c r="AB68" s="160">
        <f t="shared" si="49"/>
        <v>1.135187521536864E-3</v>
      </c>
      <c r="AC68" s="171" t="str">
        <f t="shared" si="50"/>
        <v>26.5979914076145-169.471195644903i</v>
      </c>
      <c r="AD68" s="190">
        <f t="shared" si="51"/>
        <v>44.687598515704998</v>
      </c>
      <c r="AE68" s="169">
        <f t="shared" si="52"/>
        <v>-81.080363015070162</v>
      </c>
      <c r="AF68" s="98" t="str">
        <f t="shared" si="37"/>
        <v>-9.95024875621891E-06</v>
      </c>
      <c r="AG68" s="98" t="str">
        <f t="shared" si="38"/>
        <v>0.000198890457081238i</v>
      </c>
      <c r="AH68" s="98">
        <f t="shared" si="53"/>
        <v>1.98890457081238E-4</v>
      </c>
      <c r="AI68" s="98">
        <f t="shared" si="54"/>
        <v>1.5707963267948966</v>
      </c>
      <c r="AJ68" s="98" t="str">
        <f t="shared" si="39"/>
        <v>1+0.00198493272043878i</v>
      </c>
      <c r="AK68" s="98">
        <f t="shared" si="55"/>
        <v>1.000001969977012</v>
      </c>
      <c r="AL68" s="98">
        <f t="shared" si="56"/>
        <v>1.9849301135944882E-3</v>
      </c>
      <c r="AM68" s="98" t="str">
        <f t="shared" si="40"/>
        <v>1+1.98691765315922i</v>
      </c>
      <c r="AN68" s="98">
        <f t="shared" si="57"/>
        <v>2.2243744649756576</v>
      </c>
      <c r="AO68" s="98">
        <f t="shared" si="58"/>
        <v>1.1045184906420491</v>
      </c>
      <c r="AP68" s="168" t="str">
        <f t="shared" si="59"/>
        <v>-0.0993033894458401+0.0502258997721513i</v>
      </c>
      <c r="AQ68" s="98">
        <f t="shared" si="60"/>
        <v>-19.071459245105885</v>
      </c>
      <c r="AR68" s="169">
        <f t="shared" si="61"/>
        <v>153.17051978981192</v>
      </c>
      <c r="AS68" s="168" t="str">
        <f t="shared" si="62"/>
        <v>5.87057258750009+18.1649721915574i</v>
      </c>
      <c r="AT68" s="190">
        <f t="shared" si="63"/>
        <v>25.616139270599145</v>
      </c>
      <c r="AU68" s="169">
        <f t="shared" si="64"/>
        <v>72.090156774741828</v>
      </c>
      <c r="AV68" s="225"/>
      <c r="AX68">
        <f t="shared" si="65"/>
        <v>0</v>
      </c>
      <c r="AY68">
        <f t="shared" si="66"/>
        <v>0</v>
      </c>
    </row>
    <row r="69" spans="1:51" x14ac:dyDescent="0.3">
      <c r="A69" s="214" t="str">
        <f>"Phase Margin = "&amp;B69</f>
        <v>Phase Margin = 83°</v>
      </c>
      <c r="B69" s="217" t="str">
        <f>ROUND(D69,0)&amp;"°"</f>
        <v>83°</v>
      </c>
      <c r="C69" s="218"/>
      <c r="D69" s="23">
        <f>AY14</f>
        <v>83.0202054386383</v>
      </c>
      <c r="N69" s="170">
        <v>51</v>
      </c>
      <c r="O69" s="199">
        <f t="shared" si="41"/>
        <v>32.359365692962832</v>
      </c>
      <c r="P69" s="189" t="str">
        <f t="shared" si="32"/>
        <v>1078.86904761905</v>
      </c>
      <c r="Q69" s="160" t="str">
        <f t="shared" si="33"/>
        <v>1+6.35374659598984i</v>
      </c>
      <c r="R69" s="160">
        <f t="shared" si="42"/>
        <v>6.4319589400160568</v>
      </c>
      <c r="S69" s="160">
        <f t="shared" si="43"/>
        <v>1.4146894320005141</v>
      </c>
      <c r="T69" s="160" t="str">
        <f t="shared" si="34"/>
        <v>1+0.0000040663978214335i</v>
      </c>
      <c r="U69" s="160">
        <f t="shared" si="44"/>
        <v>1.0000000000082678</v>
      </c>
      <c r="V69" s="160">
        <f t="shared" si="45"/>
        <v>4.0663978214110865E-6</v>
      </c>
      <c r="W69" s="98" t="str">
        <f t="shared" si="35"/>
        <v>1-0.00294098156037357i</v>
      </c>
      <c r="X69" s="160">
        <f t="shared" si="46"/>
        <v>1.0000043246769177</v>
      </c>
      <c r="Y69" s="160">
        <f t="shared" si="47"/>
        <v>-2.9409730812025255E-3</v>
      </c>
      <c r="Z69" s="98" t="str">
        <f t="shared" si="36"/>
        <v>0.999999581148581+0.00116162947003971i</v>
      </c>
      <c r="AA69" s="160">
        <f t="shared" si="48"/>
        <v>1.0000002558401488</v>
      </c>
      <c r="AB69" s="160">
        <f t="shared" si="49"/>
        <v>1.1616294340954692E-3</v>
      </c>
      <c r="AC69" s="171" t="str">
        <f t="shared" si="50"/>
        <v>25.3992509878345-165.802193874328i</v>
      </c>
      <c r="AD69" s="190">
        <f t="shared" si="51"/>
        <v>44.492544745318639</v>
      </c>
      <c r="AE69" s="169">
        <f t="shared" si="52"/>
        <v>-81.290562597102465</v>
      </c>
      <c r="AF69" s="98" t="str">
        <f t="shared" si="37"/>
        <v>-9.95024875621891E-06</v>
      </c>
      <c r="AG69" s="98" t="str">
        <f t="shared" si="38"/>
        <v>0.000203523210962747i</v>
      </c>
      <c r="AH69" s="98">
        <f t="shared" si="53"/>
        <v>2.03523210962747E-4</v>
      </c>
      <c r="AI69" s="98">
        <f t="shared" si="54"/>
        <v>1.5707963267948966</v>
      </c>
      <c r="AJ69" s="98" t="str">
        <f t="shared" si="39"/>
        <v>1+0.00203116774297378i</v>
      </c>
      <c r="AK69" s="98">
        <f t="shared" si="55"/>
        <v>1.0000020628190724</v>
      </c>
      <c r="AL69" s="98">
        <f t="shared" si="56"/>
        <v>2.0311649496901072E-3</v>
      </c>
      <c r="AM69" s="98" t="str">
        <f t="shared" si="40"/>
        <v>1+2.03319891071675i</v>
      </c>
      <c r="AN69" s="98">
        <f t="shared" si="57"/>
        <v>2.2658106298938092</v>
      </c>
      <c r="AO69" s="98">
        <f t="shared" si="58"/>
        <v>1.1137013882961257</v>
      </c>
      <c r="AP69" s="168" t="str">
        <f t="shared" si="59"/>
        <v>-0.0993033710068164+0.0490916967541661i</v>
      </c>
      <c r="AQ69" s="98">
        <f t="shared" si="60"/>
        <v>-19.111145870725</v>
      </c>
      <c r="AR69" s="169">
        <f t="shared" si="61"/>
        <v>153.69401200811637</v>
      </c>
      <c r="AS69" s="168" t="str">
        <f t="shared" si="62"/>
        <v>5.61727977871379+17.7116090993242i</v>
      </c>
      <c r="AT69" s="190">
        <f t="shared" si="63"/>
        <v>25.381398874593636</v>
      </c>
      <c r="AU69" s="169">
        <f t="shared" si="64"/>
        <v>72.403449411013881</v>
      </c>
      <c r="AV69" s="225"/>
      <c r="AX69">
        <f t="shared" si="65"/>
        <v>0</v>
      </c>
      <c r="AY69">
        <f t="shared" si="66"/>
        <v>0</v>
      </c>
    </row>
    <row r="70" spans="1:51" x14ac:dyDescent="0.3">
      <c r="N70" s="170">
        <v>52</v>
      </c>
      <c r="O70" s="199">
        <f t="shared" si="41"/>
        <v>33.113112148259127</v>
      </c>
      <c r="P70" s="189" t="str">
        <f t="shared" si="32"/>
        <v>1078.86904761905</v>
      </c>
      <c r="Q70" s="160" t="str">
        <f t="shared" si="33"/>
        <v>1+6.50174436640413i</v>
      </c>
      <c r="R70" s="160">
        <f t="shared" si="42"/>
        <v>6.5781973067146469</v>
      </c>
      <c r="S70" s="160">
        <f t="shared" si="43"/>
        <v>1.4181873200001283</v>
      </c>
      <c r="T70" s="160" t="str">
        <f t="shared" si="34"/>
        <v>1+4.16111639449864E-06i</v>
      </c>
      <c r="U70" s="160">
        <f t="shared" si="44"/>
        <v>1.0000000000086575</v>
      </c>
      <c r="V70" s="160">
        <f t="shared" si="45"/>
        <v>4.1611163944746229E-6</v>
      </c>
      <c r="W70" s="98" t="str">
        <f t="shared" si="35"/>
        <v>1-0.0030094858211572i</v>
      </c>
      <c r="X70" s="160">
        <f t="shared" si="46"/>
        <v>1.0000045284922003</v>
      </c>
      <c r="Y70" s="160">
        <f t="shared" si="47"/>
        <v>-3.0094767355639557E-3</v>
      </c>
      <c r="Z70" s="98" t="str">
        <f t="shared" si="36"/>
        <v>0.999999561408722+0.00118868729631845i</v>
      </c>
      <c r="AA70" s="160">
        <f t="shared" si="48"/>
        <v>1.0000002678975266</v>
      </c>
      <c r="AB70" s="160">
        <f t="shared" si="49"/>
        <v>1.1886872578035E-3</v>
      </c>
      <c r="AC70" s="171" t="str">
        <f t="shared" si="50"/>
        <v>24.2519104248684-162.204507882369i</v>
      </c>
      <c r="AD70" s="190">
        <f t="shared" si="51"/>
        <v>44.297273765621803</v>
      </c>
      <c r="AE70" s="169">
        <f t="shared" si="52"/>
        <v>-81.49644665909274</v>
      </c>
      <c r="AF70" s="98" t="str">
        <f t="shared" si="37"/>
        <v>-9.95024875621891E-06</v>
      </c>
      <c r="AG70" s="98" t="str">
        <f t="shared" si="38"/>
        <v>0.000208263875544657i</v>
      </c>
      <c r="AH70" s="98">
        <f t="shared" si="53"/>
        <v>2.0826387554465699E-4</v>
      </c>
      <c r="AI70" s="98">
        <f t="shared" si="54"/>
        <v>1.5707963267948966</v>
      </c>
      <c r="AJ70" s="98" t="str">
        <f t="shared" si="39"/>
        <v>1+0.00207847971753179i</v>
      </c>
      <c r="AK70" s="98">
        <f t="shared" si="55"/>
        <v>1.0000021600366353</v>
      </c>
      <c r="AL70" s="98">
        <f t="shared" si="56"/>
        <v>2.0784767244747585E-3</v>
      </c>
      <c r="AM70" s="98" t="str">
        <f t="shared" si="40"/>
        <v>1+2.08055819724932i</v>
      </c>
      <c r="AN70" s="98">
        <f t="shared" si="57"/>
        <v>2.3084025671752619</v>
      </c>
      <c r="AO70" s="98">
        <f t="shared" si="58"/>
        <v>1.1227561271016899</v>
      </c>
      <c r="AP70" s="168" t="str">
        <f t="shared" si="59"/>
        <v>-0.0993033516987957+0.047983522800074i</v>
      </c>
      <c r="AQ70" s="98">
        <f t="shared" si="60"/>
        <v>-19.149387941379786</v>
      </c>
      <c r="AR70" s="169">
        <f t="shared" si="61"/>
        <v>154.21009956125212</v>
      </c>
      <c r="AS70" s="168" t="str">
        <f t="shared" si="62"/>
        <v>5.37484771196004+17.27114339019i</v>
      </c>
      <c r="AT70" s="190">
        <f t="shared" si="63"/>
        <v>25.147885824242021</v>
      </c>
      <c r="AU70" s="169">
        <f t="shared" si="64"/>
        <v>72.713652902159396</v>
      </c>
      <c r="AV70" s="225"/>
      <c r="AX70">
        <f t="shared" si="65"/>
        <v>0</v>
      </c>
      <c r="AY70">
        <f t="shared" si="66"/>
        <v>0</v>
      </c>
    </row>
    <row r="71" spans="1:51" x14ac:dyDescent="0.3">
      <c r="N71" s="170">
        <v>53</v>
      </c>
      <c r="O71" s="199">
        <f t="shared" si="41"/>
        <v>33.884415613920268</v>
      </c>
      <c r="P71" s="189" t="str">
        <f t="shared" si="32"/>
        <v>1078.86904761905</v>
      </c>
      <c r="Q71" s="160" t="str">
        <f t="shared" si="33"/>
        <v>1+6.65318944774219i</v>
      </c>
      <c r="R71" s="160">
        <f t="shared" si="42"/>
        <v>6.7279216573580909</v>
      </c>
      <c r="S71" s="160">
        <f t="shared" si="43"/>
        <v>1.4216092269754399</v>
      </c>
      <c r="T71" s="160" t="str">
        <f t="shared" si="34"/>
        <v>1+0.000004258041246555i</v>
      </c>
      <c r="U71" s="160">
        <f t="shared" si="44"/>
        <v>1.0000000000090654</v>
      </c>
      <c r="V71" s="160">
        <f t="shared" si="45"/>
        <v>4.2580412465292665E-6</v>
      </c>
      <c r="W71" s="98" t="str">
        <f t="shared" si="35"/>
        <v>1-0.00307958575115844i</v>
      </c>
      <c r="X71" s="160">
        <f t="shared" si="46"/>
        <v>1.0000047419129565</v>
      </c>
      <c r="Y71" s="160">
        <f t="shared" si="47"/>
        <v>-3.0795760157723722E-3</v>
      </c>
      <c r="Z71" s="98" t="str">
        <f t="shared" si="36"/>
        <v>0.999999540738551+0.00121637538033582i</v>
      </c>
      <c r="AA71" s="160">
        <f t="shared" si="48"/>
        <v>1.00000028052315</v>
      </c>
      <c r="AB71" s="160">
        <f t="shared" si="49"/>
        <v>1.2163753390663072E-3</v>
      </c>
      <c r="AC71" s="171" t="str">
        <f t="shared" si="50"/>
        <v>23.1538733046126-158.677287065937i</v>
      </c>
      <c r="AD71" s="190">
        <f t="shared" si="51"/>
        <v>44.101794907091602</v>
      </c>
      <c r="AE71" s="169">
        <f t="shared" si="52"/>
        <v>-81.698104736381566</v>
      </c>
      <c r="AF71" s="98" t="str">
        <f t="shared" si="37"/>
        <v>-9.95024875621891E-06</v>
      </c>
      <c r="AG71" s="98" t="str">
        <f t="shared" si="38"/>
        <v>0.000213114964390078i</v>
      </c>
      <c r="AH71" s="98">
        <f t="shared" si="53"/>
        <v>2.13114964390078E-4</v>
      </c>
      <c r="AI71" s="98">
        <f t="shared" si="54"/>
        <v>1.5707963267948966</v>
      </c>
      <c r="AJ71" s="98" t="str">
        <f t="shared" si="39"/>
        <v>1+0.00212689372954795i</v>
      </c>
      <c r="AK71" s="98">
        <f t="shared" si="55"/>
        <v>1.0000022618359106</v>
      </c>
      <c r="AL71" s="98">
        <f t="shared" si="56"/>
        <v>2.1268905224299511E-3</v>
      </c>
      <c r="AM71" s="98" t="str">
        <f t="shared" si="40"/>
        <v>1+2.1290206232775i</v>
      </c>
      <c r="AN71" s="98">
        <f t="shared" si="57"/>
        <v>2.3521753366492293</v>
      </c>
      <c r="AO71" s="98">
        <f t="shared" si="58"/>
        <v>1.1316815679641459</v>
      </c>
      <c r="AP71" s="168" t="str">
        <f t="shared" si="59"/>
        <v>-0.0993033314808239+0.0469007903411243i</v>
      </c>
      <c r="AQ71" s="98">
        <f t="shared" si="60"/>
        <v>-19.186225959176497</v>
      </c>
      <c r="AR71" s="169">
        <f t="shared" si="61"/>
        <v>154.71871574667139</v>
      </c>
      <c r="AS71" s="168" t="str">
        <f t="shared" si="62"/>
        <v>5.14283341674496+16.8431181934312i</v>
      </c>
      <c r="AT71" s="190">
        <f t="shared" si="63"/>
        <v>24.915568947915109</v>
      </c>
      <c r="AU71" s="169">
        <f t="shared" si="64"/>
        <v>73.020611010289855</v>
      </c>
      <c r="AV71" s="225"/>
      <c r="AX71">
        <f t="shared" si="65"/>
        <v>0</v>
      </c>
      <c r="AY71">
        <f t="shared" si="66"/>
        <v>0</v>
      </c>
    </row>
    <row r="72" spans="1:51" x14ac:dyDescent="0.3">
      <c r="N72" s="170">
        <v>54</v>
      </c>
      <c r="O72" s="199">
        <f t="shared" si="41"/>
        <v>34.67368504525318</v>
      </c>
      <c r="P72" s="189" t="str">
        <f t="shared" si="32"/>
        <v>1078.86904761905</v>
      </c>
      <c r="Q72" s="160" t="str">
        <f t="shared" si="33"/>
        <v>1+6.80816213819084i</v>
      </c>
      <c r="R72" s="160">
        <f t="shared" si="42"/>
        <v>6.8812114994305533</v>
      </c>
      <c r="S72" s="160">
        <f t="shared" si="43"/>
        <v>1.4249566465523342</v>
      </c>
      <c r="T72" s="160" t="str">
        <f t="shared" si="34"/>
        <v>1+4.35722376844214E-06i</v>
      </c>
      <c r="U72" s="160">
        <f t="shared" si="44"/>
        <v>1.0000000000094929</v>
      </c>
      <c r="V72" s="160">
        <f t="shared" si="45"/>
        <v>4.3572237684145661E-6</v>
      </c>
      <c r="W72" s="98" t="str">
        <f t="shared" si="35"/>
        <v>1-0.0031513185182881i</v>
      </c>
      <c r="X72" s="160">
        <f t="shared" si="46"/>
        <v>1.0000049653918743</v>
      </c>
      <c r="Y72" s="160">
        <f t="shared" si="47"/>
        <v>-3.1513080866367822E-3</v>
      </c>
      <c r="Z72" s="98" t="str">
        <f t="shared" si="36"/>
        <v>0.999999519094226+0.00124470840268048i</v>
      </c>
      <c r="AA72" s="160">
        <f t="shared" si="48"/>
        <v>1.0000002937438024</v>
      </c>
      <c r="AB72" s="160">
        <f t="shared" si="49"/>
        <v>1.244708358459398E-3</v>
      </c>
      <c r="AC72" s="171" t="str">
        <f t="shared" si="50"/>
        <v>22.1031194317464-155.219652956954i</v>
      </c>
      <c r="AD72" s="190">
        <f t="shared" si="51"/>
        <v>43.906117119079994</v>
      </c>
      <c r="AE72" s="169">
        <f t="shared" si="52"/>
        <v>-81.895625375005523</v>
      </c>
      <c r="AF72" s="98" t="str">
        <f t="shared" si="37"/>
        <v>-9.95024875621891E-06</v>
      </c>
      <c r="AG72" s="98" t="str">
        <f t="shared" si="38"/>
        <v>0.000218079049610529i</v>
      </c>
      <c r="AH72" s="98">
        <f t="shared" si="53"/>
        <v>2.1807904961052899E-4</v>
      </c>
      <c r="AI72" s="98">
        <f t="shared" si="54"/>
        <v>1.5707963267948966</v>
      </c>
      <c r="AJ72" s="98" t="str">
        <f t="shared" si="39"/>
        <v>1+0.0021764354487723i</v>
      </c>
      <c r="AK72" s="98">
        <f t="shared" si="55"/>
        <v>1.0000023684328265</v>
      </c>
      <c r="AL72" s="98">
        <f t="shared" si="56"/>
        <v>2.1764320122838895E-3</v>
      </c>
      <c r="AM72" s="98" t="str">
        <f t="shared" si="40"/>
        <v>1+2.17861188422107i</v>
      </c>
      <c r="AN72" s="98">
        <f t="shared" si="57"/>
        <v>2.3971545094276427</v>
      </c>
      <c r="AO72" s="98">
        <f t="shared" si="58"/>
        <v>1.1404767540148113</v>
      </c>
      <c r="AP72" s="168" t="str">
        <f t="shared" si="59"/>
        <v>-0.0993033103100175+0.0458429252979645i</v>
      </c>
      <c r="AQ72" s="98">
        <f t="shared" si="60"/>
        <v>-19.221700173046415</v>
      </c>
      <c r="AR72" s="169">
        <f t="shared" si="61"/>
        <v>155.21980426912739</v>
      </c>
      <c r="AS72" s="168" t="str">
        <f t="shared" si="62"/>
        <v>4.92081002753153+16.4270970167592i</v>
      </c>
      <c r="AT72" s="190">
        <f t="shared" si="63"/>
        <v>24.684416946033593</v>
      </c>
      <c r="AU72" s="169">
        <f t="shared" si="64"/>
        <v>73.324178894121886</v>
      </c>
      <c r="AV72" s="225"/>
      <c r="AX72">
        <f t="shared" si="65"/>
        <v>0</v>
      </c>
      <c r="AY72">
        <f t="shared" si="66"/>
        <v>0</v>
      </c>
    </row>
    <row r="73" spans="1:51" x14ac:dyDescent="0.3">
      <c r="N73" s="170">
        <v>55</v>
      </c>
      <c r="O73" s="199">
        <f t="shared" si="41"/>
        <v>35.481338923357555</v>
      </c>
      <c r="P73" s="189" t="str">
        <f t="shared" si="32"/>
        <v>1078.86904761905</v>
      </c>
      <c r="Q73" s="160" t="str">
        <f t="shared" si="33"/>
        <v>1+6.96674460632184i</v>
      </c>
      <c r="R73" s="160">
        <f t="shared" si="42"/>
        <v>7.0381482230565764</v>
      </c>
      <c r="S73" s="160">
        <f t="shared" si="43"/>
        <v>1.4282310533528912</v>
      </c>
      <c r="T73" s="160" t="str">
        <f t="shared" si="34"/>
        <v>1+4.45871654804598E-06i</v>
      </c>
      <c r="U73" s="160">
        <f t="shared" si="44"/>
        <v>1.00000000000994</v>
      </c>
      <c r="V73" s="160">
        <f t="shared" si="45"/>
        <v>4.4587165480164329E-6</v>
      </c>
      <c r="W73" s="98" t="str">
        <f t="shared" si="35"/>
        <v>1-0.00322472215620878i</v>
      </c>
      <c r="X73" s="160">
        <f t="shared" si="46"/>
        <v>1.0000051994029755</v>
      </c>
      <c r="Y73" s="160">
        <f t="shared" si="47"/>
        <v>-3.2247109784961461E-3</v>
      </c>
      <c r="Z73" s="98" t="str">
        <f t="shared" si="36"/>
        <v>0.999999496429835+0.00127370138589591i</v>
      </c>
      <c r="AA73" s="160">
        <f t="shared" si="48"/>
        <v>1.0000003075875248</v>
      </c>
      <c r="AB73" s="160">
        <f t="shared" si="49"/>
        <v>1.273701338512165E-3</v>
      </c>
      <c r="AC73" s="171" t="str">
        <f t="shared" si="50"/>
        <v>21.0977028764887-151.830702559562i</v>
      </c>
      <c r="AD73" s="190">
        <f t="shared" si="51"/>
        <v>43.710248983762199</v>
      </c>
      <c r="AE73" s="169">
        <f t="shared" si="52"/>
        <v>-82.089096101278614</v>
      </c>
      <c r="AF73" s="98" t="str">
        <f t="shared" si="37"/>
        <v>-9.95024875621891E-06</v>
      </c>
      <c r="AG73" s="98" t="str">
        <f t="shared" si="38"/>
        <v>0.000223158763229702i</v>
      </c>
      <c r="AH73" s="98">
        <f t="shared" si="53"/>
        <v>2.2315876322970201E-4</v>
      </c>
      <c r="AI73" s="98">
        <f t="shared" si="54"/>
        <v>1.5707963267948966</v>
      </c>
      <c r="AJ73" s="98" t="str">
        <f t="shared" si="39"/>
        <v>1+0.00222713114288011i</v>
      </c>
      <c r="AK73" s="98">
        <f t="shared" si="55"/>
        <v>1.0000024800534884</v>
      </c>
      <c r="AL73" s="98">
        <f t="shared" si="56"/>
        <v>2.2271274606169289E-3</v>
      </c>
      <c r="AM73" s="98" t="str">
        <f t="shared" si="40"/>
        <v>1+2.22935827402299i</v>
      </c>
      <c r="AN73" s="98">
        <f t="shared" si="57"/>
        <v>2.4433661849904458</v>
      </c>
      <c r="AO73" s="98">
        <f t="shared" si="58"/>
        <v>1.1491409047231456</v>
      </c>
      <c r="AP73" s="168" t="str">
        <f t="shared" si="59"/>
        <v>-0.0993032881414709+0.044809366776256i</v>
      </c>
      <c r="AQ73" s="98">
        <f t="shared" si="60"/>
        <v>-19.255850510193927</v>
      </c>
      <c r="AR73" s="169">
        <f t="shared" si="61"/>
        <v>155.71331890255024</v>
      </c>
      <c r="AS73" s="168" t="str">
        <f t="shared" si="62"/>
        <v>4.70836637102095+16.0226627113232i</v>
      </c>
      <c r="AT73" s="190">
        <f t="shared" si="63"/>
        <v>24.454398473568272</v>
      </c>
      <c r="AU73" s="169">
        <f t="shared" si="64"/>
        <v>73.624222801271628</v>
      </c>
      <c r="AV73" s="225"/>
      <c r="AX73">
        <f t="shared" si="65"/>
        <v>0</v>
      </c>
      <c r="AY73">
        <f t="shared" si="66"/>
        <v>0</v>
      </c>
    </row>
    <row r="74" spans="1:51" x14ac:dyDescent="0.3">
      <c r="N74" s="170">
        <v>56</v>
      </c>
      <c r="O74" s="199">
        <f t="shared" si="41"/>
        <v>36.307805477010156</v>
      </c>
      <c r="P74" s="189" t="str">
        <f t="shared" si="32"/>
        <v>1078.86904761905</v>
      </c>
      <c r="Q74" s="160" t="str">
        <f t="shared" si="33"/>
        <v>1+7.12902093465891i</v>
      </c>
      <c r="R74" s="160">
        <f t="shared" si="42"/>
        <v>7.1988151446474165</v>
      </c>
      <c r="S74" s="160">
        <f t="shared" si="43"/>
        <v>1.4314339025059504</v>
      </c>
      <c r="T74" s="160" t="str">
        <f t="shared" si="34"/>
        <v>1+0.0000045625733981817i</v>
      </c>
      <c r="U74" s="160">
        <f t="shared" si="44"/>
        <v>1.0000000000104086</v>
      </c>
      <c r="V74" s="160">
        <f t="shared" si="45"/>
        <v>4.5625733981500405E-6</v>
      </c>
      <c r="W74" s="98" t="str">
        <f t="shared" si="35"/>
        <v>1-0.00329983558450093i</v>
      </c>
      <c r="X74" s="160">
        <f t="shared" si="46"/>
        <v>1.0000054444426214</v>
      </c>
      <c r="Y74" s="160">
        <f t="shared" si="47"/>
        <v>-3.2998236073695764E-3</v>
      </c>
      <c r="Z74" s="98" t="str">
        <f t="shared" si="36"/>
        <v>0.999999472697305+0.00130336970244557i</v>
      </c>
      <c r="AA74" s="160">
        <f t="shared" si="48"/>
        <v>1.0000003220836826</v>
      </c>
      <c r="AB74" s="160">
        <f t="shared" si="49"/>
        <v>1.3033696516729692E-3</v>
      </c>
      <c r="AC74" s="171" t="str">
        <f t="shared" si="50"/>
        <v>20.1357499938282-148.509511476361i</v>
      </c>
      <c r="AD74" s="190">
        <f t="shared" si="51"/>
        <v>43.514198729719809</v>
      </c>
      <c r="AE74" s="169">
        <f t="shared" si="52"/>
        <v>-82.278603395358729</v>
      </c>
      <c r="AF74" s="98" t="str">
        <f t="shared" si="37"/>
        <v>-9.95024875621891E-06</v>
      </c>
      <c r="AG74" s="98" t="str">
        <f t="shared" si="38"/>
        <v>0.000228356798578994i</v>
      </c>
      <c r="AH74" s="98">
        <f t="shared" si="53"/>
        <v>2.2835679857899401E-4</v>
      </c>
      <c r="AI74" s="98">
        <f t="shared" si="54"/>
        <v>1.5707963267948966</v>
      </c>
      <c r="AJ74" s="98" t="str">
        <f t="shared" si="39"/>
        <v>1+0.00227900769139945i</v>
      </c>
      <c r="AK74" s="98">
        <f t="shared" si="55"/>
        <v>1.0000025969346567</v>
      </c>
      <c r="AL74" s="98">
        <f t="shared" si="56"/>
        <v>2.2790037457839181E-3</v>
      </c>
      <c r="AM74" s="98" t="str">
        <f t="shared" si="40"/>
        <v>1+2.28128669909085i</v>
      </c>
      <c r="AN74" s="98">
        <f t="shared" si="57"/>
        <v>2.4908370086075133</v>
      </c>
      <c r="AO74" s="98">
        <f t="shared" si="58"/>
        <v>1.1576734097316572</v>
      </c>
      <c r="AP74" s="168" t="str">
        <f t="shared" si="59"/>
        <v>-0.0993032649281642+0.0437995667692797i</v>
      </c>
      <c r="AQ74" s="98">
        <f t="shared" si="60"/>
        <v>-19.288716512510604</v>
      </c>
      <c r="AR74" s="169">
        <f t="shared" si="61"/>
        <v>156.19922313601529</v>
      </c>
      <c r="AS74" s="168" t="str">
        <f t="shared" si="62"/>
        <v>4.50510654761758+15.6294164887935i</v>
      </c>
      <c r="AT74" s="190">
        <f t="shared" si="63"/>
        <v>24.225482217209198</v>
      </c>
      <c r="AU74" s="169">
        <f t="shared" si="64"/>
        <v>73.920619740656562</v>
      </c>
      <c r="AV74" s="225"/>
      <c r="AX74">
        <f t="shared" si="65"/>
        <v>0</v>
      </c>
      <c r="AY74">
        <f t="shared" si="66"/>
        <v>0</v>
      </c>
    </row>
    <row r="75" spans="1:51" x14ac:dyDescent="0.3">
      <c r="N75" s="170">
        <v>57</v>
      </c>
      <c r="O75" s="199">
        <f t="shared" si="41"/>
        <v>37.15352290971726</v>
      </c>
      <c r="P75" s="189" t="str">
        <f t="shared" si="32"/>
        <v>1078.86904761905</v>
      </c>
      <c r="Q75" s="160" t="str">
        <f t="shared" si="33"/>
        <v>1+7.29507716425925i</v>
      </c>
      <c r="R75" s="160">
        <f t="shared" si="42"/>
        <v>7.3632975515387651</v>
      </c>
      <c r="S75" s="160">
        <f t="shared" si="43"/>
        <v>1.4345666292221833</v>
      </c>
      <c r="T75" s="160" t="str">
        <f t="shared" si="34"/>
        <v>1+4.66884938512592E-06i</v>
      </c>
      <c r="U75" s="160">
        <f t="shared" si="44"/>
        <v>1.0000000000108991</v>
      </c>
      <c r="V75" s="160">
        <f t="shared" si="45"/>
        <v>4.6688493850919954E-6</v>
      </c>
      <c r="W75" s="98" t="str">
        <f t="shared" si="35"/>
        <v>1-0.00337669862929847i</v>
      </c>
      <c r="X75" s="160">
        <f t="shared" si="46"/>
        <v>1.0000057010305656</v>
      </c>
      <c r="Y75" s="160">
        <f t="shared" si="47"/>
        <v>-3.3766857955749548E-3</v>
      </c>
      <c r="Z75" s="98" t="str">
        <f t="shared" si="36"/>
        <v>0.999999447846294+0.00133372908286361i</v>
      </c>
      <c r="AA75" s="160">
        <f t="shared" si="48"/>
        <v>1.0000003372630228</v>
      </c>
      <c r="AB75" s="160">
        <f t="shared" si="49"/>
        <v>1.333729028459786E-3</v>
      </c>
      <c r="AC75" s="171" t="str">
        <f t="shared" si="50"/>
        <v>19.215457424874-145.255136833068i</v>
      </c>
      <c r="AD75" s="190">
        <f t="shared" si="51"/>
        <v>43.317974245156194</v>
      </c>
      <c r="AE75" s="169">
        <f t="shared" si="52"/>
        <v>-82.464232668548021</v>
      </c>
      <c r="AF75" s="98" t="str">
        <f t="shared" si="37"/>
        <v>-9.95024875621891E-06</v>
      </c>
      <c r="AG75" s="98" t="str">
        <f t="shared" si="38"/>
        <v>0.000233675911725552i</v>
      </c>
      <c r="AH75" s="98">
        <f t="shared" si="53"/>
        <v>2.3367591172555199E-4</v>
      </c>
      <c r="AI75" s="98">
        <f t="shared" si="54"/>
        <v>1.5707963267948966</v>
      </c>
      <c r="AJ75" s="98" t="str">
        <f t="shared" si="39"/>
        <v>1+0.002332092599963i</v>
      </c>
      <c r="AK75" s="98">
        <f t="shared" si="55"/>
        <v>1.00000271932425</v>
      </c>
      <c r="AL75" s="98">
        <f t="shared" si="56"/>
        <v>2.3320883721604075E-3</v>
      </c>
      <c r="AM75" s="98" t="str">
        <f t="shared" si="40"/>
        <v>1+2.33442469256296i</v>
      </c>
      <c r="AN75" s="98">
        <f t="shared" si="57"/>
        <v>2.5395941890876323</v>
      </c>
      <c r="AO75" s="98">
        <f t="shared" si="58"/>
        <v>1.1660738224628642</v>
      </c>
      <c r="AP75" s="168" t="str">
        <f t="shared" si="59"/>
        <v>-0.0993032406208595+0.0428129898673724i</v>
      </c>
      <c r="AQ75" s="98">
        <f t="shared" si="60"/>
        <v>-19.320337277940919</v>
      </c>
      <c r="AR75" s="169">
        <f t="shared" si="61"/>
        <v>156.67748980663305</v>
      </c>
      <c r="AS75" s="168" t="str">
        <f t="shared" si="62"/>
        <v>4.31064950911579+15.2469769883781i</v>
      </c>
      <c r="AT75" s="190">
        <f t="shared" si="63"/>
        <v>23.997636967215279</v>
      </c>
      <c r="AU75" s="169">
        <f t="shared" si="64"/>
        <v>74.213257138085055</v>
      </c>
      <c r="AV75" s="225"/>
      <c r="AX75">
        <f t="shared" si="65"/>
        <v>0</v>
      </c>
      <c r="AY75">
        <f t="shared" si="66"/>
        <v>0</v>
      </c>
    </row>
    <row r="76" spans="1:51" x14ac:dyDescent="0.3">
      <c r="N76" s="170">
        <v>58</v>
      </c>
      <c r="O76" s="199">
        <f t="shared" si="41"/>
        <v>38.018939632056139</v>
      </c>
      <c r="P76" s="189" t="str">
        <f t="shared" si="32"/>
        <v>1078.86904761905</v>
      </c>
      <c r="Q76" s="160" t="str">
        <f t="shared" si="33"/>
        <v>1+7.46500134033384i</v>
      </c>
      <c r="R76" s="160">
        <f t="shared" si="42"/>
        <v>7.531682747645843</v>
      </c>
      <c r="S76" s="160">
        <f t="shared" si="43"/>
        <v>1.4376306484294841</v>
      </c>
      <c r="T76" s="160" t="str">
        <f t="shared" si="34"/>
        <v>1+4.77760085781366E-06i</v>
      </c>
      <c r="U76" s="160">
        <f t="shared" si="44"/>
        <v>1.0000000000114126</v>
      </c>
      <c r="V76" s="160">
        <f t="shared" si="45"/>
        <v>4.7776008577773093E-6</v>
      </c>
      <c r="W76" s="98" t="str">
        <f t="shared" si="35"/>
        <v>1-0.00345535204440515i</v>
      </c>
      <c r="X76" s="160">
        <f t="shared" si="46"/>
        <v>1.0000059697110566</v>
      </c>
      <c r="Y76" s="160">
        <f t="shared" si="47"/>
        <v>-3.4553382928270791E-3</v>
      </c>
      <c r="Z76" s="98" t="str">
        <f t="shared" si="36"/>
        <v>0.999999421824092+0.00136479562409537i</v>
      </c>
      <c r="AA76" s="160">
        <f t="shared" si="48"/>
        <v>1.0000003531577446</v>
      </c>
      <c r="AB76" s="160">
        <f t="shared" si="49"/>
        <v>1.3647955658006191E-3</v>
      </c>
      <c r="AC76" s="171" t="str">
        <f t="shared" si="50"/>
        <v>18.3350900889981-142.066620010831i</v>
      </c>
      <c r="AD76" s="190">
        <f t="shared" si="51"/>
        <v>43.121583090740465</v>
      </c>
      <c r="AE76" s="169">
        <f t="shared" si="52"/>
        <v>-82.646068244087402</v>
      </c>
      <c r="AF76" s="98" t="str">
        <f t="shared" si="37"/>
        <v>-9.95024875621891E-06</v>
      </c>
      <c r="AG76" s="98" t="str">
        <f t="shared" si="38"/>
        <v>0.000239118922933574i</v>
      </c>
      <c r="AH76" s="98">
        <f t="shared" si="53"/>
        <v>2.3911892293357399E-4</v>
      </c>
      <c r="AI76" s="98">
        <f t="shared" si="54"/>
        <v>1.5707963267948966</v>
      </c>
      <c r="AJ76" s="98" t="str">
        <f t="shared" si="39"/>
        <v>1+0.00238641401489194i</v>
      </c>
      <c r="AK76" s="98">
        <f t="shared" si="55"/>
        <v>1.0000028474818712</v>
      </c>
      <c r="AL76" s="98">
        <f t="shared" si="56"/>
        <v>2.3864094847205401E-3</v>
      </c>
      <c r="AM76" s="98" t="str">
        <f t="shared" si="40"/>
        <v>1+2.38880042890683i</v>
      </c>
      <c r="AN76" s="98">
        <f t="shared" si="57"/>
        <v>2.5896655168468099</v>
      </c>
      <c r="AO76" s="98">
        <f t="shared" si="58"/>
        <v>1.174341853545493</v>
      </c>
      <c r="AP76" s="168" t="str">
        <f t="shared" si="59"/>
        <v>-0.0993032151679991+0.0418491129740452i</v>
      </c>
      <c r="AQ76" s="98">
        <f t="shared" si="60"/>
        <v>-19.350751406749893</v>
      </c>
      <c r="AR76" s="169">
        <f t="shared" si="61"/>
        <v>157.14810072206245</v>
      </c>
      <c r="AS76" s="168" t="str">
        <f t="shared" si="62"/>
        <v>4.12462863444159+14.8749793916497i</v>
      </c>
      <c r="AT76" s="190">
        <f t="shared" si="63"/>
        <v>23.770831683990576</v>
      </c>
      <c r="AU76" s="169">
        <f t="shared" si="64"/>
        <v>74.502032477975078</v>
      </c>
      <c r="AV76" s="225"/>
      <c r="AX76">
        <f t="shared" si="65"/>
        <v>0</v>
      </c>
      <c r="AY76">
        <f t="shared" si="66"/>
        <v>0</v>
      </c>
    </row>
    <row r="77" spans="1:51" x14ac:dyDescent="0.3">
      <c r="N77" s="170">
        <v>59</v>
      </c>
      <c r="O77" s="199">
        <f t="shared" si="41"/>
        <v>38.904514499428053</v>
      </c>
      <c r="P77" s="189" t="str">
        <f t="shared" si="32"/>
        <v>1078.86904761905</v>
      </c>
      <c r="Q77" s="160" t="str">
        <f t="shared" si="33"/>
        <v>1+7.63888355893006i</v>
      </c>
      <c r="R77" s="160">
        <f t="shared" si="42"/>
        <v>7.7040601001609526</v>
      </c>
      <c r="S77" s="160">
        <f t="shared" si="43"/>
        <v>1.4406273544646608</v>
      </c>
      <c r="T77" s="160" t="str">
        <f t="shared" si="34"/>
        <v>1+4.88888547771524E-06i</v>
      </c>
      <c r="U77" s="160">
        <f t="shared" si="44"/>
        <v>1.0000000000119504</v>
      </c>
      <c r="V77" s="160">
        <f t="shared" si="45"/>
        <v>4.8888854776762902E-6</v>
      </c>
      <c r="W77" s="98" t="str">
        <f t="shared" si="35"/>
        <v>1-0.00353583753290277i</v>
      </c>
      <c r="X77" s="160">
        <f t="shared" si="46"/>
        <v>1.0000062510539918</v>
      </c>
      <c r="Y77" s="160">
        <f t="shared" si="47"/>
        <v>-3.5358227978263641E-3</v>
      </c>
      <c r="Z77" s="98" t="str">
        <f t="shared" si="36"/>
        <v>0.999999394575501+0.00139658579803223i</v>
      </c>
      <c r="AA77" s="160">
        <f t="shared" si="48"/>
        <v>1.0000003698015616</v>
      </c>
      <c r="AB77" s="160">
        <f t="shared" si="49"/>
        <v>1.3965857355682752E-3</v>
      </c>
      <c r="AC77" s="171" t="str">
        <f t="shared" si="50"/>
        <v>17.4929791745499-138.942989195331i</v>
      </c>
      <c r="AD77" s="190">
        <f t="shared" si="51"/>
        <v>42.925032512080179</v>
      </c>
      <c r="AE77" s="169">
        <f t="shared" si="52"/>
        <v>-82.824193341215746</v>
      </c>
      <c r="AF77" s="98" t="str">
        <f t="shared" si="37"/>
        <v>-9.95024875621891E-06</v>
      </c>
      <c r="AG77" s="98" t="str">
        <f t="shared" si="38"/>
        <v>0.000244688718159647i</v>
      </c>
      <c r="AH77" s="98">
        <f t="shared" si="53"/>
        <v>2.44688718159647E-4</v>
      </c>
      <c r="AI77" s="98">
        <f t="shared" si="54"/>
        <v>1.5707963267948966</v>
      </c>
      <c r="AJ77" s="98" t="str">
        <f t="shared" si="39"/>
        <v>1+0.0024420007381195i</v>
      </c>
      <c r="AK77" s="98">
        <f t="shared" si="55"/>
        <v>1.0000029816793574</v>
      </c>
      <c r="AL77" s="98">
        <f t="shared" si="56"/>
        <v>2.4419958839541709E-3</v>
      </c>
      <c r="AM77" s="98" t="str">
        <f t="shared" si="40"/>
        <v>1+2.44444273885762i</v>
      </c>
      <c r="AN77" s="98">
        <f t="shared" si="57"/>
        <v>2.641079382289321</v>
      </c>
      <c r="AO77" s="98">
        <f t="shared" si="58"/>
        <v>1.1824773641045274</v>
      </c>
      <c r="AP77" s="168" t="str">
        <f t="shared" si="59"/>
        <v>-0.0993031885155971+0.0409074250286287i</v>
      </c>
      <c r="AQ77" s="98">
        <f t="shared" si="60"/>
        <v>-19.379996952615176</v>
      </c>
      <c r="AR77" s="169">
        <f t="shared" si="61"/>
        <v>157.61104627520484</v>
      </c>
      <c r="AS77" s="168" t="str">
        <f t="shared" si="62"/>
        <v>3.94669130509183+14.5130745830948i</v>
      </c>
      <c r="AT77" s="190">
        <f t="shared" si="63"/>
        <v>23.54503555946501</v>
      </c>
      <c r="AU77" s="169">
        <f t="shared" si="64"/>
        <v>74.786852933989124</v>
      </c>
      <c r="AV77" s="225"/>
      <c r="AX77">
        <f t="shared" si="65"/>
        <v>0</v>
      </c>
      <c r="AY77">
        <f t="shared" si="66"/>
        <v>0</v>
      </c>
    </row>
    <row r="78" spans="1:51" x14ac:dyDescent="0.3">
      <c r="N78" s="170">
        <v>60</v>
      </c>
      <c r="O78" s="199">
        <f t="shared" si="41"/>
        <v>39.810717055349755</v>
      </c>
      <c r="P78" s="189" t="str">
        <f t="shared" si="32"/>
        <v>1078.86904761905</v>
      </c>
      <c r="Q78" s="160" t="str">
        <f t="shared" si="33"/>
        <v>1+7.81681601470178i</v>
      </c>
      <c r="R78" s="160">
        <f t="shared" si="42"/>
        <v>7.880521087320191</v>
      </c>
      <c r="S78" s="160">
        <f t="shared" si="43"/>
        <v>1.4435581208176258</v>
      </c>
      <c r="T78" s="160" t="str">
        <f t="shared" si="34"/>
        <v>1+5.00276224940914E-06i</v>
      </c>
      <c r="U78" s="160">
        <f t="shared" si="44"/>
        <v>1.0000000000125138</v>
      </c>
      <c r="V78" s="160">
        <f t="shared" si="45"/>
        <v>5.0027622493674043E-6</v>
      </c>
      <c r="W78" s="98" t="str">
        <f t="shared" si="35"/>
        <v>1-0.00361819776926267i</v>
      </c>
      <c r="X78" s="160">
        <f t="shared" si="46"/>
        <v>1.000006545656126</v>
      </c>
      <c r="Y78" s="160">
        <f t="shared" si="47"/>
        <v>-3.6181819803494187E-3</v>
      </c>
      <c r="Z78" s="98" t="str">
        <f t="shared" si="36"/>
        <v>0.999999366042723+0.0014291164602452i</v>
      </c>
      <c r="AA78" s="160">
        <f t="shared" si="48"/>
        <v>1.0000003872297774</v>
      </c>
      <c r="AB78" s="160">
        <f t="shared" si="49"/>
        <v>1.4291163933138637E-3</v>
      </c>
      <c r="AC78" s="171" t="str">
        <f t="shared" si="50"/>
        <v>16.6875201350777-135.883261751602i</v>
      </c>
      <c r="AD78" s="190">
        <f t="shared" si="51"/>
        <v>42.728329451822347</v>
      </c>
      <c r="AE78" s="169">
        <f t="shared" si="52"/>
        <v>-82.998690062277518</v>
      </c>
      <c r="AF78" s="98" t="str">
        <f t="shared" si="37"/>
        <v>-9.95024875621891E-06</v>
      </c>
      <c r="AG78" s="98" t="str">
        <f t="shared" si="38"/>
        <v>0.000250388250582928i</v>
      </c>
      <c r="AH78" s="98">
        <f t="shared" si="53"/>
        <v>2.5038825058292799E-4</v>
      </c>
      <c r="AI78" s="98">
        <f t="shared" si="54"/>
        <v>1.5707963267948966</v>
      </c>
      <c r="AJ78" s="98" t="str">
        <f t="shared" si="39"/>
        <v>1+0.00249888224246211i</v>
      </c>
      <c r="AK78" s="98">
        <f t="shared" si="55"/>
        <v>1.0000031222013568</v>
      </c>
      <c r="AL78" s="98">
        <f t="shared" si="56"/>
        <v>2.4988770411311259E-3</v>
      </c>
      <c r="AM78" s="98" t="str">
        <f t="shared" si="40"/>
        <v>1+2.50138112470457i</v>
      </c>
      <c r="AN78" s="98">
        <f t="shared" si="57"/>
        <v>2.6938647944966165</v>
      </c>
      <c r="AO78" s="98">
        <f t="shared" si="58"/>
        <v>1.1904803589570829</v>
      </c>
      <c r="AP78" s="168" t="str">
        <f t="shared" si="59"/>
        <v>-0.0993031606071205+0.0399874267352996i</v>
      </c>
      <c r="AQ78" s="98">
        <f t="shared" si="60"/>
        <v>-19.408111378439134</v>
      </c>
      <c r="AR78" s="169">
        <f t="shared" si="61"/>
        <v>158.06632505348114</v>
      </c>
      <c r="AS78" s="168" t="str">
        <f t="shared" si="62"/>
        <v>3.77649848173754+14.160928354334i</v>
      </c>
      <c r="AT78" s="190">
        <f t="shared" si="63"/>
        <v>23.32021807338322</v>
      </c>
      <c r="AU78" s="169">
        <f t="shared" si="64"/>
        <v>75.067634991203676</v>
      </c>
      <c r="AV78" s="225"/>
      <c r="AX78">
        <f t="shared" si="65"/>
        <v>0</v>
      </c>
      <c r="AY78">
        <f t="shared" si="66"/>
        <v>0</v>
      </c>
    </row>
    <row r="79" spans="1:51" x14ac:dyDescent="0.3">
      <c r="N79" s="170">
        <v>61</v>
      </c>
      <c r="O79" s="199">
        <f t="shared" si="41"/>
        <v>40.738027780411279</v>
      </c>
      <c r="P79" s="189" t="str">
        <f t="shared" si="32"/>
        <v>1078.86904761905</v>
      </c>
      <c r="Q79" s="160" t="str">
        <f t="shared" si="33"/>
        <v>1+7.99889304979231i</v>
      </c>
      <c r="R79" s="160">
        <f t="shared" si="42"/>
        <v>8.0611593472661056</v>
      </c>
      <c r="S79" s="160">
        <f t="shared" si="43"/>
        <v>1.4464242999244574</v>
      </c>
      <c r="T79" s="160" t="str">
        <f t="shared" si="34"/>
        <v>1+5.11929155186708E-06i</v>
      </c>
      <c r="U79" s="160">
        <f t="shared" si="44"/>
        <v>1.0000000000131035</v>
      </c>
      <c r="V79" s="160">
        <f t="shared" si="45"/>
        <v>5.1192915518223595E-6</v>
      </c>
      <c r="W79" s="98" t="str">
        <f t="shared" si="35"/>
        <v>1-0.00370247642197235i</v>
      </c>
      <c r="X79" s="160">
        <f t="shared" si="46"/>
        <v>1.0000068541423381</v>
      </c>
      <c r="Y79" s="160">
        <f t="shared" si="47"/>
        <v>-3.7024595038532551E-3</v>
      </c>
      <c r="Z79" s="98" t="str">
        <f t="shared" si="36"/>
        <v>0.999999336165237+0.00146240485892199i</v>
      </c>
      <c r="AA79" s="160">
        <f t="shared" si="48"/>
        <v>1.000000405479361</v>
      </c>
      <c r="AB79" s="160">
        <f t="shared" si="49"/>
        <v>1.4624047872037666E-3</v>
      </c>
      <c r="AC79" s="171" t="str">
        <f t="shared" si="50"/>
        <v>15.9171706972255-132.886446433304i</v>
      </c>
      <c r="AD79" s="190">
        <f t="shared" si="51"/>
        <v>42.531480561384846</v>
      </c>
      <c r="AE79" s="169">
        <f t="shared" si="52"/>
        <v>-83.169639382671548</v>
      </c>
      <c r="AF79" s="98" t="str">
        <f t="shared" si="37"/>
        <v>-9.95024875621891E-06</v>
      </c>
      <c r="AG79" s="98" t="str">
        <f t="shared" si="38"/>
        <v>0.000256220542170947i</v>
      </c>
      <c r="AH79" s="98">
        <f t="shared" si="53"/>
        <v>2.5622054217094701E-4</v>
      </c>
      <c r="AI79" s="98">
        <f t="shared" si="54"/>
        <v>1.5707963267948966</v>
      </c>
      <c r="AJ79" s="98" t="str">
        <f t="shared" si="39"/>
        <v>1+0.00255708868724629i</v>
      </c>
      <c r="AK79" s="98">
        <f t="shared" si="55"/>
        <v>1.0000032693459329</v>
      </c>
      <c r="AL79" s="98">
        <f t="shared" si="56"/>
        <v>2.5570831139207118E-3</v>
      </c>
      <c r="AM79" s="98" t="str">
        <f t="shared" si="40"/>
        <v>1+2.55964577593354i</v>
      </c>
      <c r="AN79" s="98">
        <f t="shared" si="57"/>
        <v>2.7480514002206022</v>
      </c>
      <c r="AO79" s="98">
        <f t="shared" si="58"/>
        <v>1.1983509797532714</v>
      </c>
      <c r="AP79" s="168" t="str">
        <f t="shared" si="59"/>
        <v>-0.0993031313833757+0.0390886302983468i</v>
      </c>
      <c r="AQ79" s="98">
        <f t="shared" si="60"/>
        <v>-19.435131516752023</v>
      </c>
      <c r="AR79" s="169">
        <f t="shared" si="61"/>
        <v>158.51394344493778</v>
      </c>
      <c r="AS79" s="168" t="str">
        <f t="shared" si="62"/>
        <v>3.61372428329428+13.8182206500158i</v>
      </c>
      <c r="AT79" s="190">
        <f t="shared" si="63"/>
        <v>23.096349044632802</v>
      </c>
      <c r="AU79" s="169">
        <f t="shared" si="64"/>
        <v>75.344304062266218</v>
      </c>
      <c r="AV79" s="225"/>
      <c r="AX79">
        <f t="shared" si="65"/>
        <v>0</v>
      </c>
      <c r="AY79">
        <f t="shared" si="66"/>
        <v>0</v>
      </c>
    </row>
    <row r="80" spans="1:51" x14ac:dyDescent="0.3">
      <c r="N80" s="170">
        <v>62</v>
      </c>
      <c r="O80" s="199">
        <f t="shared" si="41"/>
        <v>41.686938347033561</v>
      </c>
      <c r="P80" s="189" t="str">
        <f t="shared" si="32"/>
        <v>1078.86904761905</v>
      </c>
      <c r="Q80" s="160" t="str">
        <f t="shared" si="33"/>
        <v>1+8.18521120385572i</v>
      </c>
      <c r="R80" s="160">
        <f t="shared" si="42"/>
        <v>8.2460707280331516</v>
      </c>
      <c r="S80" s="160">
        <f t="shared" si="43"/>
        <v>1.4492272230058905</v>
      </c>
      <c r="T80" s="160" t="str">
        <f t="shared" si="34"/>
        <v>1+5.23853517046766E-06i</v>
      </c>
      <c r="U80" s="160">
        <f t="shared" si="44"/>
        <v>1.000000000013721</v>
      </c>
      <c r="V80" s="160">
        <f t="shared" si="45"/>
        <v>5.2385351704197406E-6</v>
      </c>
      <c r="W80" s="98" t="str">
        <f t="shared" si="35"/>
        <v>1-0.00378871817668903i</v>
      </c>
      <c r="X80" s="160">
        <f t="shared" si="46"/>
        <v>1.0000071771669552</v>
      </c>
      <c r="Y80" s="160">
        <f t="shared" si="47"/>
        <v>-3.7887000486048388E-3</v>
      </c>
      <c r="Z80" s="98" t="str">
        <f t="shared" si="36"/>
        <v>0.999999304879668+0.0014964686440122i</v>
      </c>
      <c r="AA80" s="160">
        <f t="shared" si="48"/>
        <v>1.0000004245890208</v>
      </c>
      <c r="AB80" s="160">
        <f t="shared" si="49"/>
        <v>1.496468567164735E-3</v>
      </c>
      <c r="AC80" s="171" t="str">
        <f t="shared" si="50"/>
        <v>15.1804488857563-129.951545434957i</v>
      </c>
      <c r="AD80" s="190">
        <f t="shared" si="51"/>
        <v>42.334492212320917</v>
      </c>
      <c r="AE80" s="169">
        <f t="shared" si="52"/>
        <v>-83.337121143444577</v>
      </c>
      <c r="AF80" s="98" t="str">
        <f t="shared" si="37"/>
        <v>-9.95024875621891E-06</v>
      </c>
      <c r="AG80" s="98" t="str">
        <f t="shared" si="38"/>
        <v>0.000262188685281906i</v>
      </c>
      <c r="AH80" s="98">
        <f t="shared" si="53"/>
        <v>2.6218868528190599E-4</v>
      </c>
      <c r="AI80" s="98">
        <f t="shared" si="54"/>
        <v>1.5707963267948966</v>
      </c>
      <c r="AJ80" s="98" t="str">
        <f t="shared" si="39"/>
        <v>1+0.00261665093429953i</v>
      </c>
      <c r="AK80" s="98">
        <f t="shared" si="55"/>
        <v>1.000003423425196</v>
      </c>
      <c r="AL80" s="98">
        <f t="shared" si="56"/>
        <v>2.6166449623746826E-3</v>
      </c>
      <c r="AM80" s="98" t="str">
        <f t="shared" si="40"/>
        <v>1+2.61926758523383i</v>
      </c>
      <c r="AN80" s="98">
        <f t="shared" si="57"/>
        <v>2.8036695031791212</v>
      </c>
      <c r="AO80" s="98">
        <f t="shared" si="58"/>
        <v>1.2060894980983003</v>
      </c>
      <c r="AP80" s="168" t="str">
        <f t="shared" si="59"/>
        <v>-0.0993031007823762+0.0382105591635317i</v>
      </c>
      <c r="AQ80" s="98">
        <f t="shared" si="60"/>
        <v>-19.461093534560902</v>
      </c>
      <c r="AR80" s="169">
        <f t="shared" si="61"/>
        <v>158.95391524325606</v>
      </c>
      <c r="AS80" s="168" t="str">
        <f t="shared" si="62"/>
        <v>3.45805556961083+13.4846448534312i</v>
      </c>
      <c r="AT80" s="190">
        <f t="shared" si="63"/>
        <v>22.873398677759987</v>
      </c>
      <c r="AU80" s="169">
        <f t="shared" si="64"/>
        <v>75.616794099811472</v>
      </c>
      <c r="AV80" s="225"/>
      <c r="AX80">
        <f t="shared" si="65"/>
        <v>0</v>
      </c>
      <c r="AY80">
        <f t="shared" si="66"/>
        <v>0</v>
      </c>
    </row>
    <row r="81" spans="14:51" x14ac:dyDescent="0.3">
      <c r="N81" s="170">
        <v>63</v>
      </c>
      <c r="O81" s="199">
        <f t="shared" si="41"/>
        <v>42.657951880159267</v>
      </c>
      <c r="P81" s="189" t="str">
        <f t="shared" si="32"/>
        <v>1078.86904761905</v>
      </c>
      <c r="Q81" s="160" t="str">
        <f t="shared" si="33"/>
        <v>1+8.37586926524347i</v>
      </c>
      <c r="R81" s="160">
        <f t="shared" si="42"/>
        <v>8.4353533386841715</v>
      </c>
      <c r="S81" s="160">
        <f t="shared" si="43"/>
        <v>1.4519681999479799</v>
      </c>
      <c r="T81" s="160" t="str">
        <f t="shared" si="34"/>
        <v>1+5.36055632975582E-06i</v>
      </c>
      <c r="U81" s="160">
        <f t="shared" si="44"/>
        <v>1.0000000000143676</v>
      </c>
      <c r="V81" s="160">
        <f t="shared" si="45"/>
        <v>5.3605563297044733E-6</v>
      </c>
      <c r="W81" s="98" t="str">
        <f t="shared" si="35"/>
        <v>1-0.0038769687599326i</v>
      </c>
      <c r="X81" s="160">
        <f t="shared" si="46"/>
        <v>1.000007515415142</v>
      </c>
      <c r="Y81" s="160">
        <f t="shared" si="47"/>
        <v>-3.8769493353483062E-3</v>
      </c>
      <c r="Z81" s="98" t="str">
        <f t="shared" si="36"/>
        <v>0.999999272119657+0.00153132587658557i</v>
      </c>
      <c r="AA81" s="160">
        <f t="shared" si="48"/>
        <v>1.0000004445992932</v>
      </c>
      <c r="AB81" s="160">
        <f t="shared" si="49"/>
        <v>1.5313257942420212E-3</v>
      </c>
      <c r="AC81" s="171" t="str">
        <f t="shared" si="50"/>
        <v>14.4759310704913-127.077556295378i</v>
      </c>
      <c r="AD81" s="190">
        <f t="shared" si="51"/>
        <v>42.137370507319474</v>
      </c>
      <c r="AE81" s="169">
        <f t="shared" si="52"/>
        <v>-83.501214046344074</v>
      </c>
      <c r="AF81" s="98" t="str">
        <f t="shared" si="37"/>
        <v>-9.95024875621891E-06</v>
      </c>
      <c r="AG81" s="98" t="str">
        <f t="shared" si="38"/>
        <v>0.000268295844304278i</v>
      </c>
      <c r="AH81" s="98">
        <f t="shared" si="53"/>
        <v>2.6829584430427801E-4</v>
      </c>
      <c r="AI81" s="98">
        <f t="shared" si="54"/>
        <v>1.5707963267948966</v>
      </c>
      <c r="AJ81" s="98" t="str">
        <f t="shared" si="39"/>
        <v>1+0.0026776005643136i</v>
      </c>
      <c r="AK81" s="98">
        <f t="shared" si="55"/>
        <v>1.0000035847659658</v>
      </c>
      <c r="AL81" s="98">
        <f t="shared" si="56"/>
        <v>2.6775941652820751E-3</v>
      </c>
      <c r="AM81" s="98" t="str">
        <f t="shared" si="40"/>
        <v>1+2.68027816487791i</v>
      </c>
      <c r="AN81" s="98">
        <f t="shared" si="57"/>
        <v>2.8607500836531137</v>
      </c>
      <c r="AO81" s="98">
        <f t="shared" si="58"/>
        <v>1.2136963086891737</v>
      </c>
      <c r="AP81" s="168" t="str">
        <f t="shared" si="59"/>
        <v>-0.0993030687392164+0.0373527477654125i</v>
      </c>
      <c r="AQ81" s="98">
        <f t="shared" si="60"/>
        <v>-19.486032902478254</v>
      </c>
      <c r="AR81" s="169">
        <f t="shared" si="61"/>
        <v>159.38626125357723</v>
      </c>
      <c r="AS81" s="168" t="str">
        <f t="shared" si="62"/>
        <v>3.30919152878911+13.1599071099571i</v>
      </c>
      <c r="AT81" s="190">
        <f t="shared" si="63"/>
        <v>22.651337604841206</v>
      </c>
      <c r="AU81" s="169">
        <f t="shared" si="64"/>
        <v>75.885047207233143</v>
      </c>
      <c r="AV81" s="225"/>
      <c r="AX81">
        <f t="shared" si="65"/>
        <v>0</v>
      </c>
      <c r="AY81">
        <f t="shared" si="66"/>
        <v>0</v>
      </c>
    </row>
    <row r="82" spans="14:51" x14ac:dyDescent="0.3">
      <c r="N82" s="170">
        <v>64</v>
      </c>
      <c r="O82" s="199">
        <f t="shared" si="41"/>
        <v>43.651583224016633</v>
      </c>
      <c r="P82" s="189" t="str">
        <f t="shared" si="32"/>
        <v>1078.86904761905</v>
      </c>
      <c r="Q82" s="160" t="str">
        <f t="shared" si="33"/>
        <v>1+8.57096832338338i</v>
      </c>
      <c r="R82" s="160">
        <f t="shared" si="42"/>
        <v>8.6291076016260977</v>
      </c>
      <c r="S82" s="160">
        <f t="shared" si="43"/>
        <v>1.4546485192218486</v>
      </c>
      <c r="T82" s="160" t="str">
        <f t="shared" si="34"/>
        <v>1+5.48541972696536E-06i</v>
      </c>
      <c r="U82" s="160">
        <f t="shared" si="44"/>
        <v>1.0000000000150449</v>
      </c>
      <c r="V82" s="160">
        <f t="shared" si="45"/>
        <v>5.4854197269103417E-6</v>
      </c>
      <c r="W82" s="98" t="str">
        <f t="shared" si="35"/>
        <v>1-0.00396727496333043i</v>
      </c>
      <c r="X82" s="160">
        <f t="shared" si="46"/>
        <v>1.000007869604352</v>
      </c>
      <c r="Y82" s="160">
        <f t="shared" si="47"/>
        <v>-3.9672541495222096E-3</v>
      </c>
      <c r="Z82" s="98" t="str">
        <f t="shared" si="36"/>
        <v>0.999999237815713+0.00156699503840819i</v>
      </c>
      <c r="AA82" s="160">
        <f t="shared" si="48"/>
        <v>1.0000004655526202</v>
      </c>
      <c r="AB82" s="160">
        <f t="shared" si="49"/>
        <v>1.5669949501754823E-3</v>
      </c>
      <c r="AC82" s="171" t="str">
        <f t="shared" si="50"/>
        <v>13.8022500393534-124.263473660342i</v>
      </c>
      <c r="AD82" s="190">
        <f t="shared" si="51"/>
        <v>41.94012129084755</v>
      </c>
      <c r="AE82" s="169">
        <f t="shared" si="52"/>
        <v>-83.661995651154285</v>
      </c>
      <c r="AF82" s="98" t="str">
        <f t="shared" si="37"/>
        <v>-9.95024875621891E-06</v>
      </c>
      <c r="AG82" s="98" t="str">
        <f t="shared" si="38"/>
        <v>0.000274545257334617i</v>
      </c>
      <c r="AH82" s="98">
        <f t="shared" si="53"/>
        <v>2.74545257334617E-4</v>
      </c>
      <c r="AI82" s="98">
        <f t="shared" si="54"/>
        <v>1.5707963267948966</v>
      </c>
      <c r="AJ82" s="98" t="str">
        <f t="shared" si="39"/>
        <v>1+0.00273996989358909i</v>
      </c>
      <c r="AK82" s="98">
        <f t="shared" si="55"/>
        <v>1.0000037537104638</v>
      </c>
      <c r="AL82" s="98">
        <f t="shared" si="56"/>
        <v>2.7399630369046666E-3</v>
      </c>
      <c r="AM82" s="98" t="str">
        <f t="shared" si="40"/>
        <v>1+2.74270986348268i</v>
      </c>
      <c r="AN82" s="98">
        <f t="shared" si="57"/>
        <v>2.9193248183861251</v>
      </c>
      <c r="AO82" s="98">
        <f t="shared" si="58"/>
        <v>1.2211719224963915</v>
      </c>
      <c r="AP82" s="168" t="str">
        <f t="shared" si="59"/>
        <v>-0.0993030351859304+0.0365147412804911i</v>
      </c>
      <c r="AQ82" s="98">
        <f t="shared" si="60"/>
        <v>-19.509984367954711</v>
      </c>
      <c r="AR82" s="169">
        <f t="shared" si="61"/>
        <v>159.81100890088359</v>
      </c>
      <c r="AS82" s="168" t="str">
        <f t="shared" si="62"/>
        <v>3.16684327001959+12.8437256864945i</v>
      </c>
      <c r="AT82" s="190">
        <f t="shared" si="63"/>
        <v>22.430136922892828</v>
      </c>
      <c r="AU82" s="169">
        <f t="shared" si="64"/>
        <v>76.149013249729308</v>
      </c>
      <c r="AV82" s="225"/>
      <c r="AX82">
        <f t="shared" si="65"/>
        <v>0</v>
      </c>
      <c r="AY82">
        <f t="shared" si="66"/>
        <v>0</v>
      </c>
    </row>
    <row r="83" spans="14:51" x14ac:dyDescent="0.3">
      <c r="N83" s="170">
        <v>65</v>
      </c>
      <c r="O83" s="199">
        <f t="shared" si="41"/>
        <v>44.668359215096324</v>
      </c>
      <c r="P83" s="189" t="str">
        <f t="shared" ref="P83:P146" si="67">COMPLEX(Adc,0)</f>
        <v>1078.86904761905</v>
      </c>
      <c r="Q83" s="160" t="str">
        <f t="shared" ref="Q83:Q146" si="68">IMSUM(COMPLEX(1,0),IMDIV(COMPLEX(0,2*PI()*O83),COMPLEX(wp_lf,0)))</f>
        <v>1+8.77061182237853i</v>
      </c>
      <c r="R83" s="160">
        <f t="shared" si="42"/>
        <v>8.8274363061336256</v>
      </c>
      <c r="S83" s="160">
        <f t="shared" si="43"/>
        <v>1.4572694478395942</v>
      </c>
      <c r="T83" s="160" t="str">
        <f t="shared" ref="T83:T146" si="69">IMSUM(COMPLEX(1,0),IMDIV(COMPLEX(0,2*PI()*O83),COMPLEX(wz_esr,0)))</f>
        <v>1+5.61319156632226E-06i</v>
      </c>
      <c r="U83" s="160">
        <f t="shared" si="44"/>
        <v>1.0000000000157541</v>
      </c>
      <c r="V83" s="160">
        <f t="shared" si="45"/>
        <v>5.6131915662633061E-6</v>
      </c>
      <c r="W83" s="98" t="str">
        <f t="shared" ref="W83:W146" si="70">IMSUB(COMPLEX(1,0),IMDIV(COMPLEX(0,2*PI()*O83),COMPLEX(wz_rhp,0)))</f>
        <v>1-0.00405968466842691i</v>
      </c>
      <c r="X83" s="160">
        <f t="shared" si="46"/>
        <v>1.0000082404858508</v>
      </c>
      <c r="Y83" s="160">
        <f t="shared" si="47"/>
        <v>-4.0596623660395124E-3</v>
      </c>
      <c r="Z83" s="98" t="str">
        <f t="shared" ref="Z83:Z146" si="71">IF(Dc_Mode_Loop="CCM",IMSUM(COMPLEX(1,0),IMDIV(COMPLEX(0,2*PI()*O83),COMPLEX(Q*(wsl/2),0)),IMDIV(IMPOWER(COMPLEX(0,2*PI()*O83),2),IMPOWER(COMPLEX(wsl/2,0),2))),COMPLEX(1,0))</f>
        <v>0.999999201895074+0.00160349504174181i</v>
      </c>
      <c r="AA83" s="160">
        <f t="shared" si="48"/>
        <v>1.0000004874934481</v>
      </c>
      <c r="AB83" s="160">
        <f t="shared" si="49"/>
        <v>1.6034949471987537E-3</v>
      </c>
      <c r="AC83" s="171" t="str">
        <f t="shared" si="50"/>
        <v>13.1580931011415-121.508290912164i</v>
      </c>
      <c r="AD83" s="190">
        <f t="shared" si="51"/>
        <v>41.742750159438337</v>
      </c>
      <c r="AE83" s="169">
        <f t="shared" si="52"/>
        <v>-83.819542375149439</v>
      </c>
      <c r="AF83" s="98" t="str">
        <f t="shared" ref="AF83:AF146" si="72">COMPLEX(Adc_ea,0)</f>
        <v>-9.95024875621891E-06</v>
      </c>
      <c r="AG83" s="98" t="str">
        <f t="shared" ref="AG83:AG146" si="73">COMPLEX(0,2*PI()*O83*wp0_ea)</f>
        <v>0.000280940237894429i</v>
      </c>
      <c r="AH83" s="98">
        <f t="shared" si="53"/>
        <v>2.8094023789442901E-4</v>
      </c>
      <c r="AI83" s="98">
        <f t="shared" si="54"/>
        <v>1.5707963267948966</v>
      </c>
      <c r="AJ83" s="98" t="str">
        <f t="shared" ref="AJ83:AJ146" si="74">IMSUM(COMPLEX(1,0),IMDIV(COMPLEX(0,2*PI()*O83),COMPLEX(wp1_ea,0)))</f>
        <v>1+0.00280379199116996i</v>
      </c>
      <c r="AK83" s="98">
        <f t="shared" si="55"/>
        <v>1.0000039306170401</v>
      </c>
      <c r="AL83" s="98">
        <f t="shared" si="56"/>
        <v>2.8037846441017898E-3</v>
      </c>
      <c r="AM83" s="98" t="str">
        <f t="shared" ref="AM83:AM146" si="75">IMSUM(COMPLEX(1,0),IMDIV(COMPLEX(0,2*PI()*O83),COMPLEX(wz_ea,0)))</f>
        <v>1+2.80659578316113i</v>
      </c>
      <c r="AN83" s="98">
        <f t="shared" si="57"/>
        <v>2.9794261007881762</v>
      </c>
      <c r="AO83" s="98">
        <f t="shared" si="58"/>
        <v>1.2285169600181529</v>
      </c>
      <c r="AP83" s="168" t="str">
        <f t="shared" si="59"/>
        <v>-0.099303000051352+0.0356960953860588i</v>
      </c>
      <c r="AQ83" s="98">
        <f t="shared" si="60"/>
        <v>-19.532981932426249</v>
      </c>
      <c r="AR83" s="169">
        <f t="shared" si="61"/>
        <v>160.22819184251168</v>
      </c>
      <c r="AS83" s="168" t="str">
        <f t="shared" si="62"/>
        <v>3.03073342269924+12.5358303651273i</v>
      </c>
      <c r="AT83" s="190">
        <f t="shared" si="63"/>
        <v>22.209768227012088</v>
      </c>
      <c r="AU83" s="169">
        <f t="shared" si="64"/>
        <v>76.408649467362224</v>
      </c>
      <c r="AV83" s="225"/>
      <c r="AX83">
        <f t="shared" si="65"/>
        <v>0</v>
      </c>
      <c r="AY83">
        <f t="shared" si="66"/>
        <v>0</v>
      </c>
    </row>
    <row r="84" spans="14:51" x14ac:dyDescent="0.3">
      <c r="N84" s="170">
        <v>66</v>
      </c>
      <c r="O84" s="199">
        <f t="shared" ref="O84:O118" si="76">10^(1+(N84/100))</f>
        <v>45.70881896148753</v>
      </c>
      <c r="P84" s="189" t="str">
        <f t="shared" si="67"/>
        <v>1078.86904761905</v>
      </c>
      <c r="Q84" s="160" t="str">
        <f t="shared" si="68"/>
        <v>1+8.97490561585469i</v>
      </c>
      <c r="R84" s="160">
        <f t="shared" ref="R84:R147" si="77">IMABS(Q84)</f>
        <v>9.0304446631104511</v>
      </c>
      <c r="S84" s="160">
        <f t="shared" ref="S84:S147" si="78">IMARGUMENT(Q84)</f>
        <v>1.4598322313436034</v>
      </c>
      <c r="T84" s="160" t="str">
        <f t="shared" si="69"/>
        <v>1+0.000005743939594147i</v>
      </c>
      <c r="U84" s="160">
        <f t="shared" ref="U84:U147" si="79">IMABS(T84)</f>
        <v>1.0000000000164966</v>
      </c>
      <c r="V84" s="160">
        <f t="shared" ref="V84:V147" si="80">IMARGUMENT(T84)</f>
        <v>5.7439395940838296E-6</v>
      </c>
      <c r="W84" s="98" t="str">
        <f t="shared" si="70"/>
        <v>1-0.00415424687207088i</v>
      </c>
      <c r="X84" s="160">
        <f t="shared" ref="X84:X147" si="81">IMABS(W84)</f>
        <v>1.0000086288463086</v>
      </c>
      <c r="Y84" s="160">
        <f t="shared" ref="Y84:Y147" si="82">IMARGUMENT(W84)</f>
        <v>-4.1542229746433677E-3</v>
      </c>
      <c r="Z84" s="98" t="str">
        <f t="shared" si="71"/>
        <v>0.999999164281548+0.00164084523937133i</v>
      </c>
      <c r="AA84" s="160">
        <f t="shared" ref="AA84:AA147" si="83">IMABS(Z84)</f>
        <v>1.0000005104683167</v>
      </c>
      <c r="AB84" s="160">
        <f t="shared" ref="AB84:AB147" si="84">IMARGUMENT(Z84)</f>
        <v>1.6408451380666119E-3</v>
      </c>
      <c r="AC84" s="171" t="str">
        <f t="shared" ref="AC84:AC147" si="85">(IMDIV(IMPRODUCT(P84,T84,W84),IMPRODUCT(Q84,Z84)))</f>
        <v>12.5422002211573-118.81100167365i</v>
      </c>
      <c r="AD84" s="190">
        <f t="shared" ref="AD84:AD147" si="86">20*LOG(IMABS(AC84))</f>
        <v>41.545262471631467</v>
      </c>
      <c r="AE84" s="169">
        <f t="shared" ref="AE84:AE147" si="87">(180/PI())*IMARGUMENT(AC84)</f>
        <v>-83.973929494506692</v>
      </c>
      <c r="AF84" s="98" t="str">
        <f t="shared" si="72"/>
        <v>-9.95024875621891E-06</v>
      </c>
      <c r="AG84" s="98" t="str">
        <f t="shared" si="73"/>
        <v>0.000287484176687058i</v>
      </c>
      <c r="AH84" s="98">
        <f t="shared" ref="AH84:AH147" si="88">IMABS(AG84)</f>
        <v>2.8748417668705801E-4</v>
      </c>
      <c r="AI84" s="98">
        <f t="shared" ref="AI84:AI147" si="89">IMARGUMENT(AG84)</f>
        <v>1.5707963267948966</v>
      </c>
      <c r="AJ84" s="98" t="str">
        <f t="shared" si="74"/>
        <v>1+0.00286910069637712i</v>
      </c>
      <c r="AK84" s="98">
        <f t="shared" ref="AK84:AK147" si="90">IMABS(AJ84)</f>
        <v>1.0000041158609327</v>
      </c>
      <c r="AL84" s="98">
        <f t="shared" ref="AL84:AL147" si="91">IMARGUMENT(AJ84)</f>
        <v>2.8690928238534891E-3</v>
      </c>
      <c r="AM84" s="98" t="str">
        <f t="shared" si="75"/>
        <v>1+2.8719697970735i</v>
      </c>
      <c r="AN84" s="98">
        <f t="shared" ref="AN84:AN147" si="92">IMABS(AM84)</f>
        <v>3.0410870614473371</v>
      </c>
      <c r="AO84" s="98">
        <f t="shared" ref="AO84:AO147" si="93">IMARGUMENT(AM84)</f>
        <v>1.2357321446317238</v>
      </c>
      <c r="AP84" s="168" t="str">
        <f t="shared" ref="AP84:AP147" si="94">IMPRODUCT(AF84,IMDIV(AM84,IMPRODUCT(AG84,AJ84)))</f>
        <v>-0.0993029632609579+0.0348963760246061i</v>
      </c>
      <c r="AQ84" s="98">
        <f t="shared" ref="AQ84:AQ147" si="95">20*LOG(IMABS(AP84))</f>
        <v>-19.555058832181178</v>
      </c>
      <c r="AR84" s="169">
        <f t="shared" ref="AR84:AR147" si="96">(180/PI())*IMARGUMENT(AP84)</f>
        <v>160.63784958620954</v>
      </c>
      <c r="AS84" s="168" t="str">
        <f t="shared" ref="AS84:AS147" si="97">IMPRODUCT(AC84,AP84)</f>
        <v>2.90059574249063+12.2359618692895i</v>
      </c>
      <c r="AT84" s="190">
        <f t="shared" ref="AT84:AT147" si="98">20*LOG(IMABS(AS84))</f>
        <v>21.990203639450307</v>
      </c>
      <c r="AU84" s="169">
        <f t="shared" ref="AU84:AU147" si="99">(180/PI())*IMARGUMENT(AS84)</f>
        <v>76.663920091702877</v>
      </c>
      <c r="AV84" s="225"/>
      <c r="AX84">
        <f t="shared" ref="AX84:AX147" si="100">SUM((AT85&lt;0)*(AT84&gt;0))*O84</f>
        <v>0</v>
      </c>
      <c r="AY84">
        <f t="shared" ref="AY84:AY147" si="101">IF(AX84&gt;0,AU84,0)</f>
        <v>0</v>
      </c>
    </row>
    <row r="85" spans="14:51" x14ac:dyDescent="0.3">
      <c r="N85" s="170">
        <v>67</v>
      </c>
      <c r="O85" s="199">
        <f t="shared" si="76"/>
        <v>46.773514128719818</v>
      </c>
      <c r="P85" s="189" t="str">
        <f t="shared" si="67"/>
        <v>1078.86904761905</v>
      </c>
      <c r="Q85" s="160" t="str">
        <f t="shared" si="68"/>
        <v>1+9.18395802308528i</v>
      </c>
      <c r="R85" s="160">
        <f t="shared" si="77"/>
        <v>9.2382403611181534</v>
      </c>
      <c r="S85" s="160">
        <f t="shared" si="78"/>
        <v>1.4623380938266666</v>
      </c>
      <c r="T85" s="160" t="str">
        <f t="shared" si="69"/>
        <v>1+5.87773313477458E-06i</v>
      </c>
      <c r="U85" s="160">
        <f t="shared" si="79"/>
        <v>1.0000000000172737</v>
      </c>
      <c r="V85" s="160">
        <f t="shared" si="80"/>
        <v>5.8777331347068928E-6</v>
      </c>
      <c r="W85" s="98" t="str">
        <f t="shared" si="70"/>
        <v>1-0.00425101171239437i</v>
      </c>
      <c r="X85" s="160">
        <f t="shared" si="81"/>
        <v>1.0000090355094693</v>
      </c>
      <c r="Y85" s="160">
        <f t="shared" si="82"/>
        <v>-4.2509861058519401E-3</v>
      </c>
      <c r="Z85" s="98" t="str">
        <f t="shared" si="71"/>
        <v>0.99999912489535+0.00167906543486592i</v>
      </c>
      <c r="AA85" s="160">
        <f t="shared" si="83"/>
        <v>1.0000005345259575</v>
      </c>
      <c r="AB85" s="160">
        <f t="shared" si="84"/>
        <v>1.6790653263159517E-3</v>
      </c>
      <c r="AC85" s="171" t="str">
        <f t="shared" si="85"/>
        <v>11.9533621923398-116.170601193572i</v>
      </c>
      <c r="AD85" s="190">
        <f t="shared" si="86"/>
        <v>41.347663357571832</v>
      </c>
      <c r="AE85" s="169">
        <f t="shared" si="87"/>
        <v>-84.125231147530769</v>
      </c>
      <c r="AF85" s="98" t="str">
        <f t="shared" si="72"/>
        <v>-9.95024875621891E-06</v>
      </c>
      <c r="AG85" s="98" t="str">
        <f t="shared" si="73"/>
        <v>0.000294180543395468i</v>
      </c>
      <c r="AH85" s="98">
        <f t="shared" si="88"/>
        <v>2.9418054339546801E-4</v>
      </c>
      <c r="AI85" s="98">
        <f t="shared" si="89"/>
        <v>1.5707963267948966</v>
      </c>
      <c r="AJ85" s="98" t="str">
        <f t="shared" si="74"/>
        <v>1+0.00293593063675054i</v>
      </c>
      <c r="AK85" s="98">
        <f t="shared" si="90"/>
        <v>1.0000043098350646</v>
      </c>
      <c r="AL85" s="98">
        <f t="shared" si="91"/>
        <v>2.9359222011914525E-3</v>
      </c>
      <c r="AM85" s="98" t="str">
        <f t="shared" si="75"/>
        <v>1+2.93886656738729i</v>
      </c>
      <c r="AN85" s="98">
        <f t="shared" si="92"/>
        <v>3.1043415889535666</v>
      </c>
      <c r="AO85" s="98">
        <f t="shared" si="93"/>
        <v>1.2428182960638658</v>
      </c>
      <c r="AP85" s="168" t="str">
        <f t="shared" si="94"/>
        <v>-0.0993029247367156+0.0341151591736781i</v>
      </c>
      <c r="AQ85" s="98">
        <f t="shared" si="95"/>
        <v>-19.57624752274317</v>
      </c>
      <c r="AR85" s="169">
        <f t="shared" si="96"/>
        <v>161.04002711499285</v>
      </c>
      <c r="AS85" s="168" t="str">
        <f t="shared" si="97"/>
        <v>2.77617472488397+11.9438713207966i</v>
      </c>
      <c r="AT85" s="190">
        <f t="shared" si="98"/>
        <v>21.771415834828673</v>
      </c>
      <c r="AU85" s="169">
        <f t="shared" si="99"/>
        <v>76.914795967462112</v>
      </c>
      <c r="AV85" s="225"/>
      <c r="AX85">
        <f t="shared" si="100"/>
        <v>0</v>
      </c>
      <c r="AY85">
        <f t="shared" si="101"/>
        <v>0</v>
      </c>
    </row>
    <row r="86" spans="14:51" x14ac:dyDescent="0.3">
      <c r="N86" s="170">
        <v>68</v>
      </c>
      <c r="O86" s="199">
        <f t="shared" si="76"/>
        <v>47.863009232263877</v>
      </c>
      <c r="P86" s="189" t="str">
        <f t="shared" si="67"/>
        <v>1078.86904761905</v>
      </c>
      <c r="Q86" s="160" t="str">
        <f t="shared" si="68"/>
        <v>1+9.39787988642378i</v>
      </c>
      <c r="R86" s="160">
        <f t="shared" si="77"/>
        <v>9.4509336237034631</v>
      </c>
      <c r="S86" s="160">
        <f t="shared" si="78"/>
        <v>1.4647882379804418</v>
      </c>
      <c r="T86" s="160" t="str">
        <f t="shared" si="69"/>
        <v>1+6.01464312731122E-06i</v>
      </c>
      <c r="U86" s="160">
        <f t="shared" si="79"/>
        <v>1.000000000018088</v>
      </c>
      <c r="V86" s="160">
        <f t="shared" si="80"/>
        <v>6.0146431272386916E-6</v>
      </c>
      <c r="W86" s="98" t="str">
        <f t="shared" si="70"/>
        <v>1-0.00435003049539657i</v>
      </c>
      <c r="X86" s="160">
        <f t="shared" si="81"/>
        <v>1.0000094613378969</v>
      </c>
      <c r="Y86" s="160">
        <f t="shared" si="82"/>
        <v>-4.3500030575060362E-3</v>
      </c>
      <c r="Z86" s="98" t="str">
        <f t="shared" si="71"/>
        <v>0.999999083652939+0.00171817589307913i</v>
      </c>
      <c r="AA86" s="160">
        <f t="shared" si="83"/>
        <v>1.000000559717402</v>
      </c>
      <c r="AB86" s="160">
        <f t="shared" si="84"/>
        <v>1.7181757767657329E-3</v>
      </c>
      <c r="AC86" s="171" t="str">
        <f t="shared" si="85"/>
        <v>11.390418844137-113.58608762053i</v>
      </c>
      <c r="AD86" s="190">
        <f t="shared" si="86"/>
        <v>41.149957728273762</v>
      </c>
      <c r="AE86" s="169">
        <f t="shared" si="87"/>
        <v>-84.273520339551681</v>
      </c>
      <c r="AF86" s="98" t="str">
        <f t="shared" si="72"/>
        <v>-9.95024875621891E-06</v>
      </c>
      <c r="AG86" s="98" t="str">
        <f t="shared" si="73"/>
        <v>0.000301032888521927i</v>
      </c>
      <c r="AH86" s="98">
        <f t="shared" si="88"/>
        <v>3.01032888521927E-4</v>
      </c>
      <c r="AI86" s="98">
        <f t="shared" si="89"/>
        <v>1.5707963267948966</v>
      </c>
      <c r="AJ86" s="98" t="str">
        <f t="shared" si="74"/>
        <v>1+0.0030043172464092i</v>
      </c>
      <c r="AK86" s="98">
        <f t="shared" si="90"/>
        <v>1.0000045129508752</v>
      </c>
      <c r="AL86" s="98">
        <f t="shared" si="91"/>
        <v>3.0043082075469902E-3</v>
      </c>
      <c r="AM86" s="98" t="str">
        <f t="shared" si="75"/>
        <v>1+3.00732156365561i</v>
      </c>
      <c r="AN86" s="98">
        <f t="shared" si="92"/>
        <v>3.1692243510404912</v>
      </c>
      <c r="AO86" s="98">
        <f t="shared" si="93"/>
        <v>1.2497763239995476</v>
      </c>
      <c r="AP86" s="168" t="str">
        <f t="shared" si="94"/>
        <v>-0.0993028843969137+0.0333520306210477i</v>
      </c>
      <c r="AQ86" s="98">
        <f t="shared" si="95"/>
        <v>-19.596579666566779</v>
      </c>
      <c r="AR86" s="169">
        <f t="shared" si="96"/>
        <v>161.43477451989966</v>
      </c>
      <c r="AS86" s="168" t="str">
        <f t="shared" si="97"/>
        <v>2.65722522673316+11.6593197261554i</v>
      </c>
      <c r="AT86" s="190">
        <f t="shared" si="98"/>
        <v>21.553378061706965</v>
      </c>
      <c r="AU86" s="169">
        <f t="shared" si="99"/>
        <v>77.161254180347981</v>
      </c>
      <c r="AV86" s="225"/>
      <c r="AX86">
        <f t="shared" si="100"/>
        <v>0</v>
      </c>
      <c r="AY86">
        <f t="shared" si="101"/>
        <v>0</v>
      </c>
    </row>
    <row r="87" spans="14:51" x14ac:dyDescent="0.3">
      <c r="N87" s="170">
        <v>69</v>
      </c>
      <c r="O87" s="199">
        <f t="shared" si="76"/>
        <v>48.977881936844632</v>
      </c>
      <c r="P87" s="189" t="str">
        <f t="shared" si="67"/>
        <v>1078.86904761905</v>
      </c>
      <c r="Q87" s="160" t="str">
        <f t="shared" si="68"/>
        <v>1+9.61678463007372i</v>
      </c>
      <c r="R87" s="160">
        <f t="shared" si="77"/>
        <v>9.6686372680550043</v>
      </c>
      <c r="S87" s="160">
        <f t="shared" si="78"/>
        <v>1.4671838451699566</v>
      </c>
      <c r="T87" s="160" t="str">
        <f t="shared" si="69"/>
        <v>1+6.15474216324718E-06i</v>
      </c>
      <c r="U87" s="160">
        <f t="shared" si="79"/>
        <v>1.0000000000189404</v>
      </c>
      <c r="V87" s="160">
        <f t="shared" si="80"/>
        <v>6.1547421631694645E-6</v>
      </c>
      <c r="W87" s="98" t="str">
        <f t="shared" si="70"/>
        <v>1-0.00445135572214689i</v>
      </c>
      <c r="X87" s="160">
        <f t="shared" si="81"/>
        <v>1.0000099072348059</v>
      </c>
      <c r="Y87" s="160">
        <f t="shared" si="82"/>
        <v>-4.4513263219332199E-3</v>
      </c>
      <c r="Z87" s="98" t="str">
        <f t="shared" si="71"/>
        <v>0.999999040466832+0.00175819735089361i</v>
      </c>
      <c r="AA87" s="160">
        <f t="shared" si="83"/>
        <v>1.000000586096083</v>
      </c>
      <c r="AB87" s="160">
        <f t="shared" si="84"/>
        <v>1.7581972262615498E-3</v>
      </c>
      <c r="AC87" s="171" t="str">
        <f t="shared" si="85"/>
        <v>10.8522572909644-111.056463171772i</v>
      </c>
      <c r="AD87" s="190">
        <f t="shared" si="86"/>
        <v>40.952150284557533</v>
      </c>
      <c r="AE87" s="169">
        <f t="shared" si="87"/>
        <v>-84.418868949362903</v>
      </c>
      <c r="AF87" s="98" t="str">
        <f t="shared" si="72"/>
        <v>-9.95024875621891E-06</v>
      </c>
      <c r="AG87" s="98" t="str">
        <f t="shared" si="73"/>
        <v>0.000308044845270521i</v>
      </c>
      <c r="AH87" s="98">
        <f t="shared" si="88"/>
        <v>3.08044845270521E-4</v>
      </c>
      <c r="AI87" s="98">
        <f t="shared" si="89"/>
        <v>1.5707963267948966</v>
      </c>
      <c r="AJ87" s="98" t="str">
        <f t="shared" si="74"/>
        <v>1+0.00307429678483875i</v>
      </c>
      <c r="AK87" s="98">
        <f t="shared" si="90"/>
        <v>1.0000047256391948</v>
      </c>
      <c r="AL87" s="98">
        <f t="shared" si="91"/>
        <v>3.0742870995258669E-3</v>
      </c>
      <c r="AM87" s="98" t="str">
        <f t="shared" si="75"/>
        <v>1+3.07737108162359i</v>
      </c>
      <c r="AN87" s="98">
        <f t="shared" si="92"/>
        <v>3.2357708160518945</v>
      </c>
      <c r="AO87" s="98">
        <f t="shared" si="93"/>
        <v>1.2566072218456144</v>
      </c>
      <c r="AP87" s="168" t="str">
        <f t="shared" si="94"/>
        <v>-0.0993028421559908+0.0326065857450927i</v>
      </c>
      <c r="AQ87" s="98">
        <f t="shared" si="95"/>
        <v>-19.616086123837295</v>
      </c>
      <c r="AR87" s="169">
        <f t="shared" si="96"/>
        <v>161.82214664159889</v>
      </c>
      <c r="AS87" s="168" t="str">
        <f t="shared" si="97"/>
        <v>2.54351209615627+11.3820774906347i</v>
      </c>
      <c r="AT87" s="190">
        <f t="shared" si="98"/>
        <v>21.336064160720216</v>
      </c>
      <c r="AU87" s="169">
        <f t="shared" si="99"/>
        <v>77.403277692236003</v>
      </c>
      <c r="AV87" s="225"/>
      <c r="AX87">
        <f t="shared" si="100"/>
        <v>0</v>
      </c>
      <c r="AY87">
        <f t="shared" si="101"/>
        <v>0</v>
      </c>
    </row>
    <row r="88" spans="14:51" x14ac:dyDescent="0.3">
      <c r="N88" s="170">
        <v>70</v>
      </c>
      <c r="O88" s="199">
        <f t="shared" si="76"/>
        <v>50.118723362727238</v>
      </c>
      <c r="P88" s="189" t="str">
        <f t="shared" si="67"/>
        <v>1078.86904761905</v>
      </c>
      <c r="Q88" s="160" t="str">
        <f t="shared" si="68"/>
        <v>1+9.84078832022769i</v>
      </c>
      <c r="R88" s="160">
        <f t="shared" si="77"/>
        <v>9.8914667650217414</v>
      </c>
      <c r="S88" s="160">
        <f t="shared" si="78"/>
        <v>1.4695260755319748</v>
      </c>
      <c r="T88" s="160" t="str">
        <f t="shared" si="69"/>
        <v>1+6.29810452494572E-06i</v>
      </c>
      <c r="U88" s="160">
        <f t="shared" si="79"/>
        <v>1.000000000019833</v>
      </c>
      <c r="V88" s="160">
        <f t="shared" si="80"/>
        <v>6.2981045248624462E-6</v>
      </c>
      <c r="W88" s="98" t="str">
        <f t="shared" si="70"/>
        <v>1-0.00455504111662175i</v>
      </c>
      <c r="X88" s="160">
        <f t="shared" si="81"/>
        <v>1.0000103741459756</v>
      </c>
      <c r="Y88" s="160">
        <f t="shared" si="82"/>
        <v>-4.5550096137428747E-3</v>
      </c>
      <c r="Z88" s="98" t="str">
        <f t="shared" si="71"/>
        <v>0.999998995245427+0.00179915102821601i</v>
      </c>
      <c r="AA88" s="160">
        <f t="shared" si="83"/>
        <v>1.0000006137179547</v>
      </c>
      <c r="AB88" s="160">
        <f t="shared" si="84"/>
        <v>1.7991508946703396E-3</v>
      </c>
      <c r="AC88" s="171" t="str">
        <f t="shared" si="85"/>
        <v>10.3378102217458-108.580735203261i</v>
      </c>
      <c r="AD88" s="190">
        <f t="shared" si="86"/>
        <v>40.754245525665652</v>
      </c>
      <c r="AE88" s="169">
        <f t="shared" si="87"/>
        <v>-84.561347737077753</v>
      </c>
      <c r="AF88" s="98" t="str">
        <f t="shared" si="72"/>
        <v>-9.95024875621891E-06</v>
      </c>
      <c r="AG88" s="98" t="str">
        <f t="shared" si="73"/>
        <v>0.000315220131473533i</v>
      </c>
      <c r="AH88" s="98">
        <f t="shared" si="88"/>
        <v>3.1522013147353302E-4</v>
      </c>
      <c r="AI88" s="98">
        <f t="shared" si="89"/>
        <v>1.5707963267948966</v>
      </c>
      <c r="AJ88" s="98" t="str">
        <f t="shared" si="74"/>
        <v>1+0.00314590635611674i</v>
      </c>
      <c r="AK88" s="98">
        <f t="shared" si="90"/>
        <v>1.0000049483511577</v>
      </c>
      <c r="AL88" s="98">
        <f t="shared" si="91"/>
        <v>3.1458959781197815E-3</v>
      </c>
      <c r="AM88" s="98" t="str">
        <f t="shared" si="75"/>
        <v>1+3.14905226247286i</v>
      </c>
      <c r="AN88" s="98">
        <f t="shared" si="92"/>
        <v>3.3040172747407723</v>
      </c>
      <c r="AO88" s="98">
        <f t="shared" si="93"/>
        <v>1.2633120606636721</v>
      </c>
      <c r="AP88" s="168" t="str">
        <f t="shared" si="94"/>
        <v>-0.0993027979243528+0.0318784293002554i</v>
      </c>
      <c r="AQ88" s="98">
        <f t="shared" si="95"/>
        <v>-19.634796946169221</v>
      </c>
      <c r="AR88" s="169">
        <f t="shared" si="96"/>
        <v>162.20220272167003</v>
      </c>
      <c r="AS88" s="168" t="str">
        <f t="shared" si="97"/>
        <v>2.43480981111658+11.1119239586405i</v>
      </c>
      <c r="AT88" s="190">
        <f t="shared" si="98"/>
        <v>21.119448579496453</v>
      </c>
      <c r="AU88" s="169">
        <f t="shared" si="99"/>
        <v>77.640854984592309</v>
      </c>
      <c r="AV88" s="225"/>
      <c r="AX88">
        <f t="shared" si="100"/>
        <v>0</v>
      </c>
      <c r="AY88">
        <f t="shared" si="101"/>
        <v>0</v>
      </c>
    </row>
    <row r="89" spans="14:51" x14ac:dyDescent="0.3">
      <c r="N89" s="170">
        <v>71</v>
      </c>
      <c r="O89" s="199">
        <f t="shared" si="76"/>
        <v>51.28613839913649</v>
      </c>
      <c r="P89" s="189" t="str">
        <f t="shared" si="67"/>
        <v>1078.86904761905</v>
      </c>
      <c r="Q89" s="160" t="str">
        <f t="shared" si="68"/>
        <v>1+10.0700097266073i</v>
      </c>
      <c r="R89" s="160">
        <f t="shared" si="77"/>
        <v>10.11954030052579</v>
      </c>
      <c r="S89" s="160">
        <f t="shared" si="78"/>
        <v>1.4718160680951904</v>
      </c>
      <c r="T89" s="160" t="str">
        <f t="shared" si="69"/>
        <v>1+6.44480622502866E-06i</v>
      </c>
      <c r="U89" s="160">
        <f t="shared" si="79"/>
        <v>1.0000000000207678</v>
      </c>
      <c r="V89" s="160">
        <f t="shared" si="80"/>
        <v>6.4448062249394301E-6</v>
      </c>
      <c r="W89" s="98" t="str">
        <f t="shared" si="70"/>
        <v>1-0.00466114165418973i</v>
      </c>
      <c r="X89" s="160">
        <f t="shared" si="81"/>
        <v>1.0000108630617572</v>
      </c>
      <c r="Y89" s="160">
        <f t="shared" si="82"/>
        <v>-4.6611078982666488E-3</v>
      </c>
      <c r="Z89" s="98" t="str">
        <f t="shared" si="71"/>
        <v>0.999998947892803+0.00184105863922816i</v>
      </c>
      <c r="AA89" s="160">
        <f t="shared" si="83"/>
        <v>1.0000006426416064</v>
      </c>
      <c r="AB89" s="160">
        <f t="shared" si="84"/>
        <v>1.8410584961313825E-3</v>
      </c>
      <c r="AC89" s="171" t="str">
        <f t="shared" si="85"/>
        <v>9.84605423171987-106.157917187004i</v>
      </c>
      <c r="AD89" s="190">
        <f t="shared" si="86"/>
        <v>40.55624775756776</v>
      </c>
      <c r="AE89" s="169">
        <f t="shared" si="87"/>
        <v>-84.701026353288114</v>
      </c>
      <c r="AF89" s="98" t="str">
        <f t="shared" si="72"/>
        <v>-9.95024875621891E-06</v>
      </c>
      <c r="AG89" s="98" t="str">
        <f t="shared" si="73"/>
        <v>0.000322562551562685i</v>
      </c>
      <c r="AH89" s="98">
        <f t="shared" si="88"/>
        <v>3.2256255156268499E-4</v>
      </c>
      <c r="AI89" s="98">
        <f t="shared" si="89"/>
        <v>1.5707963267948966</v>
      </c>
      <c r="AJ89" s="98" t="str">
        <f t="shared" si="74"/>
        <v>1+0.00321918392858574i</v>
      </c>
      <c r="AK89" s="98">
        <f t="shared" si="90"/>
        <v>1.0000051815591586</v>
      </c>
      <c r="AL89" s="98">
        <f t="shared" si="91"/>
        <v>3.2191728083647616E-3</v>
      </c>
      <c r="AM89" s="98" t="str">
        <f t="shared" si="75"/>
        <v>1+3.22240311251433i</v>
      </c>
      <c r="AN89" s="98">
        <f t="shared" si="92"/>
        <v>3.3740008624097957</v>
      </c>
      <c r="AO89" s="98">
        <f t="shared" si="93"/>
        <v>1.2698919832841622</v>
      </c>
      <c r="AP89" s="168" t="str">
        <f t="shared" si="94"/>
        <v>-0.0993027516081839+0.0311671752074749i</v>
      </c>
      <c r="AQ89" s="98">
        <f t="shared" si="95"/>
        <v>-19.652741372998371</v>
      </c>
      <c r="AR89" s="169">
        <f t="shared" si="96"/>
        <v>162.57500606423764</v>
      </c>
      <c r="AS89" s="168" t="str">
        <f t="shared" si="97"/>
        <v>2.33090212693478+10.8486469790055i</v>
      </c>
      <c r="AT89" s="190">
        <f t="shared" si="98"/>
        <v>20.903506384569368</v>
      </c>
      <c r="AU89" s="169">
        <f t="shared" si="99"/>
        <v>77.873979710949484</v>
      </c>
      <c r="AV89" s="225"/>
      <c r="AX89">
        <f t="shared" si="100"/>
        <v>0</v>
      </c>
      <c r="AY89">
        <f t="shared" si="101"/>
        <v>0</v>
      </c>
    </row>
    <row r="90" spans="14:51" x14ac:dyDescent="0.3">
      <c r="N90" s="170">
        <v>72</v>
      </c>
      <c r="O90" s="199">
        <f t="shared" si="76"/>
        <v>52.480746024977286</v>
      </c>
      <c r="P90" s="189" t="str">
        <f t="shared" si="67"/>
        <v>1078.86904761905</v>
      </c>
      <c r="Q90" s="160" t="str">
        <f t="shared" si="68"/>
        <v>1+10.3045703854363i</v>
      </c>
      <c r="R90" s="160">
        <f t="shared" si="77"/>
        <v>10.352978838402541</v>
      </c>
      <c r="S90" s="160">
        <f t="shared" si="78"/>
        <v>1.4740549409203241</v>
      </c>
      <c r="T90" s="160" t="str">
        <f t="shared" si="69"/>
        <v>1+6.59492504667922E-06i</v>
      </c>
      <c r="U90" s="160">
        <f t="shared" si="79"/>
        <v>1.0000000000217466</v>
      </c>
      <c r="V90" s="160">
        <f t="shared" si="80"/>
        <v>6.5949250465836088E-6</v>
      </c>
      <c r="W90" s="98" t="str">
        <f t="shared" si="70"/>
        <v>1-0.00476971359076028i</v>
      </c>
      <c r="X90" s="160">
        <f t="shared" si="81"/>
        <v>1.0000113750191735</v>
      </c>
      <c r="Y90" s="160">
        <f t="shared" si="82"/>
        <v>-4.7696774206592539E-3</v>
      </c>
      <c r="Z90" s="98" t="str">
        <f t="shared" si="71"/>
        <v>0.999998898308519+0.00188394240390012i</v>
      </c>
      <c r="AA90" s="160">
        <f t="shared" si="83"/>
        <v>1.0000006729283901</v>
      </c>
      <c r="AB90" s="160">
        <f t="shared" si="84"/>
        <v>1.883942250569144E-3</v>
      </c>
      <c r="AC90" s="171" t="str">
        <f t="shared" si="85"/>
        <v>9.37600819741164-103.787029601343i</v>
      </c>
      <c r="AD90" s="190">
        <f t="shared" si="86"/>
        <v>40.358161100960274</v>
      </c>
      <c r="AE90" s="169">
        <f t="shared" si="87"/>
        <v>-84.837973349415748</v>
      </c>
      <c r="AF90" s="98" t="str">
        <f t="shared" si="72"/>
        <v>-9.95024875621891E-06</v>
      </c>
      <c r="AG90" s="98" t="str">
        <f t="shared" si="73"/>
        <v>0.000330075998586295i</v>
      </c>
      <c r="AH90" s="98">
        <f t="shared" si="88"/>
        <v>3.3007599858629502E-4</v>
      </c>
      <c r="AI90" s="98">
        <f t="shared" si="89"/>
        <v>1.5707963267948966</v>
      </c>
      <c r="AJ90" s="98" t="str">
        <f t="shared" si="74"/>
        <v>1+0.00329416835498463i</v>
      </c>
      <c r="AK90" s="98">
        <f t="shared" si="90"/>
        <v>1.0000054257578561</v>
      </c>
      <c r="AL90" s="98">
        <f t="shared" si="91"/>
        <v>3.2941564394566645E-3</v>
      </c>
      <c r="AM90" s="98" t="str">
        <f t="shared" si="75"/>
        <v>1+3.29746252333961i</v>
      </c>
      <c r="AN90" s="98">
        <f t="shared" si="92"/>
        <v>3.4457595814028044</v>
      </c>
      <c r="AO90" s="98">
        <f t="shared" si="93"/>
        <v>1.2763481986114515</v>
      </c>
      <c r="AP90" s="168" t="str">
        <f t="shared" si="94"/>
        <v>-0.099302703109248+0.0304724463494785i</v>
      </c>
      <c r="AQ90" s="98">
        <f t="shared" si="95"/>
        <v>-19.669947830466516</v>
      </c>
      <c r="AR90" s="169">
        <f t="shared" si="96"/>
        <v>162.94062370852484</v>
      </c>
      <c r="AS90" s="168" t="str">
        <f t="shared" si="97"/>
        <v>2.23158173292122+10.5920424938608i</v>
      </c>
      <c r="AT90" s="190">
        <f t="shared" si="98"/>
        <v>20.688213270493762</v>
      </c>
      <c r="AU90" s="169">
        <f t="shared" si="99"/>
        <v>78.102650359109091</v>
      </c>
      <c r="AV90" s="225"/>
      <c r="AX90">
        <f t="shared" si="100"/>
        <v>0</v>
      </c>
      <c r="AY90">
        <f t="shared" si="101"/>
        <v>0</v>
      </c>
    </row>
    <row r="91" spans="14:51" x14ac:dyDescent="0.3">
      <c r="N91" s="170">
        <v>73</v>
      </c>
      <c r="O91" s="199">
        <f t="shared" si="76"/>
        <v>53.703179637025293</v>
      </c>
      <c r="P91" s="189" t="str">
        <f t="shared" si="67"/>
        <v>1078.86904761905</v>
      </c>
      <c r="Q91" s="160" t="str">
        <f t="shared" si="68"/>
        <v>1+10.5445946638807i</v>
      </c>
      <c r="R91" s="160">
        <f t="shared" si="77"/>
        <v>10.591906184702607</v>
      </c>
      <c r="S91" s="160">
        <f t="shared" si="78"/>
        <v>1.4762437912583324</v>
      </c>
      <c r="T91" s="160" t="str">
        <f t="shared" si="69"/>
        <v>1+6.74854058488366E-06i</v>
      </c>
      <c r="U91" s="160">
        <f t="shared" si="79"/>
        <v>1.0000000000227716</v>
      </c>
      <c r="V91" s="160">
        <f t="shared" si="80"/>
        <v>6.7485405847812105E-6</v>
      </c>
      <c r="W91" s="98" t="str">
        <f t="shared" si="70"/>
        <v>1-0.00488081449261126i</v>
      </c>
      <c r="X91" s="160">
        <f t="shared" si="81"/>
        <v>1.0000119111041184</v>
      </c>
      <c r="Y91" s="160">
        <f t="shared" si="82"/>
        <v>-4.88077573567467E-3</v>
      </c>
      <c r="Z91" s="98" t="str">
        <f t="shared" si="71"/>
        <v>0.999998846387399+0.00192782505977154i</v>
      </c>
      <c r="AA91" s="160">
        <f t="shared" si="83"/>
        <v>1.0000007046425468</v>
      </c>
      <c r="AB91" s="160">
        <f t="shared" si="84"/>
        <v>1.9278248954744226E-3</v>
      </c>
      <c r="AC91" s="171" t="str">
        <f t="shared" si="85"/>
        <v>8.9267316954099-101.467100739674i</v>
      </c>
      <c r="AD91" s="190">
        <f t="shared" si="86"/>
        <v>40.159989498970241</v>
      </c>
      <c r="AE91" s="169">
        <f t="shared" si="87"/>
        <v>-84.972256189155729</v>
      </c>
      <c r="AF91" s="98" t="str">
        <f t="shared" si="72"/>
        <v>-9.95024875621891E-06</v>
      </c>
      <c r="AG91" s="98" t="str">
        <f t="shared" si="73"/>
        <v>0.000337764456273428i</v>
      </c>
      <c r="AH91" s="98">
        <f t="shared" si="88"/>
        <v>3.37764456273428E-4</v>
      </c>
      <c r="AI91" s="98">
        <f t="shared" si="89"/>
        <v>1.5707963267948966</v>
      </c>
      <c r="AJ91" s="98" t="str">
        <f t="shared" si="74"/>
        <v>1+0.00337089939304878i</v>
      </c>
      <c r="AK91" s="98">
        <f t="shared" si="90"/>
        <v>1.0000056814652196</v>
      </c>
      <c r="AL91" s="98">
        <f t="shared" si="91"/>
        <v>3.3708866253344505E-3</v>
      </c>
      <c r="AM91" s="98" t="str">
        <f t="shared" si="75"/>
        <v>1+3.37427029244183i</v>
      </c>
      <c r="AN91" s="98">
        <f t="shared" si="92"/>
        <v>3.519332323957979</v>
      </c>
      <c r="AO91" s="98">
        <f t="shared" si="93"/>
        <v>1.2826819761277886</v>
      </c>
      <c r="AP91" s="168" t="str">
        <f t="shared" si="94"/>
        <v>-0.0993026523246779+0.0297938743708244i</v>
      </c>
      <c r="AQ91" s="98">
        <f t="shared" si="95"/>
        <v>-19.686443932601911</v>
      </c>
      <c r="AR91" s="169">
        <f t="shared" si="96"/>
        <v>163.29912611277371</v>
      </c>
      <c r="AS91" s="168" t="str">
        <f t="shared" si="97"/>
        <v>2.13664991826466+10.34191414982i</v>
      </c>
      <c r="AT91" s="190">
        <f t="shared" si="98"/>
        <v>20.473545566368323</v>
      </c>
      <c r="AU91" s="169">
        <f t="shared" si="99"/>
        <v>78.326869923617977</v>
      </c>
      <c r="AV91" s="225"/>
      <c r="AX91">
        <f t="shared" si="100"/>
        <v>0</v>
      </c>
      <c r="AY91">
        <f t="shared" si="101"/>
        <v>0</v>
      </c>
    </row>
    <row r="92" spans="14:51" x14ac:dyDescent="0.3">
      <c r="N92" s="170">
        <v>74</v>
      </c>
      <c r="O92" s="199">
        <f t="shared" si="76"/>
        <v>54.95408738576247</v>
      </c>
      <c r="P92" s="189" t="str">
        <f t="shared" si="67"/>
        <v>1078.86904761905</v>
      </c>
      <c r="Q92" s="160" t="str">
        <f t="shared" si="68"/>
        <v>1+10.7902098259902i</v>
      </c>
      <c r="R92" s="160">
        <f t="shared" si="77"/>
        <v>10.836449053490513</v>
      </c>
      <c r="S92" s="160">
        <f t="shared" si="78"/>
        <v>1.4783836957250442</v>
      </c>
      <c r="T92" s="160" t="str">
        <f t="shared" si="69"/>
        <v>1+6.90573428863372E-06i</v>
      </c>
      <c r="U92" s="160">
        <f t="shared" si="79"/>
        <v>1.0000000000238445</v>
      </c>
      <c r="V92" s="160">
        <f t="shared" si="80"/>
        <v>6.9057342885239438E-6</v>
      </c>
      <c r="W92" s="98" t="str">
        <f t="shared" si="70"/>
        <v>1-0.00499450326691145i</v>
      </c>
      <c r="X92" s="160">
        <f t="shared" si="81"/>
        <v>1.0000124724536605</v>
      </c>
      <c r="Y92" s="160">
        <f t="shared" si="82"/>
        <v>-4.994461738133657E-3</v>
      </c>
      <c r="Z92" s="98" t="str">
        <f t="shared" si="71"/>
        <v>0.999998792019312+0.00197272987400745i</v>
      </c>
      <c r="AA92" s="160">
        <f t="shared" si="83"/>
        <v>1.0000007378513474</v>
      </c>
      <c r="AB92" s="160">
        <f t="shared" si="84"/>
        <v>1.9727296979598981E-3</v>
      </c>
      <c r="AC92" s="171" t="str">
        <f t="shared" si="85"/>
        <v>8.49732346536508-99.1971674427675i</v>
      </c>
      <c r="AD92" s="190">
        <f t="shared" si="86"/>
        <v>39.961736724571203</v>
      </c>
      <c r="AE92" s="169">
        <f t="shared" si="87"/>
        <v>-85.103941260916599</v>
      </c>
      <c r="AF92" s="98" t="str">
        <f t="shared" si="72"/>
        <v>-9.95024875621891E-06</v>
      </c>
      <c r="AG92" s="98" t="str">
        <f t="shared" si="73"/>
        <v>0.000345632001146118i</v>
      </c>
      <c r="AH92" s="98">
        <f t="shared" si="88"/>
        <v>3.4563200114611799E-4</v>
      </c>
      <c r="AI92" s="98">
        <f t="shared" si="89"/>
        <v>1.5707963267948966</v>
      </c>
      <c r="AJ92" s="98" t="str">
        <f t="shared" si="74"/>
        <v>1+0.00344941772659027i</v>
      </c>
      <c r="AK92" s="98">
        <f t="shared" si="90"/>
        <v>1.0000059492236295</v>
      </c>
      <c r="AL92" s="98">
        <f t="shared" si="91"/>
        <v>3.4494040457422781E-3</v>
      </c>
      <c r="AM92" s="98" t="str">
        <f t="shared" si="75"/>
        <v>1+3.45286714431686i</v>
      </c>
      <c r="AN92" s="98">
        <f t="shared" si="92"/>
        <v>3.5947588954341385</v>
      </c>
      <c r="AO92" s="98">
        <f t="shared" si="93"/>
        <v>1.2888946406021433</v>
      </c>
      <c r="AP92" s="168" t="str">
        <f t="shared" si="94"/>
        <v>-0.0993025991467609+0.0291310994825904i</v>
      </c>
      <c r="AQ92" s="98">
        <f t="shared" si="95"/>
        <v>-19.702256484603641</v>
      </c>
      <c r="AR92" s="169">
        <f t="shared" si="96"/>
        <v>163.65058684987744</v>
      </c>
      <c r="AS92" s="168" t="str">
        <f t="shared" si="97"/>
        <v>2.04591624726492+10.0980729302686i</v>
      </c>
      <c r="AT92" s="190">
        <f t="shared" si="98"/>
        <v>20.259480239967594</v>
      </c>
      <c r="AU92" s="169">
        <f t="shared" si="99"/>
        <v>78.546645588960928</v>
      </c>
      <c r="AV92" s="225"/>
      <c r="AX92">
        <f t="shared" si="100"/>
        <v>0</v>
      </c>
      <c r="AY92">
        <f t="shared" si="101"/>
        <v>0</v>
      </c>
    </row>
    <row r="93" spans="14:51" x14ac:dyDescent="0.3">
      <c r="N93" s="170">
        <v>75</v>
      </c>
      <c r="O93" s="199">
        <f t="shared" si="76"/>
        <v>56.234132519034915</v>
      </c>
      <c r="P93" s="189" t="str">
        <f t="shared" si="67"/>
        <v>1078.86904761905</v>
      </c>
      <c r="Q93" s="160" t="str">
        <f t="shared" si="68"/>
        <v>1+11.0415461001747i</v>
      </c>
      <c r="R93" s="160">
        <f t="shared" si="77"/>
        <v>11.086737134174468</v>
      </c>
      <c r="S93" s="160">
        <f t="shared" si="78"/>
        <v>1.480475710490639</v>
      </c>
      <c r="T93" s="160" t="str">
        <f t="shared" si="69"/>
        <v>1+0.0000070665895041118i</v>
      </c>
      <c r="U93" s="160">
        <f t="shared" si="79"/>
        <v>1.0000000000249685</v>
      </c>
      <c r="V93" s="160">
        <f t="shared" si="80"/>
        <v>7.0665895039941727E-6</v>
      </c>
      <c r="W93" s="98" t="str">
        <f t="shared" si="70"/>
        <v>1-0.00511084019295382i</v>
      </c>
      <c r="X93" s="160">
        <f t="shared" si="81"/>
        <v>1.0000130602584538</v>
      </c>
      <c r="Y93" s="160">
        <f t="shared" si="82"/>
        <v>-5.1107956940980789E-3</v>
      </c>
      <c r="Z93" s="98" t="str">
        <f t="shared" si="71"/>
        <v>0.999998735088936+0.00201868065573472i</v>
      </c>
      <c r="AA93" s="160">
        <f t="shared" si="83"/>
        <v>1.0000007726252325</v>
      </c>
      <c r="AB93" s="160">
        <f t="shared" si="84"/>
        <v>2.0186804670963487E-3</v>
      </c>
      <c r="AC93" s="171" t="str">
        <f t="shared" si="85"/>
        <v>8.08691991741919-96.9762757596125i</v>
      </c>
      <c r="AD93" s="190">
        <f t="shared" si="86"/>
        <v>39.763406387719563</v>
      </c>
      <c r="AE93" s="169">
        <f t="shared" si="87"/>
        <v>-85.233093891166988</v>
      </c>
      <c r="AF93" s="98" t="str">
        <f t="shared" si="72"/>
        <v>-9.95024875621891E-06</v>
      </c>
      <c r="AG93" s="98" t="str">
        <f t="shared" si="73"/>
        <v>0.000353682804680796i</v>
      </c>
      <c r="AH93" s="98">
        <f t="shared" si="88"/>
        <v>3.5368280468079597E-4</v>
      </c>
      <c r="AI93" s="98">
        <f t="shared" si="89"/>
        <v>1.5707963267948966</v>
      </c>
      <c r="AJ93" s="98" t="str">
        <f t="shared" si="74"/>
        <v>1+0.00352976498706883i</v>
      </c>
      <c r="AK93" s="98">
        <f t="shared" si="90"/>
        <v>1.0000062296010279</v>
      </c>
      <c r="AL93" s="98">
        <f t="shared" si="91"/>
        <v>3.5297503277810266E-3</v>
      </c>
      <c r="AM93" s="98" t="str">
        <f t="shared" si="75"/>
        <v>1+3.5332947520559i</v>
      </c>
      <c r="AN93" s="98">
        <f t="shared" si="92"/>
        <v>3.6720800379220719</v>
      </c>
      <c r="AO93" s="98">
        <f t="shared" si="93"/>
        <v>1.294987567008226</v>
      </c>
      <c r="AP93" s="168" t="str">
        <f t="shared" si="94"/>
        <v>-0.0993025434627069+0.0284837702716034i</v>
      </c>
      <c r="AQ93" s="98">
        <f t="shared" si="95"/>
        <v>-19.717411488045833</v>
      </c>
      <c r="AR93" s="169">
        <f t="shared" si="96"/>
        <v>163.99508231496947</v>
      </c>
      <c r="AS93" s="168" t="str">
        <f t="shared" si="97"/>
        <v>1.95919824395352+9.86033680760299i</v>
      </c>
      <c r="AT93" s="190">
        <f t="shared" si="98"/>
        <v>20.04599489967373</v>
      </c>
      <c r="AU93" s="169">
        <f t="shared" si="99"/>
        <v>78.76198842380245</v>
      </c>
      <c r="AV93" s="225"/>
      <c r="AX93">
        <f t="shared" si="100"/>
        <v>0</v>
      </c>
      <c r="AY93">
        <f t="shared" si="101"/>
        <v>0</v>
      </c>
    </row>
    <row r="94" spans="14:51" x14ac:dyDescent="0.3">
      <c r="N94" s="170">
        <v>76</v>
      </c>
      <c r="O94" s="199">
        <f t="shared" si="76"/>
        <v>57.543993733715695</v>
      </c>
      <c r="P94" s="189" t="str">
        <f t="shared" si="67"/>
        <v>1078.86904761905</v>
      </c>
      <c r="Q94" s="160" t="str">
        <f t="shared" si="68"/>
        <v>1+11.2987367482537i</v>
      </c>
      <c r="R94" s="160">
        <f t="shared" si="77"/>
        <v>11.342903160405566</v>
      </c>
      <c r="S94" s="160">
        <f t="shared" si="78"/>
        <v>1.4825208714825093</v>
      </c>
      <c r="T94" s="160" t="str">
        <f t="shared" si="69"/>
        <v>1+7.23119151888234E-06i</v>
      </c>
      <c r="U94" s="160">
        <f t="shared" si="79"/>
        <v>1.0000000000261451</v>
      </c>
      <c r="V94" s="160">
        <f t="shared" si="80"/>
        <v>7.2311915187562999E-6</v>
      </c>
      <c r="W94" s="98" t="str">
        <f t="shared" si="70"/>
        <v>1-0.00522988695411647i</v>
      </c>
      <c r="X94" s="160">
        <f t="shared" si="81"/>
        <v>1.0000136757652631</v>
      </c>
      <c r="Y94" s="160">
        <f t="shared" si="82"/>
        <v>-5.2298392727687009E-3</v>
      </c>
      <c r="Z94" s="98" t="str">
        <f t="shared" si="71"/>
        <v>0.999998675475514+0.00206570176866605i</v>
      </c>
      <c r="AA94" s="160">
        <f t="shared" si="83"/>
        <v>1.0000008090379626</v>
      </c>
      <c r="AB94" s="160">
        <f t="shared" si="84"/>
        <v>2.06570156653637E-3</v>
      </c>
      <c r="AC94" s="171" t="str">
        <f t="shared" si="85"/>
        <v>7.6946936840923-94.8034815414386i</v>
      </c>
      <c r="AD94" s="190">
        <f t="shared" si="86"/>
        <v>39.565001942218771</v>
      </c>
      <c r="AE94" s="169">
        <f t="shared" si="87"/>
        <v>-85.359778358607159</v>
      </c>
      <c r="AF94" s="98" t="str">
        <f t="shared" si="72"/>
        <v>-9.95024875621891E-06</v>
      </c>
      <c r="AG94" s="98" t="str">
        <f t="shared" si="73"/>
        <v>0.000361921135520061i</v>
      </c>
      <c r="AH94" s="98">
        <f t="shared" si="88"/>
        <v>3.6192113552006101E-4</v>
      </c>
      <c r="AI94" s="98">
        <f t="shared" si="89"/>
        <v>1.5707963267948966</v>
      </c>
      <c r="AJ94" s="98" t="str">
        <f t="shared" si="74"/>
        <v>1+0.0036119837756655i</v>
      </c>
      <c r="AK94" s="98">
        <f t="shared" si="90"/>
        <v>1.0000065231921218</v>
      </c>
      <c r="AL94" s="98">
        <f t="shared" si="91"/>
        <v>3.611968067961152E-3</v>
      </c>
      <c r="AM94" s="98" t="str">
        <f t="shared" si="75"/>
        <v>1+3.61559575944117i</v>
      </c>
      <c r="AN94" s="98">
        <f t="shared" si="92"/>
        <v>3.7513374542540121</v>
      </c>
      <c r="AO94" s="98">
        <f t="shared" si="93"/>
        <v>1.3009621756544933</v>
      </c>
      <c r="AP94" s="168" t="str">
        <f t="shared" si="94"/>
        <v>-0.0993024851544112+0.0278515435141107i</v>
      </c>
      <c r="AQ94" s="98">
        <f t="shared" si="95"/>
        <v>-19.731934147822557</v>
      </c>
      <c r="AR94" s="169">
        <f t="shared" si="96"/>
        <v>164.33269144512951</v>
      </c>
      <c r="AS94" s="168" t="str">
        <f t="shared" si="97"/>
        <v>1.87632108610825+9.62853041432545i</v>
      </c>
      <c r="AT94" s="190">
        <f t="shared" si="98"/>
        <v>19.833067794396211</v>
      </c>
      <c r="AU94" s="169">
        <f t="shared" si="99"/>
        <v>78.972913086522368</v>
      </c>
      <c r="AV94" s="225"/>
      <c r="AX94">
        <f t="shared" si="100"/>
        <v>0</v>
      </c>
      <c r="AY94">
        <f t="shared" si="101"/>
        <v>0</v>
      </c>
    </row>
    <row r="95" spans="14:51" x14ac:dyDescent="0.3">
      <c r="N95" s="170">
        <v>77</v>
      </c>
      <c r="O95" s="199">
        <f t="shared" si="76"/>
        <v>58.884365535558949</v>
      </c>
      <c r="P95" s="189" t="str">
        <f t="shared" si="67"/>
        <v>1078.86904761905</v>
      </c>
      <c r="Q95" s="160" t="str">
        <f t="shared" si="68"/>
        <v>1+11.561918136113i</v>
      </c>
      <c r="R95" s="160">
        <f t="shared" si="77"/>
        <v>11.605082980581342</v>
      </c>
      <c r="S95" s="160">
        <f t="shared" si="78"/>
        <v>1.484520194600111</v>
      </c>
      <c r="T95" s="160" t="str">
        <f t="shared" si="69"/>
        <v>1+7.39962760711232E-06i</v>
      </c>
      <c r="U95" s="160">
        <f t="shared" si="79"/>
        <v>1.0000000000273772</v>
      </c>
      <c r="V95" s="160">
        <f t="shared" si="80"/>
        <v>7.3996276069772658E-6</v>
      </c>
      <c r="W95" s="98" t="str">
        <f t="shared" si="70"/>
        <v>1-0.00535170667056792i</v>
      </c>
      <c r="X95" s="160">
        <f t="shared" si="81"/>
        <v>1.0000143202796086</v>
      </c>
      <c r="Y95" s="160">
        <f t="shared" si="82"/>
        <v>-5.3516555791227995E-3</v>
      </c>
      <c r="Z95" s="98" t="str">
        <f t="shared" si="71"/>
        <v>0.999998613052598+0.00211381814401793i</v>
      </c>
      <c r="AA95" s="160">
        <f t="shared" si="83"/>
        <v>1.0000008471667738</v>
      </c>
      <c r="AB95" s="160">
        <f t="shared" si="84"/>
        <v>2.1138179274320492E-3</v>
      </c>
      <c r="AC95" s="171" t="str">
        <f t="shared" si="85"/>
        <v>7.31985221649567-92.6778509733528i</v>
      </c>
      <c r="AD95" s="190">
        <f t="shared" si="86"/>
        <v>39.366526692321195</v>
      </c>
      <c r="AE95" s="169">
        <f t="shared" si="87"/>
        <v>-85.484057909086502</v>
      </c>
      <c r="AF95" s="98" t="str">
        <f t="shared" si="72"/>
        <v>-9.95024875621891E-06</v>
      </c>
      <c r="AG95" s="98" t="str">
        <f t="shared" si="73"/>
        <v>0.000370351361735972i</v>
      </c>
      <c r="AH95" s="98">
        <f t="shared" si="88"/>
        <v>3.7035136173597201E-4</v>
      </c>
      <c r="AI95" s="98">
        <f t="shared" si="89"/>
        <v>1.5707963267948966</v>
      </c>
      <c r="AJ95" s="98" t="str">
        <f t="shared" si="74"/>
        <v>1+0.00369611768587029i</v>
      </c>
      <c r="AK95" s="98">
        <f t="shared" si="90"/>
        <v>1.0000068306196452</v>
      </c>
      <c r="AL95" s="98">
        <f t="shared" si="91"/>
        <v>3.6961008547680492E-3</v>
      </c>
      <c r="AM95" s="98" t="str">
        <f t="shared" si="75"/>
        <v>1+3.69981380355616i</v>
      </c>
      <c r="AN95" s="98">
        <f t="shared" si="92"/>
        <v>3.8325738324244583</v>
      </c>
      <c r="AO95" s="98">
        <f t="shared" si="93"/>
        <v>1.3068199275275025</v>
      </c>
      <c r="AP95" s="168" t="str">
        <f t="shared" si="94"/>
        <v>-0.0993024240982033+0.0272340839937916i</v>
      </c>
      <c r="AQ95" s="98">
        <f t="shared" si="95"/>
        <v>-19.74584888066363</v>
      </c>
      <c r="AR95" s="169">
        <f t="shared" si="96"/>
        <v>164.66349545128506</v>
      </c>
      <c r="AS95" s="168" t="str">
        <f t="shared" si="97"/>
        <v>1.79711730863376+9.40248473195215i</v>
      </c>
      <c r="AT95" s="190">
        <f t="shared" si="98"/>
        <v>19.620677811657565</v>
      </c>
      <c r="AU95" s="169">
        <f t="shared" si="99"/>
        <v>79.179437542198585</v>
      </c>
      <c r="AV95" s="225"/>
      <c r="AX95">
        <f t="shared" si="100"/>
        <v>0</v>
      </c>
      <c r="AY95">
        <f t="shared" si="101"/>
        <v>0</v>
      </c>
    </row>
    <row r="96" spans="14:51" x14ac:dyDescent="0.3">
      <c r="N96" s="170">
        <v>78</v>
      </c>
      <c r="O96" s="199">
        <f t="shared" si="76"/>
        <v>60.255958607435822</v>
      </c>
      <c r="P96" s="189" t="str">
        <f t="shared" si="67"/>
        <v>1078.86904761905</v>
      </c>
      <c r="Q96" s="160" t="str">
        <f t="shared" si="68"/>
        <v>1+11.8312298060082i</v>
      </c>
      <c r="R96" s="160">
        <f t="shared" si="77"/>
        <v>11.87341562999362</v>
      </c>
      <c r="S96" s="160">
        <f t="shared" si="78"/>
        <v>1.4864746759405332</v>
      </c>
      <c r="T96" s="160" t="str">
        <f t="shared" si="69"/>
        <v>1+7.57198707584524E-06i</v>
      </c>
      <c r="U96" s="160">
        <f t="shared" si="79"/>
        <v>1.0000000000286675</v>
      </c>
      <c r="V96" s="160">
        <f t="shared" si="80"/>
        <v>7.5719870757005271E-6</v>
      </c>
      <c r="W96" s="98" t="str">
        <f t="shared" si="70"/>
        <v>1-0.00547636393273431i</v>
      </c>
      <c r="X96" s="160">
        <f t="shared" si="81"/>
        <v>1.0000149951685342</v>
      </c>
      <c r="Y96" s="160">
        <f t="shared" si="82"/>
        <v>-5.4763091873088667E-3</v>
      </c>
      <c r="Z96" s="98" t="str">
        <f t="shared" si="71"/>
        <v>0.999998547687781+0.00216305529372946i</v>
      </c>
      <c r="AA96" s="160">
        <f t="shared" si="83"/>
        <v>1.0000008870925439</v>
      </c>
      <c r="AB96" s="160">
        <f t="shared" si="84"/>
        <v>2.1630550616534771E-3</v>
      </c>
      <c r="AC96" s="171" t="str">
        <f t="shared" si="85"/>
        <v>6.96163642459348-90.5984610477559i</v>
      </c>
      <c r="AD96" s="190">
        <f t="shared" si="86"/>
        <v>39.167983799074221</v>
      </c>
      <c r="AE96" s="169">
        <f t="shared" si="87"/>
        <v>-85.605994771195981</v>
      </c>
      <c r="AF96" s="98" t="str">
        <f t="shared" si="72"/>
        <v>-9.95024875621891E-06</v>
      </c>
      <c r="AG96" s="98" t="str">
        <f t="shared" si="73"/>
        <v>0.000378977953146054i</v>
      </c>
      <c r="AH96" s="98">
        <f t="shared" si="88"/>
        <v>3.7897795314605401E-4</v>
      </c>
      <c r="AI96" s="98">
        <f t="shared" si="89"/>
        <v>1.5707963267948966</v>
      </c>
      <c r="AJ96" s="98" t="str">
        <f t="shared" si="74"/>
        <v>1+0.00378221132659602i</v>
      </c>
      <c r="AK96" s="98">
        <f t="shared" si="90"/>
        <v>1.0000071525356802</v>
      </c>
      <c r="AL96" s="98">
        <f t="shared" si="91"/>
        <v>3.7821932917520076E-3</v>
      </c>
      <c r="AM96" s="98" t="str">
        <f t="shared" si="75"/>
        <v>1+3.78599353792262i</v>
      </c>
      <c r="AN96" s="98">
        <f t="shared" si="92"/>
        <v>3.9158328704366121</v>
      </c>
      <c r="AO96" s="98">
        <f t="shared" si="93"/>
        <v>1.3125623198487593</v>
      </c>
      <c r="AP96" s="168" t="str">
        <f t="shared" si="94"/>
        <v>-0.0993023601645858+0.0266310643240152i</v>
      </c>
      <c r="AQ96" s="98">
        <f t="shared" si="95"/>
        <v>-19.759179325058184</v>
      </c>
      <c r="AR96" s="169">
        <f t="shared" si="96"/>
        <v>164.98757756231427</v>
      </c>
      <c r="AS96" s="168" t="str">
        <f t="shared" si="97"/>
        <v>1.72142651624969+9.18203679674521i</v>
      </c>
      <c r="AT96" s="190">
        <f t="shared" si="98"/>
        <v>19.408804474016037</v>
      </c>
      <c r="AU96" s="169">
        <f t="shared" si="99"/>
        <v>79.381582791118319</v>
      </c>
      <c r="AV96" s="225"/>
      <c r="AX96">
        <f t="shared" si="100"/>
        <v>0</v>
      </c>
      <c r="AY96">
        <f t="shared" si="101"/>
        <v>0</v>
      </c>
    </row>
    <row r="97" spans="14:51" x14ac:dyDescent="0.3">
      <c r="N97" s="170">
        <v>79</v>
      </c>
      <c r="O97" s="199">
        <f t="shared" si="76"/>
        <v>61.659500186148257</v>
      </c>
      <c r="P97" s="189" t="str">
        <f t="shared" si="67"/>
        <v>1078.86904761905</v>
      </c>
      <c r="Q97" s="160" t="str">
        <f t="shared" si="68"/>
        <v>1+12.1068145505514i</v>
      </c>
      <c r="R97" s="160">
        <f t="shared" si="77"/>
        <v>12.148043404657519</v>
      </c>
      <c r="S97" s="160">
        <f t="shared" si="78"/>
        <v>1.4883852920335723</v>
      </c>
      <c r="T97" s="160" t="str">
        <f t="shared" si="69"/>
        <v>1+7.74836131235288E-06i</v>
      </c>
      <c r="U97" s="160">
        <f t="shared" si="79"/>
        <v>1.0000000000300187</v>
      </c>
      <c r="V97" s="160">
        <f t="shared" si="80"/>
        <v>7.7483613121978166E-6</v>
      </c>
      <c r="W97" s="98" t="str">
        <f t="shared" si="70"/>
        <v>1-0.0056039248355461i</v>
      </c>
      <c r="X97" s="160">
        <f t="shared" si="81"/>
        <v>1.000015701863507</v>
      </c>
      <c r="Y97" s="160">
        <f t="shared" si="82"/>
        <v>-5.6038661748156098E-3</v>
      </c>
      <c r="Z97" s="98" t="str">
        <f t="shared" si="71"/>
        <v>0.999998479242415+0.00221343932398915i</v>
      </c>
      <c r="AA97" s="160">
        <f t="shared" si="83"/>
        <v>1.0000009288999605</v>
      </c>
      <c r="AB97" s="160">
        <f t="shared" si="84"/>
        <v>2.2134390753152195E-3</v>
      </c>
      <c r="AC97" s="171" t="str">
        <f t="shared" si="85"/>
        <v>6.61931936111625-88.5643999835087i</v>
      </c>
      <c r="AD97" s="190">
        <f t="shared" si="86"/>
        <v>38.969376286420136</v>
      </c>
      <c r="AE97" s="169">
        <f t="shared" si="87"/>
        <v>-85.725650172466828</v>
      </c>
      <c r="AF97" s="98" t="str">
        <f t="shared" si="72"/>
        <v>-9.95024875621891E-06</v>
      </c>
      <c r="AG97" s="98" t="str">
        <f t="shared" si="73"/>
        <v>0.000387805483683261i</v>
      </c>
      <c r="AH97" s="98">
        <f t="shared" si="88"/>
        <v>3.87805483683261E-4</v>
      </c>
      <c r="AI97" s="98">
        <f t="shared" si="89"/>
        <v>1.5707963267948966</v>
      </c>
      <c r="AJ97" s="98" t="str">
        <f t="shared" si="74"/>
        <v>1+0.00387031034583061i</v>
      </c>
      <c r="AK97" s="98">
        <f t="shared" si="90"/>
        <v>1.0000074896230393</v>
      </c>
      <c r="AL97" s="98">
        <f t="shared" si="91"/>
        <v>3.8702910211549004E-3</v>
      </c>
      <c r="AM97" s="98" t="str">
        <f t="shared" si="75"/>
        <v>1+3.87418065617644i</v>
      </c>
      <c r="AN97" s="98">
        <f t="shared" si="92"/>
        <v>4.0011593015889417</v>
      </c>
      <c r="AO97" s="98">
        <f t="shared" si="93"/>
        <v>1.3181908818440584</v>
      </c>
      <c r="AP97" s="168" t="str">
        <f t="shared" si="94"/>
        <v>-0.0993022932179579+0.0260421647742493i</v>
      </c>
      <c r="AQ97" s="98">
        <f t="shared" si="95"/>
        <v>-19.771948352431931</v>
      </c>
      <c r="AR97" s="169">
        <f t="shared" si="96"/>
        <v>165.30502278129313</v>
      </c>
      <c r="AS97" s="168" t="str">
        <f t="shared" si="97"/>
        <v>1.64909510540218+8.96702942133045i</v>
      </c>
      <c r="AT97" s="190">
        <f t="shared" si="98"/>
        <v>19.197427933988198</v>
      </c>
      <c r="AU97" s="169">
        <f t="shared" si="99"/>
        <v>79.579372608826347</v>
      </c>
      <c r="AV97" s="225"/>
      <c r="AX97">
        <f t="shared" si="100"/>
        <v>0</v>
      </c>
      <c r="AY97">
        <f t="shared" si="101"/>
        <v>0</v>
      </c>
    </row>
    <row r="98" spans="14:51" x14ac:dyDescent="0.3">
      <c r="N98" s="170">
        <v>80</v>
      </c>
      <c r="O98" s="199">
        <f t="shared" si="76"/>
        <v>63.095734448019364</v>
      </c>
      <c r="P98" s="189" t="str">
        <f t="shared" si="67"/>
        <v>1078.86904761905</v>
      </c>
      <c r="Q98" s="160" t="str">
        <f t="shared" si="68"/>
        <v>1+12.3888184884219i</v>
      </c>
      <c r="R98" s="160">
        <f t="shared" si="77"/>
        <v>12.429111936862757</v>
      </c>
      <c r="S98" s="160">
        <f t="shared" si="78"/>
        <v>1.4902530000852077</v>
      </c>
      <c r="T98" s="160" t="str">
        <f t="shared" si="69"/>
        <v>1+0.00000792884383259i</v>
      </c>
      <c r="U98" s="160">
        <f t="shared" si="79"/>
        <v>1.0000000000314333</v>
      </c>
      <c r="V98" s="160">
        <f t="shared" si="80"/>
        <v>7.9288438324238485E-6</v>
      </c>
      <c r="W98" s="98" t="str">
        <f t="shared" si="70"/>
        <v>1-0.00573445701348239i</v>
      </c>
      <c r="X98" s="160">
        <f t="shared" si="81"/>
        <v>1.0000164418634523</v>
      </c>
      <c r="Y98" s="160">
        <f t="shared" si="82"/>
        <v>-5.7343941574330261E-3</v>
      </c>
      <c r="Z98" s="98" t="str">
        <f t="shared" si="71"/>
        <v>0.999998407571318+0.00226499694907674i</v>
      </c>
      <c r="AA98" s="160">
        <f t="shared" si="83"/>
        <v>1.0000009726777026</v>
      </c>
      <c r="AB98" s="160">
        <f t="shared" si="84"/>
        <v>2.2649966826177857E-3</v>
      </c>
      <c r="AC98" s="171" t="str">
        <f t="shared" si="85"/>
        <v>6.29220494861529-86.5747675945745i</v>
      </c>
      <c r="AD98" s="190">
        <f t="shared" si="86"/>
        <v>38.770707047057094</v>
      </c>
      <c r="AE98" s="169">
        <f t="shared" si="87"/>
        <v>-85.843084356114034</v>
      </c>
      <c r="AF98" s="98" t="str">
        <f t="shared" si="72"/>
        <v>-9.95024875621891E-06</v>
      </c>
      <c r="AG98" s="98" t="str">
        <f t="shared" si="73"/>
        <v>0.00039683863382113i</v>
      </c>
      <c r="AH98" s="98">
        <f t="shared" si="88"/>
        <v>3.9683863382113002E-4</v>
      </c>
      <c r="AI98" s="98">
        <f t="shared" si="89"/>
        <v>1.5707963267948966</v>
      </c>
      <c r="AJ98" s="98" t="str">
        <f t="shared" si="74"/>
        <v>1+0.00396046145484016i</v>
      </c>
      <c r="AK98" s="98">
        <f t="shared" si="90"/>
        <v>1.0000078425967145</v>
      </c>
      <c r="AL98" s="98">
        <f t="shared" si="91"/>
        <v>3.9604407480858406E-3</v>
      </c>
      <c r="AM98" s="98" t="str">
        <f t="shared" si="75"/>
        <v>1+3.964421916295i</v>
      </c>
      <c r="AN98" s="98">
        <f t="shared" si="92"/>
        <v>4.088598920217061</v>
      </c>
      <c r="AO98" s="98">
        <f t="shared" si="93"/>
        <v>1.3237071707233365</v>
      </c>
      <c r="AP98" s="168" t="str">
        <f t="shared" si="94"/>
        <v>-0.099302223116329+0.0254670731005269i</v>
      </c>
      <c r="AQ98" s="98">
        <f t="shared" si="95"/>
        <v>-19.784178079431612</v>
      </c>
      <c r="AR98" s="169">
        <f t="shared" si="96"/>
        <v>165.61591765377332</v>
      </c>
      <c r="AS98" s="168" t="str">
        <f t="shared" si="97"/>
        <v>1.57997599529109+8.75731093131065i</v>
      </c>
      <c r="AT98" s="190">
        <f t="shared" si="98"/>
        <v>18.986528967625478</v>
      </c>
      <c r="AU98" s="169">
        <f t="shared" si="99"/>
        <v>79.772833297659332</v>
      </c>
      <c r="AV98" s="225"/>
      <c r="AX98">
        <f t="shared" si="100"/>
        <v>0</v>
      </c>
      <c r="AY98">
        <f t="shared" si="101"/>
        <v>0</v>
      </c>
    </row>
    <row r="99" spans="14:51" x14ac:dyDescent="0.3">
      <c r="N99" s="170">
        <v>81</v>
      </c>
      <c r="O99" s="199">
        <f t="shared" si="76"/>
        <v>64.565422903465588</v>
      </c>
      <c r="P99" s="189" t="str">
        <f t="shared" si="67"/>
        <v>1078.86904761905</v>
      </c>
      <c r="Q99" s="160" t="str">
        <f t="shared" si="68"/>
        <v>1+12.6773911418403i</v>
      </c>
      <c r="R99" s="160">
        <f t="shared" si="77"/>
        <v>12.716770272487071</v>
      </c>
      <c r="S99" s="160">
        <f t="shared" si="78"/>
        <v>1.4920787382284297</v>
      </c>
      <c r="T99" s="160" t="str">
        <f t="shared" si="69"/>
        <v>1+8.11353033077782E-06i</v>
      </c>
      <c r="U99" s="160">
        <f t="shared" si="79"/>
        <v>1.0000000000329146</v>
      </c>
      <c r="V99" s="160">
        <f t="shared" si="80"/>
        <v>8.1135303305997832E-6</v>
      </c>
      <c r="W99" s="98" t="str">
        <f t="shared" si="70"/>
        <v>1-0.00586802967643175i</v>
      </c>
      <c r="X99" s="160">
        <f t="shared" si="81"/>
        <v>1.0000172167379338</v>
      </c>
      <c r="Y99" s="160">
        <f t="shared" si="82"/>
        <v>-5.867962325024032E-3</v>
      </c>
      <c r="Z99" s="98" t="str">
        <f t="shared" si="71"/>
        <v>0.999998332522466+0.00231775550552752i</v>
      </c>
      <c r="AA99" s="160">
        <f t="shared" si="83"/>
        <v>1.0000010185186292</v>
      </c>
      <c r="AB99" s="160">
        <f t="shared" si="84"/>
        <v>2.3177552200115649E-3</v>
      </c>
      <c r="AC99" s="171" t="str">
        <f t="shared" si="85"/>
        <v>5.97962674905678-84.6286756116687i</v>
      </c>
      <c r="AD99" s="190">
        <f t="shared" si="86"/>
        <v>38.571978848069662</v>
      </c>
      <c r="AE99" s="169">
        <f t="shared" si="87"/>
        <v>-85.958356598266008</v>
      </c>
      <c r="AF99" s="98" t="str">
        <f t="shared" si="72"/>
        <v>-9.95024875621891E-06</v>
      </c>
      <c r="AG99" s="98" t="str">
        <f t="shared" si="73"/>
        <v>0.00040608219305543i</v>
      </c>
      <c r="AH99" s="98">
        <f t="shared" si="88"/>
        <v>4.0608219305542998E-4</v>
      </c>
      <c r="AI99" s="98">
        <f t="shared" si="89"/>
        <v>1.5707963267948966</v>
      </c>
      <c r="AJ99" s="98" t="str">
        <f t="shared" si="74"/>
        <v>1+0.00405271245293597i</v>
      </c>
      <c r="AK99" s="98">
        <f t="shared" si="90"/>
        <v>1.0000082122053928</v>
      </c>
      <c r="AL99" s="98">
        <f t="shared" si="91"/>
        <v>4.0526902652588091E-3</v>
      </c>
      <c r="AM99" s="98" t="str">
        <f t="shared" si="75"/>
        <v>1+4.05676516538891i</v>
      </c>
      <c r="AN99" s="98">
        <f t="shared" si="92"/>
        <v>4.1781986079066318</v>
      </c>
      <c r="AO99" s="98">
        <f t="shared" si="93"/>
        <v>1.3291127678681842</v>
      </c>
      <c r="AP99" s="168" t="str">
        <f t="shared" si="94"/>
        <v>-0.0993021497110186+0.0249054843798835i</v>
      </c>
      <c r="AQ99" s="98">
        <f t="shared" si="95"/>
        <v>-19.795889881179047</v>
      </c>
      <c r="AR99" s="169">
        <f t="shared" si="96"/>
        <v>165.92035004792496</v>
      </c>
      <c r="AS99" s="168" t="str">
        <f t="shared" si="97"/>
        <v>1.51392836788579+8.55273491603132i</v>
      </c>
      <c r="AT99" s="190">
        <f t="shared" si="98"/>
        <v>18.776088966890615</v>
      </c>
      <c r="AU99" s="169">
        <f t="shared" si="99"/>
        <v>79.961993449658962</v>
      </c>
      <c r="AV99" s="225"/>
      <c r="AX99">
        <f t="shared" si="100"/>
        <v>0</v>
      </c>
      <c r="AY99">
        <f t="shared" si="101"/>
        <v>0</v>
      </c>
    </row>
    <row r="100" spans="14:51" x14ac:dyDescent="0.3">
      <c r="N100" s="170">
        <v>82</v>
      </c>
      <c r="O100" s="199">
        <f t="shared" si="76"/>
        <v>66.069344800759623</v>
      </c>
      <c r="P100" s="189" t="str">
        <f t="shared" si="67"/>
        <v>1078.86904761905</v>
      </c>
      <c r="Q100" s="160" t="str">
        <f t="shared" si="68"/>
        <v>1+12.9726855158473i</v>
      </c>
      <c r="R100" s="160">
        <f t="shared" si="77"/>
        <v>13.01117095011338</v>
      </c>
      <c r="S100" s="160">
        <f t="shared" si="78"/>
        <v>1.4938634257804586</v>
      </c>
      <c r="T100" s="160" t="str">
        <f t="shared" si="69"/>
        <v>1+0.0000083025187301423i</v>
      </c>
      <c r="U100" s="160">
        <f t="shared" si="79"/>
        <v>1.0000000000344658</v>
      </c>
      <c r="V100" s="160">
        <f t="shared" si="80"/>
        <v>8.3025187299515316E-6</v>
      </c>
      <c r="W100" s="98" t="str">
        <f t="shared" si="70"/>
        <v>1-0.00600471364638812i</v>
      </c>
      <c r="X100" s="160">
        <f t="shared" si="81"/>
        <v>1.0000180281304809</v>
      </c>
      <c r="Y100" s="160">
        <f t="shared" si="82"/>
        <v>-6.0046414781247826E-3</v>
      </c>
      <c r="Z100" s="98" t="str">
        <f t="shared" si="71"/>
        <v>0.999998253936671+0.00237174296662645i</v>
      </c>
      <c r="AA100" s="160">
        <f t="shared" si="83"/>
        <v>1.0000010665199766</v>
      </c>
      <c r="AB100" s="160">
        <f t="shared" si="84"/>
        <v>2.3717426606905444E-3</v>
      </c>
      <c r="AC100" s="171" t="str">
        <f t="shared" si="85"/>
        <v>5.68094677526988-82.7252479602249i</v>
      </c>
      <c r="AD100" s="190">
        <f t="shared" si="86"/>
        <v>38.373194336335374</v>
      </c>
      <c r="AE100" s="169">
        <f t="shared" si="87"/>
        <v>-86.071525225626871</v>
      </c>
      <c r="AF100" s="98" t="str">
        <f t="shared" si="72"/>
        <v>-9.95024875621891E-06</v>
      </c>
      <c r="AG100" s="98" t="str">
        <f t="shared" si="73"/>
        <v>0.000415541062443622i</v>
      </c>
      <c r="AH100" s="98">
        <f t="shared" si="88"/>
        <v>4.1554106244362201E-4</v>
      </c>
      <c r="AI100" s="98">
        <f t="shared" si="89"/>
        <v>1.5707963267948966</v>
      </c>
      <c r="AJ100" s="98" t="str">
        <f t="shared" si="74"/>
        <v>1+0.00414711225281833i</v>
      </c>
      <c r="AK100" s="98">
        <f t="shared" si="90"/>
        <v>1.0000085992330454</v>
      </c>
      <c r="AL100" s="98">
        <f t="shared" si="91"/>
        <v>4.1470884783049548E-3</v>
      </c>
      <c r="AM100" s="98" t="str">
        <f t="shared" si="75"/>
        <v>1+4.15125936507115i</v>
      </c>
      <c r="AN100" s="98">
        <f t="shared" si="92"/>
        <v>4.2700063601932641</v>
      </c>
      <c r="AO100" s="98">
        <f t="shared" si="93"/>
        <v>1.3344092752233949</v>
      </c>
      <c r="AP100" s="168" t="str">
        <f t="shared" si="94"/>
        <v>-0.0993020728463387+0.0243571008486737i</v>
      </c>
      <c r="AQ100" s="98">
        <f t="shared" si="95"/>
        <v>-19.807104405365937</v>
      </c>
      <c r="AR100" s="169">
        <f t="shared" si="96"/>
        <v>166.21840894633741</v>
      </c>
      <c r="AS100" s="168" t="str">
        <f t="shared" si="97"/>
        <v>1.45081741678471+8.35315999269888i</v>
      </c>
      <c r="AT100" s="190">
        <f t="shared" si="98"/>
        <v>18.566089930969433</v>
      </c>
      <c r="AU100" s="169">
        <f t="shared" si="99"/>
        <v>80.146883720710562</v>
      </c>
      <c r="AV100" s="225"/>
      <c r="AX100">
        <f t="shared" si="100"/>
        <v>0</v>
      </c>
      <c r="AY100">
        <f t="shared" si="101"/>
        <v>0</v>
      </c>
    </row>
    <row r="101" spans="14:51" x14ac:dyDescent="0.3">
      <c r="N101" s="170">
        <v>83</v>
      </c>
      <c r="O101" s="199">
        <f t="shared" si="76"/>
        <v>67.60829753919819</v>
      </c>
      <c r="P101" s="189" t="str">
        <f t="shared" si="67"/>
        <v>1078.86904761905</v>
      </c>
      <c r="Q101" s="160" t="str">
        <f t="shared" si="68"/>
        <v>1+13.2748581794286i</v>
      </c>
      <c r="R101" s="160">
        <f t="shared" si="77"/>
        <v>13.312470081992387</v>
      </c>
      <c r="S101" s="160">
        <f t="shared" si="78"/>
        <v>1.4956079635054518</v>
      </c>
      <c r="T101" s="160" t="str">
        <f t="shared" si="69"/>
        <v>1+8.49590923483432E-06i</v>
      </c>
      <c r="U101" s="160">
        <f t="shared" si="79"/>
        <v>1.0000000000360902</v>
      </c>
      <c r="V101" s="160">
        <f t="shared" si="80"/>
        <v>8.4959092346299076E-6</v>
      </c>
      <c r="W101" s="98" t="str">
        <f t="shared" si="70"/>
        <v>1-0.00614458139500158i</v>
      </c>
      <c r="X101" s="160">
        <f t="shared" si="81"/>
        <v>1.0000188777620749</v>
      </c>
      <c r="Y101" s="160">
        <f t="shared" si="82"/>
        <v>-6.144504065393029E-3</v>
      </c>
      <c r="Z101" s="98" t="str">
        <f t="shared" si="71"/>
        <v>0.999998171647242+0.00242698795724001i</v>
      </c>
      <c r="AA101" s="160">
        <f t="shared" si="83"/>
        <v>1.0000011167835623</v>
      </c>
      <c r="AB101" s="160">
        <f t="shared" si="84"/>
        <v>2.4269876294237265E-3</v>
      </c>
      <c r="AC101" s="171" t="str">
        <f t="shared" si="85"/>
        <v>5.39555434349997-80.8636209978432i</v>
      </c>
      <c r="AD101" s="190">
        <f t="shared" si="86"/>
        <v>38.17435604371844</v>
      </c>
      <c r="AE101" s="169">
        <f t="shared" si="87"/>
        <v>-86.182647633520602</v>
      </c>
      <c r="AF101" s="98" t="str">
        <f t="shared" si="72"/>
        <v>-9.95024875621891E-06</v>
      </c>
      <c r="AG101" s="98" t="str">
        <f t="shared" si="73"/>
        <v>0.000425220257203458i</v>
      </c>
      <c r="AH101" s="98">
        <f t="shared" si="88"/>
        <v>4.2522025720345799E-4</v>
      </c>
      <c r="AI101" s="98">
        <f t="shared" si="89"/>
        <v>1.5707963267948966</v>
      </c>
      <c r="AJ101" s="98" t="str">
        <f t="shared" si="74"/>
        <v>1+0.00424371090651065i</v>
      </c>
      <c r="AK101" s="98">
        <f t="shared" si="90"/>
        <v>1.0000090045005885</v>
      </c>
      <c r="AL101" s="98">
        <f t="shared" si="91"/>
        <v>4.2436854316729852E-3</v>
      </c>
      <c r="AM101" s="98" t="str">
        <f t="shared" si="75"/>
        <v>1+4.24795461741716i</v>
      </c>
      <c r="AN101" s="98">
        <f t="shared" si="92"/>
        <v>4.3640713137660541</v>
      </c>
      <c r="AO101" s="98">
        <f t="shared" si="93"/>
        <v>1.3395983118882944</v>
      </c>
      <c r="AP101" s="168" t="str">
        <f t="shared" si="94"/>
        <v>-0.0993019923592655+0.0238216317446848i</v>
      </c>
      <c r="AQ101" s="98">
        <f t="shared" si="95"/>
        <v>-19.817841587067871</v>
      </c>
      <c r="AR101" s="169">
        <f t="shared" si="96"/>
        <v>166.51018424923299</v>
      </c>
      <c r="AS101" s="168" t="str">
        <f t="shared" si="97"/>
        <v>1.39051410476015+8.15844958309966i</v>
      </c>
      <c r="AT101" s="190">
        <f t="shared" si="98"/>
        <v>18.356514456650569</v>
      </c>
      <c r="AU101" s="169">
        <f t="shared" si="99"/>
        <v>80.327536615712361</v>
      </c>
      <c r="AV101" s="225"/>
      <c r="AX101">
        <f t="shared" si="100"/>
        <v>0</v>
      </c>
      <c r="AY101">
        <f t="shared" si="101"/>
        <v>0</v>
      </c>
    </row>
    <row r="102" spans="14:51" x14ac:dyDescent="0.3">
      <c r="N102" s="170">
        <v>84</v>
      </c>
      <c r="O102" s="199">
        <f t="shared" si="76"/>
        <v>69.183097091893657</v>
      </c>
      <c r="P102" s="189" t="str">
        <f t="shared" si="67"/>
        <v>1078.86904761905</v>
      </c>
      <c r="Q102" s="160" t="str">
        <f t="shared" si="68"/>
        <v>1+13.5840693485302i</v>
      </c>
      <c r="R102" s="160">
        <f t="shared" si="77"/>
        <v>13.620827436895222</v>
      </c>
      <c r="S102" s="160">
        <f t="shared" si="78"/>
        <v>1.4973132338818733</v>
      </c>
      <c r="T102" s="160" t="str">
        <f t="shared" si="69"/>
        <v>1+0.0000086938043830593i</v>
      </c>
      <c r="U102" s="160">
        <f t="shared" si="79"/>
        <v>1.0000000000377911</v>
      </c>
      <c r="V102" s="160">
        <f t="shared" si="80"/>
        <v>8.6938043828402682E-6</v>
      </c>
      <c r="W102" s="98" t="str">
        <f t="shared" si="70"/>
        <v>1-0.00628770708200381i</v>
      </c>
      <c r="X102" s="160">
        <f t="shared" si="81"/>
        <v>1.0000197674347988</v>
      </c>
      <c r="Y102" s="160">
        <f t="shared" si="82"/>
        <v>-6.2876242219238425E-3</v>
      </c>
      <c r="Z102" s="98" t="str">
        <f t="shared" si="71"/>
        <v>0.999998085479631+0.00248351976899348i</v>
      </c>
      <c r="AA102" s="160">
        <f t="shared" si="83"/>
        <v>1.0000011694160014</v>
      </c>
      <c r="AB102" s="160">
        <f t="shared" si="84"/>
        <v>2.4835194177319441E-3</v>
      </c>
      <c r="AC102" s="171" t="str">
        <f t="shared" si="85"/>
        <v>5.12286496625053-79.0429437141198i</v>
      </c>
      <c r="AD102" s="190">
        <f t="shared" si="86"/>
        <v>37.975466392053377</v>
      </c>
      <c r="AE102" s="169">
        <f t="shared" si="87"/>
        <v>-86.291780304272308</v>
      </c>
      <c r="AF102" s="98" t="str">
        <f t="shared" si="72"/>
        <v>-9.95024875621891E-06</v>
      </c>
      <c r="AG102" s="98" t="str">
        <f t="shared" si="73"/>
        <v>0.000435124909372118i</v>
      </c>
      <c r="AH102" s="98">
        <f t="shared" si="88"/>
        <v>4.3512490937211798E-4</v>
      </c>
      <c r="AI102" s="98">
        <f t="shared" si="89"/>
        <v>1.5707963267948966</v>
      </c>
      <c r="AJ102" s="98" t="str">
        <f t="shared" si="74"/>
        <v>1+0.00434255963189775i</v>
      </c>
      <c r="AK102" s="98">
        <f t="shared" si="90"/>
        <v>1.0000094288676267</v>
      </c>
      <c r="AL102" s="98">
        <f t="shared" si="91"/>
        <v>4.3425323351312939E-3</v>
      </c>
      <c r="AM102" s="98" t="str">
        <f t="shared" si="75"/>
        <v>1+4.34690219152965i</v>
      </c>
      <c r="AN102" s="98">
        <f t="shared" si="92"/>
        <v>4.4604437741916749</v>
      </c>
      <c r="AO102" s="98">
        <f t="shared" si="93"/>
        <v>1.3446815109030295</v>
      </c>
      <c r="AP102" s="168" t="str">
        <f t="shared" si="94"/>
        <v>-0.0993019080790934+0.0232987931529609i</v>
      </c>
      <c r="AQ102" s="98">
        <f t="shared" si="95"/>
        <v>-19.82812066416539</v>
      </c>
      <c r="AR102" s="169">
        <f t="shared" si="96"/>
        <v>166.79576658881624</v>
      </c>
      <c r="AS102" s="168" t="str">
        <f t="shared" si="97"/>
        <v>1.33289492981619+7.9684717021997i</v>
      </c>
      <c r="AT102" s="190">
        <f t="shared" si="98"/>
        <v>18.147345727887991</v>
      </c>
      <c r="AU102" s="169">
        <f t="shared" si="99"/>
        <v>80.503986284543942</v>
      </c>
      <c r="AV102" s="225"/>
      <c r="AX102">
        <f t="shared" si="100"/>
        <v>0</v>
      </c>
      <c r="AY102">
        <f t="shared" si="101"/>
        <v>0</v>
      </c>
    </row>
    <row r="103" spans="14:51" x14ac:dyDescent="0.3">
      <c r="N103" s="170">
        <v>85</v>
      </c>
      <c r="O103" s="199">
        <f t="shared" si="76"/>
        <v>70.794578438413865</v>
      </c>
      <c r="P103" s="189" t="str">
        <f t="shared" si="67"/>
        <v>1078.86904761905</v>
      </c>
      <c r="Q103" s="160" t="str">
        <f t="shared" si="68"/>
        <v>1+13.9004829710067i</v>
      </c>
      <c r="R103" s="160">
        <f t="shared" si="77"/>
        <v>13.936406524898993</v>
      </c>
      <c r="S103" s="160">
        <f t="shared" si="78"/>
        <v>1.4989801013737467</v>
      </c>
      <c r="T103" s="160" t="str">
        <f t="shared" si="69"/>
        <v>1+0.0000088963091014443i</v>
      </c>
      <c r="U103" s="160">
        <f t="shared" si="79"/>
        <v>1.0000000000395721</v>
      </c>
      <c r="V103" s="160">
        <f t="shared" si="80"/>
        <v>8.8963091012096031E-6</v>
      </c>
      <c r="W103" s="98" t="str">
        <f t="shared" si="70"/>
        <v>1-0.00643416659452858i</v>
      </c>
      <c r="X103" s="160">
        <f t="shared" si="81"/>
        <v>1.0000206990356582</v>
      </c>
      <c r="Y103" s="160">
        <f t="shared" si="82"/>
        <v>-6.4340778084525157E-3</v>
      </c>
      <c r="Z103" s="98" t="str">
        <f t="shared" si="71"/>
        <v>0.999997995251065+0.00254136837580175i</v>
      </c>
      <c r="AA103" s="160">
        <f t="shared" si="83"/>
        <v>1.0000012245289356</v>
      </c>
      <c r="AB103" s="160">
        <f t="shared" si="84"/>
        <v>2.5413679994181681E-3</v>
      </c>
      <c r="AC103" s="171" t="str">
        <f t="shared" si="85"/>
        <v>4.86231928455897-77.2623778956755i</v>
      </c>
      <c r="AD103" s="190">
        <f t="shared" si="86"/>
        <v>37.776527697930582</v>
      </c>
      <c r="AE103" s="169">
        <f t="shared" si="87"/>
        <v>-86.398978825882608</v>
      </c>
      <c r="AF103" s="98" t="str">
        <f t="shared" si="72"/>
        <v>-9.95024875621891E-06</v>
      </c>
      <c r="AG103" s="98" t="str">
        <f t="shared" si="73"/>
        <v>0.000445260270527287i</v>
      </c>
      <c r="AH103" s="98">
        <f t="shared" si="88"/>
        <v>4.4526027052728699E-4</v>
      </c>
      <c r="AI103" s="98">
        <f t="shared" si="89"/>
        <v>1.5707963267948966</v>
      </c>
      <c r="AJ103" s="98" t="str">
        <f t="shared" si="74"/>
        <v>1+0.00444371083988227i</v>
      </c>
      <c r="AK103" s="98">
        <f t="shared" si="90"/>
        <v>1.0000098732342739</v>
      </c>
      <c r="AL103" s="98">
        <f t="shared" si="91"/>
        <v>4.4436815908856387E-3</v>
      </c>
      <c r="AM103" s="98" t="str">
        <f t="shared" si="75"/>
        <v>1+4.44815455072215i</v>
      </c>
      <c r="AN103" s="98">
        <f t="shared" si="92"/>
        <v>4.5591752441763163</v>
      </c>
      <c r="AO103" s="98">
        <f t="shared" si="93"/>
        <v>1.3496605162245363</v>
      </c>
      <c r="AP103" s="168" t="str">
        <f t="shared" si="94"/>
        <v>-0.0993018198270725+0.0227883078552567i</v>
      </c>
      <c r="AQ103" s="98">
        <f t="shared" si="95"/>
        <v>-19.837960193267406</v>
      </c>
      <c r="AR103" s="169">
        <f t="shared" si="96"/>
        <v>167.07524715445618</v>
      </c>
      <c r="AS103" s="168" t="str">
        <f t="shared" si="97"/>
        <v>1.27784169957886+7.78309875795464i</v>
      </c>
      <c r="AT103" s="190">
        <f t="shared" si="98"/>
        <v>17.93856750466318</v>
      </c>
      <c r="AU103" s="169">
        <f t="shared" si="99"/>
        <v>80.676268328573585</v>
      </c>
      <c r="AV103" s="225"/>
      <c r="AX103">
        <f t="shared" si="100"/>
        <v>0</v>
      </c>
      <c r="AY103">
        <f t="shared" si="101"/>
        <v>0</v>
      </c>
    </row>
    <row r="104" spans="14:51" x14ac:dyDescent="0.3">
      <c r="N104" s="170">
        <v>86</v>
      </c>
      <c r="O104" s="199">
        <f t="shared" si="76"/>
        <v>72.443596007499011</v>
      </c>
      <c r="P104" s="189" t="str">
        <f t="shared" si="67"/>
        <v>1078.86904761905</v>
      </c>
      <c r="Q104" s="160" t="str">
        <f t="shared" si="68"/>
        <v>1+14.2242668135491i</v>
      </c>
      <c r="R104" s="160">
        <f t="shared" si="77"/>
        <v>14.259374684151974</v>
      </c>
      <c r="S104" s="160">
        <f t="shared" si="78"/>
        <v>1.5006094127050829</v>
      </c>
      <c r="T104" s="160" t="str">
        <f t="shared" si="69"/>
        <v>1+9.10353076067142E-06i</v>
      </c>
      <c r="U104" s="160">
        <f t="shared" si="79"/>
        <v>1.0000000000414371</v>
      </c>
      <c r="V104" s="160">
        <f t="shared" si="80"/>
        <v>9.1035307604199377E-6</v>
      </c>
      <c r="W104" s="98" t="str">
        <f t="shared" si="70"/>
        <v>1-0.006584037587348i</v>
      </c>
      <c r="X104" s="160">
        <f t="shared" si="81"/>
        <v>1.000021674540583</v>
      </c>
      <c r="Y104" s="160">
        <f t="shared" si="82"/>
        <v>-6.5839424514648262E-3</v>
      </c>
      <c r="Z104" s="98" t="str">
        <f t="shared" si="71"/>
        <v>0.999997900770159+0.00260056444976185i</v>
      </c>
      <c r="AA104" s="160">
        <f t="shared" si="83"/>
        <v>1.0000012822392692</v>
      </c>
      <c r="AB104" s="160">
        <f t="shared" si="84"/>
        <v>2.6005640464594991E-3</v>
      </c>
      <c r="AC104" s="171" t="str">
        <f t="shared" si="85"/>
        <v>4.61338203880446-75.5210982589588i</v>
      </c>
      <c r="AD104" s="190">
        <f t="shared" si="86"/>
        <v>37.577542177287995</v>
      </c>
      <c r="AE104" s="169">
        <f t="shared" si="87"/>
        <v>-86.504297910956694</v>
      </c>
      <c r="AF104" s="98" t="str">
        <f t="shared" si="72"/>
        <v>-9.95024875621891E-06</v>
      </c>
      <c r="AG104" s="98" t="str">
        <f t="shared" si="73"/>
        <v>0.000455631714571605i</v>
      </c>
      <c r="AH104" s="98">
        <f t="shared" si="88"/>
        <v>4.5563171457160497E-4</v>
      </c>
      <c r="AI104" s="98">
        <f t="shared" si="89"/>
        <v>1.5707963267948966</v>
      </c>
      <c r="AJ104" s="98" t="str">
        <f t="shared" si="74"/>
        <v>1+0.00454721816217354i</v>
      </c>
      <c r="AK104" s="98">
        <f t="shared" si="90"/>
        <v>1.0000103385430645</v>
      </c>
      <c r="AL104" s="98">
        <f t="shared" si="91"/>
        <v>4.5471868213264911E-3</v>
      </c>
      <c r="AM104" s="98" t="str">
        <f t="shared" si="75"/>
        <v>1+4.55176538033571i</v>
      </c>
      <c r="AN104" s="98">
        <f t="shared" si="92"/>
        <v>4.6603184523831302</v>
      </c>
      <c r="AO104" s="98">
        <f t="shared" si="93"/>
        <v>1.3545369798865277</v>
      </c>
      <c r="AP104" s="168" t="str">
        <f t="shared" si="94"/>
        <v>-0.0993017274160299+0.022289905183043i</v>
      </c>
      <c r="AQ104" s="98">
        <f t="shared" si="95"/>
        <v>-19.847378066040015</v>
      </c>
      <c r="AR104" s="169">
        <f t="shared" si="96"/>
        <v>167.34871752837537</v>
      </c>
      <c r="AS104" s="168" t="str">
        <f t="shared" si="97"/>
        <v>1.2252413138281+7.60220736168844i</v>
      </c>
      <c r="AT104" s="190">
        <f t="shared" si="98"/>
        <v>17.730164111247984</v>
      </c>
      <c r="AU104" s="169">
        <f t="shared" si="99"/>
        <v>80.844419617418666</v>
      </c>
      <c r="AV104" s="225"/>
      <c r="AX104">
        <f t="shared" si="100"/>
        <v>0</v>
      </c>
      <c r="AY104">
        <f t="shared" si="101"/>
        <v>0</v>
      </c>
    </row>
    <row r="105" spans="14:51" x14ac:dyDescent="0.3">
      <c r="N105" s="170">
        <v>87</v>
      </c>
      <c r="O105" s="199">
        <f t="shared" si="76"/>
        <v>74.131024130091816</v>
      </c>
      <c r="P105" s="189" t="str">
        <f t="shared" si="67"/>
        <v>1078.86904761905</v>
      </c>
      <c r="Q105" s="160" t="str">
        <f t="shared" si="68"/>
        <v>1+14.5555925506365i</v>
      </c>
      <c r="R105" s="160">
        <f t="shared" si="77"/>
        <v>14.58990316966308</v>
      </c>
      <c r="S105" s="160">
        <f t="shared" si="78"/>
        <v>1.5022019971368159</v>
      </c>
      <c r="T105" s="160" t="str">
        <f t="shared" si="69"/>
        <v>1+9.31557923240736E-06i</v>
      </c>
      <c r="U105" s="160">
        <f t="shared" si="79"/>
        <v>1.00000000004339</v>
      </c>
      <c r="V105" s="160">
        <f t="shared" si="80"/>
        <v>9.3155792321378922E-6</v>
      </c>
      <c r="W105" s="98" t="str">
        <f t="shared" si="70"/>
        <v>1-0.0067373995240463i</v>
      </c>
      <c r="X105" s="160">
        <f t="shared" si="81"/>
        <v>1.0000226960186187</v>
      </c>
      <c r="Y105" s="160">
        <f t="shared" si="82"/>
        <v>-6.7372975842358122E-3</v>
      </c>
      <c r="Z105" s="98" t="str">
        <f t="shared" si="71"/>
        <v>0.999997801836505+0.00266113937741576i</v>
      </c>
      <c r="AA105" s="160">
        <f t="shared" si="83"/>
        <v>1.0000013426694125</v>
      </c>
      <c r="AB105" s="160">
        <f t="shared" si="84"/>
        <v>2.66113894526942E-3</v>
      </c>
      <c r="AC105" s="171" t="str">
        <f t="shared" si="85"/>
        <v>4.37554107711837-73.8182925532876i</v>
      </c>
      <c r="AD105" s="190">
        <f t="shared" si="86"/>
        <v>37.378511949817913</v>
      </c>
      <c r="AE105" s="169">
        <f t="shared" si="87"/>
        <v>-86.607791415851437</v>
      </c>
      <c r="AF105" s="98" t="str">
        <f t="shared" si="72"/>
        <v>-9.95024875621891E-06</v>
      </c>
      <c r="AG105" s="98" t="str">
        <f t="shared" si="73"/>
        <v>0.000466244740581989i</v>
      </c>
      <c r="AH105" s="98">
        <f t="shared" si="88"/>
        <v>4.6624474058198901E-4</v>
      </c>
      <c r="AI105" s="98">
        <f t="shared" si="89"/>
        <v>1.5707963267948966</v>
      </c>
      <c r="AJ105" s="98" t="str">
        <f t="shared" si="74"/>
        <v>1+0.00465313647972396i</v>
      </c>
      <c r="AK105" s="98">
        <f t="shared" si="90"/>
        <v>1.0000108257809508</v>
      </c>
      <c r="AL105" s="98">
        <f t="shared" si="91"/>
        <v>4.6531028974209389E-3</v>
      </c>
      <c r="AM105" s="98" t="str">
        <f t="shared" si="75"/>
        <v>1+4.65778961620368i</v>
      </c>
      <c r="AN105" s="98">
        <f t="shared" si="92"/>
        <v>4.7639273828234225</v>
      </c>
      <c r="AO105" s="98">
        <f t="shared" si="93"/>
        <v>1.3593125593375541</v>
      </c>
      <c r="AP105" s="168" t="str">
        <f t="shared" si="94"/>
        <v>-0.0993016306499734+0.0218033208739812i</v>
      </c>
      <c r="AQ105" s="98">
        <f t="shared" si="95"/>
        <v>-19.85639152585167</v>
      </c>
      <c r="AR105" s="169">
        <f t="shared" si="96"/>
        <v>167.61626953150582</v>
      </c>
      <c r="AS105" s="168" t="str">
        <f t="shared" si="97"/>
        <v>1.17498555497495+7.42567814843995i</v>
      </c>
      <c r="AT105" s="190">
        <f t="shared" si="98"/>
        <v>17.52212042396625</v>
      </c>
      <c r="AU105" s="169">
        <f t="shared" si="99"/>
        <v>81.008478115654412</v>
      </c>
      <c r="AV105" s="225"/>
      <c r="AX105">
        <f t="shared" si="100"/>
        <v>0</v>
      </c>
      <c r="AY105">
        <f t="shared" si="101"/>
        <v>0</v>
      </c>
    </row>
    <row r="106" spans="14:51" x14ac:dyDescent="0.3">
      <c r="N106" s="170">
        <v>88</v>
      </c>
      <c r="O106" s="199">
        <f t="shared" si="76"/>
        <v>75.857757502918361</v>
      </c>
      <c r="P106" s="189" t="str">
        <f t="shared" si="67"/>
        <v>1078.86904761905</v>
      </c>
      <c r="Q106" s="160" t="str">
        <f t="shared" si="68"/>
        <v>1+14.8946358555603i</v>
      </c>
      <c r="R106" s="160">
        <f t="shared" si="77"/>
        <v>14.928167244164385</v>
      </c>
      <c r="S106" s="160">
        <f t="shared" si="78"/>
        <v>1.5037586667456413</v>
      </c>
      <c r="T106" s="160" t="str">
        <f t="shared" si="69"/>
        <v>1+9.53256694755858E-06i</v>
      </c>
      <c r="U106" s="160">
        <f t="shared" si="79"/>
        <v>1.0000000000454348</v>
      </c>
      <c r="V106" s="160">
        <f t="shared" si="80"/>
        <v>9.5325669472698381E-6</v>
      </c>
      <c r="W106" s="98" t="str">
        <f t="shared" si="70"/>
        <v>1-0.00689433371915227i</v>
      </c>
      <c r="X106" s="160">
        <f t="shared" si="81"/>
        <v>1.0000237656363129</v>
      </c>
      <c r="Y106" s="160">
        <f t="shared" si="82"/>
        <v>-6.8942244888175594E-3</v>
      </c>
      <c r="Z106" s="98" t="str">
        <f t="shared" si="71"/>
        <v>0.999997698240251+0.00272312527639191i</v>
      </c>
      <c r="AA106" s="160">
        <f t="shared" si="83"/>
        <v>1.0000014059475471</v>
      </c>
      <c r="AB106" s="160">
        <f t="shared" si="84"/>
        <v>2.7231248133386694E-3</v>
      </c>
      <c r="AC106" s="171" t="str">
        <f t="shared" si="85"/>
        <v>4.14830640044138-72.1531616364142i</v>
      </c>
      <c r="AD106" s="190">
        <f t="shared" si="86"/>
        <v>37.179439043194392</v>
      </c>
      <c r="AE106" s="169">
        <f t="shared" si="87"/>
        <v>-86.709512360007537</v>
      </c>
      <c r="AF106" s="98" t="str">
        <f t="shared" si="72"/>
        <v>-9.95024875621891E-06</v>
      </c>
      <c r="AG106" s="98" t="str">
        <f t="shared" si="73"/>
        <v>0.000477104975725307i</v>
      </c>
      <c r="AH106" s="98">
        <f t="shared" si="88"/>
        <v>4.7710497572530698E-4</v>
      </c>
      <c r="AI106" s="98">
        <f t="shared" si="89"/>
        <v>1.5707963267948966</v>
      </c>
      <c r="AJ106" s="98" t="str">
        <f t="shared" si="74"/>
        <v>1+0.00476152195182746i</v>
      </c>
      <c r="AK106" s="98">
        <f t="shared" si="90"/>
        <v>1.0000113359813967</v>
      </c>
      <c r="AL106" s="98">
        <f t="shared" si="91"/>
        <v>4.7614859677634902E-3</v>
      </c>
      <c r="AM106" s="98" t="str">
        <f t="shared" si="75"/>
        <v>1+4.76628347377929i</v>
      </c>
      <c r="AN106" s="98">
        <f t="shared" si="92"/>
        <v>4.8700573048396034</v>
      </c>
      <c r="AO106" s="98">
        <f t="shared" si="93"/>
        <v>1.363988914950925</v>
      </c>
      <c r="AP106" s="168" t="str">
        <f t="shared" si="94"/>
        <v>-0.0993015293236756+0.0213282969317969i</v>
      </c>
      <c r="AQ106" s="98">
        <f t="shared" si="95"/>
        <v>-19.865017184652658</v>
      </c>
      <c r="AR106" s="169">
        <f t="shared" si="96"/>
        <v>167.87799507915301</v>
      </c>
      <c r="AS106" s="168" t="str">
        <f t="shared" si="97"/>
        <v>1.12697088628236+7.25339560670698i</v>
      </c>
      <c r="AT106" s="190">
        <f t="shared" si="98"/>
        <v>17.314421858541738</v>
      </c>
      <c r="AU106" s="169">
        <f t="shared" si="99"/>
        <v>81.168482719145459</v>
      </c>
      <c r="AV106" s="225"/>
      <c r="AX106">
        <f t="shared" si="100"/>
        <v>0</v>
      </c>
      <c r="AY106">
        <f t="shared" si="101"/>
        <v>0</v>
      </c>
    </row>
    <row r="107" spans="14:51" x14ac:dyDescent="0.3">
      <c r="N107" s="170">
        <v>89</v>
      </c>
      <c r="O107" s="199">
        <f t="shared" si="76"/>
        <v>77.624711662869217</v>
      </c>
      <c r="P107" s="189" t="str">
        <f t="shared" si="67"/>
        <v>1078.86904761905</v>
      </c>
      <c r="Q107" s="160" t="str">
        <f t="shared" si="68"/>
        <v>1+15.2415764935685i</v>
      </c>
      <c r="R107" s="160">
        <f t="shared" si="77"/>
        <v>15.274346271094545</v>
      </c>
      <c r="S107" s="160">
        <f t="shared" si="78"/>
        <v>1.5052802167041925</v>
      </c>
      <c r="T107" s="160" t="str">
        <f t="shared" si="69"/>
        <v>1+9.75460895588384E-06i</v>
      </c>
      <c r="U107" s="160">
        <f t="shared" si="79"/>
        <v>1.0000000000475762</v>
      </c>
      <c r="V107" s="160">
        <f t="shared" si="80"/>
        <v>9.7546089555744494E-6</v>
      </c>
      <c r="W107" s="98" t="str">
        <f t="shared" si="70"/>
        <v>1-0.00705492338125343i</v>
      </c>
      <c r="X107" s="160">
        <f t="shared" si="81"/>
        <v>1.0000248856623095</v>
      </c>
      <c r="Y107" s="160">
        <f t="shared" si="82"/>
        <v>-7.0548063389983765E-3</v>
      </c>
      <c r="Z107" s="98" t="str">
        <f t="shared" si="71"/>
        <v>0.999997589761656+0.00278655501243444i</v>
      </c>
      <c r="AA107" s="160">
        <f t="shared" si="83"/>
        <v>1.0000014722078956</v>
      </c>
      <c r="AB107" s="160">
        <f t="shared" si="84"/>
        <v>2.7865545162638473E-3</v>
      </c>
      <c r="AC107" s="171" t="str">
        <f t="shared" si="85"/>
        <v>3.93120924325471-70.5249195247768i</v>
      </c>
      <c r="AD107" s="190">
        <f t="shared" si="86"/>
        <v>36.980325397129334</v>
      </c>
      <c r="AE107" s="169">
        <f t="shared" si="87"/>
        <v>-86.809512945436012</v>
      </c>
      <c r="AF107" s="98" t="str">
        <f t="shared" si="72"/>
        <v>-9.95024875621891E-06</v>
      </c>
      <c r="AG107" s="98" t="str">
        <f t="shared" si="73"/>
        <v>0.000488218178241986i</v>
      </c>
      <c r="AH107" s="98">
        <f t="shared" si="88"/>
        <v>4.8821817824198601E-4</v>
      </c>
      <c r="AI107" s="98">
        <f t="shared" si="89"/>
        <v>1.5707963267948966</v>
      </c>
      <c r="AJ107" s="98" t="str">
        <f t="shared" si="74"/>
        <v>1+0.00487243204589602i</v>
      </c>
      <c r="AK107" s="98">
        <f t="shared" si="90"/>
        <v>1.0000118702265699</v>
      </c>
      <c r="AL107" s="98">
        <f t="shared" si="91"/>
        <v>4.8723934883015138E-3</v>
      </c>
      <c r="AM107" s="98" t="str">
        <f t="shared" si="75"/>
        <v>1+4.87730447794192i</v>
      </c>
      <c r="AN107" s="98">
        <f t="shared" si="92"/>
        <v>4.9787648036990371</v>
      </c>
      <c r="AO107" s="98">
        <f t="shared" si="93"/>
        <v>1.3685677077001581</v>
      </c>
      <c r="AP107" s="168" t="str">
        <f t="shared" si="94"/>
        <v>-0.099301423222238+0.0208645814894723i</v>
      </c>
      <c r="AQ107" s="98">
        <f t="shared" si="95"/>
        <v>-19.87327104001406</v>
      </c>
      <c r="AR107" s="169">
        <f t="shared" si="96"/>
        <v>168.13398604610606</v>
      </c>
      <c r="AS107" s="168" t="str">
        <f t="shared" si="97"/>
        <v>1.08109825762357+7.08524791705219i</v>
      </c>
      <c r="AT107" s="190">
        <f t="shared" si="98"/>
        <v>17.107054357115267</v>
      </c>
      <c r="AU107" s="169">
        <f t="shared" si="99"/>
        <v>81.324473100670076</v>
      </c>
      <c r="AV107" s="225"/>
      <c r="AX107">
        <f t="shared" si="100"/>
        <v>0</v>
      </c>
      <c r="AY107">
        <f t="shared" si="101"/>
        <v>0</v>
      </c>
    </row>
    <row r="108" spans="14:51" x14ac:dyDescent="0.3">
      <c r="N108" s="170">
        <v>90</v>
      </c>
      <c r="O108" s="199">
        <f t="shared" si="76"/>
        <v>79.432823472428197</v>
      </c>
      <c r="P108" s="189" t="str">
        <f t="shared" si="67"/>
        <v>1078.86904761905</v>
      </c>
      <c r="Q108" s="160" t="str">
        <f t="shared" si="68"/>
        <v>1+15.5965984171797i</v>
      </c>
      <c r="R108" s="160">
        <f t="shared" si="77"/>
        <v>15.628623809752808</v>
      </c>
      <c r="S108" s="160">
        <f t="shared" si="78"/>
        <v>1.5067674255620385</v>
      </c>
      <c r="T108" s="160" t="str">
        <f t="shared" si="69"/>
        <v>1+9.98182298699502E-06i</v>
      </c>
      <c r="U108" s="160">
        <f t="shared" si="79"/>
        <v>1.0000000000498184</v>
      </c>
      <c r="V108" s="160">
        <f t="shared" si="80"/>
        <v>9.9818229866635013E-6</v>
      </c>
      <c r="W108" s="98" t="str">
        <f t="shared" si="70"/>
        <v>1-0.00721925365711428i</v>
      </c>
      <c r="X108" s="160">
        <f t="shared" si="81"/>
        <v>1.0000260584721608</v>
      </c>
      <c r="Y108" s="160">
        <f t="shared" si="82"/>
        <v>-7.2191282442549609E-3</v>
      </c>
      <c r="Z108" s="98" t="str">
        <f t="shared" si="71"/>
        <v>0.999997476170622+0.00285146221682897i</v>
      </c>
      <c r="AA108" s="160">
        <f t="shared" si="83"/>
        <v>1.0000015415910057</v>
      </c>
      <c r="AB108" s="160">
        <f t="shared" si="84"/>
        <v>2.8514616851724834E-3</v>
      </c>
      <c r="AC108" s="171" t="str">
        <f t="shared" si="85"/>
        <v>3.72380118899907-68.9327934204504i</v>
      </c>
      <c r="AD108" s="190">
        <f t="shared" si="86"/>
        <v>36.781172867262995</v>
      </c>
      <c r="AE108" s="169">
        <f t="shared" si="87"/>
        <v>-86.907844576331385</v>
      </c>
      <c r="AF108" s="98" t="str">
        <f t="shared" si="72"/>
        <v>-9.95024875621891E-06</v>
      </c>
      <c r="AG108" s="98" t="str">
        <f t="shared" si="73"/>
        <v>0.000499590240499101i</v>
      </c>
      <c r="AH108" s="98">
        <f t="shared" si="88"/>
        <v>4.9959024049910095E-4</v>
      </c>
      <c r="AI108" s="98">
        <f t="shared" si="89"/>
        <v>1.5707963267948966</v>
      </c>
      <c r="AJ108" s="98" t="str">
        <f t="shared" si="74"/>
        <v>1+0.00498592556792958i</v>
      </c>
      <c r="AK108" s="98">
        <f t="shared" si="90"/>
        <v>1.0000124296496364</v>
      </c>
      <c r="AL108" s="98">
        <f t="shared" si="91"/>
        <v>4.9858842527504381E-3</v>
      </c>
      <c r="AM108" s="98" t="str">
        <f t="shared" si="75"/>
        <v>1+4.99091149349751i</v>
      </c>
      <c r="AN108" s="98">
        <f t="shared" si="92"/>
        <v>5.0901078118175009</v>
      </c>
      <c r="AO108" s="98">
        <f t="shared" si="93"/>
        <v>1.373050596993461</v>
      </c>
      <c r="AP108" s="168" t="str">
        <f t="shared" si="94"/>
        <v>-0.0993013121206365+0.0204119286756888i</v>
      </c>
      <c r="AQ108" s="98">
        <f t="shared" si="95"/>
        <v>-19.881168492257483</v>
      </c>
      <c r="AR108" s="169">
        <f t="shared" si="96"/>
        <v>168.38433414082007</v>
      </c>
      <c r="AS108" s="168" t="str">
        <f t="shared" si="97"/>
        <v>1.03727291857023+6.9211267990638i</v>
      </c>
      <c r="AT108" s="190">
        <f t="shared" si="98"/>
        <v>16.900004375005516</v>
      </c>
      <c r="AU108" s="169">
        <f t="shared" si="99"/>
        <v>81.476489564488688</v>
      </c>
      <c r="AV108" s="225"/>
      <c r="AX108">
        <f t="shared" si="100"/>
        <v>0</v>
      </c>
      <c r="AY108">
        <f t="shared" si="101"/>
        <v>0</v>
      </c>
    </row>
    <row r="109" spans="14:51" x14ac:dyDescent="0.3">
      <c r="N109" s="170">
        <v>91</v>
      </c>
      <c r="O109" s="199">
        <f t="shared" si="76"/>
        <v>81.283051616409963</v>
      </c>
      <c r="P109" s="189" t="str">
        <f t="shared" si="67"/>
        <v>1078.86904761905</v>
      </c>
      <c r="Q109" s="160" t="str">
        <f t="shared" si="68"/>
        <v>1+15.9598898637171i</v>
      </c>
      <c r="R109" s="160">
        <f t="shared" si="77"/>
        <v>15.991187712674122</v>
      </c>
      <c r="S109" s="160">
        <f t="shared" si="78"/>
        <v>1.5082210555270223</v>
      </c>
      <c r="T109" s="160" t="str">
        <f t="shared" si="69"/>
        <v>1+0.0000102143295127789i</v>
      </c>
      <c r="U109" s="160">
        <f t="shared" si="79"/>
        <v>1.0000000000521663</v>
      </c>
      <c r="V109" s="160">
        <f t="shared" si="80"/>
        <v>1.0214329512423672E-5</v>
      </c>
      <c r="W109" s="98" t="str">
        <f t="shared" si="70"/>
        <v>1-0.00738741167682224i</v>
      </c>
      <c r="X109" s="160">
        <f t="shared" si="81"/>
        <v>1.0000272865533635</v>
      </c>
      <c r="Y109" s="160">
        <f t="shared" si="82"/>
        <v>-7.3872772947203898E-3</v>
      </c>
      <c r="Z109" s="98" t="str">
        <f t="shared" si="71"/>
        <v>0.999997357226208+0.00291788130423443i</v>
      </c>
      <c r="AA109" s="160">
        <f t="shared" si="83"/>
        <v>1.00000161424405</v>
      </c>
      <c r="AB109" s="160">
        <f t="shared" si="84"/>
        <v>2.9178807345541066E-3</v>
      </c>
      <c r="AC109" s="171" t="str">
        <f t="shared" si="85"/>
        <v>3.52565331918897-67.3760237166864i</v>
      </c>
      <c r="AD109" s="190">
        <f t="shared" si="86"/>
        <v>36.581983228895453</v>
      </c>
      <c r="AE109" s="169">
        <f t="shared" si="87"/>
        <v>-87.004557878785732</v>
      </c>
      <c r="AF109" s="98" t="str">
        <f t="shared" si="72"/>
        <v>-9.95024875621891E-06</v>
      </c>
      <c r="AG109" s="98" t="str">
        <f t="shared" si="73"/>
        <v>0.000511227192114586i</v>
      </c>
      <c r="AH109" s="98">
        <f t="shared" si="88"/>
        <v>5.1122719211458602E-4</v>
      </c>
      <c r="AI109" s="98">
        <f t="shared" si="89"/>
        <v>1.5707963267948966</v>
      </c>
      <c r="AJ109" s="98" t="str">
        <f t="shared" si="74"/>
        <v>1+0.00510206269369577i</v>
      </c>
      <c r="AK109" s="98">
        <f t="shared" si="90"/>
        <v>1.0000130154371643</v>
      </c>
      <c r="AL109" s="98">
        <f t="shared" si="91"/>
        <v>5.1020184237148391E-3</v>
      </c>
      <c r="AM109" s="98" t="str">
        <f t="shared" si="75"/>
        <v>1+5.10716475638947i</v>
      </c>
      <c r="AN109" s="98">
        <f t="shared" si="92"/>
        <v>5.2041456406317756</v>
      </c>
      <c r="AO109" s="98">
        <f t="shared" si="93"/>
        <v>1.3774392386607248</v>
      </c>
      <c r="AP109" s="168" t="str">
        <f t="shared" si="94"/>
        <v>-0.0993011957832445+0.0199700984844474i</v>
      </c>
      <c r="AQ109" s="98">
        <f t="shared" si="95"/>
        <v>-19.8887243616138</v>
      </c>
      <c r="AR109" s="169">
        <f t="shared" si="96"/>
        <v>168.62913078829598</v>
      </c>
      <c r="AS109" s="168" t="str">
        <f t="shared" si="97"/>
        <v>0.995404238600062+6.76092736619342i</v>
      </c>
      <c r="AT109" s="190">
        <f t="shared" si="98"/>
        <v>16.693258867281642</v>
      </c>
      <c r="AU109" s="169">
        <f t="shared" si="99"/>
        <v>81.624572909510249</v>
      </c>
      <c r="AV109" s="225"/>
      <c r="AX109">
        <f t="shared" si="100"/>
        <v>0</v>
      </c>
      <c r="AY109">
        <f t="shared" si="101"/>
        <v>0</v>
      </c>
    </row>
    <row r="110" spans="14:51" x14ac:dyDescent="0.3">
      <c r="N110" s="170">
        <v>92</v>
      </c>
      <c r="O110" s="199">
        <f t="shared" si="76"/>
        <v>83.176377110267126</v>
      </c>
      <c r="P110" s="189" t="str">
        <f t="shared" si="67"/>
        <v>1078.86904761905</v>
      </c>
      <c r="Q110" s="160" t="str">
        <f t="shared" si="68"/>
        <v>1+16.3316434551143i</v>
      </c>
      <c r="R110" s="160">
        <f t="shared" si="77"/>
        <v>16.36223022527729</v>
      </c>
      <c r="S110" s="160">
        <f t="shared" si="78"/>
        <v>1.5096418527465088</v>
      </c>
      <c r="T110" s="160" t="str">
        <f t="shared" si="69"/>
        <v>1+0.0000104522518112732i</v>
      </c>
      <c r="U110" s="160">
        <f t="shared" si="79"/>
        <v>1.0000000000546247</v>
      </c>
      <c r="V110" s="160">
        <f t="shared" si="80"/>
        <v>1.0452251810892566E-5</v>
      </c>
      <c r="W110" s="98" t="str">
        <f t="shared" si="70"/>
        <v>1-0.00755948659998522i</v>
      </c>
      <c r="X110" s="160">
        <f t="shared" si="81"/>
        <v>1.0000285725106335</v>
      </c>
      <c r="Y110" s="160">
        <f t="shared" si="82"/>
        <v>-7.5593426071910077E-3</v>
      </c>
      <c r="Z110" s="98" t="str">
        <f t="shared" si="71"/>
        <v>0.999997232676116+0.00298584749093012i</v>
      </c>
      <c r="AA110" s="160">
        <f t="shared" si="83"/>
        <v>1.0000016903211362</v>
      </c>
      <c r="AB110" s="160">
        <f t="shared" si="84"/>
        <v>2.9858468805065066E-3</v>
      </c>
      <c r="AC110" s="171" t="str">
        <f t="shared" si="85"/>
        <v>3.33635539522684-65.8538639838192i</v>
      </c>
      <c r="AD110" s="190">
        <f t="shared" si="86"/>
        <v>36.382758180566178</v>
      </c>
      <c r="AE110" s="169">
        <f t="shared" si="87"/>
        <v>-87.099702720580666</v>
      </c>
      <c r="AF110" s="98" t="str">
        <f t="shared" si="72"/>
        <v>-9.95024875621891E-06</v>
      </c>
      <c r="AG110" s="98" t="str">
        <f t="shared" si="73"/>
        <v>0.000523135203154223i</v>
      </c>
      <c r="AH110" s="98">
        <f t="shared" si="88"/>
        <v>5.2313520315422303E-4</v>
      </c>
      <c r="AI110" s="98">
        <f t="shared" si="89"/>
        <v>1.5707963267948966</v>
      </c>
      <c r="AJ110" s="98" t="str">
        <f t="shared" si="74"/>
        <v>1+0.00522090500063595i</v>
      </c>
      <c r="AK110" s="98">
        <f t="shared" si="90"/>
        <v>1.0000136288316404</v>
      </c>
      <c r="AL110" s="98">
        <f t="shared" si="91"/>
        <v>5.2208575645316564E-3</v>
      </c>
      <c r="AM110" s="98" t="str">
        <f t="shared" si="75"/>
        <v>1+5.22612590563659i</v>
      </c>
      <c r="AN110" s="98">
        <f t="shared" si="92"/>
        <v>5.3209390131409959</v>
      </c>
      <c r="AO110" s="98">
        <f t="shared" si="93"/>
        <v>1.3817352830864666</v>
      </c>
      <c r="AP110" s="168" t="str">
        <f t="shared" si="94"/>
        <v>-0.0993010739633322+0.0195388566477971i</v>
      </c>
      <c r="AQ110" s="98">
        <f t="shared" si="95"/>
        <v>-19.895952905354893</v>
      </c>
      <c r="AR110" s="169">
        <f t="shared" si="96"/>
        <v>168.86846702128202</v>
      </c>
      <c r="AS110" s="168" t="str">
        <f t="shared" si="97"/>
        <v>0.955405534213989+6.60454798802189i</v>
      </c>
      <c r="AT110" s="190">
        <f t="shared" si="98"/>
        <v>16.486805275211289</v>
      </c>
      <c r="AU110" s="169">
        <f t="shared" si="99"/>
        <v>81.768764300701349</v>
      </c>
      <c r="AV110" s="225"/>
      <c r="AX110">
        <f t="shared" si="100"/>
        <v>0</v>
      </c>
      <c r="AY110">
        <f t="shared" si="101"/>
        <v>0</v>
      </c>
    </row>
    <row r="111" spans="14:51" x14ac:dyDescent="0.3">
      <c r="N111" s="170">
        <v>93</v>
      </c>
      <c r="O111" s="199">
        <f t="shared" si="76"/>
        <v>85.113803820237734</v>
      </c>
      <c r="P111" s="189" t="str">
        <f t="shared" si="67"/>
        <v>1078.86904761905</v>
      </c>
      <c r="Q111" s="160" t="str">
        <f t="shared" si="68"/>
        <v>1+16.7120563000464i</v>
      </c>
      <c r="R111" s="160">
        <f t="shared" si="77"/>
        <v>16.741948087839734</v>
      </c>
      <c r="S111" s="160">
        <f t="shared" si="78"/>
        <v>1.511030547588134</v>
      </c>
      <c r="T111" s="160" t="str">
        <f t="shared" si="69"/>
        <v>1+0.0000106957160320297i</v>
      </c>
      <c r="U111" s="160">
        <f t="shared" si="79"/>
        <v>1.0000000000571991</v>
      </c>
      <c r="V111" s="160">
        <f t="shared" si="80"/>
        <v>1.0695716031621841E-5</v>
      </c>
      <c r="W111" s="98" t="str">
        <f t="shared" si="70"/>
        <v>1-0.00773556966300515i</v>
      </c>
      <c r="X111" s="160">
        <f t="shared" si="81"/>
        <v>1.0000299190714301</v>
      </c>
      <c r="Y111" s="160">
        <f t="shared" si="82"/>
        <v>-7.7354153721956465E-3</v>
      </c>
      <c r="Z111" s="98" t="str">
        <f t="shared" si="71"/>
        <v>0.99999710225616+0.00305539681348787i</v>
      </c>
      <c r="AA111" s="160">
        <f t="shared" si="83"/>
        <v>1.0000017699836361</v>
      </c>
      <c r="AB111" s="160">
        <f t="shared" si="84"/>
        <v>3.0553961594070138E-3</v>
      </c>
      <c r="AC111" s="171" t="str">
        <f t="shared" si="85"/>
        <v>3.15551507192101-64.3655809371731i</v>
      </c>
      <c r="AD111" s="190">
        <f t="shared" si="86"/>
        <v>36.183499347485423</v>
      </c>
      <c r="AE111" s="169">
        <f t="shared" si="87"/>
        <v>-87.193328231036233</v>
      </c>
      <c r="AF111" s="98" t="str">
        <f t="shared" si="72"/>
        <v>-9.95024875621891E-06</v>
      </c>
      <c r="AG111" s="98" t="str">
        <f t="shared" si="73"/>
        <v>0.000535320587403085i</v>
      </c>
      <c r="AH111" s="98">
        <f t="shared" si="88"/>
        <v>5.3532058740308499E-4</v>
      </c>
      <c r="AI111" s="98">
        <f t="shared" si="89"/>
        <v>1.5707963267948966</v>
      </c>
      <c r="AJ111" s="98" t="str">
        <f t="shared" si="74"/>
        <v>1+0.00534251550051433i</v>
      </c>
      <c r="AK111" s="98">
        <f t="shared" si="90"/>
        <v>1.000014271134104</v>
      </c>
      <c r="AL111" s="98">
        <f t="shared" si="91"/>
        <v>5.3424646718519906E-3</v>
      </c>
      <c r="AM111" s="98" t="str">
        <f t="shared" si="75"/>
        <v>1+5.34785801601484i</v>
      </c>
      <c r="AN111" s="98">
        <f t="shared" si="92"/>
        <v>5.4405500971367022</v>
      </c>
      <c r="AO111" s="98">
        <f t="shared" si="93"/>
        <v>1.3859403734821918</v>
      </c>
      <c r="AP111" s="168" t="str">
        <f t="shared" si="94"/>
        <v>-0.0993009464025448+0.0191179745116064i</v>
      </c>
      <c r="AQ111" s="98">
        <f t="shared" si="95"/>
        <v>-19.902867834847505</v>
      </c>
      <c r="AR111" s="169">
        <f t="shared" si="96"/>
        <v>169.10243337941975</v>
      </c>
      <c r="AS111" s="168" t="str">
        <f t="shared" si="97"/>
        <v>0.917193902752364+6.45189015952686i</v>
      </c>
      <c r="AT111" s="190">
        <f t="shared" si="98"/>
        <v>16.280631512637914</v>
      </c>
      <c r="AU111" s="169">
        <f t="shared" si="99"/>
        <v>81.909105148383517</v>
      </c>
      <c r="AV111" s="225"/>
      <c r="AX111">
        <f t="shared" si="100"/>
        <v>0</v>
      </c>
      <c r="AY111">
        <f t="shared" si="101"/>
        <v>0</v>
      </c>
    </row>
    <row r="112" spans="14:51" x14ac:dyDescent="0.3">
      <c r="N112" s="170">
        <v>94</v>
      </c>
      <c r="O112" s="199">
        <f t="shared" si="76"/>
        <v>87.096358995608071</v>
      </c>
      <c r="P112" s="189" t="str">
        <f t="shared" si="67"/>
        <v>1078.86904761905</v>
      </c>
      <c r="Q112" s="160" t="str">
        <f t="shared" si="68"/>
        <v>1+17.1013300984388i</v>
      </c>
      <c r="R112" s="160">
        <f t="shared" si="77"/>
        <v>17.130542639851456</v>
      </c>
      <c r="S112" s="160">
        <f t="shared" si="78"/>
        <v>1.5123878549196943</v>
      </c>
      <c r="T112" s="160" t="str">
        <f t="shared" si="69"/>
        <v>1+0.0000109448512630009i</v>
      </c>
      <c r="U112" s="160">
        <f t="shared" si="79"/>
        <v>1.0000000000598948</v>
      </c>
      <c r="V112" s="160">
        <f t="shared" si="80"/>
        <v>1.0944851262563873E-5</v>
      </c>
      <c r="W112" s="98" t="str">
        <f t="shared" si="70"/>
        <v>1-0.00791575422745275i</v>
      </c>
      <c r="X112" s="160">
        <f t="shared" si="81"/>
        <v>1.0000313290917386</v>
      </c>
      <c r="Y112" s="160">
        <f t="shared" si="82"/>
        <v>-7.9155889021514745E-3</v>
      </c>
      <c r="Z112" s="98" t="str">
        <f t="shared" si="71"/>
        <v>0.9999969656897+0.00312656614787907i</v>
      </c>
      <c r="AA112" s="160">
        <f t="shared" si="83"/>
        <v>1.0000018534005244</v>
      </c>
      <c r="AB112" s="160">
        <f t="shared" si="84"/>
        <v>3.1265654470186166E-3</v>
      </c>
      <c r="AC112" s="171" t="str">
        <f t="shared" si="85"/>
        <v>2.98275714172056-62.9104543885489i</v>
      </c>
      <c r="AD112" s="190">
        <f t="shared" si="86"/>
        <v>35.984208284827218</v>
      </c>
      <c r="AE112" s="169">
        <f t="shared" si="87"/>
        <v>-87.285482820897073</v>
      </c>
      <c r="AF112" s="98" t="str">
        <f t="shared" si="72"/>
        <v>-9.95024875621891E-06</v>
      </c>
      <c r="AG112" s="98" t="str">
        <f t="shared" si="73"/>
        <v>0.000547789805713193i</v>
      </c>
      <c r="AH112" s="98">
        <f t="shared" si="88"/>
        <v>5.4778980571319302E-4</v>
      </c>
      <c r="AI112" s="98">
        <f t="shared" si="89"/>
        <v>1.5707963267948966</v>
      </c>
      <c r="AJ112" s="98" t="str">
        <f t="shared" si="74"/>
        <v>1+0.0054669586728276i</v>
      </c>
      <c r="AK112" s="98">
        <f t="shared" si="90"/>
        <v>1.0000149437069079</v>
      </c>
      <c r="AL112" s="98">
        <f t="shared" si="91"/>
        <v>5.4669042089786008E-3</v>
      </c>
      <c r="AM112" s="98" t="str">
        <f t="shared" si="75"/>
        <v>1+5.47242563150043i</v>
      </c>
      <c r="AN112" s="98">
        <f t="shared" si="92"/>
        <v>5.5630425391419465</v>
      </c>
      <c r="AO112" s="98">
        <f t="shared" si="93"/>
        <v>1.3900561442916941</v>
      </c>
      <c r="AP112" s="168" t="str">
        <f t="shared" si="94"/>
        <v>-0.0993008128303538+0.0187072289143071i</v>
      </c>
      <c r="AQ112" s="98">
        <f t="shared" si="95"/>
        <v>-19.909482332484547</v>
      </c>
      <c r="AR112" s="169">
        <f t="shared" si="96"/>
        <v>169.33111981596545</v>
      </c>
      <c r="AS112" s="168" t="str">
        <f t="shared" si="97"/>
        <v>0.880690062701266+6.30285837695575i</v>
      </c>
      <c r="AT112" s="190">
        <f t="shared" si="98"/>
        <v>16.074725952342661</v>
      </c>
      <c r="AU112" s="169">
        <f t="shared" si="99"/>
        <v>82.045636995068378</v>
      </c>
      <c r="AV112" s="225"/>
      <c r="AX112">
        <f t="shared" si="100"/>
        <v>0</v>
      </c>
      <c r="AY112">
        <f t="shared" si="101"/>
        <v>0</v>
      </c>
    </row>
    <row r="113" spans="14:51" x14ac:dyDescent="0.3">
      <c r="N113" s="170">
        <v>95</v>
      </c>
      <c r="O113" s="199">
        <f t="shared" si="76"/>
        <v>89.125093813374562</v>
      </c>
      <c r="P113" s="189" t="str">
        <f t="shared" si="67"/>
        <v>1078.86904761905</v>
      </c>
      <c r="Q113" s="160" t="str">
        <f t="shared" si="68"/>
        <v>1+17.4996712484124i</v>
      </c>
      <c r="R113" s="160">
        <f t="shared" si="77"/>
        <v>17.528219926806933</v>
      </c>
      <c r="S113" s="160">
        <f t="shared" si="78"/>
        <v>1.5137144743878397</v>
      </c>
      <c r="T113" s="160" t="str">
        <f t="shared" si="69"/>
        <v>1+0.0000111997895989839i</v>
      </c>
      <c r="U113" s="160">
        <f t="shared" si="79"/>
        <v>1.0000000000627176</v>
      </c>
      <c r="V113" s="160">
        <f t="shared" si="80"/>
        <v>1.1199789598515617E-5</v>
      </c>
      <c r="W113" s="98" t="str">
        <f t="shared" si="70"/>
        <v>1-0.00810013582956915i</v>
      </c>
      <c r="X113" s="160">
        <f t="shared" si="81"/>
        <v>1.0000328055621261</v>
      </c>
      <c r="Y113" s="160">
        <f t="shared" si="82"/>
        <v>-8.0999586806310506E-3</v>
      </c>
      <c r="Z113" s="98" t="str">
        <f t="shared" si="71"/>
        <v>0.999996822687061+0.00319939322902689i</v>
      </c>
      <c r="AA113" s="160">
        <f t="shared" si="83"/>
        <v>1.0000019407487424</v>
      </c>
      <c r="AB113" s="160">
        <f t="shared" si="84"/>
        <v>3.1993924780411727E-3</v>
      </c>
      <c r="AC113" s="171" t="str">
        <f t="shared" si="85"/>
        <v>2.81772280868135-61.4877771826949i</v>
      </c>
      <c r="AD113" s="190">
        <f t="shared" si="86"/>
        <v>35.784886480884772</v>
      </c>
      <c r="AE113" s="169">
        <f t="shared" si="87"/>
        <v>-87.376214202239694</v>
      </c>
      <c r="AF113" s="98" t="str">
        <f t="shared" si="72"/>
        <v>-9.95024875621891E-06</v>
      </c>
      <c r="AG113" s="98" t="str">
        <f t="shared" si="73"/>
        <v>0.000560549469429147i</v>
      </c>
      <c r="AH113" s="98">
        <f t="shared" si="88"/>
        <v>5.6054946942914695E-4</v>
      </c>
      <c r="AI113" s="98">
        <f t="shared" si="89"/>
        <v>1.5707963267948966</v>
      </c>
      <c r="AJ113" s="98" t="str">
        <f t="shared" si="74"/>
        <v>1+0.00559430049899298i</v>
      </c>
      <c r="AK113" s="98">
        <f t="shared" si="90"/>
        <v>1.0000156479766069</v>
      </c>
      <c r="AL113" s="98">
        <f t="shared" si="91"/>
        <v>5.5942421399766597E-3</v>
      </c>
      <c r="AM113" s="98" t="str">
        <f t="shared" si="75"/>
        <v>1+5.59989479949197i</v>
      </c>
      <c r="AN113" s="98">
        <f t="shared" si="92"/>
        <v>5.6884814990801553</v>
      </c>
      <c r="AO113" s="98">
        <f t="shared" si="93"/>
        <v>1.3940842197229049</v>
      </c>
      <c r="AP113" s="168" t="str">
        <f t="shared" si="94"/>
        <v>-0.0993006729634844+0.0183064020685517i</v>
      </c>
      <c r="AQ113" s="98">
        <f t="shared" si="95"/>
        <v>-19.915809068453122</v>
      </c>
      <c r="AR113" s="169">
        <f t="shared" si="96"/>
        <v>169.55461561171609</v>
      </c>
      <c r="AS113" s="168" t="str">
        <f t="shared" si="97"/>
        <v>0.845818200281314+6.15736001992383i</v>
      </c>
      <c r="AT113" s="190">
        <f t="shared" si="98"/>
        <v>15.869077412431647</v>
      </c>
      <c r="AU113" s="169">
        <f t="shared" si="99"/>
        <v>82.178401409476393</v>
      </c>
      <c r="AV113" s="225"/>
      <c r="AX113">
        <f t="shared" si="100"/>
        <v>0</v>
      </c>
      <c r="AY113">
        <f t="shared" si="101"/>
        <v>0</v>
      </c>
    </row>
    <row r="114" spans="14:51" x14ac:dyDescent="0.3">
      <c r="N114" s="170">
        <v>96</v>
      </c>
      <c r="O114" s="199">
        <f t="shared" si="76"/>
        <v>91.201083935590972</v>
      </c>
      <c r="P114" s="189" t="str">
        <f t="shared" si="67"/>
        <v>1078.86904761905</v>
      </c>
      <c r="Q114" s="160" t="str">
        <f t="shared" si="68"/>
        <v>1+17.9072909557174i</v>
      </c>
      <c r="R114" s="160">
        <f t="shared" si="77"/>
        <v>17.935190809487313</v>
      </c>
      <c r="S114" s="160">
        <f t="shared" si="78"/>
        <v>1.5150110906952607</v>
      </c>
      <c r="T114" s="160" t="str">
        <f t="shared" si="69"/>
        <v>1+0.0000114606662116591i</v>
      </c>
      <c r="U114" s="160">
        <f t="shared" si="79"/>
        <v>1.0000000000656735</v>
      </c>
      <c r="V114" s="160">
        <f t="shared" si="80"/>
        <v>1.1460666211157327E-5</v>
      </c>
      <c r="W114" s="98" t="str">
        <f t="shared" si="70"/>
        <v>1-0.00828881223092036i</v>
      </c>
      <c r="X114" s="160">
        <f t="shared" si="81"/>
        <v>1.0000343516140831</v>
      </c>
      <c r="Y114" s="160">
        <f t="shared" si="82"/>
        <v>-8.2886224127654388E-3</v>
      </c>
      <c r="Z114" s="98" t="str">
        <f t="shared" si="71"/>
        <v>0.999996672944916+0.00327391667081371i</v>
      </c>
      <c r="AA114" s="160">
        <f t="shared" si="83"/>
        <v>1.0000020322135692</v>
      </c>
      <c r="AB114" s="160">
        <f t="shared" si="84"/>
        <v>3.2739158661177765E-3</v>
      </c>
      <c r="AC114" s="171" t="str">
        <f t="shared" si="85"/>
        <v>2.66006899119532-60.0968551201467i</v>
      </c>
      <c r="AD114" s="190">
        <f t="shared" si="86"/>
        <v>35.585535360098575</v>
      </c>
      <c r="AE114" s="169">
        <f t="shared" si="87"/>
        <v>-87.465569408384184</v>
      </c>
      <c r="AF114" s="98" t="str">
        <f t="shared" si="72"/>
        <v>-9.95024875621891E-06</v>
      </c>
      <c r="AG114" s="98" t="str">
        <f t="shared" si="73"/>
        <v>0.00057360634389354i</v>
      </c>
      <c r="AH114" s="98">
        <f t="shared" si="88"/>
        <v>5.7360634389354E-4</v>
      </c>
      <c r="AI114" s="98">
        <f t="shared" si="89"/>
        <v>1.5707963267948966</v>
      </c>
      <c r="AJ114" s="98" t="str">
        <f t="shared" si="74"/>
        <v>1+0.00572460849733224i</v>
      </c>
      <c r="AK114" s="98">
        <f t="shared" si="90"/>
        <v>1.0000163854369826</v>
      </c>
      <c r="AL114" s="98">
        <f t="shared" si="91"/>
        <v>5.7245459645749557E-3</v>
      </c>
      <c r="AM114" s="98" t="str">
        <f t="shared" si="75"/>
        <v>1+5.73033310582957i</v>
      </c>
      <c r="AN114" s="98">
        <f t="shared" si="92"/>
        <v>5.8169336856944103</v>
      </c>
      <c r="AO114" s="98">
        <f t="shared" si="93"/>
        <v>1.3980262123999938</v>
      </c>
      <c r="AP114" s="168" t="str">
        <f t="shared" si="94"/>
        <v>-0.0993005265053152+0.0179152814457177i</v>
      </c>
      <c r="AQ114" s="98">
        <f t="shared" si="95"/>
        <v>-19.921860217304005</v>
      </c>
      <c r="AR114" s="169">
        <f t="shared" si="96"/>
        <v>169.77300929578089</v>
      </c>
      <c r="AS114" s="168" t="str">
        <f t="shared" si="97"/>
        <v>0.812505822113791+6.01530523938651i</v>
      </c>
      <c r="AT114" s="190">
        <f t="shared" si="98"/>
        <v>15.663675142794579</v>
      </c>
      <c r="AU114" s="169">
        <f t="shared" si="99"/>
        <v>82.307439887396725</v>
      </c>
      <c r="AV114" s="225"/>
      <c r="AX114">
        <f t="shared" si="100"/>
        <v>0</v>
      </c>
      <c r="AY114">
        <f t="shared" si="101"/>
        <v>0</v>
      </c>
    </row>
    <row r="115" spans="14:51" x14ac:dyDescent="0.3">
      <c r="N115" s="170">
        <v>97</v>
      </c>
      <c r="O115" s="199">
        <f t="shared" si="76"/>
        <v>93.325430079699174</v>
      </c>
      <c r="P115" s="189" t="str">
        <f t="shared" si="67"/>
        <v>1078.86904761905</v>
      </c>
      <c r="Q115" s="160" t="str">
        <f t="shared" si="68"/>
        <v>1+18.3244053457182i</v>
      </c>
      <c r="R115" s="160">
        <f t="shared" si="77"/>
        <v>18.351671075795409</v>
      </c>
      <c r="S115" s="160">
        <f t="shared" si="78"/>
        <v>1.5162783738761003</v>
      </c>
      <c r="T115" s="160" t="str">
        <f t="shared" si="69"/>
        <v>1+0.0000117276194212596i</v>
      </c>
      <c r="U115" s="160">
        <f t="shared" si="79"/>
        <v>1.0000000000687685</v>
      </c>
      <c r="V115" s="160">
        <f t="shared" si="80"/>
        <v>1.1727619420721939E-5</v>
      </c>
      <c r="W115" s="98" t="str">
        <f t="shared" si="70"/>
        <v>1-0.00848188347023183i</v>
      </c>
      <c r="X115" s="160">
        <f t="shared" si="81"/>
        <v>1.0000359705266619</v>
      </c>
      <c r="Y115" s="160">
        <f t="shared" si="82"/>
        <v>-8.4816800768094686E-3</v>
      </c>
      <c r="Z115" s="98" t="str">
        <f t="shared" si="71"/>
        <v>0.99999651614564+0.00335017598655481i</v>
      </c>
      <c r="AA115" s="160">
        <f t="shared" si="83"/>
        <v>1.000002127989015</v>
      </c>
      <c r="AB115" s="160">
        <f t="shared" si="84"/>
        <v>3.3501751243073174E-3</v>
      </c>
      <c r="AC115" s="171" t="str">
        <f t="shared" si="85"/>
        <v>2.50946765252143-58.7370068676672i</v>
      </c>
      <c r="AD115" s="190">
        <f t="shared" si="86"/>
        <v>35.386156285958961</v>
      </c>
      <c r="AE115" s="169">
        <f t="shared" si="87"/>
        <v>-87.553594813797403</v>
      </c>
      <c r="AF115" s="98" t="str">
        <f t="shared" si="72"/>
        <v>-9.95024875621891E-06</v>
      </c>
      <c r="AG115" s="98" t="str">
        <f t="shared" si="73"/>
        <v>0.000586967352034045i</v>
      </c>
      <c r="AH115" s="98">
        <f t="shared" si="88"/>
        <v>5.8696735203404501E-4</v>
      </c>
      <c r="AI115" s="98">
        <f t="shared" si="89"/>
        <v>1.5707963267948966</v>
      </c>
      <c r="AJ115" s="98" t="str">
        <f t="shared" si="74"/>
        <v>1+0.00585795175887095i</v>
      </c>
      <c r="AK115" s="98">
        <f t="shared" si="90"/>
        <v>1.0000171576522121</v>
      </c>
      <c r="AL115" s="98">
        <f t="shared" si="91"/>
        <v>5.8578847538764004E-3</v>
      </c>
      <c r="AM115" s="98" t="str">
        <f t="shared" si="75"/>
        <v>1+5.86380971062982i</v>
      </c>
      <c r="AN115" s="98">
        <f t="shared" si="92"/>
        <v>5.9484673927387863</v>
      </c>
      <c r="AO115" s="98">
        <f t="shared" si="93"/>
        <v>1.4018837221295797</v>
      </c>
      <c r="AP115" s="168" t="str">
        <f t="shared" si="94"/>
        <v>-0.0993003731452479+0.0175336596631982i</v>
      </c>
      <c r="AQ115" s="98">
        <f t="shared" si="95"/>
        <v>-19.927647474291287</v>
      </c>
      <c r="AR115" s="169">
        <f t="shared" si="96"/>
        <v>169.98638857284439</v>
      </c>
      <c r="AS115" s="168" t="str">
        <f t="shared" si="97"/>
        <v>0.780683613761305+5.87660685114946i</v>
      </c>
      <c r="AT115" s="190">
        <f t="shared" si="98"/>
        <v>15.458508811667681</v>
      </c>
      <c r="AU115" s="169">
        <f t="shared" si="99"/>
        <v>82.432793759047001</v>
      </c>
      <c r="AV115" s="225"/>
      <c r="AX115">
        <f t="shared" si="100"/>
        <v>0</v>
      </c>
      <c r="AY115">
        <f t="shared" si="101"/>
        <v>0</v>
      </c>
    </row>
    <row r="116" spans="14:51" x14ac:dyDescent="0.3">
      <c r="N116" s="170">
        <v>98</v>
      </c>
      <c r="O116" s="199">
        <f t="shared" si="76"/>
        <v>95.499258602143655</v>
      </c>
      <c r="P116" s="189" t="str">
        <f t="shared" si="67"/>
        <v>1078.86904761905</v>
      </c>
      <c r="Q116" s="160" t="str">
        <f t="shared" si="68"/>
        <v>1+18.7512355779854i</v>
      </c>
      <c r="R116" s="160">
        <f t="shared" si="77"/>
        <v>18.777881555199606</v>
      </c>
      <c r="S116" s="160">
        <f t="shared" si="78"/>
        <v>1.51751697956933</v>
      </c>
      <c r="T116" s="160" t="str">
        <f t="shared" si="69"/>
        <v>1+0.0000120007907699107i</v>
      </c>
      <c r="U116" s="160">
        <f t="shared" si="79"/>
        <v>1.0000000000720095</v>
      </c>
      <c r="V116" s="160">
        <f t="shared" si="80"/>
        <v>1.2000790769334586E-5</v>
      </c>
      <c r="W116" s="98" t="str">
        <f t="shared" si="70"/>
        <v>1-0.00867945191643019i</v>
      </c>
      <c r="X116" s="160">
        <f t="shared" si="81"/>
        <v>1.0000376657334311</v>
      </c>
      <c r="Y116" s="160">
        <f t="shared" si="82"/>
        <v>-8.679233976894905E-3</v>
      </c>
      <c r="Z116" s="98" t="str">
        <f t="shared" si="71"/>
        <v>0.999996351956643+0.0034282116099488i</v>
      </c>
      <c r="AA116" s="160">
        <f t="shared" si="83"/>
        <v>1.0000022282782359</v>
      </c>
      <c r="AB116" s="160">
        <f t="shared" si="84"/>
        <v>3.428210686033664E-3</v>
      </c>
      <c r="AC116" s="171" t="str">
        <f t="shared" si="85"/>
        <v>2.36560515817572-57.4075638574722i</v>
      </c>
      <c r="AD116" s="190">
        <f t="shared" si="86"/>
        <v>35.186750563790305</v>
      </c>
      <c r="AE116" s="169">
        <f t="shared" si="87"/>
        <v>-87.640336153975085</v>
      </c>
      <c r="AF116" s="98" t="str">
        <f t="shared" si="72"/>
        <v>-9.95024875621891E-06</v>
      </c>
      <c r="AG116" s="98" t="str">
        <f t="shared" si="73"/>
        <v>0.000600639578034028i</v>
      </c>
      <c r="AH116" s="98">
        <f t="shared" si="88"/>
        <v>6.0063957803402801E-4</v>
      </c>
      <c r="AI116" s="98">
        <f t="shared" si="89"/>
        <v>1.5707963267948966</v>
      </c>
      <c r="AJ116" s="98" t="str">
        <f t="shared" si="74"/>
        <v>1+0.00599440098397136i</v>
      </c>
      <c r="AK116" s="98">
        <f t="shared" si="90"/>
        <v>1.0000179662601851</v>
      </c>
      <c r="AL116" s="98">
        <f t="shared" si="91"/>
        <v>5.9943291868958188E-3</v>
      </c>
      <c r="AM116" s="98" t="str">
        <f t="shared" si="75"/>
        <v>1+6.00039538495533i</v>
      </c>
      <c r="AN116" s="98">
        <f t="shared" si="92"/>
        <v>6.0831525359630119</v>
      </c>
      <c r="AO116" s="98">
        <f t="shared" si="93"/>
        <v>1.4056583347750333</v>
      </c>
      <c r="AP116" s="168" t="str">
        <f t="shared" si="94"/>
        <v>-0.0993002125580512+0.0171613343744198i</v>
      </c>
      <c r="AQ116" s="98">
        <f t="shared" si="95"/>
        <v>-19.933182071454421</v>
      </c>
      <c r="AR116" s="169">
        <f t="shared" si="96"/>
        <v>170.19484025657556</v>
      </c>
      <c r="AS116" s="168" t="str">
        <f t="shared" si="97"/>
        <v>0.750285303943666+5.74118023460419i</v>
      </c>
      <c r="AT116" s="190">
        <f t="shared" si="98"/>
        <v>15.253568492335884</v>
      </c>
      <c r="AU116" s="169">
        <f t="shared" si="99"/>
        <v>82.554504102600475</v>
      </c>
      <c r="AV116" s="225"/>
      <c r="AX116">
        <f t="shared" si="100"/>
        <v>0</v>
      </c>
      <c r="AY116">
        <f t="shared" si="101"/>
        <v>0</v>
      </c>
    </row>
    <row r="117" spans="14:51" x14ac:dyDescent="0.3">
      <c r="N117" s="170">
        <v>99</v>
      </c>
      <c r="O117" s="199">
        <f t="shared" si="76"/>
        <v>97.723722095581124</v>
      </c>
      <c r="P117" s="189" t="str">
        <f t="shared" si="67"/>
        <v>1078.86904761905</v>
      </c>
      <c r="Q117" s="160" t="str">
        <f t="shared" si="68"/>
        <v>1+19.188007963558i</v>
      </c>
      <c r="R117" s="160">
        <f t="shared" si="77"/>
        <v>19.214048235849862</v>
      </c>
      <c r="S117" s="160">
        <f t="shared" si="78"/>
        <v>1.51872754928987</v>
      </c>
      <c r="T117" s="160" t="str">
        <f t="shared" si="69"/>
        <v>1+0.0000122803250966771i</v>
      </c>
      <c r="U117" s="160">
        <f t="shared" si="79"/>
        <v>1.0000000000754032</v>
      </c>
      <c r="V117" s="160">
        <f t="shared" si="80"/>
        <v>1.2280325096059782E-5</v>
      </c>
      <c r="W117" s="98" t="str">
        <f t="shared" si="70"/>
        <v>1-0.00888162232292077i</v>
      </c>
      <c r="X117" s="160">
        <f t="shared" si="81"/>
        <v>1.0000394408297539</v>
      </c>
      <c r="Y117" s="160">
        <f t="shared" si="82"/>
        <v>-8.8813887969987626E-3</v>
      </c>
      <c r="Z117" s="98" t="str">
        <f t="shared" si="71"/>
        <v>0.999996180029656+0.00350806491651612i</v>
      </c>
      <c r="AA117" s="160">
        <f t="shared" si="83"/>
        <v>1.0000023332939592</v>
      </c>
      <c r="AB117" s="160">
        <f t="shared" si="84"/>
        <v>3.5080639265228811E-3</v>
      </c>
      <c r="AC117" s="171" t="str">
        <f t="shared" si="85"/>
        <v>2.22818165925223-56.1078701763289i</v>
      </c>
      <c r="AD117" s="190">
        <f t="shared" si="86"/>
        <v>34.987319443421121</v>
      </c>
      <c r="AE117" s="169">
        <f t="shared" si="87"/>
        <v>-87.725838545291865</v>
      </c>
      <c r="AF117" s="98" t="str">
        <f t="shared" si="72"/>
        <v>-9.95024875621891E-06</v>
      </c>
      <c r="AG117" s="98" t="str">
        <f t="shared" si="73"/>
        <v>0.00061463027108869i</v>
      </c>
      <c r="AH117" s="98">
        <f t="shared" si="88"/>
        <v>6.1463027108869003E-4</v>
      </c>
      <c r="AI117" s="98">
        <f t="shared" si="89"/>
        <v>1.5707963267948966</v>
      </c>
      <c r="AJ117" s="98" t="str">
        <f t="shared" si="74"/>
        <v>1+0.00613402851981874i</v>
      </c>
      <c r="AK117" s="98">
        <f t="shared" si="90"/>
        <v>1.0000188129759768</v>
      </c>
      <c r="AL117" s="98">
        <f t="shared" si="91"/>
        <v>6.1339515879444044E-3</v>
      </c>
      <c r="AM117" s="98" t="str">
        <f t="shared" si="75"/>
        <v>1+6.14016254833856i</v>
      </c>
      <c r="AN117" s="98">
        <f t="shared" si="92"/>
        <v>6.2210606909127213</v>
      </c>
      <c r="AO117" s="98">
        <f t="shared" si="93"/>
        <v>1.4093516212330388</v>
      </c>
      <c r="AP117" s="168" t="str">
        <f t="shared" si="94"/>
        <v>-0.0993000444031695+0.0167981081615291i</v>
      </c>
      <c r="AQ117" s="98">
        <f t="shared" si="95"/>
        <v>-19.938474793419687</v>
      </c>
      <c r="AR117" s="169">
        <f t="shared" si="96"/>
        <v>170.39845020884647</v>
      </c>
      <c r="AS117" s="168" t="str">
        <f t="shared" si="97"/>
        <v>0.721247534232931+5.60894323639238i</v>
      </c>
      <c r="AT117" s="190">
        <f t="shared" si="98"/>
        <v>15.048844650001422</v>
      </c>
      <c r="AU117" s="169">
        <f t="shared" si="99"/>
        <v>82.672611663554633</v>
      </c>
      <c r="AV117" s="225"/>
      <c r="AX117">
        <f t="shared" si="100"/>
        <v>0</v>
      </c>
      <c r="AY117">
        <f t="shared" si="101"/>
        <v>0</v>
      </c>
    </row>
    <row r="118" spans="14:51" x14ac:dyDescent="0.3">
      <c r="N118" s="170">
        <v>100</v>
      </c>
      <c r="O118" s="199">
        <f t="shared" si="76"/>
        <v>100</v>
      </c>
      <c r="P118" s="189" t="str">
        <f t="shared" si="67"/>
        <v>1078.86904761905</v>
      </c>
      <c r="Q118" s="160" t="str">
        <f t="shared" si="68"/>
        <v>1+19.6349540849362i</v>
      </c>
      <c r="R118" s="160">
        <f t="shared" si="77"/>
        <v>19.660402384426234</v>
      </c>
      <c r="S118" s="160">
        <f t="shared" si="78"/>
        <v>1.5199107106972443</v>
      </c>
      <c r="T118" s="160" t="str">
        <f t="shared" si="69"/>
        <v>1+0.0000125663706143592i</v>
      </c>
      <c r="U118" s="160">
        <f t="shared" si="79"/>
        <v>1.0000000000789568</v>
      </c>
      <c r="V118" s="160">
        <f t="shared" si="80"/>
        <v>1.2566370613697734E-5</v>
      </c>
      <c r="W118" s="98" t="str">
        <f t="shared" si="70"/>
        <v>1-0.00908850188312914i</v>
      </c>
      <c r="X118" s="160">
        <f t="shared" si="81"/>
        <v>1.0000412995804122</v>
      </c>
      <c r="Y118" s="160">
        <f t="shared" si="82"/>
        <v>-9.0882516561535519E-3</v>
      </c>
      <c r="Z118" s="98" t="str">
        <f t="shared" si="71"/>
        <v>0.999996+0.00358977824553692i</v>
      </c>
      <c r="AA118" s="160">
        <f t="shared" si="83"/>
        <v>1.0000024432589414</v>
      </c>
      <c r="AB118" s="160">
        <f t="shared" si="84"/>
        <v>3.5897771847396751E-3</v>
      </c>
      <c r="AC118" s="171" t="str">
        <f t="shared" si="85"/>
        <v>2.09691050076525-54.8372824455437i</v>
      </c>
      <c r="AD118" s="190">
        <f t="shared" si="86"/>
        <v>34.787864121744995</v>
      </c>
      <c r="AE118" s="169">
        <f t="shared" si="87"/>
        <v>-87.810146504809921</v>
      </c>
      <c r="AF118" s="98" t="str">
        <f t="shared" si="72"/>
        <v>-9.95024875621891E-06</v>
      </c>
      <c r="AG118" s="98" t="str">
        <f t="shared" si="73"/>
        <v>0.000628946849248677i</v>
      </c>
      <c r="AH118" s="98">
        <f t="shared" si="88"/>
        <v>6.2894684924867704E-4</v>
      </c>
      <c r="AI118" s="98">
        <f t="shared" si="89"/>
        <v>1.5707963267948966</v>
      </c>
      <c r="AJ118" s="98" t="str">
        <f t="shared" si="74"/>
        <v>1+0.00627690839878081i</v>
      </c>
      <c r="AK118" s="98">
        <f t="shared" si="90"/>
        <v>1.0000196995954862</v>
      </c>
      <c r="AL118" s="98">
        <f t="shared" si="91"/>
        <v>6.2768259648799752E-3</v>
      </c>
      <c r="AM118" s="98" t="str">
        <f t="shared" si="75"/>
        <v>1+6.28318530717959i</v>
      </c>
      <c r="AN118" s="98">
        <f t="shared" si="92"/>
        <v>6.362265131567332</v>
      </c>
      <c r="AO118" s="98">
        <f t="shared" si="93"/>
        <v>1.4129651365067379</v>
      </c>
      <c r="AP118" s="168" t="str">
        <f t="shared" si="94"/>
        <v>-0.099299868324003+0.0164437884306898i</v>
      </c>
      <c r="AQ118" s="98">
        <f t="shared" si="95"/>
        <v>-19.943535992900252</v>
      </c>
      <c r="AR118" s="169">
        <f t="shared" si="96"/>
        <v>170.59730328443655</v>
      </c>
      <c r="AS118" s="168" t="str">
        <f t="shared" si="97"/>
        <v>0.693509734035292+5.47981607872133i</v>
      </c>
      <c r="AT118" s="190">
        <f t="shared" si="98"/>
        <v>14.844328128844753</v>
      </c>
      <c r="AU118" s="169">
        <f t="shared" si="99"/>
        <v>82.787156779626642</v>
      </c>
      <c r="AV118" s="225"/>
      <c r="AX118">
        <f t="shared" si="100"/>
        <v>0</v>
      </c>
      <c r="AY118">
        <f t="shared" si="101"/>
        <v>0</v>
      </c>
    </row>
    <row r="119" spans="14:51" x14ac:dyDescent="0.3">
      <c r="N119" s="170">
        <v>1</v>
      </c>
      <c r="O119" s="199">
        <f>10^(2+(N119/100))</f>
        <v>102.32929922807544</v>
      </c>
      <c r="P119" s="189" t="str">
        <f t="shared" si="67"/>
        <v>1078.86904761905</v>
      </c>
      <c r="Q119" s="160" t="str">
        <f t="shared" si="68"/>
        <v>1+20.0923109188696i</v>
      </c>
      <c r="R119" s="160">
        <f t="shared" si="77"/>
        <v>20.117180668784741</v>
      </c>
      <c r="S119" s="160">
        <f t="shared" si="78"/>
        <v>1.5210670778615862</v>
      </c>
      <c r="T119" s="160" t="str">
        <f t="shared" si="69"/>
        <v>1+0.0000128590789880765i</v>
      </c>
      <c r="U119" s="160">
        <f t="shared" si="79"/>
        <v>1.0000000000826779</v>
      </c>
      <c r="V119" s="160">
        <f t="shared" si="80"/>
        <v>1.2859078987367724E-5</v>
      </c>
      <c r="W119" s="98" t="str">
        <f t="shared" si="70"/>
        <v>1-0.00930020028733648i</v>
      </c>
      <c r="X119" s="160">
        <f t="shared" si="81"/>
        <v>1.0000432459275872</v>
      </c>
      <c r="Y119" s="160">
        <f t="shared" si="82"/>
        <v>-9.2999321649276621E-3</v>
      </c>
      <c r="Z119" s="98" t="str">
        <f t="shared" si="71"/>
        <v>0.999995811485808+0.00367339492249983i</v>
      </c>
      <c r="AA119" s="160">
        <f t="shared" si="83"/>
        <v>1.0000025584064354</v>
      </c>
      <c r="AB119" s="160">
        <f t="shared" si="84"/>
        <v>3.6733937858346795E-3</v>
      </c>
      <c r="AC119" s="171" t="str">
        <f t="shared" si="85"/>
        <v>1.9715176541221-53.5951696927839i</v>
      </c>
      <c r="AD119" s="190">
        <f t="shared" si="86"/>
        <v>34.588385745177007</v>
      </c>
      <c r="AE119" s="169">
        <f t="shared" si="87"/>
        <v>-87.893303970037707</v>
      </c>
      <c r="AF119" s="98" t="str">
        <f t="shared" si="72"/>
        <v>-9.95024875621891E-06</v>
      </c>
      <c r="AG119" s="98" t="str">
        <f t="shared" si="73"/>
        <v>0.000643596903353231i</v>
      </c>
      <c r="AH119" s="98">
        <f t="shared" si="88"/>
        <v>6.4359690335323095E-4</v>
      </c>
      <c r="AI119" s="98">
        <f t="shared" si="89"/>
        <v>1.5707963267948966</v>
      </c>
      <c r="AJ119" s="98" t="str">
        <f t="shared" si="74"/>
        <v>1+0.00642311637766061i</v>
      </c>
      <c r="AK119" s="98">
        <f t="shared" si="90"/>
        <v>1.0000206279992432</v>
      </c>
      <c r="AL119" s="98">
        <f t="shared" si="91"/>
        <v>6.4230280482428653E-3</v>
      </c>
      <c r="AM119" s="98" t="str">
        <f t="shared" si="75"/>
        <v>1+6.42953949403827i</v>
      </c>
      <c r="AN119" s="98">
        <f t="shared" si="92"/>
        <v>6.506840869838288</v>
      </c>
      <c r="AO119" s="98">
        <f t="shared" si="93"/>
        <v>1.4165004188699755</v>
      </c>
      <c r="AP119" s="168" t="str">
        <f t="shared" si="94"/>
        <v>-0.0992996839471503+0.0160981873099363i</v>
      </c>
      <c r="AQ119" s="98">
        <f t="shared" si="95"/>
        <v>-19.948375605878301</v>
      </c>
      <c r="AR119" s="169">
        <f t="shared" si="96"/>
        <v>170.79148328090446</v>
      </c>
      <c r="AS119" s="168" t="str">
        <f t="shared" si="97"/>
        <v>0.667014000671704+5.35372127206823i</v>
      </c>
      <c r="AT119" s="190">
        <f t="shared" si="98"/>
        <v>14.640010139298701</v>
      </c>
      <c r="AU119" s="169">
        <f t="shared" si="99"/>
        <v>82.898179310866752</v>
      </c>
      <c r="AV119" s="225"/>
      <c r="AX119">
        <f t="shared" si="100"/>
        <v>0</v>
      </c>
      <c r="AY119">
        <f t="shared" si="101"/>
        <v>0</v>
      </c>
    </row>
    <row r="120" spans="14:51" x14ac:dyDescent="0.3">
      <c r="N120" s="170">
        <v>2</v>
      </c>
      <c r="O120" s="199">
        <f t="shared" ref="O120:O183" si="102">10^(2+(N120/100))</f>
        <v>104.71285480508998</v>
      </c>
      <c r="P120" s="189" t="str">
        <f t="shared" si="67"/>
        <v>1078.86904761905</v>
      </c>
      <c r="Q120" s="160" t="str">
        <f t="shared" si="68"/>
        <v>1+20.5603209620053i</v>
      </c>
      <c r="R120" s="160">
        <f t="shared" si="77"/>
        <v>20.584625283465193</v>
      </c>
      <c r="S120" s="160">
        <f t="shared" si="78"/>
        <v>1.5221972515268343</v>
      </c>
      <c r="T120" s="160" t="str">
        <f t="shared" si="69"/>
        <v>1+0.0000131586054156834i</v>
      </c>
      <c r="U120" s="160">
        <f t="shared" si="79"/>
        <v>1.0000000000865743</v>
      </c>
      <c r="V120" s="160">
        <f t="shared" si="80"/>
        <v>1.3158605414923933E-5</v>
      </c>
      <c r="W120" s="98" t="str">
        <f t="shared" si="70"/>
        <v>1-0.00951682978083888i</v>
      </c>
      <c r="X120" s="160">
        <f t="shared" si="81"/>
        <v>1.0000452839992184</v>
      </c>
      <c r="Y120" s="160">
        <f t="shared" si="82"/>
        <v>-9.516542483204285E-3</v>
      </c>
      <c r="Z120" s="98" t="str">
        <f t="shared" si="71"/>
        <v>0.999995614087215+0.00375895928207378i</v>
      </c>
      <c r="AA120" s="160">
        <f t="shared" si="83"/>
        <v>1.0000026789806868</v>
      </c>
      <c r="AB120" s="160">
        <f t="shared" si="84"/>
        <v>3.7589580641146556E-3</v>
      </c>
      <c r="AC120" s="171" t="str">
        <f t="shared" si="85"/>
        <v>1.85174117285587-52.3809132166173i</v>
      </c>
      <c r="AD120" s="190">
        <f t="shared" si="86"/>
        <v>34.388885412010808</v>
      </c>
      <c r="AE120" s="169">
        <f t="shared" si="87"/>
        <v>-87.97535431863183</v>
      </c>
      <c r="AF120" s="98" t="str">
        <f t="shared" si="72"/>
        <v>-9.95024875621891E-06</v>
      </c>
      <c r="AG120" s="98" t="str">
        <f t="shared" si="73"/>
        <v>0.000658588201054955i</v>
      </c>
      <c r="AH120" s="98">
        <f t="shared" si="88"/>
        <v>6.5858820105495501E-4</v>
      </c>
      <c r="AI120" s="98">
        <f t="shared" si="89"/>
        <v>1.5707963267948966</v>
      </c>
      <c r="AJ120" s="98" t="str">
        <f t="shared" si="74"/>
        <v>1+0.00657272997786385i</v>
      </c>
      <c r="AK120" s="98">
        <f t="shared" si="90"/>
        <v>1.0000216001563975</v>
      </c>
      <c r="AL120" s="98">
        <f t="shared" si="91"/>
        <v>6.5726353312979277E-3</v>
      </c>
      <c r="AM120" s="98" t="str">
        <f t="shared" si="75"/>
        <v>1+6.57930270784171i</v>
      </c>
      <c r="AN120" s="98">
        <f t="shared" si="92"/>
        <v>6.6548646959508702</v>
      </c>
      <c r="AO120" s="98">
        <f t="shared" si="93"/>
        <v>1.4199589891173572</v>
      </c>
      <c r="AP120" s="168" t="str">
        <f t="shared" si="94"/>
        <v>-0.099299490881618+0.0157611215495284i</v>
      </c>
      <c r="AQ120" s="98">
        <f t="shared" si="95"/>
        <v>-19.953003166454586</v>
      </c>
      <c r="AR120" s="169">
        <f t="shared" si="96"/>
        <v>170.9810728933254</v>
      </c>
      <c r="AS120" s="168" t="str">
        <f t="shared" si="97"/>
        <v>0.641704984373286+5.23058353202796i</v>
      </c>
      <c r="AT120" s="190">
        <f t="shared" si="98"/>
        <v>14.43588224555622</v>
      </c>
      <c r="AU120" s="169">
        <f t="shared" si="99"/>
        <v>83.005718574693574</v>
      </c>
      <c r="AV120" s="225"/>
      <c r="AX120">
        <f t="shared" si="100"/>
        <v>0</v>
      </c>
      <c r="AY120">
        <f t="shared" si="101"/>
        <v>0</v>
      </c>
    </row>
    <row r="121" spans="14:51" x14ac:dyDescent="0.3">
      <c r="N121" s="170">
        <v>3</v>
      </c>
      <c r="O121" s="199">
        <f t="shared" si="102"/>
        <v>107.15193052376065</v>
      </c>
      <c r="P121" s="189" t="str">
        <f t="shared" si="67"/>
        <v>1078.86904761905</v>
      </c>
      <c r="Q121" s="160" t="str">
        <f t="shared" si="68"/>
        <v>1+21.0392323594632i</v>
      </c>
      <c r="R121" s="160">
        <f t="shared" si="77"/>
        <v>21.062984078128235</v>
      </c>
      <c r="S121" s="160">
        <f t="shared" si="78"/>
        <v>1.5233018193709655</v>
      </c>
      <c r="T121" s="160" t="str">
        <f t="shared" si="69"/>
        <v>1+0.0000134651087100564i</v>
      </c>
      <c r="U121" s="160">
        <f t="shared" si="79"/>
        <v>1.0000000000906546</v>
      </c>
      <c r="V121" s="160">
        <f t="shared" si="80"/>
        <v>1.3465108709242618E-5</v>
      </c>
      <c r="W121" s="98" t="str">
        <f t="shared" si="70"/>
        <v>1-0.00973850522346121i</v>
      </c>
      <c r="X121" s="160">
        <f t="shared" si="81"/>
        <v>1.0000474181177548</v>
      </c>
      <c r="Y121" s="160">
        <f t="shared" si="82"/>
        <v>-9.7381973792877389E-3</v>
      </c>
      <c r="Z121" s="98" t="str">
        <f t="shared" si="71"/>
        <v>0.999995407385514+0.00384651669161479i</v>
      </c>
      <c r="AA121" s="160">
        <f t="shared" si="83"/>
        <v>1.0000028052374548</v>
      </c>
      <c r="AB121" s="160">
        <f t="shared" si="84"/>
        <v>3.8465153865475414E-3</v>
      </c>
      <c r="AC121" s="171" t="str">
        <f t="shared" si="85"/>
        <v>1.7373306707678-51.1939064445734i</v>
      </c>
      <c r="AD121" s="190">
        <f t="shared" si="86"/>
        <v>34.189364174679049</v>
      </c>
      <c r="AE121" s="169">
        <f t="shared" si="87"/>
        <v>-88.056340388036119</v>
      </c>
      <c r="AF121" s="98" t="str">
        <f t="shared" si="72"/>
        <v>-9.95024875621891E-06</v>
      </c>
      <c r="AG121" s="98" t="str">
        <f t="shared" si="73"/>
        <v>0.000673928690938324i</v>
      </c>
      <c r="AH121" s="98">
        <f t="shared" si="88"/>
        <v>6.7392869093832399E-4</v>
      </c>
      <c r="AI121" s="98">
        <f t="shared" si="89"/>
        <v>1.5707963267948966</v>
      </c>
      <c r="AJ121" s="98" t="str">
        <f t="shared" si="74"/>
        <v>1+0.00672582852650171i</v>
      </c>
      <c r="AK121" s="98">
        <f t="shared" si="90"/>
        <v>1.000022618128894</v>
      </c>
      <c r="AL121" s="98">
        <f t="shared" si="91"/>
        <v>6.7257271110030339E-3</v>
      </c>
      <c r="AM121" s="98" t="str">
        <f t="shared" si="75"/>
        <v>1+6.73255435502821i</v>
      </c>
      <c r="AN121" s="98">
        <f t="shared" si="92"/>
        <v>6.8064152197327275</v>
      </c>
      <c r="AO121" s="98">
        <f t="shared" si="93"/>
        <v>1.4233423498950168</v>
      </c>
      <c r="AP121" s="168" t="str">
        <f t="shared" si="94"/>
        <v>-0.0992992887179922+0.0154324124247535i</v>
      </c>
      <c r="AQ121" s="98">
        <f t="shared" si="95"/>
        <v>-19.957427821354106</v>
      </c>
      <c r="AR121" s="169">
        <f t="shared" si="96"/>
        <v>171.16615367360021</v>
      </c>
      <c r="AS121" s="168" t="str">
        <f t="shared" si="97"/>
        <v>0.617529778011708+5.11032970007104i</v>
      </c>
      <c r="AT121" s="190">
        <f t="shared" si="98"/>
        <v>14.231936353324951</v>
      </c>
      <c r="AU121" s="169">
        <f t="shared" si="99"/>
        <v>83.109813285564101</v>
      </c>
      <c r="AV121" s="225"/>
      <c r="AX121">
        <f t="shared" si="100"/>
        <v>0</v>
      </c>
      <c r="AY121">
        <f t="shared" si="101"/>
        <v>0</v>
      </c>
    </row>
    <row r="122" spans="14:51" x14ac:dyDescent="0.3">
      <c r="N122" s="170">
        <v>4</v>
      </c>
      <c r="O122" s="199">
        <f t="shared" si="102"/>
        <v>109.64781961431861</v>
      </c>
      <c r="P122" s="189" t="str">
        <f t="shared" si="67"/>
        <v>1078.86904761905</v>
      </c>
      <c r="Q122" s="160" t="str">
        <f t="shared" si="68"/>
        <v>1+21.5292990364051i</v>
      </c>
      <c r="R122" s="160">
        <f t="shared" si="77"/>
        <v>21.552510688988271</v>
      </c>
      <c r="S122" s="160">
        <f t="shared" si="78"/>
        <v>1.5243813562631416</v>
      </c>
      <c r="T122" s="160" t="str">
        <f t="shared" si="69"/>
        <v>1+0.0000137787513832993i</v>
      </c>
      <c r="U122" s="160">
        <f t="shared" si="79"/>
        <v>1.000000000094927</v>
      </c>
      <c r="V122" s="160">
        <f t="shared" si="80"/>
        <v>1.3778751382427317E-5</v>
      </c>
      <c r="W122" s="98" t="str">
        <f t="shared" si="70"/>
        <v>1-0.00996534415045738i</v>
      </c>
      <c r="X122" s="160">
        <f t="shared" si="81"/>
        <v>1.0000496528093177</v>
      </c>
      <c r="Y122" s="160">
        <f t="shared" si="82"/>
        <v>-9.9650142903670372E-3</v>
      </c>
      <c r="Z122" s="98" t="str">
        <f t="shared" si="71"/>
        <v>0.999995190942262+0.00393611357522037i</v>
      </c>
      <c r="AA122" s="160">
        <f t="shared" si="83"/>
        <v>1.0000029374445498</v>
      </c>
      <c r="AB122" s="160">
        <f t="shared" si="84"/>
        <v>3.9361121768150195E-3</v>
      </c>
      <c r="AC122" s="171" t="str">
        <f t="shared" si="85"/>
        <v>1.62804682165181-50.0335547855016i</v>
      </c>
      <c r="AD122" s="190">
        <f t="shared" si="86"/>
        <v>33.989823041924069</v>
      </c>
      <c r="AE122" s="169">
        <f t="shared" si="87"/>
        <v>-88.136304495052315</v>
      </c>
      <c r="AF122" s="98" t="str">
        <f t="shared" si="72"/>
        <v>-9.95024875621891E-06</v>
      </c>
      <c r="AG122" s="98" t="str">
        <f t="shared" si="73"/>
        <v>0.000689626506734129i</v>
      </c>
      <c r="AH122" s="98">
        <f t="shared" si="88"/>
        <v>6.8962650673412898E-4</v>
      </c>
      <c r="AI122" s="98">
        <f t="shared" si="89"/>
        <v>1.5707963267948966</v>
      </c>
      <c r="AJ122" s="98" t="str">
        <f t="shared" si="74"/>
        <v>1+0.00688249319845119i</v>
      </c>
      <c r="AK122" s="98">
        <f t="shared" si="90"/>
        <v>1.0000236840758456</v>
      </c>
      <c r="AL122" s="98">
        <f t="shared" si="91"/>
        <v>6.8823845299255089E-3</v>
      </c>
      <c r="AM122" s="98" t="str">
        <f t="shared" si="75"/>
        <v>1+6.88937569164964i</v>
      </c>
      <c r="AN122" s="98">
        <f t="shared" si="92"/>
        <v>6.9615729128332022</v>
      </c>
      <c r="AO122" s="98">
        <f t="shared" si="93"/>
        <v>1.4266519851071999</v>
      </c>
      <c r="AP122" s="168" t="str">
        <f t="shared" si="94"/>
        <v>-0.0992990770275706+0.0151118856411276i</v>
      </c>
      <c r="AQ122" s="98">
        <f t="shared" si="95"/>
        <v>-19.961658344078689</v>
      </c>
      <c r="AR122" s="169">
        <f t="shared" si="96"/>
        <v>171.34680599405243</v>
      </c>
      <c r="AS122" s="168" t="str">
        <f t="shared" si="97"/>
        <v>0.594437811389898+4.9928886679959i</v>
      </c>
      <c r="AT122" s="190">
        <f t="shared" si="98"/>
        <v>14.028164697845382</v>
      </c>
      <c r="AU122" s="169">
        <f t="shared" si="99"/>
        <v>83.210501499000131</v>
      </c>
      <c r="AV122" s="225"/>
      <c r="AX122">
        <f t="shared" si="100"/>
        <v>0</v>
      </c>
      <c r="AY122">
        <f t="shared" si="101"/>
        <v>0</v>
      </c>
    </row>
    <row r="123" spans="14:51" x14ac:dyDescent="0.3">
      <c r="N123" s="170">
        <v>5</v>
      </c>
      <c r="O123" s="199">
        <f t="shared" si="102"/>
        <v>112.20184543019634</v>
      </c>
      <c r="P123" s="189" t="str">
        <f t="shared" si="67"/>
        <v>1078.86904761905</v>
      </c>
      <c r="Q123" s="160" t="str">
        <f t="shared" si="68"/>
        <v>1+22.0307808326702i</v>
      </c>
      <c r="R123" s="160">
        <f t="shared" si="77"/>
        <v>22.053464673314906</v>
      </c>
      <c r="S123" s="160">
        <f t="shared" si="78"/>
        <v>1.5254364245176515</v>
      </c>
      <c r="T123" s="160" t="str">
        <f t="shared" si="69"/>
        <v>1+0.0000140996997329089i</v>
      </c>
      <c r="U123" s="160">
        <f t="shared" si="79"/>
        <v>1.0000000000994009</v>
      </c>
      <c r="V123" s="160">
        <f t="shared" si="80"/>
        <v>1.4099699731974554E-5</v>
      </c>
      <c r="W123" s="98" t="str">
        <f t="shared" si="70"/>
        <v>1-0.010197466834829i</v>
      </c>
      <c r="X123" s="160">
        <f t="shared" si="81"/>
        <v>1.0000519928132974</v>
      </c>
      <c r="Y123" s="160">
        <f t="shared" si="82"/>
        <v>-1.019711338436663E-2</v>
      </c>
      <c r="Z123" s="98" t="str">
        <f t="shared" si="71"/>
        <v>0.999994964298353+0.00402779743834415i</v>
      </c>
      <c r="AA123" s="160">
        <f t="shared" si="83"/>
        <v>1.0000030758824037</v>
      </c>
      <c r="AB123" s="160">
        <f t="shared" si="84"/>
        <v>4.0277959399251497E-3</v>
      </c>
      <c r="AC123" s="171" t="str">
        <f t="shared" si="85"/>
        <v>1.52366087979324-48.8992754769072i</v>
      </c>
      <c r="AD123" s="190">
        <f t="shared" si="86"/>
        <v>33.790262980879476</v>
      </c>
      <c r="AE123" s="169">
        <f t="shared" si="87"/>
        <v>-88.215288455339163</v>
      </c>
      <c r="AF123" s="98" t="str">
        <f t="shared" si="72"/>
        <v>-9.95024875621891E-06</v>
      </c>
      <c r="AG123" s="98" t="str">
        <f t="shared" si="73"/>
        <v>0.00070568997163209i</v>
      </c>
      <c r="AH123" s="98">
        <f t="shared" si="88"/>
        <v>7.0568997163209001E-4</v>
      </c>
      <c r="AI123" s="98">
        <f t="shared" si="89"/>
        <v>1.5707963267948966</v>
      </c>
      <c r="AJ123" s="98" t="str">
        <f t="shared" si="74"/>
        <v>1+0.00704280705939505i</v>
      </c>
      <c r="AK123" s="98">
        <f t="shared" si="90"/>
        <v>1.0000248002581116</v>
      </c>
      <c r="AL123" s="98">
        <f t="shared" si="91"/>
        <v>7.0426906191278713E-3</v>
      </c>
      <c r="AM123" s="98" t="str">
        <f t="shared" si="75"/>
        <v>1+7.04984986645445i</v>
      </c>
      <c r="AN123" s="98">
        <f t="shared" si="92"/>
        <v>7.1204201518974868</v>
      </c>
      <c r="AO123" s="98">
        <f t="shared" si="93"/>
        <v>1.429889359393965</v>
      </c>
      <c r="AP123" s="168" t="str">
        <f t="shared" si="94"/>
        <v>-0.0992988553614542+0.0147993712419397i</v>
      </c>
      <c r="AQ123" s="98">
        <f t="shared" si="95"/>
        <v>-19.965703148699486</v>
      </c>
      <c r="AR123" s="169">
        <f t="shared" si="96"/>
        <v>171.52310901504674</v>
      </c>
      <c r="AS123" s="168" t="str">
        <f t="shared" si="97"/>
        <v>0.572380749922133+4.87819130586819i</v>
      </c>
      <c r="AT123" s="190">
        <f t="shared" si="98"/>
        <v>13.824559832179986</v>
      </c>
      <c r="AU123" s="169">
        <f t="shared" si="99"/>
        <v>83.307820559707579</v>
      </c>
      <c r="AV123" s="225"/>
      <c r="AX123">
        <f t="shared" si="100"/>
        <v>0</v>
      </c>
      <c r="AY123">
        <f t="shared" si="101"/>
        <v>0</v>
      </c>
    </row>
    <row r="124" spans="14:51" x14ac:dyDescent="0.3">
      <c r="N124" s="170">
        <v>6</v>
      </c>
      <c r="O124" s="199">
        <f t="shared" si="102"/>
        <v>114.81536214968835</v>
      </c>
      <c r="P124" s="189" t="str">
        <f t="shared" si="67"/>
        <v>1078.86904761905</v>
      </c>
      <c r="Q124" s="160" t="str">
        <f t="shared" si="68"/>
        <v>1+22.5439436405445i</v>
      </c>
      <c r="R124" s="160">
        <f t="shared" si="77"/>
        <v>22.566111647070411</v>
      </c>
      <c r="S124" s="160">
        <f t="shared" si="78"/>
        <v>1.5264675741445488</v>
      </c>
      <c r="T124" s="160" t="str">
        <f t="shared" si="69"/>
        <v>1+0.0000144281239299485i</v>
      </c>
      <c r="U124" s="160">
        <f t="shared" si="79"/>
        <v>1.0000000001040854</v>
      </c>
      <c r="V124" s="160">
        <f t="shared" si="80"/>
        <v>1.442812392894733E-5</v>
      </c>
      <c r="W124" s="98" t="str">
        <f t="shared" si="70"/>
        <v>1-0.010434996351096i</v>
      </c>
      <c r="X124" s="160">
        <f t="shared" si="81"/>
        <v>1.0000544430923985</v>
      </c>
      <c r="Y124" s="160">
        <f t="shared" si="82"/>
        <v>-1.0434617623215674E-2</v>
      </c>
      <c r="Z124" s="98" t="str">
        <f t="shared" si="71"/>
        <v>0.999994726973046+0.00412161689298394i</v>
      </c>
      <c r="AA124" s="160">
        <f t="shared" si="83"/>
        <v>1.0000032208446679</v>
      </c>
      <c r="AB124" s="160">
        <f t="shared" si="84"/>
        <v>4.1216152873983017E-3</v>
      </c>
      <c r="AC124" s="171" t="str">
        <f t="shared" si="85"/>
        <v>1.42395422045878-47.7904974279384i</v>
      </c>
      <c r="AD124" s="190">
        <f t="shared" si="86"/>
        <v>33.590684919070327</v>
      </c>
      <c r="AE124" s="169">
        <f t="shared" si="87"/>
        <v>-88.293333602835901</v>
      </c>
      <c r="AF124" s="98" t="str">
        <f t="shared" si="72"/>
        <v>-9.95024875621891E-06</v>
      </c>
      <c r="AG124" s="98" t="str">
        <f t="shared" si="73"/>
        <v>0.000722127602693923i</v>
      </c>
      <c r="AH124" s="98">
        <f t="shared" si="88"/>
        <v>7.2212760269392301E-4</v>
      </c>
      <c r="AI124" s="98">
        <f t="shared" si="89"/>
        <v>1.5707963267948966</v>
      </c>
      <c r="AJ124" s="98" t="str">
        <f t="shared" si="74"/>
        <v>1+0.00720685510986438i</v>
      </c>
      <c r="AK124" s="98">
        <f t="shared" si="90"/>
        <v>1.0000259690430917</v>
      </c>
      <c r="AL124" s="98">
        <f t="shared" si="91"/>
        <v>7.2067303420451792E-3</v>
      </c>
      <c r="AM124" s="98" t="str">
        <f t="shared" si="75"/>
        <v>1+7.21406196497425i</v>
      </c>
      <c r="AN124" s="98">
        <f t="shared" si="92"/>
        <v>7.2830412627204106</v>
      </c>
      <c r="AO124" s="98">
        <f t="shared" si="93"/>
        <v>1.4330559176755067</v>
      </c>
      <c r="AP124" s="168" t="str">
        <f t="shared" si="94"/>
        <v>-0.099298623249596+0.0144947035180961i</v>
      </c>
      <c r="AQ124" s="98">
        <f t="shared" si="95"/>
        <v>-19.969570303284417</v>
      </c>
      <c r="AR124" s="169">
        <f t="shared" si="96"/>
        <v>171.69514065636562</v>
      </c>
      <c r="AS124" s="168" t="str">
        <f t="shared" si="97"/>
        <v>0.551312397538293+4.76617039325653i</v>
      </c>
      <c r="AT124" s="190">
        <f t="shared" si="98"/>
        <v>13.621114615785903</v>
      </c>
      <c r="AU124" s="169">
        <f t="shared" si="99"/>
        <v>83.401807053529737</v>
      </c>
      <c r="AV124" s="225"/>
      <c r="AX124">
        <f t="shared" si="100"/>
        <v>0</v>
      </c>
      <c r="AY124">
        <f t="shared" si="101"/>
        <v>0</v>
      </c>
    </row>
    <row r="125" spans="14:51" x14ac:dyDescent="0.3">
      <c r="N125" s="170">
        <v>7</v>
      </c>
      <c r="O125" s="199">
        <f t="shared" si="102"/>
        <v>117.48975549395293</v>
      </c>
      <c r="P125" s="189" t="str">
        <f t="shared" si="67"/>
        <v>1078.86904761905</v>
      </c>
      <c r="Q125" s="160" t="str">
        <f t="shared" si="68"/>
        <v>1+23.0690595457415i</v>
      </c>
      <c r="R125" s="160">
        <f t="shared" si="77"/>
        <v>23.090723425760551</v>
      </c>
      <c r="S125" s="160">
        <f t="shared" si="78"/>
        <v>1.5274753430969026</v>
      </c>
      <c r="T125" s="160" t="str">
        <f t="shared" si="69"/>
        <v>1+0.0000147641981092745i</v>
      </c>
      <c r="U125" s="160">
        <f t="shared" si="79"/>
        <v>1.0000000001089908</v>
      </c>
      <c r="V125" s="160">
        <f t="shared" si="80"/>
        <v>1.4764198108201726E-5</v>
      </c>
      <c r="W125" s="98" t="str">
        <f t="shared" si="70"/>
        <v>1-0.0106780586405517i</v>
      </c>
      <c r="X125" s="160">
        <f t="shared" si="81"/>
        <v>1.0000570088431615</v>
      </c>
      <c r="Y125" s="160">
        <f t="shared" si="82"/>
        <v>-1.0677652827565913E-2</v>
      </c>
      <c r="Z125" s="98" t="str">
        <f t="shared" si="71"/>
        <v>0.999994478462942+0.00421762168345644i</v>
      </c>
      <c r="AA125" s="160">
        <f t="shared" si="83"/>
        <v>1.0000033726388307</v>
      </c>
      <c r="AB125" s="160">
        <f t="shared" si="84"/>
        <v>4.2176199630395879E-3</v>
      </c>
      <c r="AC125" s="171" t="str">
        <f t="shared" si="85"/>
        <v>1.32871789961449-46.7066610586074i</v>
      </c>
      <c r="AD125" s="190">
        <f t="shared" si="86"/>
        <v>33.39108974633232</v>
      </c>
      <c r="AE125" s="169">
        <f t="shared" si="87"/>
        <v>-88.370480809108159</v>
      </c>
      <c r="AF125" s="98" t="str">
        <f t="shared" si="72"/>
        <v>-9.95024875621891E-06</v>
      </c>
      <c r="AG125" s="98" t="str">
        <f t="shared" si="73"/>
        <v>0.000738948115369191i</v>
      </c>
      <c r="AH125" s="98">
        <f t="shared" si="88"/>
        <v>7.3894811536919099E-4</v>
      </c>
      <c r="AI125" s="98">
        <f t="shared" si="89"/>
        <v>1.5707963267948966</v>
      </c>
      <c r="AJ125" s="98" t="str">
        <f t="shared" si="74"/>
        <v>1+0.00737472433030696i</v>
      </c>
      <c r="AK125" s="98">
        <f t="shared" si="90"/>
        <v>1.0000271929097468</v>
      </c>
      <c r="AL125" s="98">
        <f t="shared" si="91"/>
        <v>7.3745906393763543E-3</v>
      </c>
      <c r="AM125" s="98" t="str">
        <f t="shared" si="75"/>
        <v>1+7.38209905463727i</v>
      </c>
      <c r="AN125" s="98">
        <f t="shared" si="92"/>
        <v>7.4495225654048776</v>
      </c>
      <c r="AO125" s="98">
        <f t="shared" si="93"/>
        <v>1.4361530847588033</v>
      </c>
      <c r="AP125" s="168" t="str">
        <f t="shared" si="94"/>
        <v>-0.0992983801998061+0.0141977209202118i</v>
      </c>
      <c r="AQ125" s="98">
        <f t="shared" si="95"/>
        <v>-19.973267542957188</v>
      </c>
      <c r="AR125" s="169">
        <f t="shared" si="96"/>
        <v>171.86297757210045</v>
      </c>
      <c r="AS125" s="168" t="str">
        <f t="shared" si="97"/>
        <v>0.531188603650825+4.65676055358149i</v>
      </c>
      <c r="AT125" s="190">
        <f t="shared" si="98"/>
        <v>13.417822203375124</v>
      </c>
      <c r="AU125" s="169">
        <f t="shared" si="99"/>
        <v>83.492496762992303</v>
      </c>
      <c r="AV125" s="225"/>
      <c r="AX125">
        <f t="shared" si="100"/>
        <v>0</v>
      </c>
      <c r="AY125">
        <f t="shared" si="101"/>
        <v>0</v>
      </c>
    </row>
    <row r="126" spans="14:51" x14ac:dyDescent="0.3">
      <c r="N126" s="170">
        <v>8</v>
      </c>
      <c r="O126" s="199">
        <f t="shared" si="102"/>
        <v>120.22644346174135</v>
      </c>
      <c r="P126" s="189" t="str">
        <f t="shared" si="67"/>
        <v>1078.86904761905</v>
      </c>
      <c r="Q126" s="160" t="str">
        <f t="shared" si="68"/>
        <v>1+23.6064069716647i</v>
      </c>
      <c r="R126" s="160">
        <f t="shared" si="77"/>
        <v>23.62757816856945</v>
      </c>
      <c r="S126" s="160">
        <f t="shared" si="78"/>
        <v>1.5284602575145811</v>
      </c>
      <c r="T126" s="160" t="str">
        <f t="shared" si="69"/>
        <v>1+0.0000151081004618654i</v>
      </c>
      <c r="U126" s="160">
        <f t="shared" si="79"/>
        <v>1.0000000001141274</v>
      </c>
      <c r="V126" s="160">
        <f t="shared" si="80"/>
        <v>1.5108100460715901E-5</v>
      </c>
      <c r="W126" s="98" t="str">
        <f t="shared" si="70"/>
        <v>1-0.0109267825780396i</v>
      </c>
      <c r="X126" s="160">
        <f t="shared" si="81"/>
        <v>1.0000596955069772</v>
      </c>
      <c r="Y126" s="160">
        <f t="shared" si="82"/>
        <v>-1.0926347742992868E-2</v>
      </c>
      <c r="Z126" s="98" t="str">
        <f t="shared" si="71"/>
        <v>0.999994218240917+0.00431586271277233i</v>
      </c>
      <c r="AA126" s="160">
        <f t="shared" si="83"/>
        <v>1.0000035315868729</v>
      </c>
      <c r="AB126" s="160">
        <f t="shared" si="84"/>
        <v>4.3158608693115146E-3</v>
      </c>
      <c r="AC126" s="171" t="str">
        <f t="shared" si="85"/>
        <v>1.23775223213313-45.6472181358176i</v>
      </c>
      <c r="AD126" s="190">
        <f t="shared" si="86"/>
        <v>33.191478316656351</v>
      </c>
      <c r="AE126" s="169">
        <f t="shared" si="87"/>
        <v>-88.446770502614598</v>
      </c>
      <c r="AF126" s="98" t="str">
        <f t="shared" si="72"/>
        <v>-9.95024875621891E-06</v>
      </c>
      <c r="AG126" s="98" t="str">
        <f t="shared" si="73"/>
        <v>0.000756160428116364i</v>
      </c>
      <c r="AH126" s="98">
        <f t="shared" si="88"/>
        <v>7.5616042811636405E-4</v>
      </c>
      <c r="AI126" s="98">
        <f t="shared" si="89"/>
        <v>1.5707963267948966</v>
      </c>
      <c r="AJ126" s="98" t="str">
        <f t="shared" si="74"/>
        <v>1+0.0075465037272055i</v>
      </c>
      <c r="AK126" s="98">
        <f t="shared" si="90"/>
        <v>1.0000284744538552</v>
      </c>
      <c r="AL126" s="98">
        <f t="shared" si="91"/>
        <v>7.5463604750127186E-3</v>
      </c>
      <c r="AM126" s="98" t="str">
        <f t="shared" si="75"/>
        <v>1+7.55405023093271i</v>
      </c>
      <c r="AN126" s="98">
        <f t="shared" si="92"/>
        <v>7.6199524205505735</v>
      </c>
      <c r="AO126" s="98">
        <f t="shared" si="93"/>
        <v>1.4391822650024901</v>
      </c>
      <c r="AP126" s="168" t="str">
        <f t="shared" si="94"/>
        <v>-0.0992981256967079+0.0139082659729045i</v>
      </c>
      <c r="AQ126" s="98">
        <f t="shared" si="95"/>
        <v>-19.976802282586693</v>
      </c>
      <c r="AR126" s="169">
        <f t="shared" si="96"/>
        <v>172.02669512881849</v>
      </c>
      <c r="AS126" s="168" t="str">
        <f t="shared" si="97"/>
        <v>0.511967174028405+4.54989819140852i</v>
      </c>
      <c r="AT126" s="190">
        <f t="shared" si="98"/>
        <v>13.214676034069647</v>
      </c>
      <c r="AU126" s="169">
        <f t="shared" si="99"/>
        <v>83.579924626203876</v>
      </c>
      <c r="AV126" s="225"/>
      <c r="AX126">
        <f t="shared" si="100"/>
        <v>0</v>
      </c>
      <c r="AY126">
        <f t="shared" si="101"/>
        <v>0</v>
      </c>
    </row>
    <row r="127" spans="14:51" x14ac:dyDescent="0.3">
      <c r="N127" s="170">
        <v>9</v>
      </c>
      <c r="O127" s="199">
        <f t="shared" si="102"/>
        <v>123.02687708123821</v>
      </c>
      <c r="P127" s="189" t="str">
        <f t="shared" si="67"/>
        <v>1078.86904761905</v>
      </c>
      <c r="Q127" s="160" t="str">
        <f t="shared" si="68"/>
        <v>1+24.156270827032i</v>
      </c>
      <c r="R127" s="160">
        <f t="shared" si="77"/>
        <v>24.176960525858441</v>
      </c>
      <c r="S127" s="160">
        <f t="shared" si="78"/>
        <v>1.5294228319645111</v>
      </c>
      <c r="T127" s="160" t="str">
        <f t="shared" si="69"/>
        <v>1+0.0000154600133293005i</v>
      </c>
      <c r="U127" s="160">
        <f t="shared" si="79"/>
        <v>1.000000000119506</v>
      </c>
      <c r="V127" s="160">
        <f t="shared" si="80"/>
        <v>1.546001332806879E-5</v>
      </c>
      <c r="W127" s="98" t="str">
        <f t="shared" si="70"/>
        <v>1-0.0111813000402833i</v>
      </c>
      <c r="X127" s="160">
        <f t="shared" si="81"/>
        <v>1.0000625087816215</v>
      </c>
      <c r="Y127" s="160">
        <f t="shared" si="82"/>
        <v>-1.1180834107709028E-2</v>
      </c>
      <c r="Z127" s="98" t="str">
        <f t="shared" si="71"/>
        <v>0.999993945755006+0.00441639206962573i</v>
      </c>
      <c r="AA127" s="160">
        <f t="shared" si="83"/>
        <v>1.0000036980259515</v>
      </c>
      <c r="AB127" s="160">
        <f t="shared" si="84"/>
        <v>4.4163900943208169E-3</v>
      </c>
      <c r="AC127" s="171" t="str">
        <f t="shared" si="85"/>
        <v>1.15086638777303-44.6116316066998i</v>
      </c>
      <c r="AD127" s="190">
        <f t="shared" si="86"/>
        <v>32.991851449959711</v>
      </c>
      <c r="AE127" s="169">
        <f t="shared" si="87"/>
        <v>-88.522242687893296</v>
      </c>
      <c r="AF127" s="98" t="str">
        <f t="shared" si="72"/>
        <v>-9.95024875621891E-06</v>
      </c>
      <c r="AG127" s="98" t="str">
        <f t="shared" si="73"/>
        <v>0.00077377366713149i</v>
      </c>
      <c r="AH127" s="98">
        <f t="shared" si="88"/>
        <v>7.7377366713148998E-4</v>
      </c>
      <c r="AI127" s="98">
        <f t="shared" si="89"/>
        <v>1.5707963267948966</v>
      </c>
      <c r="AJ127" s="98" t="str">
        <f t="shared" si="74"/>
        <v>1+0.00772228438026998i</v>
      </c>
      <c r="AK127" s="98">
        <f t="shared" si="90"/>
        <v>1.0000298163935162</v>
      </c>
      <c r="AL127" s="98">
        <f t="shared" si="91"/>
        <v>7.7221308830270731E-3</v>
      </c>
      <c r="AM127" s="98" t="str">
        <f t="shared" si="75"/>
        <v>1+7.73000666465025i</v>
      </c>
      <c r="AN127" s="98">
        <f t="shared" si="92"/>
        <v>7.7944212764988059</v>
      </c>
      <c r="AO127" s="98">
        <f t="shared" si="93"/>
        <v>1.4421448420360514</v>
      </c>
      <c r="AP127" s="168" t="str">
        <f t="shared" si="94"/>
        <v>-0.0992978592006464+0.0136261851912454i</v>
      </c>
      <c r="AQ127" s="98">
        <f t="shared" si="95"/>
        <v>-19.980181629106209</v>
      </c>
      <c r="AR127" s="169">
        <f t="shared" si="96"/>
        <v>172.18636738678146</v>
      </c>
      <c r="AS127" s="168" t="str">
        <f t="shared" si="97"/>
        <v>0.493607785424665+4.44552143252336i</v>
      </c>
      <c r="AT127" s="190">
        <f t="shared" si="98"/>
        <v>13.011669820853509</v>
      </c>
      <c r="AU127" s="169">
        <f t="shared" si="99"/>
        <v>83.664124698888173</v>
      </c>
      <c r="AV127" s="225"/>
      <c r="AX127">
        <f t="shared" si="100"/>
        <v>0</v>
      </c>
      <c r="AY127">
        <f t="shared" si="101"/>
        <v>0</v>
      </c>
    </row>
    <row r="128" spans="14:51" x14ac:dyDescent="0.3">
      <c r="N128" s="170">
        <v>10</v>
      </c>
      <c r="O128" s="199">
        <f t="shared" si="102"/>
        <v>125.89254117941677</v>
      </c>
      <c r="P128" s="189" t="str">
        <f t="shared" si="67"/>
        <v>1078.86904761905</v>
      </c>
      <c r="Q128" s="160" t="str">
        <f t="shared" si="68"/>
        <v>1+24.7189426569379i</v>
      </c>
      <c r="R128" s="160">
        <f t="shared" si="77"/>
        <v>24.739161790104863</v>
      </c>
      <c r="S128" s="160">
        <f t="shared" si="78"/>
        <v>1.5303635696773579</v>
      </c>
      <c r="T128" s="160" t="str">
        <f t="shared" si="69"/>
        <v>1+0.0000158201233004402i</v>
      </c>
      <c r="U128" s="160">
        <f t="shared" si="79"/>
        <v>1.0000000001251381</v>
      </c>
      <c r="V128" s="160">
        <f t="shared" si="80"/>
        <v>1.5820123299120399E-5</v>
      </c>
      <c r="W128" s="98" t="str">
        <f t="shared" si="70"/>
        <v>1-0.0114417459758104i</v>
      </c>
      <c r="X128" s="160">
        <f t="shared" si="81"/>
        <v>1.000065454633333</v>
      </c>
      <c r="Y128" s="160">
        <f t="shared" si="82"/>
        <v>-1.144124672182693E-2</v>
      </c>
      <c r="Z128" s="98" t="str">
        <f t="shared" si="71"/>
        <v>0.99999366042723+0.0045192630560123i</v>
      </c>
      <c r="AA128" s="160">
        <f t="shared" si="83"/>
        <v>1.0000038723091125</v>
      </c>
      <c r="AB128" s="160">
        <f t="shared" si="84"/>
        <v>4.5192609394337589E-3</v>
      </c>
      <c r="AC128" s="171" t="str">
        <f t="shared" si="85"/>
        <v>1.06787800423456-43.5993754297447i</v>
      </c>
      <c r="AD128" s="190">
        <f t="shared" si="86"/>
        <v>32.79220993378955</v>
      </c>
      <c r="AE128" s="169">
        <f t="shared" si="87"/>
        <v>-88.59693696466752</v>
      </c>
      <c r="AF128" s="98" t="str">
        <f t="shared" si="72"/>
        <v>-9.95024875621891E-06</v>
      </c>
      <c r="AG128" s="98" t="str">
        <f t="shared" si="73"/>
        <v>0.000791797171187035i</v>
      </c>
      <c r="AH128" s="98">
        <f t="shared" si="88"/>
        <v>7.9179717118703504E-4</v>
      </c>
      <c r="AI128" s="98">
        <f t="shared" si="89"/>
        <v>1.5707963267948966</v>
      </c>
      <c r="AJ128" s="98" t="str">
        <f t="shared" si="74"/>
        <v>1+0.00790215949072939i</v>
      </c>
      <c r="AK128" s="98">
        <f t="shared" si="90"/>
        <v>1.000031221574915</v>
      </c>
      <c r="AL128" s="98">
        <f t="shared" si="91"/>
        <v>7.9019950157476499E-3</v>
      </c>
      <c r="AM128" s="98" t="str">
        <f t="shared" si="75"/>
        <v>1+7.91006165022012i</v>
      </c>
      <c r="AN128" s="98">
        <f t="shared" si="92"/>
        <v>7.9730217176603162</v>
      </c>
      <c r="AO128" s="98">
        <f t="shared" si="93"/>
        <v>1.445042178529621</v>
      </c>
      <c r="AP128" s="168" t="str">
        <f t="shared" si="94"/>
        <v>-0.0992975801465454+0.0133513289993222i</v>
      </c>
      <c r="AQ128" s="98">
        <f t="shared" si="95"/>
        <v>-19.983412393463691</v>
      </c>
      <c r="AR128" s="169">
        <f t="shared" si="96"/>
        <v>172.34206708400151</v>
      </c>
      <c r="AS128" s="168" t="str">
        <f t="shared" si="97"/>
        <v>0.476071903815272+4.34357006664007i</v>
      </c>
      <c r="AT128" s="190">
        <f t="shared" si="98"/>
        <v>12.808797540325852</v>
      </c>
      <c r="AU128" s="169">
        <f t="shared" si="99"/>
        <v>83.745130119334021</v>
      </c>
      <c r="AV128" s="225"/>
      <c r="AX128">
        <f t="shared" si="100"/>
        <v>0</v>
      </c>
      <c r="AY128">
        <f t="shared" si="101"/>
        <v>0</v>
      </c>
    </row>
    <row r="129" spans="14:51" x14ac:dyDescent="0.3">
      <c r="N129" s="170">
        <v>11</v>
      </c>
      <c r="O129" s="199">
        <f t="shared" si="102"/>
        <v>128.82495516931343</v>
      </c>
      <c r="P129" s="189" t="str">
        <f t="shared" si="67"/>
        <v>1078.86904761905</v>
      </c>
      <c r="Q129" s="160" t="str">
        <f t="shared" si="68"/>
        <v>1+25.2947207974343i</v>
      </c>
      <c r="R129" s="160">
        <f t="shared" si="77"/>
        <v>25.314480050361599</v>
      </c>
      <c r="S129" s="160">
        <f t="shared" si="78"/>
        <v>1.5312829627805831</v>
      </c>
      <c r="T129" s="160" t="str">
        <f t="shared" si="69"/>
        <v>1+0.000016188621310358i</v>
      </c>
      <c r="U129" s="160">
        <f t="shared" si="79"/>
        <v>1.0000000001310356</v>
      </c>
      <c r="V129" s="160">
        <f t="shared" si="80"/>
        <v>1.6188621308943806E-5</v>
      </c>
      <c r="W129" s="98" t="str">
        <f t="shared" si="70"/>
        <v>1-0.0117082584765033i</v>
      </c>
      <c r="X129" s="160">
        <f t="shared" si="81"/>
        <v>1.0000685393094579</v>
      </c>
      <c r="Y129" s="160">
        <f t="shared" si="82"/>
        <v>-1.170772351820192E-2</v>
      </c>
      <c r="Z129" s="98" t="str">
        <f t="shared" si="71"/>
        <v>0.99999336165237+0.0046245302154907i</v>
      </c>
      <c r="AA129" s="160">
        <f t="shared" si="83"/>
        <v>1.00000405480604</v>
      </c>
      <c r="AB129" s="160">
        <f t="shared" si="84"/>
        <v>4.6245279475345949E-3</v>
      </c>
      <c r="AC129" s="171" t="str">
        <f t="shared" si="85"/>
        <v>0.988612816620885-42.6099344041592i</v>
      </c>
      <c r="AD129" s="190">
        <f t="shared" si="86"/>
        <v>32.592554524959873</v>
      </c>
      <c r="AE129" s="169">
        <f t="shared" si="87"/>
        <v>-88.670892546871642</v>
      </c>
      <c r="AF129" s="98" t="str">
        <f t="shared" si="72"/>
        <v>-9.95024875621891E-06</v>
      </c>
      <c r="AG129" s="98" t="str">
        <f t="shared" si="73"/>
        <v>0.000810240496583417i</v>
      </c>
      <c r="AH129" s="98">
        <f t="shared" si="88"/>
        <v>8.1024049658341701E-4</v>
      </c>
      <c r="AI129" s="98">
        <f t="shared" si="89"/>
        <v>1.5707963267948966</v>
      </c>
      <c r="AJ129" s="98" t="str">
        <f t="shared" si="74"/>
        <v>1+0.00808622443074824i</v>
      </c>
      <c r="AK129" s="98">
        <f t="shared" si="90"/>
        <v>1.0000326929783567</v>
      </c>
      <c r="AL129" s="98">
        <f t="shared" si="91"/>
        <v>8.0860481929412517E-3</v>
      </c>
      <c r="AM129" s="98" t="str">
        <f t="shared" si="75"/>
        <v>1+8.09431065517899i</v>
      </c>
      <c r="AN129" s="98">
        <f t="shared" si="92"/>
        <v>8.1558485139526784</v>
      </c>
      <c r="AO129" s="98">
        <f t="shared" si="93"/>
        <v>1.4478756160108577</v>
      </c>
      <c r="AP129" s="168" t="str">
        <f t="shared" si="94"/>
        <v>-0.0992972879427112+0.0130835516508695i</v>
      </c>
      <c r="AQ129" s="98">
        <f t="shared" si="95"/>
        <v>-19.986501102205466</v>
      </c>
      <c r="AR129" s="169">
        <f t="shared" si="96"/>
        <v>172.49386562293139</v>
      </c>
      <c r="AS129" s="168" t="str">
        <f t="shared" si="97"/>
        <v>0.459322706101119+4.2439854925988i</v>
      </c>
      <c r="AT129" s="190">
        <f t="shared" si="98"/>
        <v>12.606053422754401</v>
      </c>
      <c r="AU129" s="169">
        <f t="shared" si="99"/>
        <v>83.822973076059768</v>
      </c>
      <c r="AV129" s="225"/>
      <c r="AX129">
        <f t="shared" si="100"/>
        <v>0</v>
      </c>
      <c r="AY129">
        <f t="shared" si="101"/>
        <v>0</v>
      </c>
    </row>
    <row r="130" spans="14:51" x14ac:dyDescent="0.3">
      <c r="N130" s="170">
        <v>12</v>
      </c>
      <c r="O130" s="199">
        <f t="shared" si="102"/>
        <v>131.82567385564084</v>
      </c>
      <c r="P130" s="189" t="str">
        <f t="shared" si="67"/>
        <v>1078.86904761905</v>
      </c>
      <c r="Q130" s="160" t="str">
        <f t="shared" si="68"/>
        <v>1+25.8839105337128i</v>
      </c>
      <c r="R130" s="160">
        <f t="shared" si="77"/>
        <v>25.903220350320311</v>
      </c>
      <c r="S130" s="160">
        <f t="shared" si="78"/>
        <v>1.5321814925278503</v>
      </c>
      <c r="T130" s="160" t="str">
        <f t="shared" si="69"/>
        <v>1+0.0000165657027415762i</v>
      </c>
      <c r="U130" s="160">
        <f t="shared" si="79"/>
        <v>1.0000000001372111</v>
      </c>
      <c r="V130" s="160">
        <f t="shared" si="80"/>
        <v>1.6565702740060863E-5</v>
      </c>
      <c r="W130" s="98" t="str">
        <f t="shared" si="70"/>
        <v>1-0.0119809788508176i</v>
      </c>
      <c r="X130" s="160">
        <f t="shared" si="81"/>
        <v>1.0000717693516918</v>
      </c>
      <c r="Y130" s="160">
        <f t="shared" si="82"/>
        <v>-1.198040563489189E-2</v>
      </c>
      <c r="Z130" s="98" t="str">
        <f t="shared" si="71"/>
        <v>0.999993048796685+0.00473224936210224i</v>
      </c>
      <c r="AA130" s="160">
        <f t="shared" si="83"/>
        <v>1.0000042459038434</v>
      </c>
      <c r="AB130" s="160">
        <f t="shared" si="84"/>
        <v>4.732246931941987E-3</v>
      </c>
      <c r="AC130" s="171" t="str">
        <f t="shared" si="85"/>
        <v>0.912904302653175-41.6428039978589i</v>
      </c>
      <c r="AD130" s="190">
        <f t="shared" si="86"/>
        <v>32.392885951126928</v>
      </c>
      <c r="AE130" s="169">
        <f t="shared" si="87"/>
        <v>-88.744148281597489</v>
      </c>
      <c r="AF130" s="98" t="str">
        <f t="shared" si="72"/>
        <v>-9.95024875621891E-06</v>
      </c>
      <c r="AG130" s="98" t="str">
        <f t="shared" si="73"/>
        <v>0.00082911342221589i</v>
      </c>
      <c r="AH130" s="98">
        <f t="shared" si="88"/>
        <v>8.2911342221588999E-4</v>
      </c>
      <c r="AI130" s="98">
        <f t="shared" si="89"/>
        <v>1.5707963267948966</v>
      </c>
      <c r="AJ130" s="98" t="str">
        <f t="shared" si="74"/>
        <v>1+0.00827457679399412i</v>
      </c>
      <c r="AK130" s="98">
        <f t="shared" si="90"/>
        <v>1.0000342337245858</v>
      </c>
      <c r="AL130" s="98">
        <f t="shared" si="91"/>
        <v>8.274387952130759E-3</v>
      </c>
      <c r="AM130" s="98" t="str">
        <f t="shared" si="75"/>
        <v>1+8.28285137078811i</v>
      </c>
      <c r="AN130" s="98">
        <f t="shared" si="92"/>
        <v>8.3429986713750868</v>
      </c>
      <c r="AO130" s="98">
        <f t="shared" si="93"/>
        <v>1.4506464747255514</v>
      </c>
      <c r="AP130" s="168" t="str">
        <f t="shared" si="94"/>
        <v>-0.0992969819695775+0.0128227111519264i</v>
      </c>
      <c r="AQ130" s="98">
        <f t="shared" si="95"/>
        <v>-19.989454008696754</v>
      </c>
      <c r="AR130" s="169">
        <f t="shared" si="96"/>
        <v>172.64183305959432</v>
      </c>
      <c r="AS130" s="168" t="str">
        <f t="shared" si="97"/>
        <v>0.443325005140329+4.14671066592032i</v>
      </c>
      <c r="AT130" s="190">
        <f t="shared" si="98"/>
        <v>12.403431942430181</v>
      </c>
      <c r="AU130" s="169">
        <f t="shared" si="99"/>
        <v>83.897684777996858</v>
      </c>
      <c r="AV130" s="225"/>
      <c r="AX130">
        <f t="shared" si="100"/>
        <v>0</v>
      </c>
      <c r="AY130">
        <f t="shared" si="101"/>
        <v>0</v>
      </c>
    </row>
    <row r="131" spans="14:51" x14ac:dyDescent="0.3">
      <c r="N131" s="170">
        <v>13</v>
      </c>
      <c r="O131" s="199">
        <f t="shared" si="102"/>
        <v>134.89628825916537</v>
      </c>
      <c r="P131" s="189" t="str">
        <f t="shared" si="67"/>
        <v>1078.86904761905</v>
      </c>
      <c r="Q131" s="160" t="str">
        <f t="shared" si="68"/>
        <v>1+26.4868242619703i</v>
      </c>
      <c r="R131" s="160">
        <f t="shared" si="77"/>
        <v>26.505694850060024</v>
      </c>
      <c r="S131" s="160">
        <f t="shared" si="78"/>
        <v>1.5330596295247498</v>
      </c>
      <c r="T131" s="160" t="str">
        <f t="shared" si="69"/>
        <v>1+0.000016951567527661i</v>
      </c>
      <c r="U131" s="160">
        <f t="shared" si="79"/>
        <v>1.000000000143678</v>
      </c>
      <c r="V131" s="160">
        <f t="shared" si="80"/>
        <v>1.6951567526037291E-5</v>
      </c>
      <c r="W131" s="98" t="str">
        <f t="shared" si="70"/>
        <v>1-0.0122600516987055i</v>
      </c>
      <c r="X131" s="160">
        <f t="shared" si="81"/>
        <v>1.0000751516099453</v>
      </c>
      <c r="Y131" s="160">
        <f t="shared" si="82"/>
        <v>-1.2259437489267817E-2</v>
      </c>
      <c r="Z131" s="98" t="str">
        <f t="shared" si="71"/>
        <v>0.999992721196566+0.00484247760996429i</v>
      </c>
      <c r="AA131" s="160">
        <f t="shared" si="83"/>
        <v>1.0000044460078745</v>
      </c>
      <c r="AB131" s="160">
        <f t="shared" si="84"/>
        <v>4.8424750059989788E-3</v>
      </c>
      <c r="AC131" s="171" t="str">
        <f t="shared" si="85"/>
        <v>0.840593343011-40.6974901744637i</v>
      </c>
      <c r="AD131" s="190">
        <f t="shared" si="86"/>
        <v>32.193204912305035</v>
      </c>
      <c r="AE131" s="169">
        <f t="shared" si="87"/>
        <v>-88.816742667963197</v>
      </c>
      <c r="AF131" s="98" t="str">
        <f t="shared" si="72"/>
        <v>-9.95024875621891E-06</v>
      </c>
      <c r="AG131" s="98" t="str">
        <f t="shared" si="73"/>
        <v>0.000848425954759433i</v>
      </c>
      <c r="AH131" s="98">
        <f t="shared" si="88"/>
        <v>8.4842595475943295E-4</v>
      </c>
      <c r="AI131" s="98">
        <f t="shared" si="89"/>
        <v>1.5707963267948966</v>
      </c>
      <c r="AJ131" s="98" t="str">
        <f t="shared" si="74"/>
        <v>1+0.00846731644738312i</v>
      </c>
      <c r="AK131" s="98">
        <f t="shared" si="90"/>
        <v>1.0000358470814035</v>
      </c>
      <c r="AL131" s="98">
        <f t="shared" si="91"/>
        <v>8.4671141000726338E-3</v>
      </c>
      <c r="AM131" s="98" t="str">
        <f t="shared" si="75"/>
        <v>1+8.4757837638305i</v>
      </c>
      <c r="AN131" s="98">
        <f t="shared" si="92"/>
        <v>8.5345714837484774</v>
      </c>
      <c r="AO131" s="98">
        <f t="shared" si="93"/>
        <v>1.4533560535387888</v>
      </c>
      <c r="AP131" s="168" t="str">
        <f t="shared" si="94"/>
        <v>-0.0992966615783955+0.0125686691854786i</v>
      </c>
      <c r="AQ131" s="98">
        <f t="shared" si="95"/>
        <v>-19.992277103982726</v>
      </c>
      <c r="AR131" s="169">
        <f t="shared" si="96"/>
        <v>172.78603809497207</v>
      </c>
      <c r="AS131" s="168" t="str">
        <f t="shared" si="97"/>
        <v>0.428045177976085+4.05169004859162i</v>
      </c>
      <c r="AT131" s="190">
        <f t="shared" si="98"/>
        <v>12.200927808322309</v>
      </c>
      <c r="AU131" s="169">
        <f t="shared" si="99"/>
        <v>83.969295427008873</v>
      </c>
      <c r="AV131" s="225"/>
      <c r="AX131">
        <f t="shared" si="100"/>
        <v>0</v>
      </c>
      <c r="AY131">
        <f t="shared" si="101"/>
        <v>0</v>
      </c>
    </row>
    <row r="132" spans="14:51" x14ac:dyDescent="0.3">
      <c r="N132" s="170">
        <v>14</v>
      </c>
      <c r="O132" s="199">
        <f t="shared" si="102"/>
        <v>138.0384264602886</v>
      </c>
      <c r="P132" s="189" t="str">
        <f t="shared" si="67"/>
        <v>1078.86904761905</v>
      </c>
      <c r="Q132" s="160" t="str">
        <f t="shared" si="68"/>
        <v>1+27.1037816550461i</v>
      </c>
      <c r="R132" s="160">
        <f t="shared" si="77"/>
        <v>27.122222991569355</v>
      </c>
      <c r="S132" s="160">
        <f t="shared" si="78"/>
        <v>1.533917833950825</v>
      </c>
      <c r="T132" s="160" t="str">
        <f t="shared" si="69"/>
        <v>1+0.0000173464202592295i</v>
      </c>
      <c r="U132" s="160">
        <f t="shared" si="79"/>
        <v>1.000000000150449</v>
      </c>
      <c r="V132" s="160">
        <f t="shared" si="80"/>
        <v>1.7346420257489663E-5</v>
      </c>
      <c r="W132" s="98" t="str">
        <f t="shared" si="70"/>
        <v>1-0.0125456249882852i</v>
      </c>
      <c r="X132" s="160">
        <f t="shared" si="81"/>
        <v>1.0000786932568591</v>
      </c>
      <c r="Y132" s="160">
        <f t="shared" si="82"/>
        <v>-1.2544966853812184E-2</v>
      </c>
      <c r="Z132" s="98" t="str">
        <f t="shared" si="71"/>
        <v>0.999992378157128+0.00495527340355291i</v>
      </c>
      <c r="AA132" s="160">
        <f t="shared" si="83"/>
        <v>1.0000046555425894</v>
      </c>
      <c r="AB132" s="160">
        <f t="shared" si="84"/>
        <v>4.9552706133519217E-3</v>
      </c>
      <c r="AC132" s="171" t="str">
        <f t="shared" si="85"/>
        <v>0.77152789619058-39.7735092196386i</v>
      </c>
      <c r="AD132" s="190">
        <f t="shared" si="86"/>
        <v>31.993512082326067</v>
      </c>
      <c r="AE132" s="169">
        <f t="shared" si="87"/>
        <v>-88.888713875906092</v>
      </c>
      <c r="AF132" s="98" t="str">
        <f t="shared" si="72"/>
        <v>-9.95024875621891E-06</v>
      </c>
      <c r="AG132" s="98" t="str">
        <f t="shared" si="73"/>
        <v>0.000868188333974437i</v>
      </c>
      <c r="AH132" s="98">
        <f t="shared" si="88"/>
        <v>8.6818833397443696E-4</v>
      </c>
      <c r="AI132" s="98">
        <f t="shared" si="89"/>
        <v>1.5707963267948966</v>
      </c>
      <c r="AJ132" s="98" t="str">
        <f t="shared" si="74"/>
        <v>1+0.00866454558403072i</v>
      </c>
      <c r="AK132" s="98">
        <f t="shared" si="90"/>
        <v>1.0000375364705956</v>
      </c>
      <c r="AL132" s="98">
        <f t="shared" si="91"/>
        <v>8.6643287654207118E-3</v>
      </c>
      <c r="AM132" s="98" t="str">
        <f t="shared" si="75"/>
        <v>1+8.67321012961475i</v>
      </c>
      <c r="AN132" s="98">
        <f t="shared" si="92"/>
        <v>8.730668585649779</v>
      </c>
      <c r="AO132" s="98">
        <f t="shared" si="93"/>
        <v>1.4560056298736783</v>
      </c>
      <c r="AP132" s="168" t="str">
        <f t="shared" si="94"/>
        <v>-0.099296326089858+0.0123212910380448i</v>
      </c>
      <c r="AQ132" s="98">
        <f t="shared" si="95"/>
        <v>-19.994976127295764</v>
      </c>
      <c r="AR132" s="169">
        <f t="shared" si="96"/>
        <v>172.92654806847636</v>
      </c>
      <c r="AS132" s="168" t="str">
        <f t="shared" si="97"/>
        <v>0.413451097131963+3.95886956096414i</v>
      </c>
      <c r="AT132" s="190">
        <f t="shared" si="98"/>
        <v>11.998535955030299</v>
      </c>
      <c r="AU132" s="169">
        <f t="shared" si="99"/>
        <v>84.037834192570301</v>
      </c>
      <c r="AV132" s="225"/>
      <c r="AX132">
        <f t="shared" si="100"/>
        <v>0</v>
      </c>
      <c r="AY132">
        <f t="shared" si="101"/>
        <v>0</v>
      </c>
    </row>
    <row r="133" spans="14:51" x14ac:dyDescent="0.3">
      <c r="N133" s="170">
        <v>15</v>
      </c>
      <c r="O133" s="199">
        <f t="shared" si="102"/>
        <v>141.25375446227542</v>
      </c>
      <c r="P133" s="189" t="str">
        <f t="shared" si="67"/>
        <v>1078.86904761905</v>
      </c>
      <c r="Q133" s="160" t="str">
        <f t="shared" si="68"/>
        <v>1+27.7351098319163i</v>
      </c>
      <c r="R133" s="160">
        <f t="shared" si="77"/>
        <v>27.753131668128194</v>
      </c>
      <c r="S133" s="160">
        <f t="shared" si="78"/>
        <v>1.5347565557778935</v>
      </c>
      <c r="T133" s="160" t="str">
        <f t="shared" si="69"/>
        <v>1+0.0000177504702924264i</v>
      </c>
      <c r="U133" s="160">
        <f t="shared" si="79"/>
        <v>1.0000000001575398</v>
      </c>
      <c r="V133" s="160">
        <f t="shared" si="80"/>
        <v>1.775047029056213E-5</v>
      </c>
      <c r="W133" s="98" t="str">
        <f t="shared" si="70"/>
        <v>1-0.0128378501342945i</v>
      </c>
      <c r="X133" s="160">
        <f t="shared" si="81"/>
        <v>1.0000824018030068</v>
      </c>
      <c r="Y133" s="160">
        <f t="shared" si="82"/>
        <v>-1.2837144933639385E-2</v>
      </c>
      <c r="Z133" s="98" t="str">
        <f t="shared" si="71"/>
        <v>0.99999201895074+0.00507069654869089i</v>
      </c>
      <c r="AA133" s="160">
        <f t="shared" si="83"/>
        <v>1.0000048749524504</v>
      </c>
      <c r="AB133" s="160">
        <f t="shared" si="84"/>
        <v>5.0706935589345456E-3</v>
      </c>
      <c r="AC133" s="171" t="str">
        <f t="shared" si="85"/>
        <v>0.70556268729453-38.8703875670947i</v>
      </c>
      <c r="AD133" s="190">
        <f t="shared" si="86"/>
        <v>31.793808110245713</v>
      </c>
      <c r="AE133" s="169">
        <f t="shared" si="87"/>
        <v>-88.960099764902196</v>
      </c>
      <c r="AF133" s="98" t="str">
        <f t="shared" si="72"/>
        <v>-9.95024875621891E-06</v>
      </c>
      <c r="AG133" s="98" t="str">
        <f t="shared" si="73"/>
        <v>0.000888411038135943i</v>
      </c>
      <c r="AH133" s="98">
        <f t="shared" si="88"/>
        <v>8.8841103813594295E-4</v>
      </c>
      <c r="AI133" s="98">
        <f t="shared" si="89"/>
        <v>1.5707963267948966</v>
      </c>
      <c r="AJ133" s="98" t="str">
        <f t="shared" si="74"/>
        <v>1+0.00886636877743578i</v>
      </c>
      <c r="AK133" s="98">
        <f t="shared" si="90"/>
        <v>1.0000393054751886</v>
      </c>
      <c r="AL133" s="98">
        <f t="shared" si="91"/>
        <v>8.8661364526025892E-3</v>
      </c>
      <c r="AM133" s="98" t="str">
        <f t="shared" si="75"/>
        <v>1+8.87523514621322i</v>
      </c>
      <c r="AN133" s="98">
        <f t="shared" si="92"/>
        <v>8.9313940065690982</v>
      </c>
      <c r="AO133" s="98">
        <f t="shared" si="93"/>
        <v>1.4585964596847953</v>
      </c>
      <c r="AP133" s="168" t="str">
        <f t="shared" si="94"/>
        <v>-0.0992959747926629+0.012080445528168i</v>
      </c>
      <c r="AQ133" s="98">
        <f t="shared" si="95"/>
        <v>-19.997556576213807</v>
      </c>
      <c r="AR133" s="169">
        <f t="shared" si="96"/>
        <v>173.06342895334126</v>
      </c>
      <c r="AS133" s="168" t="str">
        <f t="shared" si="97"/>
        <v>0.399512064850825+3.86819653565384i</v>
      </c>
      <c r="AT133" s="190">
        <f t="shared" si="98"/>
        <v>11.796251534031901</v>
      </c>
      <c r="AU133" s="169">
        <f t="shared" si="99"/>
        <v>84.103329188439062</v>
      </c>
      <c r="AV133" s="225"/>
      <c r="AX133">
        <f t="shared" si="100"/>
        <v>0</v>
      </c>
      <c r="AY133">
        <f t="shared" si="101"/>
        <v>0</v>
      </c>
    </row>
    <row r="134" spans="14:51" x14ac:dyDescent="0.3">
      <c r="N134" s="170">
        <v>16</v>
      </c>
      <c r="O134" s="199">
        <f t="shared" si="102"/>
        <v>144.54397707459285</v>
      </c>
      <c r="P134" s="189" t="str">
        <f t="shared" si="67"/>
        <v>1078.86904761905</v>
      </c>
      <c r="Q134" s="160" t="str">
        <f t="shared" si="68"/>
        <v>1+28.381143531137i</v>
      </c>
      <c r="R134" s="160">
        <f t="shared" si="77"/>
        <v>28.398755397640219</v>
      </c>
      <c r="S134" s="160">
        <f t="shared" si="78"/>
        <v>1.5355762349846549</v>
      </c>
      <c r="T134" s="160" t="str">
        <f t="shared" si="69"/>
        <v>1+0.0000181639318599277i</v>
      </c>
      <c r="U134" s="160">
        <f t="shared" si="79"/>
        <v>1.0000000001649643</v>
      </c>
      <c r="V134" s="160">
        <f t="shared" si="80"/>
        <v>1.8163931857930103E-5</v>
      </c>
      <c r="W134" s="98" t="str">
        <f t="shared" si="70"/>
        <v>1-0.0131368820783741i</v>
      </c>
      <c r="X134" s="160">
        <f t="shared" si="81"/>
        <v>1.0000862851128103</v>
      </c>
      <c r="Y134" s="160">
        <f t="shared" si="82"/>
        <v>-1.3136126445779116E-2</v>
      </c>
      <c r="Z134" s="98" t="str">
        <f t="shared" si="71"/>
        <v>0.999991642815477+0.0051888082442576i</v>
      </c>
      <c r="AA134" s="160">
        <f t="shared" si="83"/>
        <v>1.0000051047028673</v>
      </c>
      <c r="AB134" s="160">
        <f t="shared" si="84"/>
        <v>5.1888050406735768E-3</v>
      </c>
      <c r="AC134" s="171" t="str">
        <f t="shared" si="85"/>
        <v>0.642558910187137-37.9876616245372i</v>
      </c>
      <c r="AD134" s="190">
        <f t="shared" si="86"/>
        <v>31.594093621699248</v>
      </c>
      <c r="AE134" s="169">
        <f t="shared" si="87"/>
        <v>-89.030937902615193</v>
      </c>
      <c r="AF134" s="98" t="str">
        <f t="shared" si="72"/>
        <v>-9.95024875621891E-06</v>
      </c>
      <c r="AG134" s="98" t="str">
        <f t="shared" si="73"/>
        <v>0.000909104789589381i</v>
      </c>
      <c r="AH134" s="98">
        <f t="shared" si="88"/>
        <v>9.0910478958938095E-4</v>
      </c>
      <c r="AI134" s="98">
        <f t="shared" si="89"/>
        <v>1.5707963267948966</v>
      </c>
      <c r="AJ134" s="98" t="str">
        <f t="shared" si="74"/>
        <v>1+0.00907289303692692i</v>
      </c>
      <c r="AK134" s="98">
        <f t="shared" si="90"/>
        <v>1.0000411578470456</v>
      </c>
      <c r="AL134" s="98">
        <f t="shared" si="91"/>
        <v>9.0726440969364098E-3</v>
      </c>
      <c r="AM134" s="98" t="str">
        <f t="shared" si="75"/>
        <v>1+9.08196592996385i</v>
      </c>
      <c r="AN134" s="98">
        <f t="shared" si="92"/>
        <v>9.1368542263201373</v>
      </c>
      <c r="AO134" s="98">
        <f t="shared" si="93"/>
        <v>1.461129777463676</v>
      </c>
      <c r="AP134" s="168" t="str">
        <f t="shared" si="94"/>
        <v>-0.0992956069420051+0.0118460049367746i</v>
      </c>
      <c r="AQ134" s="98">
        <f t="shared" si="95"/>
        <v>-20.000023716476761</v>
      </c>
      <c r="AR134" s="169">
        <f t="shared" si="96"/>
        <v>173.19674535377914</v>
      </c>
      <c r="AS134" s="168" t="str">
        <f t="shared" si="97"/>
        <v>0.386198750157766+3.77961967333818i</v>
      </c>
      <c r="AT134" s="190">
        <f t="shared" si="98"/>
        <v>11.594069905222486</v>
      </c>
      <c r="AU134" s="169">
        <f t="shared" si="99"/>
        <v>84.165807451163914</v>
      </c>
      <c r="AV134" s="225"/>
      <c r="AX134">
        <f t="shared" si="100"/>
        <v>0</v>
      </c>
      <c r="AY134">
        <f t="shared" si="101"/>
        <v>0</v>
      </c>
    </row>
    <row r="135" spans="14:51" x14ac:dyDescent="0.3">
      <c r="N135" s="170">
        <v>17</v>
      </c>
      <c r="O135" s="199">
        <f t="shared" si="102"/>
        <v>147.91083881682084</v>
      </c>
      <c r="P135" s="189" t="str">
        <f t="shared" si="67"/>
        <v>1078.86904761905</v>
      </c>
      <c r="Q135" s="160" t="str">
        <f t="shared" si="68"/>
        <v>1+29.0422252883268i</v>
      </c>
      <c r="R135" s="160">
        <f t="shared" si="77"/>
        <v>29.059436500006818</v>
      </c>
      <c r="S135" s="160">
        <f t="shared" si="78"/>
        <v>1.5363773017675892</v>
      </c>
      <c r="T135" s="160" t="str">
        <f t="shared" si="69"/>
        <v>1+0.0000185870241845291i</v>
      </c>
      <c r="U135" s="160">
        <f t="shared" si="79"/>
        <v>1.0000000001727387</v>
      </c>
      <c r="V135" s="160">
        <f t="shared" si="80"/>
        <v>1.8587024182388636E-5</v>
      </c>
      <c r="W135" s="98" t="str">
        <f t="shared" si="70"/>
        <v>1-0.0134428793712189i</v>
      </c>
      <c r="X135" s="160">
        <f t="shared" si="81"/>
        <v>1.0000903514212049</v>
      </c>
      <c r="Y135" s="160">
        <f t="shared" si="82"/>
        <v>-1.3442069700256335E-2</v>
      </c>
      <c r="Z135" s="98" t="str">
        <f t="shared" si="71"/>
        <v>0.999991248953504+0.00530967111463741i</v>
      </c>
      <c r="AA135" s="160">
        <f t="shared" si="83"/>
        <v>1.0000053452811812</v>
      </c>
      <c r="AB135" s="160">
        <f t="shared" si="84"/>
        <v>5.3096676819326177E-3</v>
      </c>
      <c r="AC135" s="171" t="str">
        <f t="shared" si="85"/>
        <v>0.582383942469542-37.1248775998219i</v>
      </c>
      <c r="AD135" s="190">
        <f t="shared" si="86"/>
        <v>31.394369220209278</v>
      </c>
      <c r="AE135" s="169">
        <f t="shared" si="87"/>
        <v>-89.101265583477897</v>
      </c>
      <c r="AF135" s="98" t="str">
        <f t="shared" si="72"/>
        <v>-9.95024875621891E-06</v>
      </c>
      <c r="AG135" s="98" t="str">
        <f t="shared" si="73"/>
        <v>0.000930280560435683i</v>
      </c>
      <c r="AH135" s="98">
        <f t="shared" si="88"/>
        <v>9.3028056043568301E-4</v>
      </c>
      <c r="AI135" s="98">
        <f t="shared" si="89"/>
        <v>1.5707963267948966</v>
      </c>
      <c r="AJ135" s="98" t="str">
        <f t="shared" si="74"/>
        <v>1+0.00928422786440017i</v>
      </c>
      <c r="AK135" s="98">
        <f t="shared" si="90"/>
        <v>1.0000430975148211</v>
      </c>
      <c r="AL135" s="98">
        <f t="shared" si="91"/>
        <v>9.2839611210153491E-3</v>
      </c>
      <c r="AM135" s="98" t="str">
        <f t="shared" si="75"/>
        <v>1+9.29351209226457i</v>
      </c>
      <c r="AN135" s="98">
        <f t="shared" si="92"/>
        <v>9.3471582317337383</v>
      </c>
      <c r="AO135" s="98">
        <f t="shared" si="93"/>
        <v>1.4636067962738264</v>
      </c>
      <c r="AP135" s="168" t="str">
        <f t="shared" si="94"/>
        <v>-0.0992952217580011+0.0116178449393628i</v>
      </c>
      <c r="AQ135" s="98">
        <f t="shared" si="95"/>
        <v>-20.002382591466979</v>
      </c>
      <c r="AR135" s="169">
        <f t="shared" si="96"/>
        <v>173.32656050375621</v>
      </c>
      <c r="AS135" s="168" t="str">
        <f t="shared" si="97"/>
        <v>0.373483128631742+3.69308900035175i</v>
      </c>
      <c r="AT135" s="190">
        <f t="shared" si="98"/>
        <v>11.391986628742304</v>
      </c>
      <c r="AU135" s="169">
        <f t="shared" si="99"/>
        <v>84.225294920278316</v>
      </c>
      <c r="AV135" s="225"/>
      <c r="AX135">
        <f t="shared" si="100"/>
        <v>0</v>
      </c>
      <c r="AY135">
        <f t="shared" si="101"/>
        <v>0</v>
      </c>
    </row>
    <row r="136" spans="14:51" x14ac:dyDescent="0.3">
      <c r="N136" s="170">
        <v>18</v>
      </c>
      <c r="O136" s="199">
        <f t="shared" si="102"/>
        <v>151.3561248436209</v>
      </c>
      <c r="P136" s="189" t="str">
        <f t="shared" si="67"/>
        <v>1078.86904761905</v>
      </c>
      <c r="Q136" s="160" t="str">
        <f t="shared" si="68"/>
        <v>1+29.7187056177837i</v>
      </c>
      <c r="R136" s="160">
        <f t="shared" si="77"/>
        <v>29.735525278637478</v>
      </c>
      <c r="S136" s="160">
        <f t="shared" si="78"/>
        <v>1.5371601767481509</v>
      </c>
      <c r="T136" s="160" t="str">
        <f t="shared" si="69"/>
        <v>1+0.0000190199715953816i</v>
      </c>
      <c r="U136" s="160">
        <f t="shared" si="79"/>
        <v>1.0000000001808798</v>
      </c>
      <c r="V136" s="160">
        <f t="shared" si="80"/>
        <v>1.901997159308805E-5</v>
      </c>
      <c r="W136" s="98" t="str">
        <f t="shared" si="70"/>
        <v>1-0.0137560042566438i</v>
      </c>
      <c r="X136" s="160">
        <f t="shared" si="81"/>
        <v>1.0000946093510898</v>
      </c>
      <c r="Y136" s="160">
        <f t="shared" si="82"/>
        <v>-1.3755136683009145E-2</v>
      </c>
      <c r="Z136" s="98" t="str">
        <f t="shared" si="71"/>
        <v>0.999990836529389+0.005433349242924i</v>
      </c>
      <c r="AA136" s="160">
        <f t="shared" si="83"/>
        <v>1.0000055971977071</v>
      </c>
      <c r="AB136" s="160">
        <f t="shared" si="84"/>
        <v>5.4333455647115492E-3</v>
      </c>
      <c r="AC136" s="171" t="str">
        <f t="shared" si="85"/>
        <v>0.524911072748848-36.2815913275615i</v>
      </c>
      <c r="AD136" s="190">
        <f t="shared" si="86"/>
        <v>31.194635488448267</v>
      </c>
      <c r="AE136" s="169">
        <f t="shared" si="87"/>
        <v>-89.171119847210065</v>
      </c>
      <c r="AF136" s="98" t="str">
        <f t="shared" si="72"/>
        <v>-9.95024875621891E-06</v>
      </c>
      <c r="AG136" s="98" t="str">
        <f t="shared" si="73"/>
        <v>0.000951949578348847i</v>
      </c>
      <c r="AH136" s="98">
        <f t="shared" si="88"/>
        <v>9.5194957834884701E-4</v>
      </c>
      <c r="AI136" s="98">
        <f t="shared" si="89"/>
        <v>1.5707963267948966</v>
      </c>
      <c r="AJ136" s="98" t="str">
        <f t="shared" si="74"/>
        <v>1+0.0095004853123784i</v>
      </c>
      <c r="AK136" s="98">
        <f t="shared" si="90"/>
        <v>1.0000451285922904</v>
      </c>
      <c r="AL136" s="98">
        <f t="shared" si="91"/>
        <v>9.500199492388629E-3</v>
      </c>
      <c r="AM136" s="98" t="str">
        <f t="shared" si="75"/>
        <v>1+9.50998579769078i</v>
      </c>
      <c r="AN136" s="98">
        <f t="shared" si="92"/>
        <v>9.5624175746659574</v>
      </c>
      <c r="AO136" s="98">
        <f t="shared" si="93"/>
        <v>1.4660287078128771</v>
      </c>
      <c r="AP136" s="168" t="str">
        <f t="shared" si="94"/>
        <v>-0.0992948184240371+0.011395844539983i</v>
      </c>
      <c r="AQ136" s="98">
        <f t="shared" si="95"/>
        <v>-20.004638031361523</v>
      </c>
      <c r="AR136" s="169">
        <f t="shared" si="96"/>
        <v>173.45293626724936</v>
      </c>
      <c r="AS136" s="168" t="str">
        <f t="shared" si="97"/>
        <v>0.361338424774723+3.6085558279877i</v>
      </c>
      <c r="AT136" s="190">
        <f t="shared" si="98"/>
        <v>11.189997457086744</v>
      </c>
      <c r="AU136" s="169">
        <f t="shared" si="99"/>
        <v>84.28181642003932</v>
      </c>
      <c r="AV136" s="225"/>
      <c r="AX136">
        <f t="shared" si="100"/>
        <v>0</v>
      </c>
      <c r="AY136">
        <f t="shared" si="101"/>
        <v>0</v>
      </c>
    </row>
    <row r="137" spans="14:51" x14ac:dyDescent="0.3">
      <c r="N137" s="170">
        <v>19</v>
      </c>
      <c r="O137" s="199">
        <f t="shared" si="102"/>
        <v>154.8816618912482</v>
      </c>
      <c r="P137" s="189" t="str">
        <f t="shared" si="67"/>
        <v>1078.86904761905</v>
      </c>
      <c r="Q137" s="160" t="str">
        <f t="shared" si="68"/>
        <v>1+30.4109431983327i</v>
      </c>
      <c r="R137" s="160">
        <f t="shared" si="77"/>
        <v>30.427380206192872</v>
      </c>
      <c r="S137" s="160">
        <f t="shared" si="78"/>
        <v>1.5379252711762732</v>
      </c>
      <c r="T137" s="160" t="str">
        <f t="shared" si="69"/>
        <v>1+0.0000194630036469329i</v>
      </c>
      <c r="U137" s="160">
        <f t="shared" si="79"/>
        <v>1.0000000001894043</v>
      </c>
      <c r="V137" s="160">
        <f t="shared" si="80"/>
        <v>1.9463003644475316E-5</v>
      </c>
      <c r="W137" s="98" t="str">
        <f t="shared" si="70"/>
        <v>1-0.0140764227576078i</v>
      </c>
      <c r="X137" s="160">
        <f t="shared" si="81"/>
        <v>1.000099067931598</v>
      </c>
      <c r="Y137" s="160">
        <f t="shared" si="82"/>
        <v>-1.4075493140682974E-2</v>
      </c>
      <c r="Z137" s="98" t="str">
        <f t="shared" si="71"/>
        <v>0.999990404668324+0.00555990820489807i</v>
      </c>
      <c r="AA137" s="160">
        <f t="shared" si="83"/>
        <v>1.000005860986807</v>
      </c>
      <c r="AB137" s="160">
        <f t="shared" si="84"/>
        <v>5.5599042636190607E-3</v>
      </c>
      <c r="AC137" s="171" t="str">
        <f t="shared" si="85"/>
        <v>0.470019239694415-35.4573680963998i</v>
      </c>
      <c r="AD137" s="190">
        <f t="shared" si="86"/>
        <v>30.9948929894583</v>
      </c>
      <c r="AE137" s="169">
        <f t="shared" si="87"/>
        <v>-89.24053749727625</v>
      </c>
      <c r="AF137" s="98" t="str">
        <f t="shared" si="72"/>
        <v>-9.95024875621891E-06</v>
      </c>
      <c r="AG137" s="98" t="str">
        <f t="shared" si="73"/>
        <v>0.000974123332528994i</v>
      </c>
      <c r="AH137" s="98">
        <f t="shared" si="88"/>
        <v>9.7412333252899395E-4</v>
      </c>
      <c r="AI137" s="98">
        <f t="shared" si="89"/>
        <v>1.5707963267948966</v>
      </c>
      <c r="AJ137" s="98" t="str">
        <f t="shared" si="74"/>
        <v>1+0.00972178004342305i</v>
      </c>
      <c r="AK137" s="98">
        <f t="shared" si="90"/>
        <v>1.0000472553870705</v>
      </c>
      <c r="AL137" s="98">
        <f t="shared" si="91"/>
        <v>9.7214737825677879E-3</v>
      </c>
      <c r="AM137" s="98" t="str">
        <f t="shared" si="75"/>
        <v>1+9.73150182346647i</v>
      </c>
      <c r="AN137" s="98">
        <f t="shared" si="92"/>
        <v>9.7827464313520487</v>
      </c>
      <c r="AO137" s="98">
        <f t="shared" si="93"/>
        <v>1.4683966824996384</v>
      </c>
      <c r="AP137" s="168" t="str">
        <f t="shared" si="94"/>
        <v>-0.0992943960850409+0.0111798860069777i</v>
      </c>
      <c r="AQ137" s="98">
        <f t="shared" si="95"/>
        <v>-20.006794661963319</v>
      </c>
      <c r="AR137" s="169">
        <f t="shared" si="96"/>
        <v>173.57593313985262</v>
      </c>
      <c r="AS137" s="168" t="str">
        <f t="shared" si="97"/>
        <v>0.349739056871391+3.52597271341788i</v>
      </c>
      <c r="AT137" s="190">
        <f t="shared" si="98"/>
        <v>10.988098327494971</v>
      </c>
      <c r="AU137" s="169">
        <f t="shared" si="99"/>
        <v>84.335395642576358</v>
      </c>
      <c r="AV137" s="225"/>
      <c r="AX137">
        <f t="shared" si="100"/>
        <v>0</v>
      </c>
      <c r="AY137">
        <f t="shared" si="101"/>
        <v>0</v>
      </c>
    </row>
    <row r="138" spans="14:51" x14ac:dyDescent="0.3">
      <c r="N138" s="170">
        <v>20</v>
      </c>
      <c r="O138" s="199">
        <f t="shared" si="102"/>
        <v>158.48931924611153</v>
      </c>
      <c r="P138" s="189" t="str">
        <f t="shared" si="67"/>
        <v>1078.86904761905</v>
      </c>
      <c r="Q138" s="160" t="str">
        <f t="shared" si="68"/>
        <v>1+31.119305063502i</v>
      </c>
      <c r="R138" s="160">
        <f t="shared" si="77"/>
        <v>31.135368114658629</v>
      </c>
      <c r="S138" s="160">
        <f t="shared" si="78"/>
        <v>1.5386729871301981</v>
      </c>
      <c r="T138" s="160" t="str">
        <f t="shared" si="69"/>
        <v>1+0.0000199163552406413i</v>
      </c>
      <c r="U138" s="160">
        <f t="shared" si="79"/>
        <v>1.0000000001983307</v>
      </c>
      <c r="V138" s="160">
        <f t="shared" si="80"/>
        <v>1.9916355238007952E-5</v>
      </c>
      <c r="W138" s="98" t="str">
        <f t="shared" si="70"/>
        <v>1-0.0144043047642414i</v>
      </c>
      <c r="X138" s="160">
        <f t="shared" si="81"/>
        <v>1.0001037366172276</v>
      </c>
      <c r="Y138" s="160">
        <f t="shared" si="82"/>
        <v>-1.4403308667340175E-2</v>
      </c>
      <c r="Z138" s="98" t="str">
        <f t="shared" si="71"/>
        <v>0.999989952454274+0.00568941510379647i</v>
      </c>
      <c r="AA138" s="160">
        <f t="shared" si="83"/>
        <v>1.0000061372080296</v>
      </c>
      <c r="AB138" s="160">
        <f t="shared" si="84"/>
        <v>5.6894108806361541E-3</v>
      </c>
      <c r="AC138" s="171" t="str">
        <f t="shared" si="85"/>
        <v>0.417592782393431-34.6517824771526i</v>
      </c>
      <c r="AD138" s="190">
        <f t="shared" si="86"/>
        <v>30.795142267830428</v>
      </c>
      <c r="AE138" s="169">
        <f t="shared" si="87"/>
        <v>-89.30955511928822</v>
      </c>
      <c r="AF138" s="98" t="str">
        <f t="shared" si="72"/>
        <v>-9.95024875621891E-06</v>
      </c>
      <c r="AG138" s="98" t="str">
        <f t="shared" si="73"/>
        <v>0.000996813579794095i</v>
      </c>
      <c r="AH138" s="98">
        <f t="shared" si="88"/>
        <v>9.9681357979409494E-4</v>
      </c>
      <c r="AI138" s="98">
        <f t="shared" si="89"/>
        <v>1.5707963267948966</v>
      </c>
      <c r="AJ138" s="98" t="str">
        <f t="shared" si="74"/>
        <v>1+0.0099482293909297i</v>
      </c>
      <c r="AK138" s="98">
        <f t="shared" si="90"/>
        <v>1.0000494824097528</v>
      </c>
      <c r="AL138" s="98">
        <f t="shared" si="91"/>
        <v>9.9479012273878138E-3</v>
      </c>
      <c r="AM138" s="98" t="str">
        <f t="shared" si="75"/>
        <v>1+9.95817762032063i</v>
      </c>
      <c r="AN138" s="98">
        <f t="shared" si="92"/>
        <v>10.008261663138841</v>
      </c>
      <c r="AO138" s="98">
        <f t="shared" si="93"/>
        <v>1.4707118695839552</v>
      </c>
      <c r="AP138" s="168" t="str">
        <f t="shared" si="94"/>
        <v>-0.0992939538456719+0.0109698548104434i</v>
      </c>
      <c r="AQ138" s="98">
        <f t="shared" si="95"/>
        <v>-20.008856913219219</v>
      </c>
      <c r="AR138" s="169">
        <f t="shared" si="96"/>
        <v>173.695610251613</v>
      </c>
      <c r="AS138" s="168" t="str">
        <f t="shared" si="97"/>
        <v>0.338660584236172+3.4452934221494i</v>
      </c>
      <c r="AT138" s="190">
        <f t="shared" si="98"/>
        <v>10.786285354611209</v>
      </c>
      <c r="AU138" s="169">
        <f t="shared" si="99"/>
        <v>84.386055132324799</v>
      </c>
      <c r="AV138" s="225"/>
      <c r="AX138">
        <f t="shared" si="100"/>
        <v>0</v>
      </c>
      <c r="AY138">
        <f t="shared" si="101"/>
        <v>0</v>
      </c>
    </row>
    <row r="139" spans="14:51" x14ac:dyDescent="0.3">
      <c r="N139" s="170">
        <v>21</v>
      </c>
      <c r="O139" s="199">
        <f t="shared" si="102"/>
        <v>162.18100973589304</v>
      </c>
      <c r="P139" s="189" t="str">
        <f t="shared" si="67"/>
        <v>1078.86904761905</v>
      </c>
      <c r="Q139" s="160" t="str">
        <f t="shared" si="68"/>
        <v>1+31.8441667961284i</v>
      </c>
      <c r="R139" s="160">
        <f t="shared" si="77"/>
        <v>31.859864389850227</v>
      </c>
      <c r="S139" s="160">
        <f t="shared" si="78"/>
        <v>1.5394037177126503</v>
      </c>
      <c r="T139" s="160" t="str">
        <f t="shared" si="69"/>
        <v>1+0.0000203802667495222i</v>
      </c>
      <c r="U139" s="160">
        <f t="shared" si="79"/>
        <v>1.0000000002076777</v>
      </c>
      <c r="V139" s="160">
        <f t="shared" si="80"/>
        <v>2.0380266746700518E-5</v>
      </c>
      <c r="W139" s="98" t="str">
        <f t="shared" si="70"/>
        <v>1-0.0147398241239244i</v>
      </c>
      <c r="X139" s="160">
        <f t="shared" si="81"/>
        <v>1.0001086253078733</v>
      </c>
      <c r="Y139" s="160">
        <f t="shared" si="82"/>
        <v>-1.473875679312585E-2</v>
      </c>
      <c r="Z139" s="98" t="str">
        <f t="shared" si="71"/>
        <v>0.999989478928032+0.00582193860589118i</v>
      </c>
      <c r="AA139" s="160">
        <f t="shared" si="83"/>
        <v>1.0000064264472943</v>
      </c>
      <c r="AB139" s="160">
        <f t="shared" si="84"/>
        <v>5.8219340806891437E-3</v>
      </c>
      <c r="AC139" s="171" t="str">
        <f t="shared" si="85"/>
        <v>0.367521201536154-33.8644181519996i</v>
      </c>
      <c r="AD139" s="190">
        <f t="shared" si="86"/>
        <v>30.595383850846758</v>
      </c>
      <c r="AE139" s="169">
        <f t="shared" si="87"/>
        <v>-89.378209099356042</v>
      </c>
      <c r="AF139" s="98" t="str">
        <f t="shared" si="72"/>
        <v>-9.95024875621891E-06</v>
      </c>
      <c r="AG139" s="98" t="str">
        <f t="shared" si="73"/>
        <v>0.00102003235081359i</v>
      </c>
      <c r="AH139" s="98">
        <f t="shared" si="88"/>
        <v>1.0200323508135899E-3</v>
      </c>
      <c r="AI139" s="98">
        <f t="shared" si="89"/>
        <v>1.5707963267948966</v>
      </c>
      <c r="AJ139" s="98" t="str">
        <f t="shared" si="74"/>
        <v>1+0.0101799534213398i</v>
      </c>
      <c r="AK139" s="98">
        <f t="shared" si="90"/>
        <v>1.0000518143834651</v>
      </c>
      <c r="AL139" s="98">
        <f t="shared" si="91"/>
        <v>1.0179601788753361E-2</v>
      </c>
      <c r="AM139" s="98" t="str">
        <f t="shared" si="75"/>
        <v>1+10.1901333747611i</v>
      </c>
      <c r="AN139" s="98">
        <f t="shared" si="92"/>
        <v>10.239082878628341</v>
      </c>
      <c r="AO139" s="98">
        <f t="shared" si="93"/>
        <v>1.4729753972773798</v>
      </c>
      <c r="AP139" s="168" t="str">
        <f t="shared" si="94"/>
        <v>-0.0992934907684252+0.0107656395613818i</v>
      </c>
      <c r="AQ139" s="98">
        <f t="shared" si="95"/>
        <v>-20.010829027432862</v>
      </c>
      <c r="AR139" s="169">
        <f t="shared" si="96"/>
        <v>173.81202537098017</v>
      </c>
      <c r="AS139" s="168" t="str">
        <f t="shared" si="97"/>
        <v>0.328079656748412+3.36647289194057i</v>
      </c>
      <c r="AT139" s="190">
        <f t="shared" si="98"/>
        <v>10.584554823413905</v>
      </c>
      <c r="AU139" s="169">
        <f t="shared" si="99"/>
        <v>84.433816271624138</v>
      </c>
      <c r="AV139" s="225"/>
      <c r="AX139">
        <f t="shared" si="100"/>
        <v>0</v>
      </c>
      <c r="AY139">
        <f t="shared" si="101"/>
        <v>0</v>
      </c>
    </row>
    <row r="140" spans="14:51" x14ac:dyDescent="0.3">
      <c r="N140" s="170">
        <v>22</v>
      </c>
      <c r="O140" s="199">
        <f t="shared" si="102"/>
        <v>165.95869074375622</v>
      </c>
      <c r="P140" s="189" t="str">
        <f t="shared" si="67"/>
        <v>1078.86904761905</v>
      </c>
      <c r="Q140" s="160" t="str">
        <f t="shared" si="68"/>
        <v>1+32.5859127274978i</v>
      </c>
      <c r="R140" s="160">
        <f t="shared" si="77"/>
        <v>32.601253170455017</v>
      </c>
      <c r="S140" s="160">
        <f t="shared" si="78"/>
        <v>1.5401178472433832</v>
      </c>
      <c r="T140" s="160" t="str">
        <f t="shared" si="69"/>
        <v>1+0.0000208549841455986i</v>
      </c>
      <c r="U140" s="160">
        <f t="shared" si="79"/>
        <v>1.0000000002174652</v>
      </c>
      <c r="V140" s="160">
        <f t="shared" si="80"/>
        <v>2.0854984142575112E-5</v>
      </c>
      <c r="W140" s="98" t="str">
        <f t="shared" si="70"/>
        <v>1-0.0150831587334627i</v>
      </c>
      <c r="X140" s="160">
        <f t="shared" si="81"/>
        <v>1.0001137443697985</v>
      </c>
      <c r="Y140" s="160">
        <f t="shared" si="82"/>
        <v>-1.5082015074931837E-2</v>
      </c>
      <c r="Z140" s="98" t="str">
        <f t="shared" si="71"/>
        <v>0.999988983085187+0.00595754897689725i</v>
      </c>
      <c r="AA140" s="160">
        <f t="shared" si="83"/>
        <v>1.0000067293181374</v>
      </c>
      <c r="AB140" s="160">
        <f t="shared" si="84"/>
        <v>5.9575441280511577E-3</v>
      </c>
      <c r="AC140" s="171" t="str">
        <f t="shared" si="85"/>
        <v>0.319698930978585-33.0948677448825i</v>
      </c>
      <c r="AD140" s="190">
        <f t="shared" si="86"/>
        <v>30.395618249585752</v>
      </c>
      <c r="AE140" s="169">
        <f t="shared" si="87"/>
        <v>-89.446535642393258</v>
      </c>
      <c r="AF140" s="98" t="str">
        <f t="shared" si="72"/>
        <v>-9.95024875621891E-06</v>
      </c>
      <c r="AG140" s="98" t="str">
        <f t="shared" si="73"/>
        <v>0.00104379195648721i</v>
      </c>
      <c r="AH140" s="98">
        <f t="shared" si="88"/>
        <v>1.04379195648721E-3</v>
      </c>
      <c r="AI140" s="98">
        <f t="shared" si="89"/>
        <v>1.5707963267948966</v>
      </c>
      <c r="AJ140" s="98" t="str">
        <f t="shared" si="74"/>
        <v>1+0.0104170749978015i</v>
      </c>
      <c r="AK140" s="98">
        <f t="shared" si="90"/>
        <v>1.0000542562538843</v>
      </c>
      <c r="AL140" s="98">
        <f t="shared" si="91"/>
        <v>1.04166982178008E-2</v>
      </c>
      <c r="AM140" s="98" t="str">
        <f t="shared" si="75"/>
        <v>1+10.4274920727993i</v>
      </c>
      <c r="AN140" s="98">
        <f t="shared" si="92"/>
        <v>10.475332497266722</v>
      </c>
      <c r="AO140" s="98">
        <f t="shared" si="93"/>
        <v>1.4751883729028188</v>
      </c>
      <c r="AP140" s="168" t="str">
        <f t="shared" si="94"/>
        <v>-0.0992930058716504+0.0105671319525084i</v>
      </c>
      <c r="AQ140" s="98">
        <f t="shared" si="95"/>
        <v>-20.012715067180288</v>
      </c>
      <c r="AR140" s="169">
        <f t="shared" si="96"/>
        <v>173.92523490976109</v>
      </c>
      <c r="AS140" s="168" t="str">
        <f t="shared" si="97"/>
        <v>0.317973966580171+3.28946719810284i</v>
      </c>
      <c r="AT140" s="190">
        <f t="shared" si="98"/>
        <v>10.382903182405467</v>
      </c>
      <c r="AU140" s="169">
        <f t="shared" si="99"/>
        <v>84.478699267367844</v>
      </c>
      <c r="AV140" s="225"/>
      <c r="AX140">
        <f t="shared" si="100"/>
        <v>0</v>
      </c>
      <c r="AY140">
        <f t="shared" si="101"/>
        <v>0</v>
      </c>
    </row>
    <row r="141" spans="14:51" x14ac:dyDescent="0.3">
      <c r="N141" s="170">
        <v>23</v>
      </c>
      <c r="O141" s="199">
        <f t="shared" si="102"/>
        <v>169.82436524617444</v>
      </c>
      <c r="P141" s="189" t="str">
        <f t="shared" si="67"/>
        <v>1078.86904761905</v>
      </c>
      <c r="Q141" s="160" t="str">
        <f t="shared" si="68"/>
        <v>1+33.3449361411206i</v>
      </c>
      <c r="R141" s="160">
        <f t="shared" si="77"/>
        <v>33.35992755171106</v>
      </c>
      <c r="S141" s="160">
        <f t="shared" si="78"/>
        <v>1.5408157514481198</v>
      </c>
      <c r="T141" s="160" t="str">
        <f t="shared" si="69"/>
        <v>1+0.0000213407591303172i</v>
      </c>
      <c r="U141" s="160">
        <f t="shared" si="79"/>
        <v>1.0000000002277138</v>
      </c>
      <c r="V141" s="160">
        <f t="shared" si="80"/>
        <v>2.1340759127077475E-5</v>
      </c>
      <c r="W141" s="98" t="str">
        <f t="shared" si="70"/>
        <v>1-0.0154344906334106i</v>
      </c>
      <c r="X141" s="160">
        <f t="shared" si="81"/>
        <v>1.0001191046575968</v>
      </c>
      <c r="Y141" s="160">
        <f t="shared" si="82"/>
        <v>-1.5433265189098084E-2</v>
      </c>
      <c r="Z141" s="98" t="str">
        <f t="shared" si="71"/>
        <v>0.999988463873988+0.00609631811922831i</v>
      </c>
      <c r="AA141" s="160">
        <f t="shared" si="83"/>
        <v>1.0000070464630082</v>
      </c>
      <c r="AB141" s="160">
        <f t="shared" si="84"/>
        <v>6.0963129235907876E-3</v>
      </c>
      <c r="AC141" s="171" t="str">
        <f t="shared" si="85"/>
        <v>0.274025119248431-32.3427326532688i</v>
      </c>
      <c r="AD141" s="190">
        <f t="shared" si="86"/>
        <v>30.195845959995541</v>
      </c>
      <c r="AE141" s="169">
        <f t="shared" si="87"/>
        <v>-89.514570790380446</v>
      </c>
      <c r="AF141" s="98" t="str">
        <f t="shared" si="72"/>
        <v>-9.95024875621891E-06</v>
      </c>
      <c r="AG141" s="98" t="str">
        <f t="shared" si="73"/>
        <v>0.00106810499447238i</v>
      </c>
      <c r="AH141" s="98">
        <f t="shared" si="88"/>
        <v>1.0681049944723799E-3</v>
      </c>
      <c r="AI141" s="98">
        <f t="shared" si="89"/>
        <v>1.5707963267948966</v>
      </c>
      <c r="AJ141" s="98" t="str">
        <f t="shared" si="74"/>
        <v>1+0.0106597198453133i</v>
      </c>
      <c r="AK141" s="98">
        <f t="shared" si="90"/>
        <v>1.0000568131997205</v>
      </c>
      <c r="AL141" s="98">
        <f t="shared" si="91"/>
        <v>1.0659316119507446E-2</v>
      </c>
      <c r="AM141" s="98" t="str">
        <f t="shared" si="75"/>
        <v>1+10.6703795651586i</v>
      </c>
      <c r="AN141" s="98">
        <f t="shared" si="92"/>
        <v>10.717135814412087</v>
      </c>
      <c r="AO141" s="98">
        <f t="shared" si="93"/>
        <v>1.4773518830613994</v>
      </c>
      <c r="AP141" s="168" t="str">
        <f t="shared" si="94"/>
        <v>-0.0992924981274699+0.0103742267006845i</v>
      </c>
      <c r="AQ141" s="98">
        <f t="shared" si="95"/>
        <v>-20.014518922937398</v>
      </c>
      <c r="AR141" s="169">
        <f t="shared" si="96"/>
        <v>174.03529392897937</v>
      </c>
      <c r="AS141" s="168" t="str">
        <f t="shared" si="97"/>
        <v>0.308322202024787+3.21423352012072i</v>
      </c>
      <c r="AT141" s="190">
        <f t="shared" si="98"/>
        <v>10.181327037058152</v>
      </c>
      <c r="AU141" s="169">
        <f t="shared" si="99"/>
        <v>84.520723138598939</v>
      </c>
      <c r="AV141" s="225"/>
      <c r="AX141">
        <f t="shared" si="100"/>
        <v>0</v>
      </c>
      <c r="AY141">
        <f t="shared" si="101"/>
        <v>0</v>
      </c>
    </row>
    <row r="142" spans="14:51" x14ac:dyDescent="0.3">
      <c r="N142" s="170">
        <v>24</v>
      </c>
      <c r="O142" s="199">
        <f t="shared" si="102"/>
        <v>173.78008287493768</v>
      </c>
      <c r="P142" s="189" t="str">
        <f t="shared" si="67"/>
        <v>1078.86904761905</v>
      </c>
      <c r="Q142" s="160" t="str">
        <f t="shared" si="68"/>
        <v>1+34.1216394812581i</v>
      </c>
      <c r="R142" s="160">
        <f t="shared" si="77"/>
        <v>34.136289793838927</v>
      </c>
      <c r="S142" s="160">
        <f t="shared" si="78"/>
        <v>1.5414977976439248</v>
      </c>
      <c r="T142" s="160" t="str">
        <f t="shared" si="69"/>
        <v>1+0.0000218378492680052i</v>
      </c>
      <c r="U142" s="160">
        <f t="shared" si="79"/>
        <v>1.0000000002384457</v>
      </c>
      <c r="V142" s="160">
        <f t="shared" si="80"/>
        <v>2.183784926453377E-5</v>
      </c>
      <c r="W142" s="98" t="str">
        <f t="shared" si="70"/>
        <v>1-0.0157940061045921i</v>
      </c>
      <c r="X142" s="160">
        <f t="shared" si="81"/>
        <v>1.0001247175371839</v>
      </c>
      <c r="Y142" s="160">
        <f t="shared" si="82"/>
        <v>-1.5792693026197249E-2</v>
      </c>
      <c r="Z142" s="98" t="str">
        <f t="shared" si="71"/>
        <v>0.999987920193118+0.00623831961012054i</v>
      </c>
      <c r="AA142" s="160">
        <f t="shared" si="83"/>
        <v>1.0000073785546364</v>
      </c>
      <c r="AB142" s="160">
        <f t="shared" si="84"/>
        <v>6.2383140428886614E-3</v>
      </c>
      <c r="AC142" s="171" t="str">
        <f t="shared" si="85"/>
        <v>0.230403420575842-31.6076228814022i</v>
      </c>
      <c r="AD142" s="190">
        <f t="shared" si="86"/>
        <v>29.996067463934708</v>
      </c>
      <c r="AE142" s="169">
        <f t="shared" si="87"/>
        <v>-89.582350440593316</v>
      </c>
      <c r="AF142" s="98" t="str">
        <f t="shared" si="72"/>
        <v>-9.95024875621891E-06</v>
      </c>
      <c r="AG142" s="98" t="str">
        <f t="shared" si="73"/>
        <v>0.00109298435586366i</v>
      </c>
      <c r="AH142" s="98">
        <f t="shared" si="88"/>
        <v>1.0929843558636599E-3</v>
      </c>
      <c r="AI142" s="98">
        <f t="shared" si="89"/>
        <v>1.5707963267948966</v>
      </c>
      <c r="AJ142" s="98" t="str">
        <f t="shared" si="74"/>
        <v>1+0.0109080166173852i</v>
      </c>
      <c r="AK142" s="98">
        <f t="shared" si="90"/>
        <v>1.0000594906436941</v>
      </c>
      <c r="AL142" s="98">
        <f t="shared" si="91"/>
        <v>1.0907584018780064E-2</v>
      </c>
      <c r="AM142" s="98" t="str">
        <f t="shared" si="75"/>
        <v>1+10.9189246340026i</v>
      </c>
      <c r="AN142" s="98">
        <f t="shared" si="92"/>
        <v>10.964621067917889</v>
      </c>
      <c r="AO142" s="98">
        <f t="shared" si="93"/>
        <v>1.4794669938149458</v>
      </c>
      <c r="AP142" s="168" t="str">
        <f t="shared" si="94"/>
        <v>-0.0992919664596099+0.0101868214909439i</v>
      </c>
      <c r="AQ142" s="98">
        <f t="shared" si="95"/>
        <v>-20.016244320426196</v>
      </c>
      <c r="AR142" s="169">
        <f t="shared" si="96"/>
        <v>174.14225614554337</v>
      </c>
      <c r="AS142" s="168" t="str">
        <f t="shared" si="97"/>
        <v>0.299104003337922+3.14073010952449i</v>
      </c>
      <c r="AT142" s="190">
        <f t="shared" si="98"/>
        <v>9.9798231435084954</v>
      </c>
      <c r="AU142" s="169">
        <f t="shared" si="99"/>
        <v>84.559905704950069</v>
      </c>
      <c r="AV142" s="225"/>
      <c r="AX142">
        <f t="shared" si="100"/>
        <v>0</v>
      </c>
      <c r="AY142">
        <f t="shared" si="101"/>
        <v>0</v>
      </c>
    </row>
    <row r="143" spans="14:51" x14ac:dyDescent="0.3">
      <c r="N143" s="170">
        <v>25</v>
      </c>
      <c r="O143" s="199">
        <f t="shared" si="102"/>
        <v>177.82794100389242</v>
      </c>
      <c r="P143" s="189" t="str">
        <f t="shared" si="67"/>
        <v>1078.86904761905</v>
      </c>
      <c r="Q143" s="160" t="str">
        <f t="shared" si="68"/>
        <v>1+34.9164345663019i</v>
      </c>
      <c r="R143" s="160">
        <f t="shared" si="77"/>
        <v>34.930751535328326</v>
      </c>
      <c r="S143" s="160">
        <f t="shared" si="78"/>
        <v>1.5421643449210347</v>
      </c>
      <c r="T143" s="160" t="str">
        <f t="shared" si="69"/>
        <v>1+0.0000223465181224332i</v>
      </c>
      <c r="U143" s="160">
        <f t="shared" si="79"/>
        <v>1.0000000002496834</v>
      </c>
      <c r="V143" s="160">
        <f t="shared" si="80"/>
        <v>2.2346518118713497E-5</v>
      </c>
      <c r="W143" s="98" t="str">
        <f t="shared" si="70"/>
        <v>1-0.0161618957668686i</v>
      </c>
      <c r="X143" s="160">
        <f t="shared" si="81"/>
        <v>1.0001305949098744</v>
      </c>
      <c r="Y143" s="160">
        <f t="shared" si="82"/>
        <v>-1.6160488787941636E-2</v>
      </c>
      <c r="Z143" s="98" t="str">
        <f t="shared" si="71"/>
        <v>0.999987350889359+0.00638362874064398i</v>
      </c>
      <c r="AA143" s="160">
        <f t="shared" si="83"/>
        <v>1.0000077262974605</v>
      </c>
      <c r="AB143" s="160">
        <f t="shared" si="84"/>
        <v>6.3836227752408405E-3</v>
      </c>
      <c r="AC143" s="171" t="str">
        <f t="shared" si="85"/>
        <v>0.188741795047794-30.8891568751706i</v>
      </c>
      <c r="AD143" s="190">
        <f t="shared" si="86"/>
        <v>29.79628323018536</v>
      </c>
      <c r="AE143" s="169">
        <f t="shared" si="87"/>
        <v>-89.649910363800061</v>
      </c>
      <c r="AF143" s="98" t="str">
        <f t="shared" si="72"/>
        <v>-9.95024875621891E-06</v>
      </c>
      <c r="AG143" s="98" t="str">
        <f t="shared" si="73"/>
        <v>0.00111844323202778i</v>
      </c>
      <c r="AH143" s="98">
        <f t="shared" si="88"/>
        <v>1.11844323202778E-3</v>
      </c>
      <c r="AI143" s="98">
        <f t="shared" si="89"/>
        <v>1.5707963267948966</v>
      </c>
      <c r="AJ143" s="98" t="str">
        <f t="shared" si="74"/>
        <v>1+0.0111620969642523i</v>
      </c>
      <c r="AK143" s="98">
        <f t="shared" si="90"/>
        <v>1.000062294264032</v>
      </c>
      <c r="AL143" s="98">
        <f t="shared" si="91"/>
        <v>1.1161633428054913E-2</v>
      </c>
      <c r="AM143" s="98" t="str">
        <f t="shared" si="75"/>
        <v>1+11.1732590612166i</v>
      </c>
      <c r="AN143" s="98">
        <f t="shared" si="92"/>
        <v>11.217919506265806</v>
      </c>
      <c r="AO143" s="98">
        <f t="shared" si="93"/>
        <v>1.4815347508825232</v>
      </c>
      <c r="AP143" s="168" t="str">
        <f t="shared" si="94"/>
        <v>-0.0992914097411177+0.0100048169220808i</v>
      </c>
      <c r="AQ143" s="98">
        <f t="shared" si="95"/>
        <v>-20.017894827690149</v>
      </c>
      <c r="AR143" s="169">
        <f t="shared" si="96"/>
        <v>174.24617393963473</v>
      </c>
      <c r="AS143" s="168" t="str">
        <f t="shared" si="97"/>
        <v>0.290299920506151+3.06891625895523i</v>
      </c>
      <c r="AT143" s="190">
        <f t="shared" si="98"/>
        <v>9.7783884024952243</v>
      </c>
      <c r="AU143" s="169">
        <f t="shared" si="99"/>
        <v>84.596263575834698</v>
      </c>
      <c r="AV143" s="225"/>
      <c r="AX143">
        <f t="shared" si="100"/>
        <v>0</v>
      </c>
      <c r="AY143">
        <f t="shared" si="101"/>
        <v>0</v>
      </c>
    </row>
    <row r="144" spans="14:51" x14ac:dyDescent="0.3">
      <c r="N144" s="170">
        <v>26</v>
      </c>
      <c r="O144" s="199">
        <f t="shared" si="102"/>
        <v>181.9700858609983</v>
      </c>
      <c r="P144" s="189" t="str">
        <f t="shared" si="67"/>
        <v>1078.86904761905</v>
      </c>
      <c r="Q144" s="160" t="str">
        <f t="shared" si="68"/>
        <v>1+35.7297428071259i</v>
      </c>
      <c r="R144" s="160">
        <f t="shared" si="77"/>
        <v>35.743734011199287</v>
      </c>
      <c r="S144" s="160">
        <f t="shared" si="78"/>
        <v>1.542815744321185</v>
      </c>
      <c r="T144" s="160" t="str">
        <f t="shared" si="69"/>
        <v>1+0.0000228670353965606i</v>
      </c>
      <c r="U144" s="160">
        <f t="shared" si="79"/>
        <v>1.0000000002614506</v>
      </c>
      <c r="V144" s="160">
        <f t="shared" si="80"/>
        <v>2.2867035392574867E-5</v>
      </c>
      <c r="W144" s="98" t="str">
        <f t="shared" si="70"/>
        <v>1-0.0165383546802085i</v>
      </c>
      <c r="X144" s="160">
        <f t="shared" si="81"/>
        <v>1.0001367492375872</v>
      </c>
      <c r="Y144" s="160">
        <f t="shared" si="82"/>
        <v>-1.6536847086259129E-2</v>
      </c>
      <c r="Z144" s="98" t="str">
        <f t="shared" si="71"/>
        <v>0.999986754755141+0.00653232255562295i</v>
      </c>
      <c r="AA144" s="160">
        <f t="shared" si="83"/>
        <v>1.0000080904291169</v>
      </c>
      <c r="AB144" s="160">
        <f t="shared" si="84"/>
        <v>6.5323161635707956E-3</v>
      </c>
      <c r="AC144" s="171" t="str">
        <f t="shared" si="85"/>
        <v>0.148952317499721-30.1869613586881i</v>
      </c>
      <c r="AD144" s="190">
        <f t="shared" si="86"/>
        <v>29.596493715438108</v>
      </c>
      <c r="AE144" s="169">
        <f t="shared" si="87"/>
        <v>-89.717286222434183</v>
      </c>
      <c r="AF144" s="98" t="str">
        <f t="shared" si="72"/>
        <v>-9.95024875621891E-06</v>
      </c>
      <c r="AG144" s="98" t="str">
        <f t="shared" si="73"/>
        <v>0.00114449512159786i</v>
      </c>
      <c r="AH144" s="98">
        <f t="shared" si="88"/>
        <v>1.14449512159786E-3</v>
      </c>
      <c r="AI144" s="98">
        <f t="shared" si="89"/>
        <v>1.5707963267948966</v>
      </c>
      <c r="AJ144" s="98" t="str">
        <f t="shared" si="74"/>
        <v>1+0.0114220956026776i</v>
      </c>
      <c r="AK144" s="98">
        <f t="shared" si="90"/>
        <v>1.0000652300065014</v>
      </c>
      <c r="AL144" s="98">
        <f t="shared" si="91"/>
        <v>1.1421598916443126E-2</v>
      </c>
      <c r="AM144" s="98" t="str">
        <f t="shared" si="75"/>
        <v>1+11.4335176982803i</v>
      </c>
      <c r="AN144" s="98">
        <f t="shared" si="92"/>
        <v>11.477165458286679</v>
      </c>
      <c r="AO144" s="98">
        <f t="shared" si="93"/>
        <v>1.4835561798496422</v>
      </c>
      <c r="AP144" s="168" t="str">
        <f t="shared" si="94"/>
        <v>-0.099290826791982+0.00982811645377319i</v>
      </c>
      <c r="AQ144" s="98">
        <f t="shared" si="95"/>
        <v>-20.019473861905219</v>
      </c>
      <c r="AR144" s="169">
        <f t="shared" si="96"/>
        <v>174.3470983627324</v>
      </c>
      <c r="AS144" s="168" t="str">
        <f t="shared" si="97"/>
        <v>0.281891372861609+2.9987522723642i</v>
      </c>
      <c r="AT144" s="190">
        <f t="shared" si="98"/>
        <v>9.5770198535328888</v>
      </c>
      <c r="AU144" s="169">
        <f t="shared" si="99"/>
        <v>84.629812140298228</v>
      </c>
      <c r="AV144" s="225"/>
      <c r="AX144">
        <f t="shared" si="100"/>
        <v>0</v>
      </c>
      <c r="AY144">
        <f t="shared" si="101"/>
        <v>0</v>
      </c>
    </row>
    <row r="145" spans="14:51" x14ac:dyDescent="0.3">
      <c r="N145" s="170">
        <v>27</v>
      </c>
      <c r="O145" s="199">
        <f t="shared" si="102"/>
        <v>186.20871366628685</v>
      </c>
      <c r="P145" s="189" t="str">
        <f t="shared" si="67"/>
        <v>1078.86904761905</v>
      </c>
      <c r="Q145" s="160" t="str">
        <f t="shared" si="68"/>
        <v>1+36.5619954305256i</v>
      </c>
      <c r="R145" s="160">
        <f t="shared" si="77"/>
        <v>36.575668276352445</v>
      </c>
      <c r="S145" s="160">
        <f t="shared" si="78"/>
        <v>1.5434523390124746</v>
      </c>
      <c r="T145" s="160" t="str">
        <f t="shared" si="69"/>
        <v>1+0.0000233996770755364i</v>
      </c>
      <c r="U145" s="160">
        <f t="shared" si="79"/>
        <v>1.0000000002737726</v>
      </c>
      <c r="V145" s="160">
        <f t="shared" si="80"/>
        <v>2.3399677071265608E-5</v>
      </c>
      <c r="W145" s="98" t="str">
        <f t="shared" si="70"/>
        <v>1-0.016923582448111i</v>
      </c>
      <c r="X145" s="160">
        <f t="shared" si="81"/>
        <v>1.0001431935692398</v>
      </c>
      <c r="Y145" s="160">
        <f t="shared" si="82"/>
        <v>-1.6921967044580925E-2</v>
      </c>
      <c r="Z145" s="98" t="str">
        <f t="shared" si="71"/>
        <v>0.999986130525982+0.00668447989448647i</v>
      </c>
      <c r="AA145" s="160">
        <f t="shared" si="83"/>
        <v>1.0000084717220079</v>
      </c>
      <c r="AB145" s="160">
        <f t="shared" si="84"/>
        <v>6.6844730452707488E-3</v>
      </c>
      <c r="AC145" s="171" t="str">
        <f t="shared" si="85"/>
        <v>0.110950994773865-29.500671172692i</v>
      </c>
      <c r="AD145" s="190">
        <f t="shared" si="86"/>
        <v>29.396699365252267</v>
      </c>
      <c r="AE145" s="169">
        <f t="shared" si="87"/>
        <v>-89.784513588748709</v>
      </c>
      <c r="AF145" s="98" t="str">
        <f t="shared" si="72"/>
        <v>-9.95024875621891E-06</v>
      </c>
      <c r="AG145" s="98" t="str">
        <f t="shared" si="73"/>
        <v>0.0011711538376306i</v>
      </c>
      <c r="AH145" s="98">
        <f t="shared" si="88"/>
        <v>1.1711538376305999E-3</v>
      </c>
      <c r="AI145" s="98">
        <f t="shared" si="89"/>
        <v>1.5707963267948966</v>
      </c>
      <c r="AJ145" s="98" t="str">
        <f t="shared" si="74"/>
        <v>1+0.0116881503873808i</v>
      </c>
      <c r="AK145" s="98">
        <f t="shared" si="90"/>
        <v>1.0000683040970142</v>
      </c>
      <c r="AL145" s="98">
        <f t="shared" si="91"/>
        <v>1.1687618180455096E-2</v>
      </c>
      <c r="AM145" s="98" t="str">
        <f t="shared" si="75"/>
        <v>1+11.6998385377682i</v>
      </c>
      <c r="AN145" s="98">
        <f t="shared" si="92"/>
        <v>11.742496404506408</v>
      </c>
      <c r="AO145" s="98">
        <f t="shared" si="93"/>
        <v>1.4855322863887868</v>
      </c>
      <c r="AP145" s="168" t="str">
        <f t="shared" si="94"/>
        <v>-0.0992902163766367+0.00965662635520822i</v>
      </c>
      <c r="AQ145" s="98">
        <f t="shared" si="95"/>
        <v>-20.020984695936214</v>
      </c>
      <c r="AR145" s="169">
        <f t="shared" si="96"/>
        <v>174.44507914619652</v>
      </c>
      <c r="AS145" s="168" t="str">
        <f t="shared" si="97"/>
        <v>0.273860610464249+2.93019943629287i</v>
      </c>
      <c r="AT145" s="190">
        <f t="shared" si="98"/>
        <v>9.3757146693160553</v>
      </c>
      <c r="AU145" s="169">
        <f t="shared" si="99"/>
        <v>84.660565557447839</v>
      </c>
      <c r="AV145" s="225"/>
      <c r="AX145">
        <f t="shared" si="100"/>
        <v>0</v>
      </c>
      <c r="AY145">
        <f t="shared" si="101"/>
        <v>0</v>
      </c>
    </row>
    <row r="146" spans="14:51" x14ac:dyDescent="0.3">
      <c r="N146" s="170">
        <v>28</v>
      </c>
      <c r="O146" s="199">
        <f t="shared" si="102"/>
        <v>190.54607179632498</v>
      </c>
      <c r="P146" s="189" t="str">
        <f t="shared" si="67"/>
        <v>1078.86904761905</v>
      </c>
      <c r="Q146" s="160" t="str">
        <f t="shared" si="68"/>
        <v>1+37.4136337078581i</v>
      </c>
      <c r="R146" s="160">
        <f t="shared" si="77"/>
        <v>37.426995434121814</v>
      </c>
      <c r="S146" s="160">
        <f t="shared" si="78"/>
        <v>1.5440744644607993</v>
      </c>
      <c r="T146" s="160" t="str">
        <f t="shared" si="69"/>
        <v>1+0.0000239447255730292i</v>
      </c>
      <c r="U146" s="160">
        <f t="shared" si="79"/>
        <v>1.0000000002866749</v>
      </c>
      <c r="V146" s="160">
        <f t="shared" si="80"/>
        <v>2.3944725568452965E-5</v>
      </c>
      <c r="W146" s="98" t="str">
        <f t="shared" si="70"/>
        <v>1-0.0173177833234376i</v>
      </c>
      <c r="X146" s="160">
        <f t="shared" si="81"/>
        <v>1.0001499415683817</v>
      </c>
      <c r="Y146" s="160">
        <f t="shared" si="82"/>
        <v>-1.7316052401384396E-2</v>
      </c>
      <c r="Z146" s="98" t="str">
        <f t="shared" si="71"/>
        <v>0.999985476877809+0.00684018143306965i</v>
      </c>
      <c r="AA146" s="160">
        <f t="shared" si="83"/>
        <v>1.0000088709849411</v>
      </c>
      <c r="AB146" s="160">
        <f t="shared" si="84"/>
        <v>6.8401740939933097E-3</v>
      </c>
      <c r="AC146" s="171" t="str">
        <f t="shared" si="85"/>
        <v>0.0746575909884602-28.8299291148398i</v>
      </c>
      <c r="AD146" s="190">
        <f t="shared" si="86"/>
        <v>29.196900614993851</v>
      </c>
      <c r="AE146" s="169">
        <f t="shared" si="87"/>
        <v>-89.851627962957195</v>
      </c>
      <c r="AF146" s="98" t="str">
        <f t="shared" si="72"/>
        <v>-9.95024875621891E-06</v>
      </c>
      <c r="AG146" s="98" t="str">
        <f t="shared" si="73"/>
        <v>0.00119843351493011i</v>
      </c>
      <c r="AH146" s="98">
        <f t="shared" si="88"/>
        <v>1.1984335149301101E-3</v>
      </c>
      <c r="AI146" s="98">
        <f t="shared" si="89"/>
        <v>1.5707963267948966</v>
      </c>
      <c r="AJ146" s="98" t="str">
        <f t="shared" si="74"/>
        <v>1+0.0119604023841305i</v>
      </c>
      <c r="AK146" s="98">
        <f t="shared" si="90"/>
        <v>1.0000715230548214</v>
      </c>
      <c r="AL146" s="98">
        <f t="shared" si="91"/>
        <v>1.1959832116337931E-2</v>
      </c>
      <c r="AM146" s="98" t="str">
        <f t="shared" si="75"/>
        <v>1+11.9723627865146i</v>
      </c>
      <c r="AN146" s="98">
        <f t="shared" si="92"/>
        <v>12.014053050154208</v>
      </c>
      <c r="AO146" s="98">
        <f t="shared" si="93"/>
        <v>1.4874640564900197</v>
      </c>
      <c r="AP146" s="168" t="str">
        <f t="shared" si="94"/>
        <v>-0.0992895772013472+0.0094902556551861i</v>
      </c>
      <c r="AQ146" s="98">
        <f t="shared" si="95"/>
        <v>-20.022430464646629</v>
      </c>
      <c r="AR146" s="169">
        <f t="shared" si="96"/>
        <v>174.54016471033603</v>
      </c>
      <c r="AS146" s="168" t="str">
        <f t="shared" si="97"/>
        <v>0.266190677176607+2.86321999218233i</v>
      </c>
      <c r="AT146" s="190">
        <f t="shared" si="98"/>
        <v>9.1744701503472079</v>
      </c>
      <c r="AU146" s="169">
        <f t="shared" si="99"/>
        <v>84.688536747378819</v>
      </c>
      <c r="AV146" s="225"/>
      <c r="AX146">
        <f t="shared" si="100"/>
        <v>0</v>
      </c>
      <c r="AY146">
        <f t="shared" si="101"/>
        <v>0</v>
      </c>
    </row>
    <row r="147" spans="14:51" x14ac:dyDescent="0.3">
      <c r="N147" s="170">
        <v>29</v>
      </c>
      <c r="O147" s="199">
        <f t="shared" si="102"/>
        <v>194.98445997580458</v>
      </c>
      <c r="P147" s="189" t="str">
        <f t="shared" ref="P147:P210" si="103">COMPLEX(Adc,0)</f>
        <v>1078.86904761905</v>
      </c>
      <c r="Q147" s="160" t="str">
        <f t="shared" ref="Q147:Q210" si="104">IMSUM(COMPLEX(1,0),IMDIV(COMPLEX(0,2*PI()*O147),COMPLEX(wp_lf,0)))</f>
        <v>1+38.28510918901i</v>
      </c>
      <c r="R147" s="160">
        <f t="shared" si="77"/>
        <v>38.298166870157345</v>
      </c>
      <c r="S147" s="160">
        <f t="shared" si="78"/>
        <v>1.5446824485979034</v>
      </c>
      <c r="T147" s="160" t="str">
        <f t="shared" ref="T147:T210" si="105">IMSUM(COMPLEX(1,0),IMDIV(COMPLEX(0,2*PI()*O147),COMPLEX(wz_esr,0)))</f>
        <v>1+0.0000245024698809664i</v>
      </c>
      <c r="U147" s="160">
        <f t="shared" si="79"/>
        <v>1.0000000003001857</v>
      </c>
      <c r="V147" s="160">
        <f t="shared" si="80"/>
        <v>2.4502469876062877E-5</v>
      </c>
      <c r="W147" s="98" t="str">
        <f t="shared" ref="W147:W210" si="106">IMSUB(COMPLEX(1,0),IMDIV(COMPLEX(0,2*PI()*O147),COMPLEX(wz_rhp,0)))</f>
        <v>1-0.0177211663167101i</v>
      </c>
      <c r="X147" s="160">
        <f t="shared" si="81"/>
        <v>1.000157007542128</v>
      </c>
      <c r="Y147" s="160">
        <f t="shared" si="82"/>
        <v>-1.771931161603903E-2</v>
      </c>
      <c r="Z147" s="98" t="str">
        <f t="shared" ref="Z147:Z210" si="107">IF(Dc_Mode_Loop="CCM",IMSUM(COMPLEX(1,0),IMDIV(COMPLEX(0,2*PI()*O147),COMPLEX(Q*(wsl/2),0)),IMDIV(IMPOWER(COMPLEX(0,2*PI()*O147),2),IMPOWER(COMPLEX(wsl/2,0),2))),COMPLEX(1,0))</f>
        <v>0.999984792424147+0.00699950972638906i</v>
      </c>
      <c r="AA147" s="160">
        <f t="shared" si="83"/>
        <v>1.0000092890648438</v>
      </c>
      <c r="AB147" s="160">
        <f t="shared" si="84"/>
        <v>6.9995018624164533E-3</v>
      </c>
      <c r="AC147" s="171" t="str">
        <f t="shared" si="85"/>
        <v>0.0399954604757055-28.1743857819755i</v>
      </c>
      <c r="AD147" s="190">
        <f t="shared" si="86"/>
        <v>28.997097890751782</v>
      </c>
      <c r="AE147" s="169">
        <f t="shared" si="87"/>
        <v>-89.918664791368641</v>
      </c>
      <c r="AF147" s="98" t="str">
        <f t="shared" ref="AF147:AF210" si="108">COMPLEX(Adc_ea,0)</f>
        <v>-9.95024875621891E-06</v>
      </c>
      <c r="AG147" s="98" t="str">
        <f t="shared" ref="AG147:AG210" si="109">COMPLEX(0,2*PI()*O147*wp0_ea)</f>
        <v>0.00122634861754237i</v>
      </c>
      <c r="AH147" s="98">
        <f t="shared" si="88"/>
        <v>1.22634861754237E-3</v>
      </c>
      <c r="AI147" s="98">
        <f t="shared" si="89"/>
        <v>1.5707963267948966</v>
      </c>
      <c r="AJ147" s="98" t="str">
        <f t="shared" ref="AJ147:AJ210" si="110">IMSUM(COMPLEX(1,0),IMDIV(COMPLEX(0,2*PI()*O147),COMPLEX(wp1_ea,0)))</f>
        <v>1+0.0122389959445387i</v>
      </c>
      <c r="AK147" s="98">
        <f t="shared" si="90"/>
        <v>1.0000748937063315</v>
      </c>
      <c r="AL147" s="98">
        <f t="shared" si="91"/>
        <v>1.2238384894061259E-2</v>
      </c>
      <c r="AM147" s="98" t="str">
        <f t="shared" ref="AM147:AM210" si="111">IMSUM(COMPLEX(1,0),IMDIV(COMPLEX(0,2*PI()*O147),COMPLEX(wz_ea,0)))</f>
        <v>1+12.2512349404832i</v>
      </c>
      <c r="AN147" s="98">
        <f t="shared" si="92"/>
        <v>12.291979399873577</v>
      </c>
      <c r="AO147" s="98">
        <f t="shared" si="93"/>
        <v>1.4893524567005179</v>
      </c>
      <c r="AP147" s="168" t="str">
        <f t="shared" si="94"/>
        <v>-0.0992889079114739+0.00932891609367165i</v>
      </c>
      <c r="AQ147" s="98">
        <f t="shared" si="95"/>
        <v>-20.023814170970077</v>
      </c>
      <c r="AR147" s="169">
        <f t="shared" si="96"/>
        <v>174.63240217389398</v>
      </c>
      <c r="AS147" s="168" t="str">
        <f t="shared" si="97"/>
        <v>0.258865375358736+2.79777710966381i</v>
      </c>
      <c r="AT147" s="190">
        <f t="shared" si="98"/>
        <v>8.973283719781703</v>
      </c>
      <c r="AU147" s="169">
        <f t="shared" si="99"/>
        <v>84.713737382525338</v>
      </c>
      <c r="AV147" s="225"/>
      <c r="AX147">
        <f t="shared" si="100"/>
        <v>0</v>
      </c>
      <c r="AY147">
        <f t="shared" si="101"/>
        <v>0</v>
      </c>
    </row>
    <row r="148" spans="14:51" x14ac:dyDescent="0.3">
      <c r="N148" s="170">
        <v>30</v>
      </c>
      <c r="O148" s="199">
        <f t="shared" si="102"/>
        <v>199.52623149688802</v>
      </c>
      <c r="P148" s="189" t="str">
        <f t="shared" si="103"/>
        <v>1078.86904761905</v>
      </c>
      <c r="Q148" s="160" t="str">
        <f t="shared" si="104"/>
        <v>1+39.1768839418175i</v>
      </c>
      <c r="R148" s="160">
        <f t="shared" ref="R148:R211" si="112">IMABS(Q148)</f>
        <v>39.189644491761314</v>
      </c>
      <c r="S148" s="160">
        <f t="shared" ref="S148:S211" si="113">IMARGUMENT(Q148)</f>
        <v>1.5452766119860899</v>
      </c>
      <c r="T148" s="160" t="str">
        <f t="shared" si="105"/>
        <v>1+0.0000250732057227632i</v>
      </c>
      <c r="U148" s="160">
        <f t="shared" ref="U148:U211" si="114">IMABS(T148)</f>
        <v>1.0000000003143328</v>
      </c>
      <c r="V148" s="160">
        <f t="shared" ref="V148:V211" si="115">IMARGUMENT(T148)</f>
        <v>2.5073205717508981E-5</v>
      </c>
      <c r="W148" s="98" t="str">
        <f t="shared" si="106"/>
        <v>1-0.0181339453069313i</v>
      </c>
      <c r="X148" s="160">
        <f t="shared" ref="X148:X211" si="116">IMABS(W148)</f>
        <v>1.0001644064714534</v>
      </c>
      <c r="Y148" s="160">
        <f t="shared" ref="Y148:Y211" si="117">IMARGUMENT(W148)</f>
        <v>-1.8131957976999964E-2</v>
      </c>
      <c r="Z148" s="98" t="str">
        <f t="shared" si="107"/>
        <v>0.999984075713178+0.00716254925241492i</v>
      </c>
      <c r="AA148" s="160">
        <f t="shared" ref="AA148:AA211" si="118">IMABS(Z148)</f>
        <v>1.0000097268485604</v>
      </c>
      <c r="AB148" s="160">
        <f t="shared" ref="AB148:AB211" si="119">IMARGUMENT(Z148)</f>
        <v>7.1625408260045298E-3</v>
      </c>
      <c r="AC148" s="171" t="str">
        <f t="shared" ref="AC148:AC211" si="120">(IMDIV(IMPRODUCT(P148,T148,W148),IMPRODUCT(Q148,Z148)))</f>
        <v>0.00689138806056676-27.5336994144304i</v>
      </c>
      <c r="AD148" s="190">
        <f t="shared" ref="AD148:AD211" si="121">20*LOG(IMABS(AC148))</f>
        <v>28.797291610234304</v>
      </c>
      <c r="AE148" s="169">
        <f t="shared" ref="AE148:AE211" si="122">(180/PI())*IMARGUMENT(AC148)</f>
        <v>-89.985659484522245</v>
      </c>
      <c r="AF148" s="98" t="str">
        <f t="shared" si="108"/>
        <v>-9.95024875621891E-06</v>
      </c>
      <c r="AG148" s="98" t="str">
        <f t="shared" si="109"/>
        <v>0.0012549139464243i</v>
      </c>
      <c r="AH148" s="98">
        <f t="shared" ref="AH148:AH211" si="123">IMABS(AG148)</f>
        <v>1.2549139464242999E-3</v>
      </c>
      <c r="AI148" s="98">
        <f t="shared" ref="AI148:AI211" si="124">IMARGUMENT(AG148)</f>
        <v>1.5707963267948966</v>
      </c>
      <c r="AJ148" s="98" t="str">
        <f t="shared" si="110"/>
        <v>1+0.012524078782599i</v>
      </c>
      <c r="AK148" s="98">
        <f t="shared" ref="AK148:AK211" si="125">IMABS(AJ148)</f>
        <v>1.0000784231995772</v>
      </c>
      <c r="AL148" s="98">
        <f t="shared" ref="AL148:AL211" si="126">IMARGUMENT(AJ148)</f>
        <v>1.2523424032988935E-2</v>
      </c>
      <c r="AM148" s="98" t="str">
        <f t="shared" si="111"/>
        <v>1+12.5366028613816i</v>
      </c>
      <c r="AN148" s="98">
        <f t="shared" ref="AN148:AN211" si="127">IMABS(AM148)</f>
        <v>12.576422834176707</v>
      </c>
      <c r="AO148" s="98">
        <f t="shared" ref="AO148:AO211" si="128">IMARGUMENT(AM148)</f>
        <v>1.491198434371964</v>
      </c>
      <c r="AP148" s="168" t="str">
        <f t="shared" ref="AP148:AP211" si="129">IMPRODUCT(AF148,IMDIV(AM148,IMPRODUCT(AG148,AJ148)))</f>
        <v>-0.0992882070886117+0.00917252207476828i</v>
      </c>
      <c r="AQ148" s="98">
        <f t="shared" ref="AQ148:AQ211" si="130">20*LOG(IMABS(AP148))</f>
        <v>-20.025138691751337</v>
      </c>
      <c r="AR148" s="169">
        <f t="shared" ref="AR148:AR211" si="131">(180/PI())*IMARGUMENT(AP148)</f>
        <v>174.72183736388664</v>
      </c>
      <c r="AS148" s="168" t="str">
        <f t="shared" ref="AS148:AS211" si="132">IMPRODUCT(AC148,AP148)</f>
        <v>0.251869232114012+2.73383486078466i</v>
      </c>
      <c r="AT148" s="190">
        <f t="shared" ref="AT148:AT211" si="133">20*LOG(IMABS(AS148))</f>
        <v>8.7721529184829539</v>
      </c>
      <c r="AU148" s="169">
        <f t="shared" ref="AU148:AU211" si="134">(180/PI())*IMARGUMENT(AS148)</f>
        <v>84.736177879364377</v>
      </c>
      <c r="AV148" s="225"/>
      <c r="AX148">
        <f t="shared" ref="AX148:AX211" si="135">SUM((AT149&lt;0)*(AT148&gt;0))*O148</f>
        <v>0</v>
      </c>
      <c r="AY148">
        <f t="shared" ref="AY148:AY211" si="136">IF(AX148&gt;0,AU148,0)</f>
        <v>0</v>
      </c>
    </row>
    <row r="149" spans="14:51" x14ac:dyDescent="0.3">
      <c r="N149" s="170">
        <v>31</v>
      </c>
      <c r="O149" s="199">
        <f t="shared" si="102"/>
        <v>204.17379446695315</v>
      </c>
      <c r="P149" s="189" t="str">
        <f t="shared" si="103"/>
        <v>1078.86904761905</v>
      </c>
      <c r="Q149" s="160" t="str">
        <f t="shared" si="104"/>
        <v>1+40.0894307970581i</v>
      </c>
      <c r="R149" s="160">
        <f t="shared" si="112"/>
        <v>40.10190097279817</v>
      </c>
      <c r="S149" s="160">
        <f t="shared" si="113"/>
        <v>1.5458572679796299</v>
      </c>
      <c r="T149" s="160" t="str">
        <f t="shared" si="105"/>
        <v>1+0.0000256572357101172i</v>
      </c>
      <c r="U149" s="160">
        <f t="shared" si="114"/>
        <v>1.0000000003291469</v>
      </c>
      <c r="V149" s="160">
        <f t="shared" si="115"/>
        <v>2.5657235704487204E-5</v>
      </c>
      <c r="W149" s="98" t="str">
        <f t="shared" si="106"/>
        <v>1-0.0185563391549852i</v>
      </c>
      <c r="X149" s="160">
        <f t="shared" si="116"/>
        <v>1.0001721540429103</v>
      </c>
      <c r="Y149" s="160">
        <f t="shared" si="117"/>
        <v>-1.855420971239341E-2</v>
      </c>
      <c r="Z149" s="98" t="str">
        <f t="shared" si="107"/>
        <v>0.999983325224661+0.00732938645686191i</v>
      </c>
      <c r="AA149" s="160">
        <f t="shared" si="118"/>
        <v>1.0000101852647323</v>
      </c>
      <c r="AB149" s="160">
        <f t="shared" si="119"/>
        <v>7.3293774277871284E-3</v>
      </c>
      <c r="AC149" s="171" t="str">
        <f t="shared" si="120"/>
        <v>-0.0247245636340867-26.907535742421i</v>
      </c>
      <c r="AD149" s="190">
        <f t="shared" si="121"/>
        <v>28.597482183649539</v>
      </c>
      <c r="AE149" s="169">
        <f t="shared" si="122"/>
        <v>-90.052647435328268</v>
      </c>
      <c r="AF149" s="98" t="str">
        <f t="shared" si="108"/>
        <v>-9.95024875621891E-06</v>
      </c>
      <c r="AG149" s="98" t="str">
        <f t="shared" si="109"/>
        <v>0.00128414464729137i</v>
      </c>
      <c r="AH149" s="98">
        <f t="shared" si="123"/>
        <v>1.2841446472913699E-3</v>
      </c>
      <c r="AI149" s="98">
        <f t="shared" si="124"/>
        <v>1.5707963267948966</v>
      </c>
      <c r="AJ149" s="98" t="str">
        <f t="shared" si="110"/>
        <v>1+0.0128158020530056i</v>
      </c>
      <c r="AK149" s="98">
        <f t="shared" si="125"/>
        <v>1.0000821190193643</v>
      </c>
      <c r="AL149" s="98">
        <f t="shared" si="126"/>
        <v>1.2815100479269629E-2</v>
      </c>
      <c r="AM149" s="98" t="str">
        <f t="shared" si="111"/>
        <v>1+12.8286178550586i</v>
      </c>
      <c r="AN149" s="98">
        <f t="shared" si="127"/>
        <v>12.867534187680572</v>
      </c>
      <c r="AO149" s="98">
        <f t="shared" si="128"/>
        <v>1.4930029179147768</v>
      </c>
      <c r="AP149" s="168" t="str">
        <f t="shared" si="129"/>
        <v>-0.0992874732475892+0.00902099062108855i</v>
      </c>
      <c r="AQ149" s="98">
        <f t="shared" si="130"/>
        <v>-20.026406783365974</v>
      </c>
      <c r="AR149" s="169">
        <f t="shared" si="131"/>
        <v>174.80851482573536</v>
      </c>
      <c r="AS149" s="168" t="str">
        <f t="shared" si="132"/>
        <v>0.245187467019362+2.67135819512752i</v>
      </c>
      <c r="AT149" s="190">
        <f t="shared" si="133"/>
        <v>8.5710754002835579</v>
      </c>
      <c r="AU149" s="169">
        <f t="shared" si="134"/>
        <v>84.755867390407104</v>
      </c>
      <c r="AV149" s="225"/>
      <c r="AX149">
        <f t="shared" si="135"/>
        <v>0</v>
      </c>
      <c r="AY149">
        <f t="shared" si="136"/>
        <v>0</v>
      </c>
    </row>
    <row r="150" spans="14:51" x14ac:dyDescent="0.3">
      <c r="N150" s="170">
        <v>32</v>
      </c>
      <c r="O150" s="199">
        <f t="shared" si="102"/>
        <v>208.92961308540396</v>
      </c>
      <c r="P150" s="189" t="str">
        <f t="shared" si="103"/>
        <v>1078.86904761905</v>
      </c>
      <c r="Q150" s="160" t="str">
        <f t="shared" si="104"/>
        <v>1+41.0232335991541i</v>
      </c>
      <c r="R150" s="160">
        <f t="shared" si="112"/>
        <v>41.035420004317807</v>
      </c>
      <c r="S150" s="160">
        <f t="shared" si="113"/>
        <v>1.5464247228829218</v>
      </c>
      <c r="T150" s="160" t="str">
        <f t="shared" si="105"/>
        <v>1+0.0000262548695034586i</v>
      </c>
      <c r="U150" s="160">
        <f t="shared" si="114"/>
        <v>1.000000000344659</v>
      </c>
      <c r="V150" s="160">
        <f t="shared" si="115"/>
        <v>2.6254869497425946E-5</v>
      </c>
      <c r="W150" s="98" t="str">
        <f t="shared" si="106"/>
        <v>1-0.0189885718196814i</v>
      </c>
      <c r="X150" s="160">
        <f t="shared" si="116"/>
        <v>1.0001802666818373</v>
      </c>
      <c r="Y150" s="160">
        <f t="shared" si="117"/>
        <v>-1.8986290103045329E-2</v>
      </c>
      <c r="Z150" s="98" t="str">
        <f t="shared" si="107"/>
        <v>0.99998253936671+0.0075001097990243i</v>
      </c>
      <c r="AA150" s="160">
        <f t="shared" si="118"/>
        <v>1.0000106652857716</v>
      </c>
      <c r="AB150" s="160">
        <f t="shared" si="119"/>
        <v>7.5001001241813562E-3</v>
      </c>
      <c r="AC150" s="171" t="str">
        <f t="shared" si="120"/>
        <v>-0.0549192001583675-26.2955678345832i</v>
      </c>
      <c r="AD150" s="190">
        <f t="shared" si="121"/>
        <v>28.397670014569286</v>
      </c>
      <c r="AE150" s="169">
        <f t="shared" si="122"/>
        <v>-90.11966403722208</v>
      </c>
      <c r="AF150" s="98" t="str">
        <f t="shared" si="108"/>
        <v>-9.95024875621891E-06</v>
      </c>
      <c r="AG150" s="98" t="str">
        <f t="shared" si="109"/>
        <v>0.0013140562186481i</v>
      </c>
      <c r="AH150" s="98">
        <f t="shared" si="123"/>
        <v>1.3140562186480999E-3</v>
      </c>
      <c r="AI150" s="98">
        <f t="shared" si="124"/>
        <v>1.5707963267948966</v>
      </c>
      <c r="AJ150" s="98" t="str">
        <f t="shared" si="110"/>
        <v>1+0.013114320431298i</v>
      </c>
      <c r="AK150" s="98">
        <f t="shared" si="125"/>
        <v>1.0000859890031331</v>
      </c>
      <c r="AL150" s="98">
        <f t="shared" si="126"/>
        <v>1.3113568684986769E-2</v>
      </c>
      <c r="AM150" s="98" t="str">
        <f t="shared" si="111"/>
        <v>1+13.1274347517293i</v>
      </c>
      <c r="AN150" s="98">
        <f t="shared" si="127"/>
        <v>13.165467829169994</v>
      </c>
      <c r="AO150" s="98">
        <f t="shared" si="128"/>
        <v>1.4947668170582686</v>
      </c>
      <c r="AP150" s="168" t="str">
        <f t="shared" si="129"/>
        <v>-0.099286704833332+0.00887424132949503i</v>
      </c>
      <c r="AQ150" s="98">
        <f t="shared" si="130"/>
        <v>-20.027621087125649</v>
      </c>
      <c r="AR150" s="169">
        <f t="shared" si="131"/>
        <v>174.89247783363774</v>
      </c>
      <c r="AS150" s="168" t="str">
        <f t="shared" si="132"/>
        <v>0.238805961276005+2.61031291578129i</v>
      </c>
      <c r="AT150" s="190">
        <f t="shared" si="133"/>
        <v>8.37004892744363</v>
      </c>
      <c r="AU150" s="169">
        <f t="shared" si="134"/>
        <v>84.772813796415676</v>
      </c>
      <c r="AV150" s="225"/>
      <c r="AX150">
        <f t="shared" si="135"/>
        <v>0</v>
      </c>
      <c r="AY150">
        <f t="shared" si="136"/>
        <v>0</v>
      </c>
    </row>
    <row r="151" spans="14:51" x14ac:dyDescent="0.3">
      <c r="N151" s="170">
        <v>33</v>
      </c>
      <c r="O151" s="199">
        <f t="shared" si="102"/>
        <v>213.79620895022339</v>
      </c>
      <c r="P151" s="189" t="str">
        <f t="shared" si="103"/>
        <v>1078.86904761905</v>
      </c>
      <c r="Q151" s="160" t="str">
        <f t="shared" si="104"/>
        <v>1+41.9787874627106i</v>
      </c>
      <c r="R151" s="160">
        <f t="shared" si="112"/>
        <v>41.990696551015063</v>
      </c>
      <c r="S151" s="160">
        <f t="shared" si="113"/>
        <v>1.5469792761054422</v>
      </c>
      <c r="T151" s="160" t="str">
        <f t="shared" si="105"/>
        <v>1+0.0000268664239761348i</v>
      </c>
      <c r="U151" s="160">
        <f t="shared" si="114"/>
        <v>1.0000000003609024</v>
      </c>
      <c r="V151" s="160">
        <f t="shared" si="115"/>
        <v>2.6866423969670694E-5</v>
      </c>
      <c r="W151" s="98" t="str">
        <f t="shared" si="106"/>
        <v>1-0.0194308724764997i</v>
      </c>
      <c r="X151" s="160">
        <f t="shared" si="116"/>
        <v>1.0001887615871305</v>
      </c>
      <c r="Y151" s="160">
        <f t="shared" si="117"/>
        <v>-1.9428427597994988E-2</v>
      </c>
      <c r="Z151" s="98" t="str">
        <f t="shared" si="107"/>
        <v>0.999981716472415+0.00767480979867777i</v>
      </c>
      <c r="AA151" s="160">
        <f t="shared" si="118"/>
        <v>1.0000111679299204</v>
      </c>
      <c r="AB151" s="160">
        <f t="shared" si="119"/>
        <v>7.6747994318799402E-3</v>
      </c>
      <c r="AC151" s="171" t="str">
        <f t="shared" si="120"/>
        <v>-0.0837563347715351-25.6974759486896i</v>
      </c>
      <c r="AD151" s="190">
        <f t="shared" si="121"/>
        <v>28.197855500779696</v>
      </c>
      <c r="AE151" s="169">
        <f t="shared" si="122"/>
        <v>-90.186744702337776</v>
      </c>
      <c r="AF151" s="98" t="str">
        <f t="shared" si="108"/>
        <v>-9.95024875621891E-06</v>
      </c>
      <c r="AG151" s="98" t="str">
        <f t="shared" si="109"/>
        <v>0.00134466452000555i</v>
      </c>
      <c r="AH151" s="98">
        <f t="shared" si="123"/>
        <v>1.3446645200055501E-3</v>
      </c>
      <c r="AI151" s="98">
        <f t="shared" si="124"/>
        <v>1.5707963267948966</v>
      </c>
      <c r="AJ151" s="98" t="str">
        <f t="shared" si="110"/>
        <v>1+0.0134197921958715i</v>
      </c>
      <c r="AK151" s="98">
        <f t="shared" si="125"/>
        <v>1.0000900413575671</v>
      </c>
      <c r="AL151" s="98">
        <f t="shared" si="126"/>
        <v>1.3418986689103197E-2</v>
      </c>
      <c r="AM151" s="98" t="str">
        <f t="shared" si="111"/>
        <v>1+13.4332119880674i</v>
      </c>
      <c r="AN151" s="98">
        <f t="shared" si="127"/>
        <v>13.470381743527453</v>
      </c>
      <c r="AO151" s="98">
        <f t="shared" si="128"/>
        <v>1.4964910231158497</v>
      </c>
      <c r="AP151" s="168" t="str">
        <f t="shared" si="129"/>
        <v>-0.0992859002175733+0.00873219632818759i</v>
      </c>
      <c r="AQ151" s="98">
        <f t="shared" si="130"/>
        <v>-20.028784134477888</v>
      </c>
      <c r="AR151" s="169">
        <f t="shared" si="131"/>
        <v>174.97376840112486</v>
      </c>
      <c r="AS151" s="168" t="str">
        <f t="shared" si="132"/>
        <v>0.232711228219553+2.55066565612613i</v>
      </c>
      <c r="AT151" s="190">
        <f t="shared" si="133"/>
        <v>8.1690713663018002</v>
      </c>
      <c r="AU151" s="169">
        <f t="shared" si="134"/>
        <v>84.787023698787081</v>
      </c>
      <c r="AV151" s="225"/>
      <c r="AX151">
        <f t="shared" si="135"/>
        <v>0</v>
      </c>
      <c r="AY151">
        <f t="shared" si="136"/>
        <v>0</v>
      </c>
    </row>
    <row r="152" spans="14:51" x14ac:dyDescent="0.3">
      <c r="N152" s="170">
        <v>34</v>
      </c>
      <c r="O152" s="199">
        <f t="shared" si="102"/>
        <v>218.77616239495524</v>
      </c>
      <c r="P152" s="189" t="str">
        <f t="shared" si="103"/>
        <v>1078.86904761905</v>
      </c>
      <c r="Q152" s="160" t="str">
        <f t="shared" si="104"/>
        <v>1+42.956599035035i</v>
      </c>
      <c r="R152" s="160">
        <f t="shared" si="112"/>
        <v>42.968237113672352</v>
      </c>
      <c r="S152" s="160">
        <f t="shared" si="113"/>
        <v>1.5475212203135376</v>
      </c>
      <c r="T152" s="160" t="str">
        <f t="shared" si="105"/>
        <v>1+0.0000274922233824224i</v>
      </c>
      <c r="U152" s="160">
        <f t="shared" si="114"/>
        <v>1.000000000377911</v>
      </c>
      <c r="V152" s="160">
        <f t="shared" si="115"/>
        <v>2.7492223375495988E-5</v>
      </c>
      <c r="W152" s="98" t="str">
        <f t="shared" si="106"/>
        <v>1-0.0198834756391032i</v>
      </c>
      <c r="X152" s="160">
        <f t="shared" si="116"/>
        <v>1.0001976567676465</v>
      </c>
      <c r="Y152" s="160">
        <f t="shared" si="117"/>
        <v>-1.9880855932546355E-2</v>
      </c>
      <c r="Z152" s="98" t="str">
        <f t="shared" si="107"/>
        <v>0.999980854796307+0.00785357908407463i</v>
      </c>
      <c r="AA152" s="160">
        <f t="shared" si="118"/>
        <v>1.0000116942634136</v>
      </c>
      <c r="AB152" s="160">
        <f t="shared" si="119"/>
        <v>7.8535679758317233E-3</v>
      </c>
      <c r="AC152" s="171" t="str">
        <f t="shared" si="120"/>
        <v>-0.111296921821422-25.1129473845805i</v>
      </c>
      <c r="AD152" s="190">
        <f t="shared" si="121"/>
        <v>27.998039035119543</v>
      </c>
      <c r="AE152" s="169">
        <f t="shared" si="122"/>
        <v>-90.253924879708464</v>
      </c>
      <c r="AF152" s="98" t="str">
        <f t="shared" si="108"/>
        <v>-9.95024875621891E-06</v>
      </c>
      <c r="AG152" s="98" t="str">
        <f t="shared" si="109"/>
        <v>0.00137598578029024i</v>
      </c>
      <c r="AH152" s="98">
        <f t="shared" si="123"/>
        <v>1.3759857802902399E-3</v>
      </c>
      <c r="AI152" s="98">
        <f t="shared" si="124"/>
        <v>1.5707963267948966</v>
      </c>
      <c r="AJ152" s="98" t="str">
        <f t="shared" si="110"/>
        <v>1+0.0137323793118993i</v>
      </c>
      <c r="AK152" s="98">
        <f t="shared" si="125"/>
        <v>1.0000942846759828</v>
      </c>
      <c r="AL152" s="98">
        <f t="shared" si="126"/>
        <v>1.3731516200241257E-2</v>
      </c>
      <c r="AM152" s="98" t="str">
        <f t="shared" si="111"/>
        <v>1+13.7461116912112i</v>
      </c>
      <c r="AN152" s="98">
        <f t="shared" si="127"/>
        <v>13.782437615576324</v>
      </c>
      <c r="AO152" s="98">
        <f t="shared" si="128"/>
        <v>1.4981764092544951</v>
      </c>
      <c r="AP152" s="168" t="str">
        <f t="shared" si="129"/>
        <v>-0.0992850576954204+0.00859478023511278i</v>
      </c>
      <c r="AQ152" s="98">
        <f t="shared" si="130"/>
        <v>-20.0298983520068</v>
      </c>
      <c r="AR152" s="169">
        <f t="shared" si="131"/>
        <v>175.0524272917576</v>
      </c>
      <c r="AS152" s="168" t="str">
        <f t="shared" si="132"/>
        <v>0.226890385130782+2.49238385739623i</v>
      </c>
      <c r="AT152" s="190">
        <f t="shared" si="133"/>
        <v>7.9681406831127362</v>
      </c>
      <c r="AU152" s="169">
        <f t="shared" si="134"/>
        <v>84.798502412049132</v>
      </c>
      <c r="AV152" s="225"/>
      <c r="AX152">
        <f t="shared" si="135"/>
        <v>0</v>
      </c>
      <c r="AY152">
        <f t="shared" si="136"/>
        <v>0</v>
      </c>
    </row>
    <row r="153" spans="14:51" x14ac:dyDescent="0.3">
      <c r="N153" s="170">
        <v>35</v>
      </c>
      <c r="O153" s="199">
        <f t="shared" si="102"/>
        <v>223.87211385683412</v>
      </c>
      <c r="P153" s="189" t="str">
        <f t="shared" si="103"/>
        <v>1078.86904761905</v>
      </c>
      <c r="Q153" s="160" t="str">
        <f t="shared" si="104"/>
        <v>1+43.9571867647656i</v>
      </c>
      <c r="R153" s="160">
        <f t="shared" si="112"/>
        <v>43.968559997712958</v>
      </c>
      <c r="S153" s="160">
        <f t="shared" si="113"/>
        <v>1.5480508415791032</v>
      </c>
      <c r="T153" s="160" t="str">
        <f t="shared" si="105"/>
        <v>1+0.00002813259952945i</v>
      </c>
      <c r="U153" s="160">
        <f t="shared" si="114"/>
        <v>1.0000000003957215</v>
      </c>
      <c r="V153" s="160">
        <f t="shared" si="115"/>
        <v>2.8132599522028218E-5</v>
      </c>
      <c r="W153" s="98" t="str">
        <f t="shared" si="106"/>
        <v>1-0.0203466212836794i</v>
      </c>
      <c r="X153" s="160">
        <f t="shared" si="116"/>
        <v>1.0002069710803168</v>
      </c>
      <c r="Y153" s="160">
        <f t="shared" si="117"/>
        <v>-2.0343814248900412E-2</v>
      </c>
      <c r="Z153" s="98" t="str">
        <f t="shared" si="107"/>
        <v>0.999979952510655+0.00803651244105629i</v>
      </c>
      <c r="AA153" s="160">
        <f t="shared" si="118"/>
        <v>1.0000122454027385</v>
      </c>
      <c r="AB153" s="160">
        <f t="shared" si="119"/>
        <v>8.0365005383383654E-3</v>
      </c>
      <c r="AC153" s="171" t="str">
        <f t="shared" si="120"/>
        <v>-0.137599184233161-24.5416763393371i</v>
      </c>
      <c r="AD153" s="190">
        <f t="shared" si="121"/>
        <v>27.7982210063082</v>
      </c>
      <c r="AE153" s="169">
        <f t="shared" si="122"/>
        <v>-90.321240073499979</v>
      </c>
      <c r="AF153" s="98" t="str">
        <f t="shared" si="108"/>
        <v>-9.95024875621891E-06</v>
      </c>
      <c r="AG153" s="98" t="str">
        <f t="shared" si="109"/>
        <v>0.00140803660644897i</v>
      </c>
      <c r="AH153" s="98">
        <f t="shared" si="123"/>
        <v>1.4080366064489699E-3</v>
      </c>
      <c r="AI153" s="98">
        <f t="shared" si="124"/>
        <v>1.5707963267948966</v>
      </c>
      <c r="AJ153" s="98" t="str">
        <f t="shared" si="110"/>
        <v>1+0.0140522475172078i</v>
      </c>
      <c r="AK153" s="98">
        <f t="shared" si="125"/>
        <v>1.0000987279565376</v>
      </c>
      <c r="AL153" s="98">
        <f t="shared" si="126"/>
        <v>1.4051322681334499E-2</v>
      </c>
      <c r="AM153" s="98" t="str">
        <f t="shared" si="111"/>
        <v>1+14.066299764725i</v>
      </c>
      <c r="AN153" s="98">
        <f t="shared" si="127"/>
        <v>14.101800915879597</v>
      </c>
      <c r="AO153" s="98">
        <f t="shared" si="128"/>
        <v>1.4998238307677147</v>
      </c>
      <c r="AP153" s="168" t="str">
        <f t="shared" si="129"/>
        <v>-0.0992841754817472+0.00846192011767128i</v>
      </c>
      <c r="AQ153" s="98">
        <f t="shared" si="130"/>
        <v>-20.03096606624424</v>
      </c>
      <c r="AR153" s="169">
        <f t="shared" si="131"/>
        <v>175.12849402991654</v>
      </c>
      <c r="AS153" s="168" t="str">
        <f t="shared" si="132"/>
        <v>0.221331126290764+2.43543574698575i</v>
      </c>
      <c r="AT153" s="190">
        <f t="shared" si="133"/>
        <v>7.7672549400639586</v>
      </c>
      <c r="AU153" s="169">
        <f t="shared" si="134"/>
        <v>84.807253956416574</v>
      </c>
      <c r="AV153" s="225"/>
      <c r="AX153">
        <f t="shared" si="135"/>
        <v>0</v>
      </c>
      <c r="AY153">
        <f t="shared" si="136"/>
        <v>0</v>
      </c>
    </row>
    <row r="154" spans="14:51" x14ac:dyDescent="0.3">
      <c r="N154" s="170">
        <v>36</v>
      </c>
      <c r="O154" s="199">
        <f t="shared" si="102"/>
        <v>229.08676527677744</v>
      </c>
      <c r="P154" s="189" t="str">
        <f t="shared" si="103"/>
        <v>1078.86904761905</v>
      </c>
      <c r="Q154" s="160" t="str">
        <f t="shared" si="104"/>
        <v>1+44.9810811767609i</v>
      </c>
      <c r="R154" s="160">
        <f t="shared" si="112"/>
        <v>44.992195588016749</v>
      </c>
      <c r="S154" s="160">
        <f t="shared" si="113"/>
        <v>1.5485684195251992</v>
      </c>
      <c r="T154" s="160" t="str">
        <f t="shared" si="105"/>
        <v>1+0.000028787891953127i</v>
      </c>
      <c r="U154" s="160">
        <f t="shared" si="114"/>
        <v>1.0000000004143712</v>
      </c>
      <c r="V154" s="160">
        <f t="shared" si="115"/>
        <v>2.8787891945174414E-5</v>
      </c>
      <c r="W154" s="98" t="str">
        <f t="shared" si="106"/>
        <v>1-0.0208205549761796i</v>
      </c>
      <c r="X154" s="160">
        <f t="shared" si="116"/>
        <v>1.0002167242700535</v>
      </c>
      <c r="Y154" s="160">
        <f t="shared" si="117"/>
        <v>-2.0817547219421011E-2</v>
      </c>
      <c r="Z154" s="98" t="str">
        <f t="shared" si="107"/>
        <v>0.99997900770159+0.00822370686330999i</v>
      </c>
      <c r="AA154" s="160">
        <f t="shared" si="118"/>
        <v>1.0000128225170066</v>
      </c>
      <c r="AB154" s="160">
        <f t="shared" si="119"/>
        <v>8.2236941092941624E-3</v>
      </c>
      <c r="AC154" s="171" t="str">
        <f t="shared" si="120"/>
        <v>-0.162718735362522-23.9833637647214i</v>
      </c>
      <c r="AD154" s="190">
        <f t="shared" si="121"/>
        <v>27.598401799765703</v>
      </c>
      <c r="AE154" s="169">
        <f t="shared" si="122"/>
        <v>-90.388725861284911</v>
      </c>
      <c r="AF154" s="98" t="str">
        <f t="shared" si="108"/>
        <v>-9.95024875621891E-06</v>
      </c>
      <c r="AG154" s="98" t="str">
        <f t="shared" si="109"/>
        <v>0.001440833992254i</v>
      </c>
      <c r="AH154" s="98">
        <f t="shared" si="123"/>
        <v>1.440833992254E-3</v>
      </c>
      <c r="AI154" s="98">
        <f t="shared" si="124"/>
        <v>1.5707963267948966</v>
      </c>
      <c r="AJ154" s="98" t="str">
        <f t="shared" si="110"/>
        <v>1+0.0143795664101533i</v>
      </c>
      <c r="AK154" s="98">
        <f t="shared" si="125"/>
        <v>1.0001033806212956</v>
      </c>
      <c r="AL154" s="98">
        <f t="shared" si="126"/>
        <v>1.4378575436193334E-2</v>
      </c>
      <c r="AM154" s="98" t="str">
        <f t="shared" si="111"/>
        <v>1+14.3939459765635i</v>
      </c>
      <c r="AN154" s="98">
        <f t="shared" si="127"/>
        <v>14.428640988541803</v>
      </c>
      <c r="AO154" s="98">
        <f t="shared" si="128"/>
        <v>1.5014341253513523</v>
      </c>
      <c r="AP154" s="168" t="str">
        <f t="shared" si="129"/>
        <v>-0.0992832517074283+0.00833354545370158i</v>
      </c>
      <c r="AQ154" s="98">
        <f t="shared" si="130"/>
        <v>-20.031989508296956</v>
      </c>
      <c r="AR154" s="169">
        <f t="shared" si="131"/>
        <v>175.20200691164433</v>
      </c>
      <c r="AS154" s="168" t="str">
        <f t="shared" si="132"/>
        <v>0.216021697226477+2.37979031746634i</v>
      </c>
      <c r="AT154" s="190">
        <f t="shared" si="133"/>
        <v>7.5664122914687564</v>
      </c>
      <c r="AU154" s="169">
        <f t="shared" si="134"/>
        <v>84.813281050359421</v>
      </c>
      <c r="AV154" s="225"/>
      <c r="AX154">
        <f t="shared" si="135"/>
        <v>0</v>
      </c>
      <c r="AY154">
        <f t="shared" si="136"/>
        <v>0</v>
      </c>
    </row>
    <row r="155" spans="14:51" x14ac:dyDescent="0.3">
      <c r="N155" s="170">
        <v>37</v>
      </c>
      <c r="O155" s="199">
        <f t="shared" si="102"/>
        <v>234.42288153199232</v>
      </c>
      <c r="P155" s="189" t="str">
        <f t="shared" si="103"/>
        <v>1078.86904761905</v>
      </c>
      <c r="Q155" s="160" t="str">
        <f t="shared" si="104"/>
        <v>1+46.0288251533909i</v>
      </c>
      <c r="R155" s="160">
        <f t="shared" si="112"/>
        <v>46.039686630139336</v>
      </c>
      <c r="S155" s="160">
        <f t="shared" si="113"/>
        <v>1.5490742274686484</v>
      </c>
      <c r="T155" s="160" t="str">
        <f t="shared" si="105"/>
        <v>1+0.0000294584480981702i</v>
      </c>
      <c r="U155" s="160">
        <f t="shared" si="114"/>
        <v>1.0000000004339</v>
      </c>
      <c r="V155" s="160">
        <f t="shared" si="115"/>
        <v>2.9458448089648853E-5</v>
      </c>
      <c r="W155" s="98" t="str">
        <f t="shared" si="106"/>
        <v>1-0.0213055280025206i</v>
      </c>
      <c r="X155" s="160">
        <f t="shared" si="116"/>
        <v>1.0002269370115295</v>
      </c>
      <c r="Y155" s="160">
        <f t="shared" si="117"/>
        <v>-2.1302305172579514E-2</v>
      </c>
      <c r="Z155" s="98" t="str">
        <f t="shared" si="107"/>
        <v>0.999978018365046+0.00841526160379621i</v>
      </c>
      <c r="AA155" s="160">
        <f t="shared" si="118"/>
        <v>1.0000134268304324</v>
      </c>
      <c r="AB155" s="160">
        <f t="shared" si="119"/>
        <v>8.4152479375953371E-3</v>
      </c>
      <c r="AC155" s="171" t="str">
        <f t="shared" si="120"/>
        <v>-0.186708695458462-23.4377172268942i</v>
      </c>
      <c r="AD155" s="190">
        <f t="shared" si="121"/>
        <v>27.398581798425109</v>
      </c>
      <c r="AE155" s="169">
        <f t="shared" si="122"/>
        <v>-90.456417912364358</v>
      </c>
      <c r="AF155" s="98" t="str">
        <f t="shared" si="108"/>
        <v>-9.95024875621891E-06</v>
      </c>
      <c r="AG155" s="98" t="str">
        <f t="shared" si="109"/>
        <v>0.00147439532731342i</v>
      </c>
      <c r="AH155" s="98">
        <f t="shared" si="123"/>
        <v>1.4743953273134199E-3</v>
      </c>
      <c r="AI155" s="98">
        <f t="shared" si="124"/>
        <v>1.5707963267948966</v>
      </c>
      <c r="AJ155" s="98" t="str">
        <f t="shared" si="110"/>
        <v>1+0.0147145095395456i</v>
      </c>
      <c r="AK155" s="98">
        <f t="shared" si="125"/>
        <v>1.0001082525361888</v>
      </c>
      <c r="AL155" s="98">
        <f t="shared" si="126"/>
        <v>1.4713447698023937E-2</v>
      </c>
      <c r="AM155" s="98" t="str">
        <f t="shared" si="111"/>
        <v>1+14.7292240490851i</v>
      </c>
      <c r="AN155" s="98">
        <f t="shared" si="127"/>
        <v>14.763131141060384</v>
      </c>
      <c r="AO155" s="98">
        <f t="shared" si="128"/>
        <v>1.5030081133815758</v>
      </c>
      <c r="AP155" s="168" t="str">
        <f t="shared" si="129"/>
        <v>-0.0992822844153906+0.00820958809371639i</v>
      </c>
      <c r="AQ155" s="98">
        <f t="shared" si="130"/>
        <v>-20.03297081829842</v>
      </c>
      <c r="AR155" s="169">
        <f t="shared" si="131"/>
        <v>175.27300301550133</v>
      </c>
      <c r="AS155" s="168" t="str">
        <f t="shared" si="132"/>
        <v>0.210950870095136+2.32541730628478i</v>
      </c>
      <c r="AT155" s="190">
        <f t="shared" si="133"/>
        <v>7.3656109801266858</v>
      </c>
      <c r="AU155" s="169">
        <f t="shared" si="134"/>
        <v>84.816585103136973</v>
      </c>
      <c r="AV155" s="225"/>
      <c r="AX155">
        <f t="shared" si="135"/>
        <v>0</v>
      </c>
      <c r="AY155">
        <f t="shared" si="136"/>
        <v>0</v>
      </c>
    </row>
    <row r="156" spans="14:51" x14ac:dyDescent="0.3">
      <c r="N156" s="170">
        <v>38</v>
      </c>
      <c r="O156" s="199">
        <f t="shared" si="102"/>
        <v>239.88329190194912</v>
      </c>
      <c r="P156" s="189" t="str">
        <f t="shared" si="103"/>
        <v>1078.86904761905</v>
      </c>
      <c r="Q156" s="160" t="str">
        <f t="shared" si="104"/>
        <v>1+47.1009742223812i</v>
      </c>
      <c r="R156" s="160">
        <f t="shared" si="112"/>
        <v>47.111588518085632</v>
      </c>
      <c r="S156" s="160">
        <f t="shared" si="113"/>
        <v>1.5495685325596709</v>
      </c>
      <c r="T156" s="160" t="str">
        <f t="shared" si="105"/>
        <v>1+0.000030144623502324i</v>
      </c>
      <c r="U156" s="160">
        <f t="shared" si="114"/>
        <v>1.000000000454349</v>
      </c>
      <c r="V156" s="160">
        <f t="shared" si="115"/>
        <v>3.0144623493193213E-5</v>
      </c>
      <c r="W156" s="98" t="str">
        <f t="shared" si="106"/>
        <v>1-0.0218017975018208i</v>
      </c>
      <c r="X156" s="160">
        <f t="shared" si="116"/>
        <v>1.0002376309529204</v>
      </c>
      <c r="Y156" s="160">
        <f t="shared" si="117"/>
        <v>-2.1798344221629962E-2</v>
      </c>
      <c r="Z156" s="98" t="str">
        <f t="shared" si="107"/>
        <v>0.999976982402507+0.008611278227374i</v>
      </c>
      <c r="AA156" s="160">
        <f t="shared" si="118"/>
        <v>1.0000140596249298</v>
      </c>
      <c r="AB156" s="160">
        <f t="shared" si="119"/>
        <v>8.6112635837459848E-3</v>
      </c>
      <c r="AC156" s="171" t="str">
        <f t="shared" si="120"/>
        <v>-0.20961980296922-22.9044507684273i</v>
      </c>
      <c r="AD156" s="190">
        <f t="shared" si="121"/>
        <v>27.198761383540084</v>
      </c>
      <c r="AE156" s="169">
        <f t="shared" si="122"/>
        <v>-90.524352006144369</v>
      </c>
      <c r="AF156" s="98" t="str">
        <f t="shared" si="108"/>
        <v>-9.95024875621891E-06</v>
      </c>
      <c r="AG156" s="98" t="str">
        <f t="shared" si="109"/>
        <v>0.00150873840629132i</v>
      </c>
      <c r="AH156" s="98">
        <f t="shared" si="123"/>
        <v>1.50873840629132E-3</v>
      </c>
      <c r="AI156" s="98">
        <f t="shared" si="124"/>
        <v>1.5707963267948966</v>
      </c>
      <c r="AJ156" s="98" t="str">
        <f t="shared" si="110"/>
        <v>1+0.0150572544966653i</v>
      </c>
      <c r="AK156" s="98">
        <f t="shared" si="125"/>
        <v>1.0001133540319205</v>
      </c>
      <c r="AL156" s="98">
        <f t="shared" si="126"/>
        <v>1.5056116719940485E-2</v>
      </c>
      <c r="AM156" s="98" t="str">
        <f t="shared" si="111"/>
        <v>1+15.072311751162i</v>
      </c>
      <c r="AN156" s="98">
        <f t="shared" si="127"/>
        <v>15.105448736274472</v>
      </c>
      <c r="AO156" s="98">
        <f t="shared" si="128"/>
        <v>1.5045465981944726</v>
      </c>
      <c r="AP156" s="168" t="str">
        <f t="shared" si="129"/>
        <v>-0.0992812715564853+0.00808998222437097i</v>
      </c>
      <c r="AQ156" s="98">
        <f t="shared" si="130"/>
        <v>-20.033912049691502</v>
      </c>
      <c r="AR156" s="169">
        <f t="shared" si="131"/>
        <v>175.34151821339964</v>
      </c>
      <c r="AS156" s="168" t="str">
        <f t="shared" si="132"/>
        <v>0.206107920157761+2.27228717611248i</v>
      </c>
      <c r="AT156" s="190">
        <f t="shared" si="133"/>
        <v>7.1648493338485686</v>
      </c>
      <c r="AU156" s="169">
        <f t="shared" si="134"/>
        <v>84.817166207255241</v>
      </c>
      <c r="AV156" s="225"/>
      <c r="AX156">
        <f t="shared" si="135"/>
        <v>0</v>
      </c>
      <c r="AY156">
        <f t="shared" si="136"/>
        <v>0</v>
      </c>
    </row>
    <row r="157" spans="14:51" x14ac:dyDescent="0.3">
      <c r="N157" s="170">
        <v>39</v>
      </c>
      <c r="O157" s="199">
        <f t="shared" si="102"/>
        <v>245.4708915685033</v>
      </c>
      <c r="P157" s="189" t="str">
        <f t="shared" si="103"/>
        <v>1078.86904761905</v>
      </c>
      <c r="Q157" s="160" t="str">
        <f t="shared" si="104"/>
        <v>1+48.1980968513591i</v>
      </c>
      <c r="R157" s="160">
        <f t="shared" si="112"/>
        <v>48.208469588786905</v>
      </c>
      <c r="S157" s="160">
        <f t="shared" si="113"/>
        <v>1.5500515959185959</v>
      </c>
      <c r="T157" s="160" t="str">
        <f t="shared" si="105"/>
        <v>1+0.0000308467819848698i</v>
      </c>
      <c r="U157" s="160">
        <f t="shared" si="114"/>
        <v>1.0000000004757619</v>
      </c>
      <c r="V157" s="160">
        <f t="shared" si="115"/>
        <v>3.0846781975085978E-5</v>
      </c>
      <c r="W157" s="98" t="str">
        <f t="shared" si="106"/>
        <v>1-0.0223096266027372i</v>
      </c>
      <c r="X157" s="160">
        <f t="shared" si="116"/>
        <v>1.0002488287617004</v>
      </c>
      <c r="Y157" s="160">
        <f t="shared" si="117"/>
        <v>-2.2305926396059755E-2</v>
      </c>
      <c r="Z157" s="98" t="str">
        <f t="shared" si="107"/>
        <v>0.999975897616557+0.00881186066465162i</v>
      </c>
      <c r="AA157" s="160">
        <f t="shared" si="118"/>
        <v>1.0000147222428337</v>
      </c>
      <c r="AB157" s="160">
        <f t="shared" si="119"/>
        <v>8.8118449736879073E-3</v>
      </c>
      <c r="AC157" s="171" t="str">
        <f t="shared" si="120"/>
        <v>-0.231500520916442-22.3832847726162i</v>
      </c>
      <c r="AD157" s="190">
        <f t="shared" si="121"/>
        <v>26.99894093548922</v>
      </c>
      <c r="AE157" s="169">
        <f t="shared" si="122"/>
        <v>-90.592564050574069</v>
      </c>
      <c r="AF157" s="98" t="str">
        <f t="shared" si="108"/>
        <v>-9.95024875621891E-06</v>
      </c>
      <c r="AG157" s="98" t="str">
        <f t="shared" si="109"/>
        <v>0.00154388143834274i</v>
      </c>
      <c r="AH157" s="98">
        <f t="shared" si="123"/>
        <v>1.5438814383427399E-3</v>
      </c>
      <c r="AI157" s="98">
        <f t="shared" si="124"/>
        <v>1.5707963267948966</v>
      </c>
      <c r="AJ157" s="98" t="str">
        <f t="shared" si="110"/>
        <v>1+0.0154079830094255i</v>
      </c>
      <c r="AK157" s="98">
        <f t="shared" si="125"/>
        <v>1.0001186959258479</v>
      </c>
      <c r="AL157" s="98">
        <f t="shared" si="126"/>
        <v>1.5406763867514273E-2</v>
      </c>
      <c r="AM157" s="98" t="str">
        <f t="shared" si="111"/>
        <v>1+15.4233909924349i</v>
      </c>
      <c r="AN157" s="98">
        <f t="shared" si="127"/>
        <v>15.455775286459172</v>
      </c>
      <c r="AO157" s="98">
        <f t="shared" si="128"/>
        <v>1.5060503663667077</v>
      </c>
      <c r="AP157" s="168" t="str">
        <f t="shared" si="129"/>
        <v>-0.09928021098516+0.00797466433314161i</v>
      </c>
      <c r="AQ157" s="98">
        <f t="shared" si="130"/>
        <v>-20.034815173350033</v>
      </c>
      <c r="AR157" s="169">
        <f t="shared" si="131"/>
        <v>175.40758718138053</v>
      </c>
      <c r="AS157" s="168" t="str">
        <f t="shared" si="132"/>
        <v>0.201482603294493+2.220371095819i</v>
      </c>
      <c r="AT157" s="190">
        <f t="shared" si="133"/>
        <v>6.9641257621391901</v>
      </c>
      <c r="AU157" s="169">
        <f t="shared" si="134"/>
        <v>84.815023130806438</v>
      </c>
      <c r="AV157" s="225"/>
      <c r="AX157">
        <f t="shared" si="135"/>
        <v>0</v>
      </c>
      <c r="AY157">
        <f t="shared" si="136"/>
        <v>0</v>
      </c>
    </row>
    <row r="158" spans="14:51" x14ac:dyDescent="0.3">
      <c r="N158" s="170">
        <v>40</v>
      </c>
      <c r="O158" s="199">
        <f t="shared" si="102"/>
        <v>251.18864315095806</v>
      </c>
      <c r="P158" s="189" t="str">
        <f t="shared" si="103"/>
        <v>1078.86904761905</v>
      </c>
      <c r="Q158" s="160" t="str">
        <f t="shared" si="104"/>
        <v>1+49.320774749265i</v>
      </c>
      <c r="R158" s="160">
        <f t="shared" si="112"/>
        <v>49.330911423444583</v>
      </c>
      <c r="S158" s="160">
        <f t="shared" si="113"/>
        <v>1.5505236727697103</v>
      </c>
      <c r="T158" s="160" t="str">
        <f t="shared" si="105"/>
        <v>1+0.0000315652958395296i</v>
      </c>
      <c r="U158" s="160">
        <f t="shared" si="114"/>
        <v>1.0000000004981839</v>
      </c>
      <c r="V158" s="160">
        <f t="shared" si="115"/>
        <v>3.1565295829046047E-5</v>
      </c>
      <c r="W158" s="98" t="str">
        <f t="shared" si="106"/>
        <v>1-0.0228292845629814i</v>
      </c>
      <c r="X158" s="160">
        <f t="shared" si="116"/>
        <v>1.0002605541725904</v>
      </c>
      <c r="Y158" s="160">
        <f t="shared" si="117"/>
        <v>-2.2825319775870715E-2</v>
      </c>
      <c r="Z158" s="98" t="str">
        <f t="shared" si="107"/>
        <v>0.999974761706221+0.00901711526709247i</v>
      </c>
      <c r="AA158" s="160">
        <f t="shared" si="118"/>
        <v>1.000015416089749</v>
      </c>
      <c r="AB158" s="160">
        <f t="shared" si="119"/>
        <v>9.01709845388423E-3</v>
      </c>
      <c r="AC158" s="171" t="str">
        <f t="shared" si="120"/>
        <v>-0.252397138552583-21.8739458300945i</v>
      </c>
      <c r="AD158" s="190">
        <f t="shared" si="121"/>
        <v>26.799120834577973</v>
      </c>
      <c r="AE158" s="169">
        <f t="shared" si="122"/>
        <v>-90.661090100653212</v>
      </c>
      <c r="AF158" s="98" t="str">
        <f t="shared" si="108"/>
        <v>-9.95024875621891E-06</v>
      </c>
      <c r="AG158" s="98" t="str">
        <f t="shared" si="109"/>
        <v>0.00157984305676845i</v>
      </c>
      <c r="AH158" s="98">
        <f t="shared" si="123"/>
        <v>1.57984305676845E-3</v>
      </c>
      <c r="AI158" s="98">
        <f t="shared" si="124"/>
        <v>1.5707963267948966</v>
      </c>
      <c r="AJ158" s="98" t="str">
        <f t="shared" si="110"/>
        <v>1+0.0157668810387261i</v>
      </c>
      <c r="AK158" s="98">
        <f t="shared" si="125"/>
        <v>1.0001242895448992</v>
      </c>
      <c r="AL158" s="98">
        <f t="shared" si="126"/>
        <v>1.5765574713400225E-2</v>
      </c>
      <c r="AM158" s="98" t="str">
        <f t="shared" si="111"/>
        <v>1+15.7826479197648i</v>
      </c>
      <c r="AN158" s="98">
        <f t="shared" si="127"/>
        <v>15.814296549617886</v>
      </c>
      <c r="AO158" s="98">
        <f t="shared" si="128"/>
        <v>1.5075201879967579</v>
      </c>
      <c r="AP158" s="168" t="str">
        <f t="shared" si="129"/>
        <v>-0.099279100454935+0.00786357317419328i</v>
      </c>
      <c r="AQ158" s="98">
        <f t="shared" si="130"/>
        <v>-20.035682081544884</v>
      </c>
      <c r="AR158" s="169">
        <f t="shared" si="131"/>
        <v>175.47124341030664</v>
      </c>
      <c r="AS158" s="168" t="str">
        <f t="shared" si="132"/>
        <v>0.197065134516188+2.16964092204379i</v>
      </c>
      <c r="AT158" s="190">
        <f t="shared" si="133"/>
        <v>6.7634387530330802</v>
      </c>
      <c r="AU158" s="169">
        <f t="shared" si="134"/>
        <v>84.810153309653415</v>
      </c>
      <c r="AV158" s="225"/>
      <c r="AX158">
        <f t="shared" si="135"/>
        <v>0</v>
      </c>
      <c r="AY158">
        <f t="shared" si="136"/>
        <v>0</v>
      </c>
    </row>
    <row r="159" spans="14:51" x14ac:dyDescent="0.3">
      <c r="N159" s="170">
        <v>41</v>
      </c>
      <c r="O159" s="199">
        <f t="shared" si="102"/>
        <v>257.03957827688663</v>
      </c>
      <c r="P159" s="189" t="str">
        <f t="shared" si="103"/>
        <v>1078.86904761905</v>
      </c>
      <c r="Q159" s="160" t="str">
        <f t="shared" si="104"/>
        <v>1+50.4696031747803i</v>
      </c>
      <c r="R159" s="160">
        <f t="shared" si="112"/>
        <v>50.479509155892103</v>
      </c>
      <c r="S159" s="160">
        <f t="shared" si="113"/>
        <v>1.5509850125722828</v>
      </c>
      <c r="T159" s="160" t="str">
        <f t="shared" si="105"/>
        <v>1+0.0000323005460318594i</v>
      </c>
      <c r="U159" s="160">
        <f t="shared" si="114"/>
        <v>1.0000000005216625</v>
      </c>
      <c r="V159" s="160">
        <f t="shared" si="115"/>
        <v>3.2300546020626078E-5</v>
      </c>
      <c r="W159" s="98" t="str">
        <f t="shared" si="106"/>
        <v>1-0.023361046912082i</v>
      </c>
      <c r="X159" s="160">
        <f t="shared" si="116"/>
        <v>1.0002728320377539</v>
      </c>
      <c r="Y159" s="160">
        <f t="shared" si="117"/>
        <v>-2.335679862873306E-2</v>
      </c>
      <c r="Z159" s="98" t="str">
        <f t="shared" si="107"/>
        <v>0.99997357226208+0.0092271508634035i</v>
      </c>
      <c r="AA159" s="160">
        <f t="shared" si="118"/>
        <v>1.0000161426375282</v>
      </c>
      <c r="AB159" s="160">
        <f t="shared" si="119"/>
        <v>9.2271328476839862E-3</v>
      </c>
      <c r="AC159" s="171" t="str">
        <f t="shared" si="120"/>
        <v>-0.272353868507414-21.3761666077522i</v>
      </c>
      <c r="AD159" s="190">
        <f t="shared" si="121"/>
        <v>26.599301461840898</v>
      </c>
      <c r="AE159" s="169">
        <f t="shared" si="122"/>
        <v>-90.729966377015955</v>
      </c>
      <c r="AF159" s="98" t="str">
        <f t="shared" si="108"/>
        <v>-9.95024875621891E-06</v>
      </c>
      <c r="AG159" s="98" t="str">
        <f t="shared" si="109"/>
        <v>0.00161664232889456i</v>
      </c>
      <c r="AH159" s="98">
        <f t="shared" si="123"/>
        <v>1.61664232889456E-3</v>
      </c>
      <c r="AI159" s="98">
        <f t="shared" si="124"/>
        <v>1.5707963267948966</v>
      </c>
      <c r="AJ159" s="98" t="str">
        <f t="shared" si="110"/>
        <v>1+0.0161341388770526i</v>
      </c>
      <c r="AK159" s="98">
        <f t="shared" si="125"/>
        <v>1.0001301467495638</v>
      </c>
      <c r="AL159" s="98">
        <f t="shared" si="126"/>
        <v>1.6132739134084518E-2</v>
      </c>
      <c r="AM159" s="98" t="str">
        <f t="shared" si="111"/>
        <v>1+16.1502730159297i</v>
      </c>
      <c r="AN159" s="98">
        <f t="shared" si="127"/>
        <v>16.181202628020792</v>
      </c>
      <c r="AO159" s="98">
        <f t="shared" si="128"/>
        <v>1.5089568169862517</v>
      </c>
      <c r="AP159" s="168" t="str">
        <f t="shared" si="129"/>
        <v>-0.0992779376136597+0.00775664973541676i</v>
      </c>
      <c r="AQ159" s="98">
        <f t="shared" si="130"/>
        <v>-20.036514591762593</v>
      </c>
      <c r="AR159" s="169">
        <f t="shared" si="131"/>
        <v>175.5325192164382</v>
      </c>
      <c r="AS159" s="168" t="str">
        <f t="shared" si="132"/>
        <v>0.192846167428764+2.12006918134152i</v>
      </c>
      <c r="AT159" s="190">
        <f t="shared" si="133"/>
        <v>6.5627868700783019</v>
      </c>
      <c r="AU159" s="169">
        <f t="shared" si="134"/>
        <v>84.802552839422233</v>
      </c>
      <c r="AV159" s="225"/>
      <c r="AX159">
        <f t="shared" si="135"/>
        <v>0</v>
      </c>
      <c r="AY159">
        <f t="shared" si="136"/>
        <v>0</v>
      </c>
    </row>
    <row r="160" spans="14:51" x14ac:dyDescent="0.3">
      <c r="N160" s="170">
        <v>42</v>
      </c>
      <c r="O160" s="199">
        <f t="shared" si="102"/>
        <v>263.02679918953817</v>
      </c>
      <c r="P160" s="189" t="str">
        <f t="shared" si="103"/>
        <v>1078.86904761905</v>
      </c>
      <c r="Q160" s="160" t="str">
        <f t="shared" si="104"/>
        <v>1+51.6451912519431i</v>
      </c>
      <c r="R160" s="160">
        <f t="shared" si="112"/>
        <v>51.654871788145797</v>
      </c>
      <c r="S160" s="160">
        <f t="shared" si="113"/>
        <v>1.5514358591488215</v>
      </c>
      <c r="T160" s="160" t="str">
        <f t="shared" si="105"/>
        <v>1+0.0000330529224012436i</v>
      </c>
      <c r="U160" s="160">
        <f t="shared" si="114"/>
        <v>1.0000000005462477</v>
      </c>
      <c r="V160" s="160">
        <f t="shared" si="115"/>
        <v>3.3052922389206872E-5</v>
      </c>
      <c r="W160" s="98" t="str">
        <f t="shared" si="106"/>
        <v>1-0.0239051955974754i</v>
      </c>
      <c r="X160" s="160">
        <f t="shared" si="116"/>
        <v>1.0002856883793516</v>
      </c>
      <c r="Y160" s="160">
        <f t="shared" si="117"/>
        <v>-2.3900643550067758E-2</v>
      </c>
      <c r="Z160" s="98" t="str">
        <f t="shared" si="107"/>
        <v>0.999972326761163+0.0094420788172381i</v>
      </c>
      <c r="AA160" s="160">
        <f t="shared" si="118"/>
        <v>1.0000169034273996</v>
      </c>
      <c r="AB160" s="160">
        <f t="shared" si="119"/>
        <v>9.4420595129993835E-3</v>
      </c>
      <c r="AC160" s="171" t="str">
        <f t="shared" si="120"/>
        <v>-0.291412939621062-20.8896857199513i</v>
      </c>
      <c r="AD160" s="190">
        <f t="shared" si="121"/>
        <v>26.399483199844781</v>
      </c>
      <c r="AE160" s="169">
        <f t="shared" si="122"/>
        <v>-90.799229284598525</v>
      </c>
      <c r="AF160" s="98" t="str">
        <f t="shared" si="108"/>
        <v>-9.95024875621891E-06</v>
      </c>
      <c r="AG160" s="98" t="str">
        <f t="shared" si="109"/>
        <v>0.00165429876618224i</v>
      </c>
      <c r="AH160" s="98">
        <f t="shared" si="123"/>
        <v>1.6542987661822401E-3</v>
      </c>
      <c r="AI160" s="98">
        <f t="shared" si="124"/>
        <v>1.5707963267948966</v>
      </c>
      <c r="AJ160" s="98" t="str">
        <f t="shared" si="110"/>
        <v>1+0.0165099512493724i</v>
      </c>
      <c r="AK160" s="98">
        <f t="shared" si="125"/>
        <v>1.0001362799590148</v>
      </c>
      <c r="AL160" s="98">
        <f t="shared" si="126"/>
        <v>1.6508451408797406E-2</v>
      </c>
      <c r="AM160" s="98" t="str">
        <f t="shared" si="111"/>
        <v>1+16.5264612006218i</v>
      </c>
      <c r="AN160" s="98">
        <f t="shared" si="127"/>
        <v>16.556688069045023</v>
      </c>
      <c r="AO160" s="98">
        <f t="shared" si="128"/>
        <v>1.5103609913210123</v>
      </c>
      <c r="AP160" s="168" t="str">
        <f t="shared" si="129"/>
        <v>-0.0992767199985597+0.00765383720661549i</v>
      </c>
      <c r="AQ160" s="98">
        <f t="shared" si="130"/>
        <v>-20.037314450381132</v>
      </c>
      <c r="AR160" s="169">
        <f t="shared" si="131"/>
        <v>175.59144575186826</v>
      </c>
      <c r="AS160" s="168" t="str">
        <f t="shared" si="132"/>
        <v>0.188816774608585+2.07162905287776i</v>
      </c>
      <c r="AT160" s="190">
        <f t="shared" si="133"/>
        <v>6.3621687494636694</v>
      </c>
      <c r="AU160" s="169">
        <f t="shared" si="134"/>
        <v>84.792216467269753</v>
      </c>
      <c r="AV160" s="225"/>
      <c r="AX160">
        <f t="shared" si="135"/>
        <v>0</v>
      </c>
      <c r="AY160">
        <f t="shared" si="136"/>
        <v>0</v>
      </c>
    </row>
    <row r="161" spans="14:51" x14ac:dyDescent="0.3">
      <c r="N161" s="170">
        <v>43</v>
      </c>
      <c r="O161" s="199">
        <f t="shared" si="102"/>
        <v>269.15348039269179</v>
      </c>
      <c r="P161" s="189" t="str">
        <f t="shared" si="103"/>
        <v>1078.86904761905</v>
      </c>
      <c r="Q161" s="160" t="str">
        <f t="shared" si="104"/>
        <v>1+52.8481622931128i</v>
      </c>
      <c r="R161" s="160">
        <f t="shared" si="112"/>
        <v>52.857622513306339</v>
      </c>
      <c r="S161" s="160">
        <f t="shared" si="113"/>
        <v>1.5518764508106064</v>
      </c>
      <c r="T161" s="160" t="str">
        <f t="shared" si="105"/>
        <v>1+0.0000338228238675922i</v>
      </c>
      <c r="U161" s="160">
        <f t="shared" si="114"/>
        <v>1.0000000005719916</v>
      </c>
      <c r="V161" s="160">
        <f t="shared" si="115"/>
        <v>3.3822823854694618E-5</v>
      </c>
      <c r="W161" s="98" t="str">
        <f t="shared" si="106"/>
        <v>1-0.0244620191339974i</v>
      </c>
      <c r="X161" s="160">
        <f t="shared" si="116"/>
        <v>1.0002991504445617</v>
      </c>
      <c r="Y161" s="160">
        <f t="shared" si="117"/>
        <v>-2.4457141606101174E-2</v>
      </c>
      <c r="Z161" s="98" t="str">
        <f t="shared" si="107"/>
        <v>0.999971022561597+0.00966201308624232i</v>
      </c>
      <c r="AA161" s="160">
        <f t="shared" si="118"/>
        <v>1.000017700073236</v>
      </c>
      <c r="AB161" s="160">
        <f t="shared" si="119"/>
        <v>9.6619924013246067E-3</v>
      </c>
      <c r="AC161" s="171" t="str">
        <f t="shared" si="120"/>
        <v>-0.309614685652378-20.4142476020353i</v>
      </c>
      <c r="AD161" s="190">
        <f t="shared" si="121"/>
        <v>26.199666433495892</v>
      </c>
      <c r="AE161" s="169">
        <f t="shared" si="122"/>
        <v>-90.868915431397923</v>
      </c>
      <c r="AF161" s="98" t="str">
        <f t="shared" si="108"/>
        <v>-9.95024875621891E-06</v>
      </c>
      <c r="AG161" s="98" t="str">
        <f t="shared" si="109"/>
        <v>0.00169283233457299i</v>
      </c>
      <c r="AH161" s="98">
        <f t="shared" si="123"/>
        <v>1.69283233457299E-3</v>
      </c>
      <c r="AI161" s="98">
        <f t="shared" si="124"/>
        <v>1.5707963267948966</v>
      </c>
      <c r="AJ161" s="98" t="str">
        <f t="shared" si="110"/>
        <v>1+0.0168945174163797i</v>
      </c>
      <c r="AK161" s="98">
        <f t="shared" si="125"/>
        <v>1.0001427021774105</v>
      </c>
      <c r="AL161" s="98">
        <f t="shared" si="126"/>
        <v>1.6892910320633069E-2</v>
      </c>
      <c r="AM161" s="98" t="str">
        <f t="shared" si="111"/>
        <v>1+16.9114119337961i</v>
      </c>
      <c r="AN161" s="98">
        <f t="shared" si="127"/>
        <v>16.940951968367692</v>
      </c>
      <c r="AO161" s="98">
        <f t="shared" si="128"/>
        <v>1.5117334333514054</v>
      </c>
      <c r="AP161" s="168" t="str">
        <f t="shared" si="129"/>
        <v>-0.0992754450310393+0.00755508094882179i</v>
      </c>
      <c r="AQ161" s="98">
        <f t="shared" si="130"/>
        <v>-20.038083336211411</v>
      </c>
      <c r="AR161" s="169">
        <f t="shared" si="131"/>
        <v>175.6480530147918</v>
      </c>
      <c r="AS161" s="168" t="str">
        <f t="shared" si="132"/>
        <v>0.184968428848953+2.02429435165283i</v>
      </c>
      <c r="AT161" s="190">
        <f t="shared" si="133"/>
        <v>6.161583097284467</v>
      </c>
      <c r="AU161" s="169">
        <f t="shared" si="134"/>
        <v>84.779137583393862</v>
      </c>
      <c r="AV161" s="225"/>
      <c r="AX161">
        <f t="shared" si="135"/>
        <v>0</v>
      </c>
      <c r="AY161">
        <f t="shared" si="136"/>
        <v>0</v>
      </c>
    </row>
    <row r="162" spans="14:51" x14ac:dyDescent="0.3">
      <c r="N162" s="170">
        <v>44</v>
      </c>
      <c r="O162" s="199">
        <f t="shared" si="102"/>
        <v>275.42287033381683</v>
      </c>
      <c r="P162" s="189" t="str">
        <f t="shared" si="103"/>
        <v>1078.86904761905</v>
      </c>
      <c r="Q162" s="160" t="str">
        <f t="shared" si="104"/>
        <v>1+54.0791541294584i</v>
      </c>
      <c r="R162" s="160">
        <f t="shared" si="112"/>
        <v>54.088399045985064</v>
      </c>
      <c r="S162" s="160">
        <f t="shared" si="113"/>
        <v>1.5523070204805509</v>
      </c>
      <c r="T162" s="160" t="str">
        <f t="shared" si="105"/>
        <v>1+0.0000346106586428534i</v>
      </c>
      <c r="U162" s="160">
        <f t="shared" si="114"/>
        <v>1.0000000005989489</v>
      </c>
      <c r="V162" s="160">
        <f t="shared" si="115"/>
        <v>3.4610658629033395E-5</v>
      </c>
      <c r="W162" s="98" t="str">
        <f t="shared" si="106"/>
        <v>1-0.0250318127568573i</v>
      </c>
      <c r="X162" s="160">
        <f t="shared" si="116"/>
        <v>1.0003132467631799</v>
      </c>
      <c r="Y162" s="160">
        <f t="shared" si="117"/>
        <v>-2.5026586479943137E-2</v>
      </c>
      <c r="Z162" s="98" t="str">
        <f t="shared" si="107"/>
        <v>0.999969656896999+0.00988707028247673i</v>
      </c>
      <c r="AA162" s="160">
        <f t="shared" si="118"/>
        <v>1.0000185342649768</v>
      </c>
      <c r="AB162" s="160">
        <f t="shared" si="119"/>
        <v>9.8870481181283221E-3</v>
      </c>
      <c r="AC162" s="171" t="str">
        <f t="shared" si="120"/>
        <v>-0.326997630043554-19.9496023861177i</v>
      </c>
      <c r="AD162" s="190">
        <f t="shared" si="121"/>
        <v>25.999851550850927</v>
      </c>
      <c r="AE162" s="169">
        <f t="shared" si="122"/>
        <v>-90.939061647329211</v>
      </c>
      <c r="AF162" s="98" t="str">
        <f t="shared" si="108"/>
        <v>-9.95024875621891E-06</v>
      </c>
      <c r="AG162" s="98" t="str">
        <f t="shared" si="109"/>
        <v>0.00173226346507481i</v>
      </c>
      <c r="AH162" s="98">
        <f t="shared" si="123"/>
        <v>1.73226346507481E-3</v>
      </c>
      <c r="AI162" s="98">
        <f t="shared" si="124"/>
        <v>1.5707963267948966</v>
      </c>
      <c r="AJ162" s="98" t="str">
        <f t="shared" si="110"/>
        <v>1+0.0172880412801466i</v>
      </c>
      <c r="AK162" s="98">
        <f t="shared" si="125"/>
        <v>1.0001494270214346</v>
      </c>
      <c r="AL162" s="98">
        <f t="shared" si="126"/>
        <v>1.7286319259923827E-2</v>
      </c>
      <c r="AM162" s="98" t="str">
        <f t="shared" si="111"/>
        <v>1+17.3053293214267i</v>
      </c>
      <c r="AN162" s="98">
        <f t="shared" si="127"/>
        <v>17.334198075568157</v>
      </c>
      <c r="AO162" s="98">
        <f t="shared" si="128"/>
        <v>1.5130748500716529</v>
      </c>
      <c r="AP162" s="168" t="str">
        <f t="shared" si="129"/>
        <v>-0.0992741100112499+0.00746032846472489i</v>
      </c>
      <c r="AQ162" s="98">
        <f t="shared" si="130"/>
        <v>-20.038822863908816</v>
      </c>
      <c r="AR162" s="169">
        <f t="shared" si="131"/>
        <v>175.70236985958616</v>
      </c>
      <c r="AS162" s="168" t="str">
        <f t="shared" si="132"/>
        <v>0.181292985239459+1.97803951223283i</v>
      </c>
      <c r="AT162" s="190">
        <f t="shared" si="133"/>
        <v>5.9610286869421083</v>
      </c>
      <c r="AU162" s="169">
        <f t="shared" si="134"/>
        <v>84.763308212256945</v>
      </c>
      <c r="AV162" s="225"/>
      <c r="AX162">
        <f t="shared" si="135"/>
        <v>0</v>
      </c>
      <c r="AY162">
        <f t="shared" si="136"/>
        <v>0</v>
      </c>
    </row>
    <row r="163" spans="14:51" x14ac:dyDescent="0.3">
      <c r="N163" s="170">
        <v>45</v>
      </c>
      <c r="O163" s="199">
        <f t="shared" si="102"/>
        <v>281.83829312644554</v>
      </c>
      <c r="P163" s="189" t="str">
        <f t="shared" si="103"/>
        <v>1078.86904761905</v>
      </c>
      <c r="Q163" s="160" t="str">
        <f t="shared" si="104"/>
        <v>1+55.3388194491456i</v>
      </c>
      <c r="R163" s="160">
        <f t="shared" si="112"/>
        <v>55.347853960430434</v>
      </c>
      <c r="S163" s="160">
        <f t="shared" si="113"/>
        <v>1.55272779581344</v>
      </c>
      <c r="T163" s="160" t="str">
        <f t="shared" si="105"/>
        <v>1+0.0000354168444474532i</v>
      </c>
      <c r="U163" s="160">
        <f t="shared" si="114"/>
        <v>1.0000000006271763</v>
      </c>
      <c r="V163" s="160">
        <f t="shared" si="115"/>
        <v>3.5416844432644795E-5</v>
      </c>
      <c r="W163" s="98" t="str">
        <f t="shared" si="106"/>
        <v>1-0.0256148785781761i</v>
      </c>
      <c r="X163" s="160">
        <f t="shared" si="116"/>
        <v>1.000328007207923</v>
      </c>
      <c r="Y163" s="160">
        <f t="shared" si="117"/>
        <v>-2.5609278620737478E-2</v>
      </c>
      <c r="Z163" s="98" t="str">
        <f t="shared" si="107"/>
        <v>0.999968226870611+0.0101173697342457i</v>
      </c>
      <c r="AA163" s="160">
        <f t="shared" si="118"/>
        <v>1.000019407772216</v>
      </c>
      <c r="AB163" s="160">
        <f t="shared" si="119"/>
        <v>1.0117345984651449E-2</v>
      </c>
      <c r="AC163" s="171" t="str">
        <f t="shared" si="120"/>
        <v>-0.343598566914108-19.495505779142i</v>
      </c>
      <c r="AD163" s="190">
        <f t="shared" si="121"/>
        <v>25.800038943935331</v>
      </c>
      <c r="AE163" s="169">
        <f t="shared" si="122"/>
        <v>-91.009705003188529</v>
      </c>
      <c r="AF163" s="98" t="str">
        <f t="shared" si="108"/>
        <v>-9.95024875621891E-06</v>
      </c>
      <c r="AG163" s="98" t="str">
        <f t="shared" si="109"/>
        <v>0.00177261306459503i</v>
      </c>
      <c r="AH163" s="98">
        <f t="shared" si="123"/>
        <v>1.77261306459503E-3</v>
      </c>
      <c r="AI163" s="98">
        <f t="shared" si="124"/>
        <v>1.5707963267948966</v>
      </c>
      <c r="AJ163" s="98" t="str">
        <f t="shared" si="110"/>
        <v>1+0.0176907314922344i</v>
      </c>
      <c r="AK163" s="98">
        <f t="shared" si="125"/>
        <v>1.0001564687491304</v>
      </c>
      <c r="AL163" s="98">
        <f t="shared" si="126"/>
        <v>1.7688886329911942E-2</v>
      </c>
      <c r="AM163" s="98" t="str">
        <f t="shared" si="111"/>
        <v>1+17.7084222237266i</v>
      </c>
      <c r="AN163" s="98">
        <f t="shared" si="127"/>
        <v>17.736634902195345</v>
      </c>
      <c r="AO163" s="98">
        <f t="shared" si="128"/>
        <v>1.514385933397786</v>
      </c>
      <c r="AP163" s="168" t="str">
        <f t="shared" si="129"/>
        <v>-0.0992727121123993+0.00736952937019095i</v>
      </c>
      <c r="AQ163" s="98">
        <f t="shared" si="130"/>
        <v>-20.039534587261933</v>
      </c>
      <c r="AR163" s="169">
        <f t="shared" si="131"/>
        <v>175.75442400668231</v>
      </c>
      <c r="AS163" s="168" t="str">
        <f t="shared" si="132"/>
        <v>0.177782664041612+1.93283957296795i</v>
      </c>
      <c r="AT163" s="190">
        <f t="shared" si="133"/>
        <v>5.7605043566733949</v>
      </c>
      <c r="AU163" s="169">
        <f t="shared" si="134"/>
        <v>84.744719003493771</v>
      </c>
      <c r="AV163" s="225"/>
      <c r="AX163">
        <f t="shared" si="135"/>
        <v>0</v>
      </c>
      <c r="AY163">
        <f t="shared" si="136"/>
        <v>0</v>
      </c>
    </row>
    <row r="164" spans="14:51" x14ac:dyDescent="0.3">
      <c r="N164" s="170">
        <v>46</v>
      </c>
      <c r="O164" s="199">
        <f t="shared" si="102"/>
        <v>288.40315031266073</v>
      </c>
      <c r="P164" s="189" t="str">
        <f t="shared" si="103"/>
        <v>1078.86904761905</v>
      </c>
      <c r="Q164" s="160" t="str">
        <f t="shared" si="104"/>
        <v>1+56.6278261434006i</v>
      </c>
      <c r="R164" s="160">
        <f t="shared" si="112"/>
        <v>56.636655036532687</v>
      </c>
      <c r="S164" s="160">
        <f t="shared" si="113"/>
        <v>1.5531389993135902</v>
      </c>
      <c r="T164" s="160" t="str">
        <f t="shared" si="105"/>
        <v>1+0.0000362418087317764i</v>
      </c>
      <c r="U164" s="160">
        <f t="shared" si="114"/>
        <v>1.0000000006567342</v>
      </c>
      <c r="V164" s="160">
        <f t="shared" si="115"/>
        <v>3.6241808715908904E-5</v>
      </c>
      <c r="W164" s="98" t="str">
        <f t="shared" si="106"/>
        <v>1-0.02621152574717i</v>
      </c>
      <c r="X164" s="160">
        <f t="shared" si="116"/>
        <v>1.0003434630575614</v>
      </c>
      <c r="Y164" s="160">
        <f t="shared" si="117"/>
        <v>-2.6205525395931122E-2</v>
      </c>
      <c r="Z164" s="98" t="str">
        <f t="shared" si="107"/>
        <v>0.999966729449156+0.0103530335493671i</v>
      </c>
      <c r="AA164" s="160">
        <f t="shared" si="118"/>
        <v>1.0000203224479569</v>
      </c>
      <c r="AB164" s="160">
        <f t="shared" si="119"/>
        <v>1.0353008101143146E-2</v>
      </c>
      <c r="AC164" s="171" t="str">
        <f t="shared" si="120"/>
        <v>-0.359452638449937-19.0517189431949i</v>
      </c>
      <c r="AD164" s="190">
        <f t="shared" si="121"/>
        <v>25.60022900956934</v>
      </c>
      <c r="AE164" s="169">
        <f t="shared" si="122"/>
        <v>-91.080882829729433</v>
      </c>
      <c r="AF164" s="98" t="str">
        <f t="shared" si="108"/>
        <v>-9.95024875621891E-06</v>
      </c>
      <c r="AG164" s="98" t="str">
        <f t="shared" si="109"/>
        <v>0.0018139025270254i</v>
      </c>
      <c r="AH164" s="98">
        <f t="shared" si="123"/>
        <v>1.8139025270253999E-3</v>
      </c>
      <c r="AI164" s="98">
        <f t="shared" si="124"/>
        <v>1.5707963267948966</v>
      </c>
      <c r="AJ164" s="98" t="str">
        <f t="shared" si="110"/>
        <v>1+0.0181028015643239i</v>
      </c>
      <c r="AK164" s="98">
        <f t="shared" si="125"/>
        <v>1.0001638422900907</v>
      </c>
      <c r="AL164" s="98">
        <f t="shared" si="126"/>
        <v>1.8100824454766282E-2</v>
      </c>
      <c r="AM164" s="98" t="str">
        <f t="shared" si="111"/>
        <v>1+18.1209043658882i</v>
      </c>
      <c r="AN164" s="98">
        <f t="shared" si="127"/>
        <v>18.148475832357548</v>
      </c>
      <c r="AO164" s="98">
        <f t="shared" si="128"/>
        <v>1.515667360443953</v>
      </c>
      <c r="AP164" s="168" t="str">
        <f t="shared" si="129"/>
        <v>-0.0992712483748003+0.0072826353668581i</v>
      </c>
      <c r="AQ164" s="98">
        <f t="shared" si="130"/>
        <v>-20.040220002363505</v>
      </c>
      <c r="AR164" s="169">
        <f t="shared" si="131"/>
        <v>175.80424205220692</v>
      </c>
      <c r="AS164" s="168" t="str">
        <f t="shared" si="132"/>
        <v>0.174430034325693+1.8886701606793i</v>
      </c>
      <c r="AT164" s="190">
        <f t="shared" si="133"/>
        <v>5.5600090072058217</v>
      </c>
      <c r="AU164" s="169">
        <f t="shared" si="134"/>
        <v>84.723359222477441</v>
      </c>
      <c r="AV164" s="225"/>
      <c r="AX164">
        <f t="shared" si="135"/>
        <v>0</v>
      </c>
      <c r="AY164">
        <f t="shared" si="136"/>
        <v>0</v>
      </c>
    </row>
    <row r="165" spans="14:51" x14ac:dyDescent="0.3">
      <c r="N165" s="170">
        <v>47</v>
      </c>
      <c r="O165" s="199">
        <f t="shared" si="102"/>
        <v>295.12092266663871</v>
      </c>
      <c r="P165" s="189" t="str">
        <f t="shared" si="103"/>
        <v>1078.86904761905</v>
      </c>
      <c r="Q165" s="160" t="str">
        <f t="shared" si="104"/>
        <v>1+57.9468576606347i</v>
      </c>
      <c r="R165" s="160">
        <f t="shared" si="112"/>
        <v>57.955485613890403</v>
      </c>
      <c r="S165" s="160">
        <f t="shared" si="113"/>
        <v>1.5535408484499835</v>
      </c>
      <c r="T165" s="160" t="str">
        <f t="shared" si="105"/>
        <v>1+0.0000370859889028062i</v>
      </c>
      <c r="U165" s="160">
        <f t="shared" si="114"/>
        <v>1.0000000006876852</v>
      </c>
      <c r="V165" s="160">
        <f t="shared" si="115"/>
        <v>3.7085988885803879E-5</v>
      </c>
      <c r="W165" s="98" t="str">
        <f t="shared" si="106"/>
        <v>1-0.0268220706140656i</v>
      </c>
      <c r="X165" s="160">
        <f t="shared" si="116"/>
        <v>1.0003596470630081</v>
      </c>
      <c r="Y165" s="160">
        <f t="shared" si="117"/>
        <v>-2.6815641246710809E-2</v>
      </c>
      <c r="Z165" s="98" t="str">
        <f t="shared" si="107"/>
        <v>0.999965161456402+0.0105941866799148i</v>
      </c>
      <c r="AA165" s="160">
        <f t="shared" si="118"/>
        <v>1.0000212802325443</v>
      </c>
      <c r="AB165" s="160">
        <f t="shared" si="119"/>
        <v>1.0594159411567146E-2</v>
      </c>
      <c r="AC165" s="171" t="str">
        <f t="shared" si="120"/>
        <v>-0.374593408846047-18.6180083780575i</v>
      </c>
      <c r="AD165" s="190">
        <f t="shared" si="121"/>
        <v>25.400422150204026</v>
      </c>
      <c r="AE165" s="169">
        <f t="shared" si="122"/>
        <v>-91.152632736859914</v>
      </c>
      <c r="AF165" s="98" t="str">
        <f t="shared" si="108"/>
        <v>-9.95024875621891E-06</v>
      </c>
      <c r="AG165" s="98" t="str">
        <f t="shared" si="109"/>
        <v>0.00185615374458545i</v>
      </c>
      <c r="AH165" s="98">
        <f t="shared" si="123"/>
        <v>1.8561537445854501E-3</v>
      </c>
      <c r="AI165" s="98">
        <f t="shared" si="124"/>
        <v>1.5707963267948966</v>
      </c>
      <c r="AJ165" s="98" t="str">
        <f t="shared" si="110"/>
        <v>1+0.0185244699814217i</v>
      </c>
      <c r="AK165" s="98">
        <f t="shared" si="125"/>
        <v>1.0001715632770674</v>
      </c>
      <c r="AL165" s="98">
        <f t="shared" si="126"/>
        <v>1.8522351489988285E-2</v>
      </c>
      <c r="AM165" s="98" t="str">
        <f t="shared" si="111"/>
        <v>1+18.5429944514031i</v>
      </c>
      <c r="AN165" s="98">
        <f t="shared" si="127"/>
        <v>18.569939235893212</v>
      </c>
      <c r="AO165" s="98">
        <f t="shared" si="128"/>
        <v>1.5169197937968102</v>
      </c>
      <c r="AP165" s="168" t="str">
        <f t="shared" si="129"/>
        <v>-0.0992697156996358+0.00719960021578755i</v>
      </c>
      <c r="AQ165" s="98">
        <f t="shared" si="130"/>
        <v>-20.040880550670192</v>
      </c>
      <c r="AR165" s="169">
        <f t="shared" si="131"/>
        <v>175.85184947737815</v>
      </c>
      <c r="AS165" s="168" t="str">
        <f t="shared" si="132"/>
        <v>0.171227998335302+1.84550747579605i</v>
      </c>
      <c r="AT165" s="190">
        <f t="shared" si="133"/>
        <v>5.3595415995338556</v>
      </c>
      <c r="AU165" s="169">
        <f t="shared" si="134"/>
        <v>84.699216740518239</v>
      </c>
      <c r="AV165" s="225"/>
      <c r="AX165">
        <f t="shared" si="135"/>
        <v>0</v>
      </c>
      <c r="AY165">
        <f t="shared" si="136"/>
        <v>0</v>
      </c>
    </row>
    <row r="166" spans="14:51" x14ac:dyDescent="0.3">
      <c r="N166" s="170">
        <v>48</v>
      </c>
      <c r="O166" s="199">
        <f t="shared" si="102"/>
        <v>301.99517204020168</v>
      </c>
      <c r="P166" s="189" t="str">
        <f t="shared" si="103"/>
        <v>1078.86904761905</v>
      </c>
      <c r="Q166" s="160" t="str">
        <f t="shared" si="104"/>
        <v>1+59.2966133688178i</v>
      </c>
      <c r="R166" s="160">
        <f t="shared" si="112"/>
        <v>59.305044954127325</v>
      </c>
      <c r="S166" s="160">
        <f t="shared" si="113"/>
        <v>1.5539335557689198</v>
      </c>
      <c r="T166" s="160" t="str">
        <f t="shared" si="105"/>
        <v>1+0.0000379498325560434i</v>
      </c>
      <c r="U166" s="160">
        <f t="shared" si="114"/>
        <v>1.0000000007200949</v>
      </c>
      <c r="V166" s="160">
        <f t="shared" si="115"/>
        <v>3.7949832537825076E-5</v>
      </c>
      <c r="W166" s="98" t="str">
        <f t="shared" si="106"/>
        <v>1-0.0274468368978328i</v>
      </c>
      <c r="X166" s="160">
        <f t="shared" si="116"/>
        <v>1.0003765935165099</v>
      </c>
      <c r="Y166" s="160">
        <f t="shared" si="117"/>
        <v>-2.7439947846653202E-2</v>
      </c>
      <c r="Z166" s="98" t="str">
        <f t="shared" si="107"/>
        <v>0.999963519566426+0.010840956988471i</v>
      </c>
      <c r="AA166" s="160">
        <f t="shared" si="118"/>
        <v>1.0000222831577803</v>
      </c>
      <c r="AB166" s="160">
        <f t="shared" si="119"/>
        <v>1.0840927769815366E-2</v>
      </c>
      <c r="AC166" s="171" t="str">
        <f t="shared" si="120"/>
        <v>-0.38905293495477-18.1941458059755i</v>
      </c>
      <c r="AD166" s="190">
        <f t="shared" si="121"/>
        <v>25.200618774769087</v>
      </c>
      <c r="AE166" s="169">
        <f t="shared" si="122"/>
        <v>-91.224992632967314</v>
      </c>
      <c r="AF166" s="98" t="str">
        <f t="shared" si="108"/>
        <v>-9.95024875621891E-06</v>
      </c>
      <c r="AG166" s="98" t="str">
        <f t="shared" si="109"/>
        <v>0.00189938911942997i</v>
      </c>
      <c r="AH166" s="98">
        <f t="shared" si="123"/>
        <v>1.8993891194299701E-3</v>
      </c>
      <c r="AI166" s="98">
        <f t="shared" si="124"/>
        <v>1.5707963267948966</v>
      </c>
      <c r="AJ166" s="98" t="str">
        <f t="shared" si="110"/>
        <v>1+0.018955960317704i</v>
      </c>
      <c r="AK166" s="98">
        <f t="shared" si="125"/>
        <v>1.000179648079067</v>
      </c>
      <c r="AL166" s="98">
        <f t="shared" si="126"/>
        <v>1.8953690335255513E-2</v>
      </c>
      <c r="AM166" s="98" t="str">
        <f t="shared" si="111"/>
        <v>1+18.9749162780217i</v>
      </c>
      <c r="AN166" s="98">
        <f t="shared" si="127"/>
        <v>19.001248584183429</v>
      </c>
      <c r="AO166" s="98">
        <f t="shared" si="128"/>
        <v>1.5181438817877653</v>
      </c>
      <c r="AP166" s="168" t="str">
        <f t="shared" si="129"/>
        <v>-0.0992681108424409+0.0071203797121545i</v>
      </c>
      <c r="AQ166" s="98">
        <f t="shared" si="130"/>
        <v>-20.041517621955492</v>
      </c>
      <c r="AR166" s="169">
        <f t="shared" si="131"/>
        <v>175.89727065763867</v>
      </c>
      <c r="AS166" s="168" t="str">
        <f t="shared" si="132"/>
        <v>0.168169776547516+1.8033282779261i</v>
      </c>
      <c r="AT166" s="190">
        <f t="shared" si="133"/>
        <v>5.1591011528135873</v>
      </c>
      <c r="AU166" s="169">
        <f t="shared" si="134"/>
        <v>84.672278024671357</v>
      </c>
      <c r="AV166" s="225"/>
      <c r="AX166">
        <f t="shared" si="135"/>
        <v>0</v>
      </c>
      <c r="AY166">
        <f t="shared" si="136"/>
        <v>0</v>
      </c>
    </row>
    <row r="167" spans="14:51" x14ac:dyDescent="0.3">
      <c r="N167" s="170">
        <v>49</v>
      </c>
      <c r="O167" s="199">
        <f t="shared" si="102"/>
        <v>309.02954325135937</v>
      </c>
      <c r="P167" s="189" t="str">
        <f t="shared" si="103"/>
        <v>1078.86904761905</v>
      </c>
      <c r="Q167" s="160" t="str">
        <f t="shared" si="104"/>
        <v>1+60.6778089262925i</v>
      </c>
      <c r="R167" s="160">
        <f t="shared" si="112"/>
        <v>60.686048611650946</v>
      </c>
      <c r="S167" s="160">
        <f t="shared" si="113"/>
        <v>1.5543173290042362</v>
      </c>
      <c r="T167" s="160" t="str">
        <f t="shared" si="105"/>
        <v>1+0.0000388337977128272i</v>
      </c>
      <c r="U167" s="160">
        <f t="shared" si="114"/>
        <v>1.0000000007540319</v>
      </c>
      <c r="V167" s="160">
        <f t="shared" si="115"/>
        <v>3.8833797693305919E-5</v>
      </c>
      <c r="W167" s="98" t="str">
        <f t="shared" si="106"/>
        <v>1-0.0280861558578252i</v>
      </c>
      <c r="X167" s="160">
        <f t="shared" si="116"/>
        <v>1.0003943383240781</v>
      </c>
      <c r="Y167" s="160">
        <f t="shared" si="117"/>
        <v>-2.8078774263635323E-2</v>
      </c>
      <c r="Z167" s="98" t="str">
        <f t="shared" si="107"/>
        <v>0.999961800296559+0.0110934753159194i</v>
      </c>
      <c r="AA167" s="160">
        <f t="shared" si="118"/>
        <v>1.0000233333512376</v>
      </c>
      <c r="AB167" s="160">
        <f t="shared" si="119"/>
        <v>1.1093444007459567E-2</v>
      </c>
      <c r="AC167" s="171" t="str">
        <f t="shared" si="120"/>
        <v>-0.402861833784648-17.7799080586273i</v>
      </c>
      <c r="AD167" s="190">
        <f t="shared" si="121"/>
        <v>25.000819299533781</v>
      </c>
      <c r="AE167" s="169">
        <f t="shared" si="122"/>
        <v>-91.298000744378442</v>
      </c>
      <c r="AF167" s="98" t="str">
        <f t="shared" si="108"/>
        <v>-9.95024875621891E-06</v>
      </c>
      <c r="AG167" s="98" t="str">
        <f t="shared" si="109"/>
        <v>0.001943631575527i</v>
      </c>
      <c r="AH167" s="98">
        <f t="shared" si="123"/>
        <v>1.9436315755270001E-3</v>
      </c>
      <c r="AI167" s="98">
        <f t="shared" si="124"/>
        <v>1.5707963267948966</v>
      </c>
      <c r="AJ167" s="98" t="str">
        <f t="shared" si="110"/>
        <v>1+0.0193975013550585i</v>
      </c>
      <c r="AK167" s="98">
        <f t="shared" si="125"/>
        <v>1.000188113836002</v>
      </c>
      <c r="AL167" s="98">
        <f t="shared" si="126"/>
        <v>1.9395069049749105E-2</v>
      </c>
      <c r="AM167" s="98" t="str">
        <f t="shared" si="111"/>
        <v>1+19.4168988564136i</v>
      </c>
      <c r="AN167" s="98">
        <f t="shared" si="127"/>
        <v>19.442632568667129</v>
      </c>
      <c r="AO167" s="98">
        <f t="shared" si="128"/>
        <v>1.5193402587628504</v>
      </c>
      <c r="AP167" s="168" t="str">
        <f t="shared" si="129"/>
        <v>-0.0992664304062717+0.00704493166096023i</v>
      </c>
      <c r="AQ167" s="98">
        <f t="shared" si="130"/>
        <v>-20.042132557162734</v>
      </c>
      <c r="AR167" s="169">
        <f t="shared" si="131"/>
        <v>175.94052887151028</v>
      </c>
      <c r="AS167" s="168" t="str">
        <f t="shared" si="132"/>
        <v>0.165248893397912+1.76210987184381i</v>
      </c>
      <c r="AT167" s="190">
        <f t="shared" si="133"/>
        <v>4.9586867423710252</v>
      </c>
      <c r="AU167" s="169">
        <f t="shared" si="134"/>
        <v>84.642528127131825</v>
      </c>
      <c r="AV167" s="225"/>
      <c r="AX167">
        <f t="shared" si="135"/>
        <v>0</v>
      </c>
      <c r="AY167">
        <f t="shared" si="136"/>
        <v>0</v>
      </c>
    </row>
    <row r="168" spans="14:51" x14ac:dyDescent="0.3">
      <c r="N168" s="170">
        <v>50</v>
      </c>
      <c r="O168" s="199">
        <f t="shared" si="102"/>
        <v>316.22776601683825</v>
      </c>
      <c r="P168" s="189" t="str">
        <f t="shared" si="103"/>
        <v>1078.86904761905</v>
      </c>
      <c r="Q168" s="160" t="str">
        <f t="shared" si="104"/>
        <v>1+62.0911766612256i</v>
      </c>
      <c r="R168" s="160">
        <f t="shared" si="112"/>
        <v>62.099228813049898</v>
      </c>
      <c r="S168" s="160">
        <f t="shared" si="113"/>
        <v>1.5546923711851395</v>
      </c>
      <c r="T168" s="160" t="str">
        <f t="shared" si="105"/>
        <v>1+0.0000397383530631844i</v>
      </c>
      <c r="U168" s="160">
        <f t="shared" si="114"/>
        <v>1.0000000007895682</v>
      </c>
      <c r="V168" s="160">
        <f t="shared" si="115"/>
        <v>3.9738353042266968E-5</v>
      </c>
      <c r="W168" s="98" t="str">
        <f t="shared" si="106"/>
        <v>1-0.0287403664694175i</v>
      </c>
      <c r="X168" s="160">
        <f t="shared" si="116"/>
        <v>1.0004129190813145</v>
      </c>
      <c r="Y168" s="160">
        <f t="shared" si="117"/>
        <v>-2.8732457125048749E-2</v>
      </c>
      <c r="Z168" s="98" t="str">
        <f t="shared" si="107"/>
        <v>0.99996+0.0113518755508198i</v>
      </c>
      <c r="AA168" s="160">
        <f t="shared" si="118"/>
        <v>1.0000244330407739</v>
      </c>
      <c r="AB168" s="160">
        <f t="shared" si="119"/>
        <v>1.1351842003081451E-2</v>
      </c>
      <c r="AC168" s="171" t="str">
        <f t="shared" si="120"/>
        <v>-0.416049346988987-17.3750769662689i</v>
      </c>
      <c r="AD168" s="190">
        <f t="shared" si="121"/>
        <v>24.801024148983277</v>
      </c>
      <c r="AE168" s="169">
        <f t="shared" si="122"/>
        <v>-91.371695634962549</v>
      </c>
      <c r="AF168" s="98" t="str">
        <f t="shared" si="108"/>
        <v>-9.95024875621891E-06</v>
      </c>
      <c r="AG168" s="98" t="str">
        <f t="shared" si="109"/>
        <v>0.00198890457081238i</v>
      </c>
      <c r="AH168" s="98">
        <f t="shared" si="123"/>
        <v>1.9889045708123801E-3</v>
      </c>
      <c r="AI168" s="98">
        <f t="shared" si="124"/>
        <v>1.5707963267948966</v>
      </c>
      <c r="AJ168" s="98" t="str">
        <f t="shared" si="110"/>
        <v>1+0.0198493272043878i</v>
      </c>
      <c r="AK168" s="98">
        <f t="shared" si="125"/>
        <v>1.0001969784949696</v>
      </c>
      <c r="AL168" s="98">
        <f t="shared" si="126"/>
        <v>1.9846720970013242E-2</v>
      </c>
      <c r="AM168" s="98" t="str">
        <f t="shared" si="111"/>
        <v>1+19.8691765315922i</v>
      </c>
      <c r="AN168" s="98">
        <f t="shared" si="127"/>
        <v>19.894325222122365</v>
      </c>
      <c r="AO168" s="98">
        <f t="shared" si="128"/>
        <v>1.5205095453500357</v>
      </c>
      <c r="AP168" s="168" t="str">
        <f t="shared" si="129"/>
        <v>-0.0992646708345634+0.00697321585375007i</v>
      </c>
      <c r="AQ168" s="98">
        <f t="shared" si="130"/>
        <v>-20.042726651161974</v>
      </c>
      <c r="AR168" s="169">
        <f t="shared" si="131"/>
        <v>175.98164630915713</v>
      </c>
      <c r="AS168" s="168" t="str">
        <f t="shared" si="132"/>
        <v>0.162459163641111+1.72183009387952i</v>
      </c>
      <c r="AT168" s="190">
        <f t="shared" si="133"/>
        <v>4.7582974978212969</v>
      </c>
      <c r="AU168" s="169">
        <f t="shared" si="134"/>
        <v>84.609950674194579</v>
      </c>
      <c r="AV168" s="225"/>
      <c r="AX168">
        <f t="shared" si="135"/>
        <v>0</v>
      </c>
      <c r="AY168">
        <f t="shared" si="136"/>
        <v>0</v>
      </c>
    </row>
    <row r="169" spans="14:51" x14ac:dyDescent="0.3">
      <c r="N169" s="170">
        <v>51</v>
      </c>
      <c r="O169" s="199">
        <f t="shared" si="102"/>
        <v>323.59365692962825</v>
      </c>
      <c r="P169" s="189" t="str">
        <f t="shared" si="103"/>
        <v>1078.86904761905</v>
      </c>
      <c r="Q169" s="160" t="str">
        <f t="shared" si="104"/>
        <v>1+63.5374659598984i</v>
      </c>
      <c r="R169" s="160">
        <f t="shared" si="112"/>
        <v>63.545334845331077</v>
      </c>
      <c r="S169" s="160">
        <f t="shared" si="113"/>
        <v>1.555058880741699</v>
      </c>
      <c r="T169" s="160" t="str">
        <f t="shared" si="105"/>
        <v>1+0.000040663978214335i</v>
      </c>
      <c r="U169" s="160">
        <f t="shared" si="114"/>
        <v>1.0000000008267795</v>
      </c>
      <c r="V169" s="160">
        <f t="shared" si="115"/>
        <v>4.0663978191921568E-5</v>
      </c>
      <c r="W169" s="98" t="str">
        <f t="shared" si="106"/>
        <v>1-0.0294098156037357i</v>
      </c>
      <c r="X169" s="160">
        <f t="shared" si="116"/>
        <v>1.0004323751527866</v>
      </c>
      <c r="Y169" s="160">
        <f t="shared" si="117"/>
        <v>-2.9401340786364163E-2</v>
      </c>
      <c r="Z169" s="98" t="str">
        <f t="shared" si="107"/>
        <v>0.999958114858078+0.0116162947003971i</v>
      </c>
      <c r="AA169" s="160">
        <f t="shared" si="118"/>
        <v>1.0000255845592589</v>
      </c>
      <c r="AB169" s="160">
        <f t="shared" si="119"/>
        <v>1.1616258753214049E-2</v>
      </c>
      <c r="AC169" s="171" t="str">
        <f t="shared" si="120"/>
        <v>-0.428643402477045-16.9794392490313i</v>
      </c>
      <c r="AD169" s="190">
        <f t="shared" si="121"/>
        <v>24.601233756711693</v>
      </c>
      <c r="AE169" s="169">
        <f t="shared" si="122"/>
        <v>-91.446116225883927</v>
      </c>
      <c r="AF169" s="98" t="str">
        <f t="shared" si="108"/>
        <v>-9.95024875621891E-06</v>
      </c>
      <c r="AG169" s="98" t="str">
        <f t="shared" si="109"/>
        <v>0.00203523210962747i</v>
      </c>
      <c r="AH169" s="98">
        <f t="shared" si="123"/>
        <v>2.03523210962747E-3</v>
      </c>
      <c r="AI169" s="98">
        <f t="shared" si="124"/>
        <v>1.5707963267948966</v>
      </c>
      <c r="AJ169" s="98" t="str">
        <f t="shared" si="110"/>
        <v>1+0.0203116774297378i</v>
      </c>
      <c r="AK169" s="98">
        <f t="shared" si="125"/>
        <v>1.0002062608482361</v>
      </c>
      <c r="AL169" s="98">
        <f t="shared" si="126"/>
        <v>2.0308884830393815E-2</v>
      </c>
      <c r="AM169" s="98" t="str">
        <f t="shared" si="111"/>
        <v>1+20.3319891071675i</v>
      </c>
      <c r="AN169" s="98">
        <f t="shared" si="127"/>
        <v>20.356566042777892</v>
      </c>
      <c r="AO169" s="98">
        <f t="shared" si="128"/>
        <v>1.5216523487238067</v>
      </c>
      <c r="AP169" s="168" t="str">
        <f t="shared" si="129"/>
        <v>-0.0992628284036527+0.00690519404631925i</v>
      </c>
      <c r="AQ169" s="98">
        <f t="shared" si="130"/>
        <v>-20.043301155416763</v>
      </c>
      <c r="AR169" s="169">
        <f t="shared" si="131"/>
        <v>176.02064408064425</v>
      </c>
      <c r="AS169" s="168" t="str">
        <f t="shared" si="132"/>
        <v>0.159794679318687+1.68246729869606i</v>
      </c>
      <c r="AT169" s="190">
        <f t="shared" si="133"/>
        <v>4.5579326012949259</v>
      </c>
      <c r="AU169" s="169">
        <f t="shared" si="134"/>
        <v>84.574527854760319</v>
      </c>
      <c r="AV169" s="225"/>
      <c r="AX169">
        <f t="shared" si="135"/>
        <v>0</v>
      </c>
      <c r="AY169">
        <f t="shared" si="136"/>
        <v>0</v>
      </c>
    </row>
    <row r="170" spans="14:51" x14ac:dyDescent="0.3">
      <c r="N170" s="170">
        <v>52</v>
      </c>
      <c r="O170" s="199">
        <f t="shared" si="102"/>
        <v>331.13112148259137</v>
      </c>
      <c r="P170" s="189" t="str">
        <f t="shared" si="103"/>
        <v>1078.86904761905</v>
      </c>
      <c r="Q170" s="160" t="str">
        <f t="shared" si="104"/>
        <v>1+65.0174436640413i</v>
      </c>
      <c r="R170" s="160">
        <f t="shared" si="112"/>
        <v>65.025133453202415</v>
      </c>
      <c r="S170" s="160">
        <f t="shared" si="113"/>
        <v>1.555417051608043</v>
      </c>
      <c r="T170" s="160" t="str">
        <f t="shared" si="105"/>
        <v>1+0.0000416111639449864i</v>
      </c>
      <c r="U170" s="160">
        <f t="shared" si="114"/>
        <v>1.0000000008657444</v>
      </c>
      <c r="V170" s="160">
        <f t="shared" si="115"/>
        <v>4.1611163920969977E-5</v>
      </c>
      <c r="W170" s="98" t="str">
        <f t="shared" si="106"/>
        <v>1-0.030094858211572i</v>
      </c>
      <c r="X170" s="160">
        <f t="shared" si="116"/>
        <v>1.0004527477551224</v>
      </c>
      <c r="Y170" s="160">
        <f t="shared" si="117"/>
        <v>-3.0085777503085401E-2</v>
      </c>
      <c r="Z170" s="98" t="str">
        <f t="shared" si="107"/>
        <v>0.999956140872154+0.0118868729631845i</v>
      </c>
      <c r="AA170" s="160">
        <f t="shared" si="118"/>
        <v>1.0000267903495257</v>
      </c>
      <c r="AB170" s="160">
        <f t="shared" si="119"/>
        <v>1.1886834444933807E-2</v>
      </c>
      <c r="AC170" s="171" t="str">
        <f t="shared" si="120"/>
        <v>-0.440670673274959-16.5927864103464i</v>
      </c>
      <c r="AD170" s="190">
        <f t="shared" si="121"/>
        <v>24.401448566333972</v>
      </c>
      <c r="AE170" s="169">
        <f t="shared" si="122"/>
        <v>-91.521301815511592</v>
      </c>
      <c r="AF170" s="98" t="str">
        <f t="shared" si="108"/>
        <v>-9.95024875621891E-06</v>
      </c>
      <c r="AG170" s="98" t="str">
        <f t="shared" si="109"/>
        <v>0.00208263875544657i</v>
      </c>
      <c r="AH170" s="98">
        <f t="shared" si="123"/>
        <v>2.0826387554465698E-3</v>
      </c>
      <c r="AI170" s="98">
        <f t="shared" si="124"/>
        <v>1.5707963267948966</v>
      </c>
      <c r="AJ170" s="98" t="str">
        <f t="shared" si="110"/>
        <v>1+0.0207847971753179i</v>
      </c>
      <c r="AK170" s="98">
        <f t="shared" si="125"/>
        <v>1.0002159805730055</v>
      </c>
      <c r="AL170" s="98">
        <f t="shared" si="126"/>
        <v>2.0781804886105461E-2</v>
      </c>
      <c r="AM170" s="98" t="str">
        <f t="shared" si="111"/>
        <v>1+20.8055819724932i</v>
      </c>
      <c r="AN170" s="98">
        <f t="shared" si="127"/>
        <v>20.829600121320958</v>
      </c>
      <c r="AO170" s="98">
        <f t="shared" si="128"/>
        <v>1.5227692628668523</v>
      </c>
      <c r="AP170" s="168" t="str">
        <f t="shared" si="129"/>
        <v>-0.0992608992149519+0.00684082993739097i</v>
      </c>
      <c r="AQ170" s="98">
        <f t="shared" si="130"/>
        <v>-20.043857280565554</v>
      </c>
      <c r="AR170" s="169">
        <f t="shared" si="131"/>
        <v>176.05754222387986</v>
      </c>
      <c r="AS170" s="168" t="str">
        <f t="shared" si="132"/>
        <v>0.157249797307562+1.64400034643835i</v>
      </c>
      <c r="AT170" s="190">
        <f t="shared" si="133"/>
        <v>4.3575912857684242</v>
      </c>
      <c r="AU170" s="169">
        <f t="shared" si="134"/>
        <v>84.536240408368286</v>
      </c>
      <c r="AV170" s="225"/>
      <c r="AX170">
        <f t="shared" si="135"/>
        <v>0</v>
      </c>
      <c r="AY170">
        <f t="shared" si="136"/>
        <v>0</v>
      </c>
    </row>
    <row r="171" spans="14:51" x14ac:dyDescent="0.3">
      <c r="N171" s="170">
        <v>53</v>
      </c>
      <c r="O171" s="199">
        <f t="shared" si="102"/>
        <v>338.84415613920277</v>
      </c>
      <c r="P171" s="189" t="str">
        <f t="shared" si="103"/>
        <v>1078.86904761905</v>
      </c>
      <c r="Q171" s="160" t="str">
        <f t="shared" si="104"/>
        <v>1+66.5318944774219i</v>
      </c>
      <c r="R171" s="160">
        <f t="shared" si="112"/>
        <v>66.539409245610244</v>
      </c>
      <c r="S171" s="160">
        <f t="shared" si="113"/>
        <v>1.5557670733233073</v>
      </c>
      <c r="T171" s="160" t="str">
        <f t="shared" si="105"/>
        <v>1+0.00004258041246555i</v>
      </c>
      <c r="U171" s="160">
        <f t="shared" si="114"/>
        <v>1.0000000009065457</v>
      </c>
      <c r="V171" s="160">
        <f t="shared" si="115"/>
        <v>4.2580412439815938E-5</v>
      </c>
      <c r="W171" s="98" t="str">
        <f t="shared" si="106"/>
        <v>1-0.0307958575115844i</v>
      </c>
      <c r="X171" s="160">
        <f t="shared" si="116"/>
        <v>1.0004740800439929</v>
      </c>
      <c r="Y171" s="160">
        <f t="shared" si="117"/>
        <v>-3.0786127606136519E-2</v>
      </c>
      <c r="Z171" s="98" t="str">
        <f t="shared" si="107"/>
        <v>0.99995407385514+0.0121637538033582i</v>
      </c>
      <c r="AA171" s="160">
        <f t="shared" si="118"/>
        <v>1.0000280529695551</v>
      </c>
      <c r="AB171" s="160">
        <f t="shared" si="119"/>
        <v>1.2163712530140579E-2</v>
      </c>
      <c r="AC171" s="171" t="str">
        <f t="shared" si="120"/>
        <v>-0.452156633758135-16.2149146324764i</v>
      </c>
      <c r="AD171" s="190">
        <f t="shared" si="121"/>
        <v>24.201669032418835</v>
      </c>
      <c r="AE171" s="169">
        <f t="shared" si="122"/>
        <v>-91.597292099493131</v>
      </c>
      <c r="AF171" s="98" t="str">
        <f t="shared" si="108"/>
        <v>-9.95024875621891E-06</v>
      </c>
      <c r="AG171" s="98" t="str">
        <f t="shared" si="109"/>
        <v>0.00213114964390078i</v>
      </c>
      <c r="AH171" s="98">
        <f t="shared" si="123"/>
        <v>2.1311496439007801E-3</v>
      </c>
      <c r="AI171" s="98">
        <f t="shared" si="124"/>
        <v>1.5707963267948966</v>
      </c>
      <c r="AJ171" s="98" t="str">
        <f t="shared" si="110"/>
        <v>1+0.0212689372954795i</v>
      </c>
      <c r="AK171" s="98">
        <f t="shared" si="125"/>
        <v>1.0002261582730572</v>
      </c>
      <c r="AL171" s="98">
        <f t="shared" si="126"/>
        <v>2.1265731038974851E-2</v>
      </c>
      <c r="AM171" s="98" t="str">
        <f t="shared" si="111"/>
        <v>1+21.290206232775i</v>
      </c>
      <c r="AN171" s="98">
        <f t="shared" si="127"/>
        <v>21.313678270868486</v>
      </c>
      <c r="AO171" s="98">
        <f t="shared" si="128"/>
        <v>1.5238608688287221</v>
      </c>
      <c r="AP171" s="168" t="str">
        <f t="shared" si="129"/>
        <v>-0.0992588791867593+0.00678008914825022i</v>
      </c>
      <c r="AQ171" s="98">
        <f t="shared" si="130"/>
        <v>-20.044396198922662</v>
      </c>
      <c r="AR171" s="169">
        <f t="shared" si="131"/>
        <v>176.09235971223089</v>
      </c>
      <c r="AS171" s="168" t="str">
        <f t="shared" si="132"/>
        <v>0.154819127423147+1.60640859024274i</v>
      </c>
      <c r="AT171" s="190">
        <f t="shared" si="133"/>
        <v>4.1572728334961866</v>
      </c>
      <c r="AU171" s="169">
        <f t="shared" si="134"/>
        <v>84.495067612737799</v>
      </c>
      <c r="AV171" s="225"/>
      <c r="AX171">
        <f t="shared" si="135"/>
        <v>0</v>
      </c>
      <c r="AY171">
        <f t="shared" si="136"/>
        <v>0</v>
      </c>
    </row>
    <row r="172" spans="14:51" x14ac:dyDescent="0.3">
      <c r="N172" s="170">
        <v>54</v>
      </c>
      <c r="O172" s="199">
        <f t="shared" si="102"/>
        <v>346.73685045253183</v>
      </c>
      <c r="P172" s="189" t="str">
        <f t="shared" si="103"/>
        <v>1078.86904761905</v>
      </c>
      <c r="Q172" s="160" t="str">
        <f t="shared" si="104"/>
        <v>1+68.0816213819084i</v>
      </c>
      <c r="R172" s="160">
        <f t="shared" si="112"/>
        <v>68.088965111753083</v>
      </c>
      <c r="S172" s="160">
        <f t="shared" si="113"/>
        <v>1.5561091311303781</v>
      </c>
      <c r="T172" s="160" t="str">
        <f t="shared" si="105"/>
        <v>1+0.0000435722376844214i</v>
      </c>
      <c r="U172" s="160">
        <f t="shared" si="114"/>
        <v>1.00000000094927</v>
      </c>
      <c r="V172" s="160">
        <f t="shared" si="115"/>
        <v>4.3572237656846861E-5</v>
      </c>
      <c r="W172" s="98" t="str">
        <f t="shared" si="106"/>
        <v>1-0.031513185182881i</v>
      </c>
      <c r="X172" s="160">
        <f t="shared" si="116"/>
        <v>1.0004964172051645</v>
      </c>
      <c r="Y172" s="160">
        <f t="shared" si="117"/>
        <v>-3.150275968072147E-2</v>
      </c>
      <c r="Z172" s="98" t="str">
        <f t="shared" si="107"/>
        <v>0.999951909422615+0.0124470840268048i</v>
      </c>
      <c r="AA172" s="160">
        <f t="shared" si="118"/>
        <v>1.0000293750979037</v>
      </c>
      <c r="AB172" s="160">
        <f t="shared" si="119"/>
        <v>1.2447039801566386E-2</v>
      </c>
      <c r="AC172" s="171" t="str">
        <f t="shared" si="120"/>
        <v>-0.463125613371464-15.8456246741174i</v>
      </c>
      <c r="AD172" s="190">
        <f t="shared" si="121"/>
        <v>24.001895621443214</v>
      </c>
      <c r="AE172" s="169">
        <f t="shared" si="122"/>
        <v>-91.674127190999926</v>
      </c>
      <c r="AF172" s="98" t="str">
        <f t="shared" si="108"/>
        <v>-9.95024875621891E-06</v>
      </c>
      <c r="AG172" s="98" t="str">
        <f t="shared" si="109"/>
        <v>0.0021807904961053i</v>
      </c>
      <c r="AH172" s="98">
        <f t="shared" si="123"/>
        <v>2.1807904961052998E-3</v>
      </c>
      <c r="AI172" s="98">
        <f t="shared" si="124"/>
        <v>1.5707963267948966</v>
      </c>
      <c r="AJ172" s="98" t="str">
        <f t="shared" si="110"/>
        <v>1+0.021764354487723i</v>
      </c>
      <c r="AK172" s="98">
        <f t="shared" si="125"/>
        <v>1.0002368155223378</v>
      </c>
      <c r="AL172" s="98">
        <f t="shared" si="126"/>
        <v>2.1760918965910175E-2</v>
      </c>
      <c r="AM172" s="98" t="str">
        <f t="shared" si="111"/>
        <v>1+21.7861188422107i</v>
      </c>
      <c r="AN172" s="98">
        <f t="shared" si="127"/>
        <v>21.809057159972053</v>
      </c>
      <c r="AO172" s="98">
        <f t="shared" si="128"/>
        <v>1.5249277349813382</v>
      </c>
      <c r="AP172" s="168" t="str">
        <f t="shared" si="129"/>
        <v>-0.0992567640456906+0.0067229392033172i</v>
      </c>
      <c r="AQ172" s="98">
        <f t="shared" si="130"/>
        <v>-20.044919046903193</v>
      </c>
      <c r="AR172" s="169">
        <f t="shared" si="131"/>
        <v>176.12511446180193</v>
      </c>
      <c r="AS172" s="168" t="str">
        <f t="shared" si="132"/>
        <v>0.152497521052601+1.56967186409325i</v>
      </c>
      <c r="AT172" s="190">
        <f t="shared" si="133"/>
        <v>3.9569765745400303</v>
      </c>
      <c r="AU172" s="169">
        <f t="shared" si="134"/>
        <v>84.450987270802045</v>
      </c>
      <c r="AV172" s="225"/>
      <c r="AX172">
        <f t="shared" si="135"/>
        <v>0</v>
      </c>
      <c r="AY172">
        <f t="shared" si="136"/>
        <v>0</v>
      </c>
    </row>
    <row r="173" spans="14:51" x14ac:dyDescent="0.3">
      <c r="N173" s="170">
        <v>55</v>
      </c>
      <c r="O173" s="199">
        <f t="shared" si="102"/>
        <v>354.81338923357566</v>
      </c>
      <c r="P173" s="189" t="str">
        <f t="shared" si="103"/>
        <v>1078.86904761905</v>
      </c>
      <c r="Q173" s="160" t="str">
        <f t="shared" si="104"/>
        <v>1+69.6674460632184i</v>
      </c>
      <c r="R173" s="160">
        <f t="shared" si="112"/>
        <v>69.674622646781842</v>
      </c>
      <c r="S173" s="160">
        <f t="shared" si="113"/>
        <v>1.5564434060724723</v>
      </c>
      <c r="T173" s="160" t="str">
        <f t="shared" si="105"/>
        <v>1+0.0000445871654804598i</v>
      </c>
      <c r="U173" s="160">
        <f t="shared" si="114"/>
        <v>1.0000000009940075</v>
      </c>
      <c r="V173" s="160">
        <f t="shared" si="115"/>
        <v>4.4587165450913141E-5</v>
      </c>
      <c r="W173" s="98" t="str">
        <f t="shared" si="106"/>
        <v>1-0.0322472215620878i</v>
      </c>
      <c r="X173" s="160">
        <f t="shared" si="116"/>
        <v>1.0005198065498127</v>
      </c>
      <c r="Y173" s="160">
        <f t="shared" si="117"/>
        <v>-3.2236050748690417E-2</v>
      </c>
      <c r="Z173" s="98" t="str">
        <f t="shared" si="107"/>
        <v>0.999949642983528+0.0127370138589591i</v>
      </c>
      <c r="AA173" s="160">
        <f t="shared" si="118"/>
        <v>1.0000307595393896</v>
      </c>
      <c r="AB173" s="160">
        <f t="shared" si="119"/>
        <v>1.2736966470550361E-2</v>
      </c>
      <c r="AC173" s="171" t="str">
        <f t="shared" si="120"/>
        <v>-0.47360084794855-15.4847217700545i</v>
      </c>
      <c r="AD173" s="190">
        <f t="shared" si="121"/>
        <v>23.802128812772651</v>
      </c>
      <c r="AE173" s="169">
        <f t="shared" si="122"/>
        <v>-91.751847641150107</v>
      </c>
      <c r="AF173" s="98" t="str">
        <f t="shared" si="108"/>
        <v>-9.95024875621891E-06</v>
      </c>
      <c r="AG173" s="98" t="str">
        <f t="shared" si="109"/>
        <v>0.00223158763229702i</v>
      </c>
      <c r="AH173" s="98">
        <f t="shared" si="123"/>
        <v>2.23158763229702E-3</v>
      </c>
      <c r="AI173" s="98">
        <f t="shared" si="124"/>
        <v>1.5707963267948966</v>
      </c>
      <c r="AJ173" s="98" t="str">
        <f t="shared" si="110"/>
        <v>1+0.0222713114288011i</v>
      </c>
      <c r="AK173" s="98">
        <f t="shared" si="125"/>
        <v>1.0002479749106012</v>
      </c>
      <c r="AL173" s="98">
        <f t="shared" si="126"/>
        <v>2.2267630250143215E-2</v>
      </c>
      <c r="AM173" s="98" t="str">
        <f t="shared" si="111"/>
        <v>1+22.2935827402299i</v>
      </c>
      <c r="AN173" s="98">
        <f t="shared" si="127"/>
        <v>22.315999448724597</v>
      </c>
      <c r="AO173" s="98">
        <f t="shared" si="128"/>
        <v>1.5259704172712449</v>
      </c>
      <c r="AP173" s="168" t="str">
        <f t="shared" si="129"/>
        <v>-0.0992545493177097+0.00666934951164458i</v>
      </c>
      <c r="AQ173" s="98">
        <f t="shared" si="130"/>
        <v>-20.045426927377207</v>
      </c>
      <c r="AR173" s="169">
        <f t="shared" si="131"/>
        <v>176.15582333836844</v>
      </c>
      <c r="AS173" s="168" t="str">
        <f t="shared" si="132"/>
        <v>0.150280060294684+1.53377047101291i</v>
      </c>
      <c r="AT173" s="190">
        <f t="shared" si="133"/>
        <v>3.7567018853954623</v>
      </c>
      <c r="AU173" s="169">
        <f t="shared" si="134"/>
        <v>84.4039756972183</v>
      </c>
      <c r="AV173" s="225"/>
      <c r="AX173">
        <f t="shared" si="135"/>
        <v>0</v>
      </c>
      <c r="AY173">
        <f t="shared" si="136"/>
        <v>0</v>
      </c>
    </row>
    <row r="174" spans="14:51" x14ac:dyDescent="0.3">
      <c r="N174" s="170">
        <v>56</v>
      </c>
      <c r="O174" s="199">
        <f t="shared" si="102"/>
        <v>363.07805477010152</v>
      </c>
      <c r="P174" s="189" t="str">
        <f t="shared" si="103"/>
        <v>1078.86904761905</v>
      </c>
      <c r="Q174" s="160" t="str">
        <f t="shared" si="104"/>
        <v>1+71.2902093465891i</v>
      </c>
      <c r="R174" s="160">
        <f t="shared" si="112"/>
        <v>71.297222587422695</v>
      </c>
      <c r="S174" s="160">
        <f t="shared" si="113"/>
        <v>1.5567700750876035</v>
      </c>
      <c r="T174" s="160" t="str">
        <f t="shared" si="105"/>
        <v>1+0.000045625733981817i</v>
      </c>
      <c r="U174" s="160">
        <f t="shared" si="114"/>
        <v>1.0000000010408538</v>
      </c>
      <c r="V174" s="160">
        <f t="shared" si="115"/>
        <v>4.5625733950157185E-5</v>
      </c>
      <c r="W174" s="98" t="str">
        <f t="shared" si="106"/>
        <v>1-0.0329983558450093i</v>
      </c>
      <c r="X174" s="160">
        <f t="shared" si="116"/>
        <v>1.0005442976142904</v>
      </c>
      <c r="Y174" s="160">
        <f t="shared" si="117"/>
        <v>-3.298638645445276E-2</v>
      </c>
      <c r="Z174" s="98" t="str">
        <f t="shared" si="107"/>
        <v>0.999947269730458+0.0130336970244557i</v>
      </c>
      <c r="AA174" s="160">
        <f t="shared" si="118"/>
        <v>1.0000322092310441</v>
      </c>
      <c r="AB174" s="160">
        <f t="shared" si="119"/>
        <v>1.3033646246623018E-2</v>
      </c>
      <c r="AC174" s="171" t="str">
        <f t="shared" si="120"/>
        <v>-0.483604528736529-15.1320155328352i</v>
      </c>
      <c r="AD174" s="190">
        <f t="shared" si="121"/>
        <v>23.60236909966688</v>
      </c>
      <c r="AE174" s="169">
        <f t="shared" si="122"/>
        <v>-91.830494459617086</v>
      </c>
      <c r="AF174" s="98" t="str">
        <f t="shared" si="108"/>
        <v>-9.95024875621891E-06</v>
      </c>
      <c r="AG174" s="98" t="str">
        <f t="shared" si="109"/>
        <v>0.00228356798578994i</v>
      </c>
      <c r="AH174" s="98">
        <f t="shared" si="123"/>
        <v>2.2835679857899399E-3</v>
      </c>
      <c r="AI174" s="98">
        <f t="shared" si="124"/>
        <v>1.5707963267948966</v>
      </c>
      <c r="AJ174" s="98" t="str">
        <f t="shared" si="110"/>
        <v>1+0.0227900769139945i</v>
      </c>
      <c r="AK174" s="98">
        <f t="shared" si="125"/>
        <v>1.0002596600911915</v>
      </c>
      <c r="AL174" s="98">
        <f t="shared" si="126"/>
        <v>2.2786132515296927E-2</v>
      </c>
      <c r="AM174" s="98" t="str">
        <f t="shared" si="111"/>
        <v>1+22.8128669909085i</v>
      </c>
      <c r="AN174" s="98">
        <f t="shared" si="127"/>
        <v>22.8347739280441</v>
      </c>
      <c r="AO174" s="98">
        <f t="shared" si="128"/>
        <v>1.5269894594685136</v>
      </c>
      <c r="AP174" s="168" t="str">
        <f t="shared" si="129"/>
        <v>-0.0992522303187442+0.00661929134932241i</v>
      </c>
      <c r="AQ174" s="98">
        <f t="shared" si="130"/>
        <v>-20.045920911957069</v>
      </c>
      <c r="AR174" s="169">
        <f t="shared" si="131"/>
        <v>176.18450216395638</v>
      </c>
      <c r="AS174" s="168" t="str">
        <f t="shared" si="132"/>
        <v>0.148162047583654+1.49868517157822i</v>
      </c>
      <c r="AT174" s="190">
        <f t="shared" si="133"/>
        <v>3.5564481877098419</v>
      </c>
      <c r="AU174" s="169">
        <f t="shared" si="134"/>
        <v>84.354007704339324</v>
      </c>
      <c r="AV174" s="225"/>
      <c r="AX174">
        <f t="shared" si="135"/>
        <v>0</v>
      </c>
      <c r="AY174">
        <f t="shared" si="136"/>
        <v>0</v>
      </c>
    </row>
    <row r="175" spans="14:51" x14ac:dyDescent="0.3">
      <c r="N175" s="170">
        <v>57</v>
      </c>
      <c r="O175" s="199">
        <f t="shared" si="102"/>
        <v>371.53522909717265</v>
      </c>
      <c r="P175" s="189" t="str">
        <f t="shared" si="103"/>
        <v>1078.86904761905</v>
      </c>
      <c r="Q175" s="160" t="str">
        <f t="shared" si="104"/>
        <v>1+72.9507716425925i</v>
      </c>
      <c r="R175" s="160">
        <f t="shared" si="112"/>
        <v>72.95762525774586</v>
      </c>
      <c r="S175" s="160">
        <f t="shared" si="113"/>
        <v>1.5570893111009692</v>
      </c>
      <c r="T175" s="160" t="str">
        <f t="shared" si="105"/>
        <v>1+0.0000466884938512592i</v>
      </c>
      <c r="U175" s="160">
        <f t="shared" si="114"/>
        <v>1.0000000010899077</v>
      </c>
      <c r="V175" s="160">
        <f t="shared" si="115"/>
        <v>4.6688493817335097E-5</v>
      </c>
      <c r="W175" s="98" t="str">
        <f t="shared" si="106"/>
        <v>1-0.0337669862929847i</v>
      </c>
      <c r="X175" s="160">
        <f t="shared" si="116"/>
        <v>1.0005699422645629</v>
      </c>
      <c r="Y175" s="160">
        <f t="shared" si="117"/>
        <v>-3.3754161254465426E-2</v>
      </c>
      <c r="Z175" s="98" t="str">
        <f t="shared" si="107"/>
        <v>0.999944784629416+0.0133372908286361i</v>
      </c>
      <c r="AA175" s="160">
        <f t="shared" si="118"/>
        <v>1.0000337272483446</v>
      </c>
      <c r="AB175" s="160">
        <f t="shared" si="119"/>
        <v>1.3337236418941217E-2</v>
      </c>
      <c r="AC175" s="171" t="str">
        <f t="shared" si="120"/>
        <v>-0.493157849228119-14.7873198564364i</v>
      </c>
      <c r="AD175" s="190">
        <f t="shared" si="121"/>
        <v>23.402616990314826</v>
      </c>
      <c r="AE175" s="169">
        <f t="shared" si="122"/>
        <v>-91.910109135429195</v>
      </c>
      <c r="AF175" s="98" t="str">
        <f t="shared" si="108"/>
        <v>-9.95024875621891E-06</v>
      </c>
      <c r="AG175" s="98" t="str">
        <f t="shared" si="109"/>
        <v>0.00233675911725552i</v>
      </c>
      <c r="AH175" s="98">
        <f t="shared" si="123"/>
        <v>2.3367591172555198E-3</v>
      </c>
      <c r="AI175" s="98">
        <f t="shared" si="124"/>
        <v>1.5707963267948966</v>
      </c>
      <c r="AJ175" s="98" t="str">
        <f t="shared" si="110"/>
        <v>1+0.02332092599963i</v>
      </c>
      <c r="AK175" s="98">
        <f t="shared" si="125"/>
        <v>1.0002718958310686</v>
      </c>
      <c r="AL175" s="98">
        <f t="shared" si="126"/>
        <v>2.331669956232392E-2</v>
      </c>
      <c r="AM175" s="98" t="str">
        <f t="shared" si="111"/>
        <v>1+23.3442469256296i</v>
      </c>
      <c r="AN175" s="98">
        <f t="shared" si="127"/>
        <v>23.365655662205739</v>
      </c>
      <c r="AO175" s="98">
        <f t="shared" si="128"/>
        <v>1.5279853934122156</v>
      </c>
      <c r="AP175" s="168" t="str">
        <f t="shared" si="129"/>
        <v>-0.0992498021448652+0.00657273784277514i</v>
      </c>
      <c r="AQ175" s="98">
        <f t="shared" si="130"/>
        <v>-20.046402043222727</v>
      </c>
      <c r="AR175" s="169">
        <f t="shared" si="131"/>
        <v>176.21116572306099</v>
      </c>
      <c r="AS175" s="168" t="str">
        <f t="shared" si="132"/>
        <v>0.146138995775698+1.46439717274607i</v>
      </c>
      <c r="AT175" s="190">
        <f t="shared" si="133"/>
        <v>3.3562149470921261</v>
      </c>
      <c r="AU175" s="169">
        <f t="shared" si="134"/>
        <v>84.301056587631777</v>
      </c>
      <c r="AV175" s="225"/>
      <c r="AX175">
        <f t="shared" si="135"/>
        <v>0</v>
      </c>
      <c r="AY175">
        <f t="shared" si="136"/>
        <v>0</v>
      </c>
    </row>
    <row r="176" spans="14:51" x14ac:dyDescent="0.3">
      <c r="N176" s="170">
        <v>58</v>
      </c>
      <c r="O176" s="199">
        <f t="shared" si="102"/>
        <v>380.18939632056163</v>
      </c>
      <c r="P176" s="189" t="str">
        <f t="shared" si="103"/>
        <v>1078.86904761905</v>
      </c>
      <c r="Q176" s="160" t="str">
        <f t="shared" si="104"/>
        <v>1+74.6500134033384i</v>
      </c>
      <c r="R176" s="160">
        <f t="shared" si="112"/>
        <v>74.656711025323119</v>
      </c>
      <c r="S176" s="160">
        <f t="shared" si="113"/>
        <v>1.5574012831153092</v>
      </c>
      <c r="T176" s="160" t="str">
        <f t="shared" si="105"/>
        <v>1+0.0000477760085781366i</v>
      </c>
      <c r="U176" s="160">
        <f t="shared" si="114"/>
        <v>1.0000000011412735</v>
      </c>
      <c r="V176" s="160">
        <f t="shared" si="115"/>
        <v>4.7776008541786268E-5</v>
      </c>
      <c r="W176" s="98" t="str">
        <f t="shared" si="106"/>
        <v>1-0.0345535204440515i</v>
      </c>
      <c r="X176" s="160">
        <f t="shared" si="116"/>
        <v>1.0005967948055188</v>
      </c>
      <c r="Y176" s="160">
        <f t="shared" si="117"/>
        <v>-3.4539778610328913E-2</v>
      </c>
      <c r="Z176" s="98" t="str">
        <f t="shared" si="107"/>
        <v>0.99994218240917+0.0136479562409537i</v>
      </c>
      <c r="AA176" s="160">
        <f t="shared" si="118"/>
        <v>1.0000353168117457</v>
      </c>
      <c r="AB176" s="160">
        <f t="shared" si="119"/>
        <v>1.3647897939615794E-2</v>
      </c>
      <c r="AC176" s="171" t="str">
        <f t="shared" si="120"/>
        <v>-0.502281049898289-14.4504528218933i</v>
      </c>
      <c r="AD176" s="190">
        <f t="shared" si="121"/>
        <v>23.202873008899672</v>
      </c>
      <c r="AE176" s="169">
        <f t="shared" si="122"/>
        <v>-91.990733657968192</v>
      </c>
      <c r="AF176" s="98" t="str">
        <f t="shared" si="108"/>
        <v>-9.95024875621891E-06</v>
      </c>
      <c r="AG176" s="98" t="str">
        <f t="shared" si="109"/>
        <v>0.00239118922933574i</v>
      </c>
      <c r="AH176" s="98">
        <f t="shared" si="123"/>
        <v>2.3911892293357398E-3</v>
      </c>
      <c r="AI176" s="98">
        <f t="shared" si="124"/>
        <v>1.5707963267948966</v>
      </c>
      <c r="AJ176" s="98" t="str">
        <f t="shared" si="110"/>
        <v>1+0.0238641401489194i</v>
      </c>
      <c r="AK176" s="98">
        <f t="shared" si="125"/>
        <v>1.0002847080631829</v>
      </c>
      <c r="AL176" s="98">
        <f t="shared" si="126"/>
        <v>2.3859611509367738E-2</v>
      </c>
      <c r="AM176" s="98" t="str">
        <f t="shared" si="111"/>
        <v>1+23.8880042890683i</v>
      </c>
      <c r="AN176" s="98">
        <f t="shared" si="127"/>
        <v>23.908926134700103</v>
      </c>
      <c r="AO176" s="98">
        <f t="shared" si="128"/>
        <v>1.5289587392523991</v>
      </c>
      <c r="AP176" s="168" t="str">
        <f t="shared" si="129"/>
        <v>-0.0992472596620131+0.00652966395293492i</v>
      </c>
      <c r="AQ176" s="98">
        <f t="shared" si="130"/>
        <v>-20.046871336888969</v>
      </c>
      <c r="AR176" s="169">
        <f t="shared" si="131"/>
        <v>176.23582776849724</v>
      </c>
      <c r="AS176" s="168" t="str">
        <f t="shared" si="132"/>
        <v>0.144206618677267+1.43088811698235i</v>
      </c>
      <c r="AT176" s="190">
        <f t="shared" si="133"/>
        <v>3.1560016720106958</v>
      </c>
      <c r="AU176" s="169">
        <f t="shared" si="134"/>
        <v>84.245094110529081</v>
      </c>
      <c r="AV176" s="225"/>
      <c r="AX176">
        <f t="shared" si="135"/>
        <v>0</v>
      </c>
      <c r="AY176">
        <f t="shared" si="136"/>
        <v>0</v>
      </c>
    </row>
    <row r="177" spans="14:51" x14ac:dyDescent="0.3">
      <c r="N177" s="170">
        <v>59</v>
      </c>
      <c r="O177" s="199">
        <f t="shared" si="102"/>
        <v>389.04514499428063</v>
      </c>
      <c r="P177" s="189" t="str">
        <f t="shared" si="103"/>
        <v>1078.86904761905</v>
      </c>
      <c r="Q177" s="160" t="str">
        <f t="shared" si="104"/>
        <v>1+76.3888355893006i</v>
      </c>
      <c r="R177" s="160">
        <f t="shared" si="112"/>
        <v>76.395380768009773</v>
      </c>
      <c r="S177" s="160">
        <f t="shared" si="113"/>
        <v>1.5577061562992705</v>
      </c>
      <c r="T177" s="160" t="str">
        <f t="shared" si="105"/>
        <v>1+0.0000488888547771524i</v>
      </c>
      <c r="U177" s="160">
        <f t="shared" si="114"/>
        <v>1.0000000011950601</v>
      </c>
      <c r="V177" s="160">
        <f t="shared" si="115"/>
        <v>4.8888854738202318E-5</v>
      </c>
      <c r="W177" s="98" t="str">
        <f t="shared" si="106"/>
        <v>1-0.0353583753290277i</v>
      </c>
      <c r="X177" s="160">
        <f t="shared" si="116"/>
        <v>1.0006249120953907</v>
      </c>
      <c r="Y177" s="160">
        <f t="shared" si="117"/>
        <v>-3.534365118551723E-2</v>
      </c>
      <c r="Z177" s="98" t="str">
        <f t="shared" si="107"/>
        <v>0.999939457550063+0.0139658579803223i</v>
      </c>
      <c r="AA177" s="160">
        <f t="shared" si="118"/>
        <v>1.0000369812935124</v>
      </c>
      <c r="AB177" s="160">
        <f t="shared" si="119"/>
        <v>1.3965795508977216E-2</v>
      </c>
      <c r="AC177" s="171" t="str">
        <f t="shared" si="120"/>
        <v>-0.510993460938586-14.1212366048624i</v>
      </c>
      <c r="AD177" s="190">
        <f t="shared" si="121"/>
        <v>23.00313769669723</v>
      </c>
      <c r="AE177" s="169">
        <f t="shared" si="122"/>
        <v>-92.072410538172036</v>
      </c>
      <c r="AF177" s="98" t="str">
        <f t="shared" si="108"/>
        <v>-9.95024875621891E-06</v>
      </c>
      <c r="AG177" s="98" t="str">
        <f t="shared" si="109"/>
        <v>0.00244688718159647i</v>
      </c>
      <c r="AH177" s="98">
        <f t="shared" si="123"/>
        <v>2.4468871815964701E-3</v>
      </c>
      <c r="AI177" s="98">
        <f t="shared" si="124"/>
        <v>1.5707963267948966</v>
      </c>
      <c r="AJ177" s="98" t="str">
        <f t="shared" si="110"/>
        <v>1+0.024420007381195i</v>
      </c>
      <c r="AK177" s="98">
        <f t="shared" si="125"/>
        <v>1.0002981239413067</v>
      </c>
      <c r="AL177" s="98">
        <f t="shared" si="126"/>
        <v>2.4415154934594403E-2</v>
      </c>
      <c r="AM177" s="98" t="str">
        <f t="shared" si="111"/>
        <v>1+24.4444273885762i</v>
      </c>
      <c r="AN177" s="98">
        <f t="shared" si="127"/>
        <v>24.464873397493275</v>
      </c>
      <c r="AO177" s="98">
        <f t="shared" si="128"/>
        <v>1.5299100056885095</v>
      </c>
      <c r="AP177" s="168" t="str">
        <f t="shared" si="129"/>
        <v>-0.0992445974952475+0.00649004646027527i</v>
      </c>
      <c r="AQ177" s="98">
        <f t="shared" si="130"/>
        <v>-20.047329783919082</v>
      </c>
      <c r="AR177" s="169">
        <f t="shared" si="131"/>
        <v>176.2585010268771</v>
      </c>
      <c r="AS177" s="168" t="str">
        <f t="shared" si="132"/>
        <v>0.14236082199565+1.39814007168234i</v>
      </c>
      <c r="AT177" s="190">
        <f t="shared" si="133"/>
        <v>2.9558079127781705</v>
      </c>
      <c r="AU177" s="169">
        <f t="shared" si="134"/>
        <v>84.186090488705076</v>
      </c>
      <c r="AV177" s="225"/>
      <c r="AX177">
        <f t="shared" si="135"/>
        <v>0</v>
      </c>
      <c r="AY177">
        <f t="shared" si="136"/>
        <v>0</v>
      </c>
    </row>
    <row r="178" spans="14:51" x14ac:dyDescent="0.3">
      <c r="N178" s="170">
        <v>60</v>
      </c>
      <c r="O178" s="199">
        <f t="shared" si="102"/>
        <v>398.10717055349761</v>
      </c>
      <c r="P178" s="189" t="str">
        <f t="shared" si="103"/>
        <v>1078.86904761905</v>
      </c>
      <c r="Q178" s="160" t="str">
        <f t="shared" si="104"/>
        <v>1+78.1681601470178i</v>
      </c>
      <c r="R178" s="160">
        <f t="shared" si="112"/>
        <v>78.174556351602149</v>
      </c>
      <c r="S178" s="160">
        <f t="shared" si="113"/>
        <v>1.5580040920738221</v>
      </c>
      <c r="T178" s="160" t="str">
        <f t="shared" si="105"/>
        <v>1+0.0000500276224940914i</v>
      </c>
      <c r="U178" s="160">
        <f t="shared" si="114"/>
        <v>1.0000000012513814</v>
      </c>
      <c r="V178" s="160">
        <f t="shared" si="115"/>
        <v>5.0027622452355644E-5</v>
      </c>
      <c r="W178" s="98" t="str">
        <f t="shared" si="106"/>
        <v>1-0.0361819776926267i</v>
      </c>
      <c r="X178" s="160">
        <f t="shared" si="116"/>
        <v>1.000654353665515</v>
      </c>
      <c r="Y178" s="160">
        <f t="shared" si="117"/>
        <v>-3.6166201045764915E-2</v>
      </c>
      <c r="Z178" s="98" t="str">
        <f t="shared" si="107"/>
        <v>0.999936604272302+0.014291164602452i</v>
      </c>
      <c r="AA178" s="160">
        <f t="shared" si="118"/>
        <v>1.0000387242248756</v>
      </c>
      <c r="AB178" s="160">
        <f t="shared" si="119"/>
        <v>1.4291097662822733E-2</v>
      </c>
      <c r="AC178" s="171" t="str">
        <f t="shared" si="120"/>
        <v>-0.519313543078068-13.7994973850869i</v>
      </c>
      <c r="AD178" s="190">
        <f t="shared" si="121"/>
        <v>22.803411613208702</v>
      </c>
      <c r="AE178" s="169">
        <f t="shared" si="122"/>
        <v>-92.155182829949098</v>
      </c>
      <c r="AF178" s="98" t="str">
        <f t="shared" si="108"/>
        <v>-9.95024875621891E-06</v>
      </c>
      <c r="AG178" s="98" t="str">
        <f t="shared" si="109"/>
        <v>0.00250388250582928i</v>
      </c>
      <c r="AH178" s="98">
        <f t="shared" si="123"/>
        <v>2.5038825058292802E-3</v>
      </c>
      <c r="AI178" s="98">
        <f t="shared" si="124"/>
        <v>1.5707963267948966</v>
      </c>
      <c r="AJ178" s="98" t="str">
        <f t="shared" si="110"/>
        <v>1+0.0249888224246211i</v>
      </c>
      <c r="AK178" s="98">
        <f t="shared" si="125"/>
        <v>1.0003121718974379</v>
      </c>
      <c r="AL178" s="98">
        <f t="shared" si="126"/>
        <v>2.4983623022043266E-2</v>
      </c>
      <c r="AM178" s="98" t="str">
        <f t="shared" si="111"/>
        <v>1+25.0138112470457i</v>
      </c>
      <c r="AN178" s="98">
        <f t="shared" si="127"/>
        <v>25.033792223768856</v>
      </c>
      <c r="AO178" s="98">
        <f t="shared" si="128"/>
        <v>1.5308396902042098</v>
      </c>
      <c r="AP178" s="168" t="str">
        <f t="shared" si="129"/>
        <v>-0.0992418100174948+0.00645386395068897i</v>
      </c>
      <c r="AQ178" s="98">
        <f t="shared" si="130"/>
        <v>-20.047778352589386</v>
      </c>
      <c r="AR178" s="169">
        <f t="shared" si="131"/>
        <v>176.2791972037067</v>
      </c>
      <c r="AS178" s="168" t="str">
        <f t="shared" si="132"/>
        <v>0.140597694692905+1.36613551887293i</v>
      </c>
      <c r="AT178" s="190">
        <f t="shared" si="133"/>
        <v>2.7556332606192906</v>
      </c>
      <c r="AU178" s="169">
        <f t="shared" si="134"/>
        <v>84.124014373757575</v>
      </c>
      <c r="AV178" s="225"/>
      <c r="AX178">
        <f t="shared" si="135"/>
        <v>0</v>
      </c>
      <c r="AY178">
        <f t="shared" si="136"/>
        <v>0</v>
      </c>
    </row>
    <row r="179" spans="14:51" x14ac:dyDescent="0.3">
      <c r="N179" s="170">
        <v>61</v>
      </c>
      <c r="O179" s="199">
        <f t="shared" si="102"/>
        <v>407.38027780411272</v>
      </c>
      <c r="P179" s="189" t="str">
        <f t="shared" si="103"/>
        <v>1078.86904761905</v>
      </c>
      <c r="Q179" s="160" t="str">
        <f t="shared" si="104"/>
        <v>1+79.9889304979231i</v>
      </c>
      <c r="R179" s="160">
        <f t="shared" si="112"/>
        <v>79.995181118624728</v>
      </c>
      <c r="S179" s="160">
        <f t="shared" si="113"/>
        <v>1.5582952481967625</v>
      </c>
      <c r="T179" s="160" t="str">
        <f t="shared" si="105"/>
        <v>1+0.0000511929155186708i</v>
      </c>
      <c r="U179" s="160">
        <f t="shared" si="114"/>
        <v>1.0000000013103572</v>
      </c>
      <c r="V179" s="160">
        <f t="shared" si="115"/>
        <v>5.1192915473950127E-5</v>
      </c>
      <c r="W179" s="98" t="str">
        <f t="shared" si="106"/>
        <v>1-0.0370247642197235i</v>
      </c>
      <c r="X179" s="160">
        <f t="shared" si="116"/>
        <v>1.0006851818456823</v>
      </c>
      <c r="Y179" s="160">
        <f t="shared" si="117"/>
        <v>-3.7007859863132292E-2</v>
      </c>
      <c r="Z179" s="98" t="str">
        <f t="shared" si="107"/>
        <v>0.999933616523702+0.0146240485892199i</v>
      </c>
      <c r="AA179" s="160">
        <f t="shared" si="118"/>
        <v>1.000040549303532</v>
      </c>
      <c r="AB179" s="160">
        <f t="shared" si="119"/>
        <v>1.4623976861691888E-2</v>
      </c>
      <c r="AC179" s="171" t="str">
        <f t="shared" si="120"/>
        <v>-0.527258926575915-13.4850652577365i</v>
      </c>
      <c r="AD179" s="190">
        <f t="shared" si="121"/>
        <v>22.603695337331523</v>
      </c>
      <c r="AE179" s="169">
        <f t="shared" si="122"/>
        <v>-92.239094151808956</v>
      </c>
      <c r="AF179" s="98" t="str">
        <f t="shared" si="108"/>
        <v>-9.95024875621891E-06</v>
      </c>
      <c r="AG179" s="98" t="str">
        <f t="shared" si="109"/>
        <v>0.00256220542170947i</v>
      </c>
      <c r="AH179" s="98">
        <f t="shared" si="123"/>
        <v>2.56220542170947E-3</v>
      </c>
      <c r="AI179" s="98">
        <f t="shared" si="124"/>
        <v>1.5707963267948966</v>
      </c>
      <c r="AJ179" s="98" t="str">
        <f t="shared" si="110"/>
        <v>1+0.0255708868724629i</v>
      </c>
      <c r="AK179" s="98">
        <f t="shared" si="125"/>
        <v>1.0003268817018987</v>
      </c>
      <c r="AL179" s="98">
        <f t="shared" si="126"/>
        <v>2.5565315710546117E-2</v>
      </c>
      <c r="AM179" s="98" t="str">
        <f t="shared" si="111"/>
        <v>1+25.5964577593354i</v>
      </c>
      <c r="AN179" s="98">
        <f t="shared" si="127"/>
        <v>25.61598426423317</v>
      </c>
      <c r="AO179" s="98">
        <f t="shared" si="128"/>
        <v>1.5317482792985617</v>
      </c>
      <c r="AP179" s="168" t="str">
        <f t="shared" si="129"/>
        <v>-0.0992388913377855+0.00642109680219497i</v>
      </c>
      <c r="AQ179" s="98">
        <f t="shared" si="130"/>
        <v>-20.048217990507517</v>
      </c>
      <c r="AR179" s="169">
        <f t="shared" si="131"/>
        <v>176.29792698809985</v>
      </c>
      <c r="AS179" s="168" t="str">
        <f t="shared" si="132"/>
        <v>0.138913500725187+1.33485734518809i</v>
      </c>
      <c r="AT179" s="190">
        <f t="shared" si="133"/>
        <v>2.5554773468239835</v>
      </c>
      <c r="AU179" s="169">
        <f t="shared" si="134"/>
        <v>84.058832836290861</v>
      </c>
      <c r="AV179" s="225"/>
      <c r="AX179">
        <f t="shared" si="135"/>
        <v>0</v>
      </c>
      <c r="AY179">
        <f t="shared" si="136"/>
        <v>0</v>
      </c>
    </row>
    <row r="180" spans="14:51" x14ac:dyDescent="0.3">
      <c r="N180" s="170">
        <v>62</v>
      </c>
      <c r="O180" s="199">
        <f t="shared" si="102"/>
        <v>416.86938347033572</v>
      </c>
      <c r="P180" s="189" t="str">
        <f t="shared" si="103"/>
        <v>1078.86904761905</v>
      </c>
      <c r="Q180" s="160" t="str">
        <f t="shared" si="104"/>
        <v>1+81.8521120385572i</v>
      </c>
      <c r="R180" s="160">
        <f t="shared" si="112"/>
        <v>81.858220388501721</v>
      </c>
      <c r="S180" s="160">
        <f t="shared" si="113"/>
        <v>1.5585797788453535</v>
      </c>
      <c r="T180" s="160" t="str">
        <f t="shared" si="105"/>
        <v>1+0.0000523853517046766i</v>
      </c>
      <c r="U180" s="160">
        <f t="shared" si="114"/>
        <v>1.0000000013721124</v>
      </c>
      <c r="V180" s="160">
        <f t="shared" si="115"/>
        <v>5.2385351656757534E-5</v>
      </c>
      <c r="W180" s="98" t="str">
        <f t="shared" si="106"/>
        <v>1-0.0378871817668903i</v>
      </c>
      <c r="X180" s="160">
        <f t="shared" si="116"/>
        <v>1.0007174618953332</v>
      </c>
      <c r="Y180" s="160">
        <f t="shared" si="117"/>
        <v>-3.7869069123763012E-2</v>
      </c>
      <c r="Z180" s="98" t="str">
        <f t="shared" si="107"/>
        <v>0.99993048796685+0.014964686440122i</v>
      </c>
      <c r="AA180" s="160">
        <f t="shared" si="118"/>
        <v>1.0000424604014944</v>
      </c>
      <c r="AB180" s="160">
        <f t="shared" si="119"/>
        <v>1.4964609582216423E-2</v>
      </c>
      <c r="AC180" s="171" t="str">
        <f t="shared" si="120"/>
        <v>-0.534846448467002-13.1777741465889i</v>
      </c>
      <c r="AD180" s="190">
        <f t="shared" si="121"/>
        <v>22.403989468569083</v>
      </c>
      <c r="AE180" s="169">
        <f t="shared" si="122"/>
        <v>-92.324188708716562</v>
      </c>
      <c r="AF180" s="98" t="str">
        <f t="shared" si="108"/>
        <v>-9.95024875621891E-06</v>
      </c>
      <c r="AG180" s="98" t="str">
        <f t="shared" si="109"/>
        <v>0.00262188685281906i</v>
      </c>
      <c r="AH180" s="98">
        <f t="shared" si="123"/>
        <v>2.6218868528190601E-3</v>
      </c>
      <c r="AI180" s="98">
        <f t="shared" si="124"/>
        <v>1.5707963267948966</v>
      </c>
      <c r="AJ180" s="98" t="str">
        <f t="shared" si="110"/>
        <v>1+0.0261665093429953i</v>
      </c>
      <c r="AK180" s="98">
        <f t="shared" si="125"/>
        <v>1.0003422845262502</v>
      </c>
      <c r="AL180" s="98">
        <f t="shared" si="126"/>
        <v>2.6160539845762169E-2</v>
      </c>
      <c r="AM180" s="98" t="str">
        <f t="shared" si="111"/>
        <v>1+26.1926758523383i</v>
      </c>
      <c r="AN180" s="98">
        <f t="shared" si="127"/>
        <v>26.211758207065508</v>
      </c>
      <c r="AO180" s="98">
        <f t="shared" si="128"/>
        <v>1.5326362487135365</v>
      </c>
      <c r="AP180" s="168" t="str">
        <f t="shared" si="129"/>
        <v>-0.0992358352889356+0.00639172717245694i</v>
      </c>
      <c r="AQ180" s="98">
        <f t="shared" si="130"/>
        <v>-20.048649626590297</v>
      </c>
      <c r="AR180" s="169">
        <f t="shared" si="131"/>
        <v>176.31470005710239</v>
      </c>
      <c r="AS180" s="168" t="str">
        <f t="shared" si="132"/>
        <v>0.137304671150196+1.30428883210793i</v>
      </c>
      <c r="AT180" s="190">
        <f t="shared" si="133"/>
        <v>2.3553398419787728</v>
      </c>
      <c r="AU180" s="169">
        <f t="shared" si="134"/>
        <v>83.990511348385837</v>
      </c>
      <c r="AV180" s="225"/>
      <c r="AX180">
        <f t="shared" si="135"/>
        <v>0</v>
      </c>
      <c r="AY180">
        <f t="shared" si="136"/>
        <v>0</v>
      </c>
    </row>
    <row r="181" spans="14:51" x14ac:dyDescent="0.3">
      <c r="N181" s="170">
        <v>63</v>
      </c>
      <c r="O181" s="199">
        <f t="shared" si="102"/>
        <v>426.57951880159294</v>
      </c>
      <c r="P181" s="189" t="str">
        <f t="shared" si="103"/>
        <v>1078.86904761905</v>
      </c>
      <c r="Q181" s="160" t="str">
        <f t="shared" si="104"/>
        <v>1+83.7586926524347i</v>
      </c>
      <c r="R181" s="160">
        <f t="shared" si="112"/>
        <v>83.764661969383113</v>
      </c>
      <c r="S181" s="160">
        <f t="shared" si="113"/>
        <v>1.5588578346971258</v>
      </c>
      <c r="T181" s="160" t="str">
        <f t="shared" si="105"/>
        <v>1+0.0000536055632975582i</v>
      </c>
      <c r="U181" s="160">
        <f t="shared" si="114"/>
        <v>1.0000000014367783</v>
      </c>
      <c r="V181" s="160">
        <f t="shared" si="115"/>
        <v>5.3605563246211999E-5</v>
      </c>
      <c r="W181" s="98" t="str">
        <f t="shared" si="106"/>
        <v>1-0.038769687599326i</v>
      </c>
      <c r="X181" s="160">
        <f t="shared" si="116"/>
        <v>1.0007512621408725</v>
      </c>
      <c r="Y181" s="160">
        <f t="shared" si="117"/>
        <v>-3.8750280339346702E-2</v>
      </c>
      <c r="Z181" s="98" t="str">
        <f t="shared" si="107"/>
        <v>0.999927211965656+0.0153132587658557i</v>
      </c>
      <c r="AA181" s="160">
        <f t="shared" si="118"/>
        <v>1.0000444615733042</v>
      </c>
      <c r="AB181" s="160">
        <f t="shared" si="119"/>
        <v>1.5313176410593616E-2</v>
      </c>
      <c r="AC181" s="171" t="str">
        <f t="shared" si="120"/>
        <v>-0.542092188138205-12.8774617190241i</v>
      </c>
      <c r="AD181" s="190">
        <f t="shared" si="121"/>
        <v>22.204294628282874</v>
      </c>
      <c r="AE181" s="169">
        <f t="shared" si="122"/>
        <v>-92.410511314174656</v>
      </c>
      <c r="AF181" s="98" t="str">
        <f t="shared" si="108"/>
        <v>-9.95024875621891E-06</v>
      </c>
      <c r="AG181" s="98" t="str">
        <f t="shared" si="109"/>
        <v>0.00268295844304279i</v>
      </c>
      <c r="AH181" s="98">
        <f t="shared" si="123"/>
        <v>2.68295844304279E-3</v>
      </c>
      <c r="AI181" s="98">
        <f t="shared" si="124"/>
        <v>1.5707963267948966</v>
      </c>
      <c r="AJ181" s="98" t="str">
        <f t="shared" si="110"/>
        <v>1+0.026776005643136i</v>
      </c>
      <c r="AK181" s="98">
        <f t="shared" si="125"/>
        <v>1.0003584130091581</v>
      </c>
      <c r="AL181" s="98">
        <f t="shared" si="126"/>
        <v>2.6769609335376129E-2</v>
      </c>
      <c r="AM181" s="98" t="str">
        <f t="shared" si="111"/>
        <v>1+26.8027816487791i</v>
      </c>
      <c r="AN181" s="98">
        <f t="shared" si="127"/>
        <v>26.821429941599494</v>
      </c>
      <c r="AO181" s="98">
        <f t="shared" si="128"/>
        <v>1.5335040636578376</v>
      </c>
      <c r="AP181" s="168" t="str">
        <f t="shared" si="129"/>
        <v>-0.09923263541467+0.00636573898709827i</v>
      </c>
      <c r="AQ181" s="98">
        <f t="shared" si="130"/>
        <v>-20.049074173003241</v>
      </c>
      <c r="AR181" s="169">
        <f t="shared" si="131"/>
        <v>176.32952507962418</v>
      </c>
      <c r="AS181" s="168" t="str">
        <f t="shared" si="132"/>
        <v>0.135767796586316+1.27441364645366i</v>
      </c>
      <c r="AT181" s="190">
        <f t="shared" si="133"/>
        <v>2.1552204552796592</v>
      </c>
      <c r="AU181" s="169">
        <f t="shared" si="134"/>
        <v>83.919013765449535</v>
      </c>
      <c r="AV181" s="225"/>
      <c r="AX181">
        <f t="shared" si="135"/>
        <v>0</v>
      </c>
      <c r="AY181">
        <f t="shared" si="136"/>
        <v>0</v>
      </c>
    </row>
    <row r="182" spans="14:51" x14ac:dyDescent="0.3">
      <c r="N182" s="170">
        <v>64</v>
      </c>
      <c r="O182" s="199">
        <f t="shared" si="102"/>
        <v>436.51583224016622</v>
      </c>
      <c r="P182" s="189" t="str">
        <f t="shared" si="103"/>
        <v>1078.86904761905</v>
      </c>
      <c r="Q182" s="160" t="str">
        <f t="shared" si="104"/>
        <v>1+85.7096832338337i</v>
      </c>
      <c r="R182" s="160">
        <f t="shared" si="112"/>
        <v>85.715516681894385</v>
      </c>
      <c r="S182" s="160">
        <f t="shared" si="113"/>
        <v>1.5591295630088906</v>
      </c>
      <c r="T182" s="160" t="str">
        <f t="shared" si="105"/>
        <v>1+0.0000548541972696536i</v>
      </c>
      <c r="U182" s="160">
        <f t="shared" si="114"/>
        <v>1.0000000015044914</v>
      </c>
      <c r="V182" s="160">
        <f t="shared" si="115"/>
        <v>5.4854197214635153E-5</v>
      </c>
      <c r="W182" s="98" t="str">
        <f t="shared" si="106"/>
        <v>1-0.0396727496333043i</v>
      </c>
      <c r="X182" s="160">
        <f t="shared" si="116"/>
        <v>1.0007866541193817</v>
      </c>
      <c r="Y182" s="160">
        <f t="shared" si="117"/>
        <v>-3.9651955262292149E-2</v>
      </c>
      <c r="Z182" s="98" t="str">
        <f t="shared" si="107"/>
        <v>0.999923781571281+0.0156699503840819i</v>
      </c>
      <c r="AA182" s="160">
        <f t="shared" si="118"/>
        <v>1.0000465570646451</v>
      </c>
      <c r="AB182" s="160">
        <f t="shared" si="119"/>
        <v>1.5669862138231242E-2</v>
      </c>
      <c r="AC182" s="171" t="str">
        <f t="shared" si="120"/>
        <v>-0.549011501309688-12.5839693028005i</v>
      </c>
      <c r="AD182" s="190">
        <f t="shared" si="121"/>
        <v>22.004611460989146</v>
      </c>
      <c r="AE182" s="169">
        <f t="shared" si="122"/>
        <v>-92.498107412540193</v>
      </c>
      <c r="AF182" s="98" t="str">
        <f t="shared" si="108"/>
        <v>-9.95024875621891E-06</v>
      </c>
      <c r="AG182" s="98" t="str">
        <f t="shared" si="109"/>
        <v>0.00274545257334617i</v>
      </c>
      <c r="AH182" s="98">
        <f t="shared" si="123"/>
        <v>2.7454525733461698E-3</v>
      </c>
      <c r="AI182" s="98">
        <f t="shared" si="124"/>
        <v>1.5707963267948966</v>
      </c>
      <c r="AJ182" s="98" t="str">
        <f t="shared" si="110"/>
        <v>1+0.0273996989358909i</v>
      </c>
      <c r="AK182" s="98">
        <f t="shared" si="125"/>
        <v>1.0003753013253462</v>
      </c>
      <c r="AL182" s="98">
        <f t="shared" si="126"/>
        <v>2.739284530750738E-2</v>
      </c>
      <c r="AM182" s="98" t="str">
        <f t="shared" si="111"/>
        <v>1+27.4270986348268i</v>
      </c>
      <c r="AN182" s="98">
        <f t="shared" si="127"/>
        <v>27.445322725821942</v>
      </c>
      <c r="AO182" s="98">
        <f t="shared" si="128"/>
        <v>1.5343521790270211</v>
      </c>
      <c r="AP182" s="168" t="str">
        <f t="shared" si="129"/>
        <v>-0.0992292849561473+0.00634311792879612i</v>
      </c>
      <c r="AQ182" s="98">
        <f t="shared" si="130"/>
        <v>-20.049492527066736</v>
      </c>
      <c r="AR182" s="169">
        <f t="shared" si="131"/>
        <v>176.34240971997468</v>
      </c>
      <c r="AS182" s="168" t="str">
        <f t="shared" si="132"/>
        <v>0.134299620007675+1.24521583112993i</v>
      </c>
      <c r="AT182" s="190">
        <f t="shared" si="133"/>
        <v>1.9551189339224191</v>
      </c>
      <c r="AU182" s="169">
        <f t="shared" si="134"/>
        <v>83.844302307434518</v>
      </c>
      <c r="AV182" s="225"/>
      <c r="AX182">
        <f t="shared" si="135"/>
        <v>0</v>
      </c>
      <c r="AY182">
        <f t="shared" si="136"/>
        <v>0</v>
      </c>
    </row>
    <row r="183" spans="14:51" x14ac:dyDescent="0.3">
      <c r="N183" s="170">
        <v>65</v>
      </c>
      <c r="O183" s="199">
        <f t="shared" si="102"/>
        <v>446.68359215096331</v>
      </c>
      <c r="P183" s="189" t="str">
        <f t="shared" si="103"/>
        <v>1078.86904761905</v>
      </c>
      <c r="Q183" s="160" t="str">
        <f t="shared" si="104"/>
        <v>1+87.7061182237853i</v>
      </c>
      <c r="R183" s="160">
        <f t="shared" si="112"/>
        <v>87.711818895087347</v>
      </c>
      <c r="S183" s="160">
        <f t="shared" si="113"/>
        <v>1.5593951076939963</v>
      </c>
      <c r="T183" s="160" t="str">
        <f t="shared" si="105"/>
        <v>1+0.0000561319156632226i</v>
      </c>
      <c r="U183" s="160">
        <f t="shared" si="114"/>
        <v>1.0000000015753958</v>
      </c>
      <c r="V183" s="160">
        <f t="shared" si="115"/>
        <v>5.6131915604269271E-5</v>
      </c>
      <c r="W183" s="98" t="str">
        <f t="shared" si="106"/>
        <v>1-0.0405968466842691i</v>
      </c>
      <c r="X183" s="160">
        <f t="shared" si="116"/>
        <v>1.0008237127290232</v>
      </c>
      <c r="Y183" s="160">
        <f t="shared" si="117"/>
        <v>-4.0574566104612117E-2</v>
      </c>
      <c r="Z183" s="98" t="str">
        <f t="shared" si="107"/>
        <v>0.999920189507401+0.0160349504174181i</v>
      </c>
      <c r="AA183" s="160">
        <f t="shared" si="118"/>
        <v>1.0000487513213572</v>
      </c>
      <c r="AB183" s="160">
        <f t="shared" si="119"/>
        <v>1.6034855859615151E-2</v>
      </c>
      <c r="AC183" s="171" t="str">
        <f t="shared" si="120"/>
        <v>-0.555619052492225-12.2971418045819i</v>
      </c>
      <c r="AD183" s="190">
        <f t="shared" si="121"/>
        <v>21.804940635702529</v>
      </c>
      <c r="AE183" s="169">
        <f t="shared" si="122"/>
        <v>-92.58702310157976</v>
      </c>
      <c r="AF183" s="98" t="str">
        <f t="shared" si="108"/>
        <v>-9.95024875621891E-06</v>
      </c>
      <c r="AG183" s="98" t="str">
        <f t="shared" si="109"/>
        <v>0.00280940237894429i</v>
      </c>
      <c r="AH183" s="98">
        <f t="shared" si="123"/>
        <v>2.8094023789442899E-3</v>
      </c>
      <c r="AI183" s="98">
        <f t="shared" si="124"/>
        <v>1.5707963267948966</v>
      </c>
      <c r="AJ183" s="98" t="str">
        <f t="shared" si="110"/>
        <v>1+0.0280379199116996i</v>
      </c>
      <c r="AK183" s="98">
        <f t="shared" si="125"/>
        <v>1.0003929852577811</v>
      </c>
      <c r="AL183" s="98">
        <f t="shared" si="126"/>
        <v>2.8030576272375363E-2</v>
      </c>
      <c r="AM183" s="98" t="str">
        <f t="shared" si="111"/>
        <v>1+28.0659578316113i</v>
      </c>
      <c r="AN183" s="98">
        <f t="shared" si="127"/>
        <v>28.083767357777763</v>
      </c>
      <c r="AO183" s="98">
        <f t="shared" si="128"/>
        <v>1.5351810396199024</v>
      </c>
      <c r="AP183" s="168" t="str">
        <f t="shared" si="129"/>
        <v>-0.0992257768378638+0.00632385142713777i</v>
      </c>
      <c r="AQ183" s="98">
        <f t="shared" si="130"/>
        <v>-20.049905573132417</v>
      </c>
      <c r="AR183" s="169">
        <f t="shared" si="131"/>
        <v>176.35336064099977</v>
      </c>
      <c r="AS183" s="168" t="str">
        <f t="shared" si="132"/>
        <v>0.13289702986008+1.21667979610696i</v>
      </c>
      <c r="AT183" s="190">
        <f t="shared" si="133"/>
        <v>1.7550350625701068</v>
      </c>
      <c r="AU183" s="169">
        <f t="shared" si="134"/>
        <v>83.766337539419993</v>
      </c>
      <c r="AV183" s="225"/>
      <c r="AX183">
        <f t="shared" si="135"/>
        <v>0</v>
      </c>
      <c r="AY183">
        <f t="shared" si="136"/>
        <v>0</v>
      </c>
    </row>
    <row r="184" spans="14:51" x14ac:dyDescent="0.3">
      <c r="N184" s="170">
        <v>66</v>
      </c>
      <c r="O184" s="199">
        <f t="shared" ref="O184:O218" si="137">10^(2+(N184/100))</f>
        <v>457.0881896148756</v>
      </c>
      <c r="P184" s="189" t="str">
        <f t="shared" si="103"/>
        <v>1078.86904761905</v>
      </c>
      <c r="Q184" s="160" t="str">
        <f t="shared" si="104"/>
        <v>1+89.7490561585469i</v>
      </c>
      <c r="R184" s="160">
        <f t="shared" si="112"/>
        <v>89.754627074875685</v>
      </c>
      <c r="S184" s="160">
        <f t="shared" si="113"/>
        <v>1.5596546093978667</v>
      </c>
      <c r="T184" s="160" t="str">
        <f t="shared" si="105"/>
        <v>1+0.00005743939594147i</v>
      </c>
      <c r="U184" s="160">
        <f t="shared" si="114"/>
        <v>1.000000001649642</v>
      </c>
      <c r="V184" s="160">
        <f t="shared" si="115"/>
        <v>5.7439395878300373E-5</v>
      </c>
      <c r="W184" s="98" t="str">
        <f t="shared" si="106"/>
        <v>1-0.0415424687207088i</v>
      </c>
      <c r="X184" s="160">
        <f t="shared" si="116"/>
        <v>1.0008625163864471</v>
      </c>
      <c r="Y184" s="160">
        <f t="shared" si="117"/>
        <v>-4.1518595760514601E-2</v>
      </c>
      <c r="Z184" s="98" t="str">
        <f t="shared" si="107"/>
        <v>0.999916428154766+0.0164084523937133i</v>
      </c>
      <c r="AA184" s="160">
        <f t="shared" si="118"/>
        <v>1.000051048998871</v>
      </c>
      <c r="AB184" s="160">
        <f t="shared" si="119"/>
        <v>1.6408351072449822E-2</v>
      </c>
      <c r="AC184" s="171" t="str">
        <f t="shared" si="120"/>
        <v>-0.561928845988419-12.0168276301852i</v>
      </c>
      <c r="AD184" s="190">
        <f t="shared" si="121"/>
        <v>21.605282847329484</v>
      </c>
      <c r="AE184" s="169">
        <f t="shared" si="122"/>
        <v>-92.67730515526867</v>
      </c>
      <c r="AF184" s="98" t="str">
        <f t="shared" si="108"/>
        <v>-9.95024875621891E-06</v>
      </c>
      <c r="AG184" s="98" t="str">
        <f t="shared" si="109"/>
        <v>0.00287484176687058i</v>
      </c>
      <c r="AH184" s="98">
        <f t="shared" si="123"/>
        <v>2.87484176687058E-3</v>
      </c>
      <c r="AI184" s="98">
        <f t="shared" si="124"/>
        <v>1.5707963267948966</v>
      </c>
      <c r="AJ184" s="98" t="str">
        <f t="shared" si="110"/>
        <v>1+0.0286910069637712i</v>
      </c>
      <c r="AK184" s="98">
        <f t="shared" si="125"/>
        <v>1.0004115022732372</v>
      </c>
      <c r="AL184" s="98">
        <f t="shared" si="126"/>
        <v>2.8683138287265604E-2</v>
      </c>
      <c r="AM184" s="98" t="str">
        <f t="shared" si="111"/>
        <v>1+28.719697970735i</v>
      </c>
      <c r="AN184" s="98">
        <f t="shared" si="127"/>
        <v>28.737102350971991</v>
      </c>
      <c r="AO184" s="98">
        <f t="shared" si="128"/>
        <v>1.5359910803512544</v>
      </c>
      <c r="AP184" s="168" t="str">
        <f t="shared" si="129"/>
        <v>-0.0992221036529094+0.00630792864922183i</v>
      </c>
      <c r="AQ184" s="98">
        <f t="shared" si="130"/>
        <v>-20.05031418443339</v>
      </c>
      <c r="AR184" s="169">
        <f t="shared" si="131"/>
        <v>176.36238350681614</v>
      </c>
      <c r="AS184" s="168" t="str">
        <f t="shared" si="132"/>
        <v>0.131557053483428+1.18879030963495i</v>
      </c>
      <c r="AT184" s="190">
        <f t="shared" si="133"/>
        <v>1.5549686628961172</v>
      </c>
      <c r="AU184" s="169">
        <f t="shared" si="134"/>
        <v>83.685078351547531</v>
      </c>
      <c r="AV184" s="225"/>
      <c r="AX184">
        <f t="shared" si="135"/>
        <v>0</v>
      </c>
      <c r="AY184">
        <f t="shared" si="136"/>
        <v>0</v>
      </c>
    </row>
    <row r="185" spans="14:51" x14ac:dyDescent="0.3">
      <c r="N185" s="170">
        <v>67</v>
      </c>
      <c r="O185" s="199">
        <f t="shared" si="137"/>
        <v>467.7351412871983</v>
      </c>
      <c r="P185" s="189" t="str">
        <f t="shared" si="103"/>
        <v>1078.86904761905</v>
      </c>
      <c r="Q185" s="160" t="str">
        <f t="shared" si="104"/>
        <v>1+91.8395802308528i</v>
      </c>
      <c r="R185" s="160">
        <f t="shared" si="112"/>
        <v>91.845024345248262</v>
      </c>
      <c r="S185" s="160">
        <f t="shared" si="113"/>
        <v>1.5599082055718589</v>
      </c>
      <c r="T185" s="160" t="str">
        <f t="shared" si="105"/>
        <v>1+0.0000587773313477458i</v>
      </c>
      <c r="U185" s="160">
        <f t="shared" si="114"/>
        <v>1.0000000017273873</v>
      </c>
      <c r="V185" s="160">
        <f t="shared" si="115"/>
        <v>5.877733128005832E-5</v>
      </c>
      <c r="W185" s="98" t="str">
        <f t="shared" si="106"/>
        <v>1-0.0425101171239437i</v>
      </c>
      <c r="X185" s="160">
        <f t="shared" si="116"/>
        <v>1.0009031471915208</v>
      </c>
      <c r="Y185" s="160">
        <f t="shared" si="117"/>
        <v>-4.2484538032688632E-2</v>
      </c>
      <c r="Z185" s="98" t="str">
        <f t="shared" si="107"/>
        <v>0.999912489535042+0.0167906543486592i</v>
      </c>
      <c r="AA185" s="160">
        <f t="shared" si="118"/>
        <v>1.0000534549720939</v>
      </c>
      <c r="AB185" s="160">
        <f t="shared" si="119"/>
        <v>1.679054578012544E-2</v>
      </c>
      <c r="AC185" s="171" t="str">
        <f t="shared" si="120"/>
        <v>-0.567954255502699-11.7428786065188i</v>
      </c>
      <c r="AD185" s="190">
        <f t="shared" si="121"/>
        <v>21.405638818114671</v>
      </c>
      <c r="AE185" s="169">
        <f t="shared" si="122"/>
        <v>-92.769001046838198</v>
      </c>
      <c r="AF185" s="98" t="str">
        <f t="shared" si="108"/>
        <v>-9.95024875621891E-06</v>
      </c>
      <c r="AG185" s="98" t="str">
        <f t="shared" si="109"/>
        <v>0.00294180543395468i</v>
      </c>
      <c r="AH185" s="98">
        <f t="shared" si="123"/>
        <v>2.9418054339546799E-3</v>
      </c>
      <c r="AI185" s="98">
        <f t="shared" si="124"/>
        <v>1.5707963267948966</v>
      </c>
      <c r="AJ185" s="98" t="str">
        <f t="shared" si="110"/>
        <v>1+0.0293593063675054i</v>
      </c>
      <c r="AK185" s="98">
        <f t="shared" si="125"/>
        <v>1.0004308916014044</v>
      </c>
      <c r="AL185" s="98">
        <f t="shared" si="126"/>
        <v>2.935087512484234E-2</v>
      </c>
      <c r="AM185" s="98" t="str">
        <f t="shared" si="111"/>
        <v>1+29.3886656738729i</v>
      </c>
      <c r="AN185" s="98">
        <f t="shared" si="127"/>
        <v>29.405674113862364</v>
      </c>
      <c r="AO185" s="98">
        <f t="shared" si="128"/>
        <v>1.5367827264607967</v>
      </c>
      <c r="AP185" s="168" t="str">
        <f t="shared" si="129"/>
        <v>-0.0992182576475486+0.00629534049098693i</v>
      </c>
      <c r="AQ185" s="98">
        <f t="shared" si="130"/>
        <v>-20.050719224911838</v>
      </c>
      <c r="AR185" s="169">
        <f t="shared" si="131"/>
        <v>176.36948298514233</v>
      </c>
      <c r="AS185" s="168" t="str">
        <f t="shared" si="132"/>
        <v>0.13027685082685+1.16153248968377i</v>
      </c>
      <c r="AT185" s="190">
        <f t="shared" si="133"/>
        <v>1.3549195932028004</v>
      </c>
      <c r="AU185" s="169">
        <f t="shared" si="134"/>
        <v>83.600481938304142</v>
      </c>
      <c r="AV185" s="225"/>
      <c r="AX185">
        <f t="shared" si="135"/>
        <v>0</v>
      </c>
      <c r="AY185">
        <f t="shared" si="136"/>
        <v>0</v>
      </c>
    </row>
    <row r="186" spans="14:51" x14ac:dyDescent="0.3">
      <c r="N186" s="170">
        <v>68</v>
      </c>
      <c r="O186" s="199">
        <f t="shared" si="137"/>
        <v>478.63009232263886</v>
      </c>
      <c r="P186" s="189" t="str">
        <f t="shared" si="103"/>
        <v>1078.86904761905</v>
      </c>
      <c r="Q186" s="160" t="str">
        <f t="shared" si="104"/>
        <v>1+93.9787988642378i</v>
      </c>
      <c r="R186" s="160">
        <f t="shared" si="112"/>
        <v>93.984119062556871</v>
      </c>
      <c r="S186" s="160">
        <f t="shared" si="113"/>
        <v>1.560156030545474</v>
      </c>
      <c r="T186" s="160" t="str">
        <f t="shared" si="105"/>
        <v>1+0.0000601464312731122i</v>
      </c>
      <c r="U186" s="160">
        <f t="shared" si="114"/>
        <v>1.0000000018087964</v>
      </c>
      <c r="V186" s="160">
        <f t="shared" si="115"/>
        <v>6.014643120058376E-5</v>
      </c>
      <c r="W186" s="98" t="str">
        <f t="shared" si="106"/>
        <v>1-0.0435003049539657i</v>
      </c>
      <c r="X186" s="160">
        <f t="shared" si="116"/>
        <v>1.0009456910997159</v>
      </c>
      <c r="Y186" s="160">
        <f t="shared" si="117"/>
        <v>-4.3472897862267476E-2</v>
      </c>
      <c r="Z186" s="98" t="str">
        <f t="shared" si="107"/>
        <v>0.999908365293889+0.0171817589307913i</v>
      </c>
      <c r="AA186" s="160">
        <f t="shared" si="118"/>
        <v>1.0000559743457631</v>
      </c>
      <c r="AB186" s="160">
        <f t="shared" si="119"/>
        <v>1.7181642596564559E-2</v>
      </c>
      <c r="AC186" s="171" t="str">
        <f t="shared" si="120"/>
        <v>-0.573708052422085-11.4751499051793i</v>
      </c>
      <c r="AD186" s="190">
        <f t="shared" si="121"/>
        <v>21.206009299141613</v>
      </c>
      <c r="AE186" s="169">
        <f t="shared" si="122"/>
        <v>-92.862158972075193</v>
      </c>
      <c r="AF186" s="98" t="str">
        <f t="shared" si="108"/>
        <v>-9.95024875621891E-06</v>
      </c>
      <c r="AG186" s="98" t="str">
        <f t="shared" si="109"/>
        <v>0.00301032888521927i</v>
      </c>
      <c r="AH186" s="98">
        <f t="shared" si="123"/>
        <v>3.0103288852192699E-3</v>
      </c>
      <c r="AI186" s="98">
        <f t="shared" si="124"/>
        <v>1.5707963267948966</v>
      </c>
      <c r="AJ186" s="98" t="str">
        <f t="shared" si="110"/>
        <v>1+0.030043172464092i</v>
      </c>
      <c r="AK186" s="98">
        <f t="shared" si="125"/>
        <v>1.0004511943176975</v>
      </c>
      <c r="AL186" s="98">
        <f t="shared" si="126"/>
        <v>3.0034138444848455E-2</v>
      </c>
      <c r="AM186" s="98" t="str">
        <f t="shared" si="111"/>
        <v>1+30.0732156365561i</v>
      </c>
      <c r="AN186" s="98">
        <f t="shared" si="127"/>
        <v>30.089837133537337</v>
      </c>
      <c r="AO186" s="98">
        <f t="shared" si="128"/>
        <v>1.537556393718488</v>
      </c>
      <c r="AP186" s="168" t="str">
        <f t="shared" si="129"/>
        <v>-0.0992142307050893+0.0062860795692488i</v>
      </c>
      <c r="AQ186" s="98">
        <f t="shared" si="130"/>
        <v>-20.051121551028253</v>
      </c>
      <c r="AR186" s="169">
        <f t="shared" si="131"/>
        <v>176.37466274922303</v>
      </c>
      <c r="AS186" s="168" t="str">
        <f t="shared" si="132"/>
        <v>0.129053708443387+1.1348917956009i</v>
      </c>
      <c r="AT186" s="190">
        <f t="shared" si="133"/>
        <v>1.154887748113371</v>
      </c>
      <c r="AU186" s="169">
        <f t="shared" si="134"/>
        <v>83.51250377714787</v>
      </c>
      <c r="AV186" s="225"/>
      <c r="AX186">
        <f t="shared" si="135"/>
        <v>0</v>
      </c>
      <c r="AY186">
        <f t="shared" si="136"/>
        <v>0</v>
      </c>
    </row>
    <row r="187" spans="14:51" x14ac:dyDescent="0.3">
      <c r="N187" s="170">
        <v>69</v>
      </c>
      <c r="O187" s="199">
        <f t="shared" si="137"/>
        <v>489.77881936844625</v>
      </c>
      <c r="P187" s="189" t="str">
        <f t="shared" si="103"/>
        <v>1078.86904761905</v>
      </c>
      <c r="Q187" s="160" t="str">
        <f t="shared" si="104"/>
        <v>1+96.1678463007372i</v>
      </c>
      <c r="R187" s="160">
        <f t="shared" si="112"/>
        <v>96.173045403180467</v>
      </c>
      <c r="S187" s="160">
        <f t="shared" si="113"/>
        <v>1.5603982155969573</v>
      </c>
      <c r="T187" s="160" t="str">
        <f t="shared" si="105"/>
        <v>1+0.0000615474216324718i</v>
      </c>
      <c r="U187" s="160">
        <f t="shared" si="114"/>
        <v>1.0000000018940425</v>
      </c>
      <c r="V187" s="160">
        <f t="shared" si="115"/>
        <v>6.1547421554756176E-5</v>
      </c>
      <c r="W187" s="98" t="str">
        <f t="shared" si="106"/>
        <v>1-0.0445135572214689i</v>
      </c>
      <c r="X187" s="160">
        <f t="shared" si="116"/>
        <v>1.0009902381025046</v>
      </c>
      <c r="Y187" s="160">
        <f t="shared" si="117"/>
        <v>-4.4484191562440427E-2</v>
      </c>
      <c r="Z187" s="98" t="str">
        <f t="shared" si="107"/>
        <v>0.999904046683239+0.0175819735089361i</v>
      </c>
      <c r="AA187" s="160">
        <f t="shared" si="118"/>
        <v>1.0000586124652824</v>
      </c>
      <c r="AB187" s="160">
        <f t="shared" si="119"/>
        <v>1.7581848853503876E-2</v>
      </c>
      <c r="AC187" s="171" t="str">
        <f t="shared" si="120"/>
        <v>-0.579202432827005-11.2134999676793i</v>
      </c>
      <c r="AD187" s="190">
        <f t="shared" si="121"/>
        <v>21.006395071892815</v>
      </c>
      <c r="AE187" s="169">
        <f t="shared" si="122"/>
        <v>-92.956827872877369</v>
      </c>
      <c r="AF187" s="98" t="str">
        <f t="shared" si="108"/>
        <v>-9.95024875621891E-06</v>
      </c>
      <c r="AG187" s="98" t="str">
        <f t="shared" si="109"/>
        <v>0.00308044845270521i</v>
      </c>
      <c r="AH187" s="98">
        <f t="shared" si="123"/>
        <v>3.0804484527052101E-3</v>
      </c>
      <c r="AI187" s="98">
        <f t="shared" si="124"/>
        <v>1.5707963267948966</v>
      </c>
      <c r="AJ187" s="98" t="str">
        <f t="shared" si="110"/>
        <v>1+0.0307429678483875i</v>
      </c>
      <c r="AK187" s="98">
        <f t="shared" si="125"/>
        <v>1.0004724534299418</v>
      </c>
      <c r="AL187" s="98">
        <f t="shared" si="126"/>
        <v>3.0733287969235145E-2</v>
      </c>
      <c r="AM187" s="98" t="str">
        <f t="shared" si="111"/>
        <v>1+30.7737108162359i</v>
      </c>
      <c r="AN187" s="98">
        <f t="shared" si="127"/>
        <v>30.789954163676736</v>
      </c>
      <c r="AO187" s="98">
        <f t="shared" si="128"/>
        <v>1.5383124886261352</v>
      </c>
      <c r="AP187" s="168" t="str">
        <f t="shared" si="129"/>
        <v>-0.099210014329016+0.00628014021442772i</v>
      </c>
      <c r="AQ187" s="98">
        <f t="shared" si="130"/>
        <v>-20.051522013555253</v>
      </c>
      <c r="AR187" s="169">
        <f t="shared" si="131"/>
        <v>176.37792547934666</v>
      </c>
      <c r="AS187" s="168" t="str">
        <f t="shared" si="132"/>
        <v>0.127885033751675+1.10885401998119i</v>
      </c>
      <c r="AT187" s="190">
        <f t="shared" si="133"/>
        <v>0.95487305833753933</v>
      </c>
      <c r="AU187" s="169">
        <f t="shared" si="134"/>
        <v>83.421097606469246</v>
      </c>
      <c r="AV187" s="225"/>
      <c r="AX187">
        <f t="shared" si="135"/>
        <v>0</v>
      </c>
      <c r="AY187">
        <f t="shared" si="136"/>
        <v>0</v>
      </c>
    </row>
    <row r="188" spans="14:51" x14ac:dyDescent="0.3">
      <c r="N188" s="170">
        <v>70</v>
      </c>
      <c r="O188" s="199">
        <f t="shared" si="137"/>
        <v>501.18723362727269</v>
      </c>
      <c r="P188" s="189" t="str">
        <f t="shared" si="103"/>
        <v>1078.86904761905</v>
      </c>
      <c r="Q188" s="160" t="str">
        <f t="shared" si="104"/>
        <v>1+98.4078832022769i</v>
      </c>
      <c r="R188" s="160">
        <f t="shared" si="112"/>
        <v>98.41296396488103</v>
      </c>
      <c r="S188" s="160">
        <f t="shared" si="113"/>
        <v>1.5606348890223238</v>
      </c>
      <c r="T188" s="160" t="str">
        <f t="shared" si="105"/>
        <v>1+0.0000629810452494572i</v>
      </c>
      <c r="U188" s="160">
        <f t="shared" si="114"/>
        <v>1.000000001983306</v>
      </c>
      <c r="V188" s="160">
        <f t="shared" si="115"/>
        <v>6.2981045166183414E-5</v>
      </c>
      <c r="W188" s="98" t="str">
        <f t="shared" si="106"/>
        <v>1-0.0455504111662174i</v>
      </c>
      <c r="X188" s="160">
        <f t="shared" si="116"/>
        <v>1.0010368824161333</v>
      </c>
      <c r="Y188" s="160">
        <f t="shared" si="117"/>
        <v>-4.5518947055680645E-2</v>
      </c>
      <c r="Z188" s="98" t="str">
        <f t="shared" si="107"/>
        <v>0.99989952454274+0.0179915102821601i</v>
      </c>
      <c r="AA188" s="160">
        <f t="shared" si="118"/>
        <v>1.0000613749280745</v>
      </c>
      <c r="AB188" s="160">
        <f t="shared" si="119"/>
        <v>1.7991376710265922E-2</v>
      </c>
      <c r="AC188" s="171" t="str">
        <f t="shared" si="120"/>
        <v>-0.584449043288732-10.9577904322739i</v>
      </c>
      <c r="AD188" s="190">
        <f t="shared" si="121"/>
        <v>20.806796949870563</v>
      </c>
      <c r="AE188" s="169">
        <f t="shared" si="122"/>
        <v>-93.053057461067553</v>
      </c>
      <c r="AF188" s="98" t="str">
        <f t="shared" si="108"/>
        <v>-9.95024875621891E-06</v>
      </c>
      <c r="AG188" s="98" t="str">
        <f t="shared" si="109"/>
        <v>0.00315220131473534i</v>
      </c>
      <c r="AH188" s="98">
        <f t="shared" si="123"/>
        <v>3.1522013147353401E-3</v>
      </c>
      <c r="AI188" s="98">
        <f t="shared" si="124"/>
        <v>1.5707963267948966</v>
      </c>
      <c r="AJ188" s="98" t="str">
        <f t="shared" si="110"/>
        <v>1+0.0314590635611674i</v>
      </c>
      <c r="AK188" s="98">
        <f t="shared" si="125"/>
        <v>1.0004947139691172</v>
      </c>
      <c r="AL188" s="98">
        <f t="shared" si="126"/>
        <v>3.1448691660759885E-2</v>
      </c>
      <c r="AM188" s="98" t="str">
        <f t="shared" si="111"/>
        <v>1+31.4905226247286i</v>
      </c>
      <c r="AN188" s="98">
        <f t="shared" si="127"/>
        <v>31.506396416895154</v>
      </c>
      <c r="AO188" s="98">
        <f t="shared" si="128"/>
        <v>1.5390514086153382</v>
      </c>
      <c r="AP188" s="168" t="str">
        <f t="shared" si="129"/>
        <v>-0.0992055996253475+0.00627751846394603i</v>
      </c>
      <c r="AQ188" s="98">
        <f t="shared" si="130"/>
        <v>-20.051921459360248</v>
      </c>
      <c r="AR188" s="169">
        <f t="shared" si="131"/>
        <v>176.37927286395336</v>
      </c>
      <c r="AS188" s="168" t="str">
        <f t="shared" si="132"/>
        <v>0.12676834955257+1.08340528074215i</v>
      </c>
      <c r="AT188" s="190">
        <f t="shared" si="133"/>
        <v>0.75487549051033487</v>
      </c>
      <c r="AU188" s="169">
        <f t="shared" si="134"/>
        <v>83.326215402885822</v>
      </c>
      <c r="AV188" s="225"/>
      <c r="AX188">
        <f t="shared" si="135"/>
        <v>0</v>
      </c>
      <c r="AY188">
        <f t="shared" si="136"/>
        <v>0</v>
      </c>
    </row>
    <row r="189" spans="14:51" x14ac:dyDescent="0.3">
      <c r="N189" s="170">
        <v>71</v>
      </c>
      <c r="O189" s="199">
        <f t="shared" si="137"/>
        <v>512.86138399136519</v>
      </c>
      <c r="P189" s="189" t="str">
        <f t="shared" si="103"/>
        <v>1078.86904761905</v>
      </c>
      <c r="Q189" s="160" t="str">
        <f t="shared" si="104"/>
        <v>1+100.700097266073i</v>
      </c>
      <c r="R189" s="160">
        <f t="shared" si="112"/>
        <v>100.70506238216907</v>
      </c>
      <c r="S189" s="160">
        <f t="shared" si="113"/>
        <v>1.5608661762028386</v>
      </c>
      <c r="T189" s="160" t="str">
        <f t="shared" si="105"/>
        <v>1+0.0000644480622502866i</v>
      </c>
      <c r="U189" s="160">
        <f t="shared" si="114"/>
        <v>1.0000000020767763</v>
      </c>
      <c r="V189" s="160">
        <f t="shared" si="115"/>
        <v>6.4448062161057121E-5</v>
      </c>
      <c r="W189" s="98" t="str">
        <f t="shared" si="106"/>
        <v>1-0.0466114165418973i</v>
      </c>
      <c r="X189" s="160">
        <f t="shared" si="116"/>
        <v>1.0010857226791532</v>
      </c>
      <c r="Y189" s="160">
        <f t="shared" si="117"/>
        <v>-4.657770411454451E-2</v>
      </c>
      <c r="Z189" s="98" t="str">
        <f t="shared" si="107"/>
        <v>0.999894789280324+0.0184105863922816i</v>
      </c>
      <c r="AA189" s="160">
        <f t="shared" si="118"/>
        <v>1.0000642675954639</v>
      </c>
      <c r="AB189" s="160">
        <f t="shared" si="119"/>
        <v>1.8410443266080899E-2</v>
      </c>
      <c r="AC189" s="171" t="str">
        <f t="shared" si="120"/>
        <v>-0.589459005507619-10.7078860623562i</v>
      </c>
      <c r="AD189" s="190">
        <f t="shared" si="121"/>
        <v>20.607215780281706</v>
      </c>
      <c r="AE189" s="169">
        <f t="shared" si="122"/>
        <v>-93.150898242470134</v>
      </c>
      <c r="AF189" s="98" t="str">
        <f t="shared" si="108"/>
        <v>-9.95024875621891E-06</v>
      </c>
      <c r="AG189" s="98" t="str">
        <f t="shared" si="109"/>
        <v>0.00322562551562685i</v>
      </c>
      <c r="AH189" s="98">
        <f t="shared" si="123"/>
        <v>3.22562551562685E-3</v>
      </c>
      <c r="AI189" s="98">
        <f t="shared" si="124"/>
        <v>1.5707963267948966</v>
      </c>
      <c r="AJ189" s="98" t="str">
        <f t="shared" si="110"/>
        <v>1+0.0321918392858574i</v>
      </c>
      <c r="AK189" s="98">
        <f t="shared" si="125"/>
        <v>1.0005180230843453</v>
      </c>
      <c r="AL189" s="98">
        <f t="shared" si="126"/>
        <v>3.2180725905091377E-2</v>
      </c>
      <c r="AM189" s="98" t="str">
        <f t="shared" si="111"/>
        <v>1+32.2240311251433i</v>
      </c>
      <c r="AN189" s="98">
        <f t="shared" si="127"/>
        <v>32.23954376157026</v>
      </c>
      <c r="AO189" s="98">
        <f t="shared" si="128"/>
        <v>1.5397735422417913</v>
      </c>
      <c r="AP189" s="168" t="str">
        <f t="shared" si="129"/>
        <v>-0.0992009772841931+0.00627821205627607i</v>
      </c>
      <c r="AQ189" s="98">
        <f t="shared" si="130"/>
        <v>-20.052320733179737</v>
      </c>
      <c r="AR189" s="169">
        <f t="shared" si="131"/>
        <v>176.3787056003344</v>
      </c>
      <c r="AS189" s="168" t="str">
        <f t="shared" si="132"/>
        <v>0.12570128878924+1.05853201339847i</v>
      </c>
      <c r="AT189" s="190">
        <f t="shared" si="133"/>
        <v>0.55489504710199533</v>
      </c>
      <c r="AU189" s="169">
        <f t="shared" si="134"/>
        <v>83.227807357864251</v>
      </c>
      <c r="AV189" s="225"/>
      <c r="AX189">
        <f t="shared" si="135"/>
        <v>0</v>
      </c>
      <c r="AY189">
        <f t="shared" si="136"/>
        <v>0</v>
      </c>
    </row>
    <row r="190" spans="14:51" x14ac:dyDescent="0.3">
      <c r="N190" s="170">
        <v>72</v>
      </c>
      <c r="O190" s="199">
        <f t="shared" si="137"/>
        <v>524.80746024977248</v>
      </c>
      <c r="P190" s="189" t="str">
        <f t="shared" si="103"/>
        <v>1078.86904761905</v>
      </c>
      <c r="Q190" s="160" t="str">
        <f t="shared" si="104"/>
        <v>1+103.045703854363i</v>
      </c>
      <c r="R190" s="160">
        <f t="shared" si="112"/>
        <v>103.05055595600192</v>
      </c>
      <c r="S190" s="160">
        <f t="shared" si="113"/>
        <v>1.5610921996709899</v>
      </c>
      <c r="T190" s="160" t="str">
        <f t="shared" si="105"/>
        <v>1+0.0000659492504667922i</v>
      </c>
      <c r="U190" s="160">
        <f t="shared" si="114"/>
        <v>1.0000000021746518</v>
      </c>
      <c r="V190" s="160">
        <f t="shared" si="115"/>
        <v>6.5949250371181105E-5</v>
      </c>
      <c r="W190" s="98" t="str">
        <f t="shared" si="106"/>
        <v>1-0.0476971359076028i</v>
      </c>
      <c r="X190" s="160">
        <f t="shared" si="116"/>
        <v>1.0011368621591097</v>
      </c>
      <c r="Y190" s="160">
        <f t="shared" si="117"/>
        <v>-4.7661014605987796E-2</v>
      </c>
      <c r="Z190" s="98" t="str">
        <f t="shared" si="107"/>
        <v>0.999889830851866+0.0188394240390012i</v>
      </c>
      <c r="AA190" s="160">
        <f t="shared" si="118"/>
        <v>1.0000672966051307</v>
      </c>
      <c r="AB190" s="160">
        <f t="shared" si="119"/>
        <v>1.8839270675013418E-2</v>
      </c>
      <c r="AC190" s="171" t="str">
        <f t="shared" si="120"/>
        <v>-0.594242939843767-10.4636546763945i</v>
      </c>
      <c r="AD190" s="190">
        <f t="shared" si="121"/>
        <v>20.407652445791339</v>
      </c>
      <c r="AE190" s="169">
        <f t="shared" si="122"/>
        <v>-93.250401541250724</v>
      </c>
      <c r="AF190" s="98" t="str">
        <f t="shared" si="108"/>
        <v>-9.95024875621891E-06</v>
      </c>
      <c r="AG190" s="98" t="str">
        <f t="shared" si="109"/>
        <v>0.00330075998586295i</v>
      </c>
      <c r="AH190" s="98">
        <f t="shared" si="123"/>
        <v>3.3007599858629502E-3</v>
      </c>
      <c r="AI190" s="98">
        <f t="shared" si="124"/>
        <v>1.5707963267948966</v>
      </c>
      <c r="AJ190" s="98" t="str">
        <f t="shared" si="110"/>
        <v>1+0.0329416835498463i</v>
      </c>
      <c r="AK190" s="98">
        <f t="shared" si="125"/>
        <v>1.0005424301423196</v>
      </c>
      <c r="AL190" s="98">
        <f t="shared" si="126"/>
        <v>3.2929775696455485E-2</v>
      </c>
      <c r="AM190" s="98" t="str">
        <f t="shared" si="111"/>
        <v>1+32.9746252333961i</v>
      </c>
      <c r="AN190" s="98">
        <f t="shared" si="127"/>
        <v>32.989784923259542</v>
      </c>
      <c r="AO190" s="98">
        <f t="shared" si="128"/>
        <v>1.540479269375971</v>
      </c>
      <c r="AP190" s="168" t="str">
        <f t="shared" si="129"/>
        <v>-0.0991961375604603+0.00628222042561686i</v>
      </c>
      <c r="AQ190" s="98">
        <f t="shared" si="130"/>
        <v>-20.052720679389914</v>
      </c>
      <c r="AR190" s="169">
        <f t="shared" si="131"/>
        <v>176.3762233949204</v>
      </c>
      <c r="AS190" s="168" t="str">
        <f t="shared" si="132"/>
        <v>0.124681589539722+1.03422096353032i</v>
      </c>
      <c r="AT190" s="190">
        <f t="shared" si="133"/>
        <v>0.35493176640144075</v>
      </c>
      <c r="AU190" s="169">
        <f t="shared" si="134"/>
        <v>83.125821853669692</v>
      </c>
      <c r="AV190" s="225"/>
      <c r="AX190">
        <f t="shared" si="135"/>
        <v>0</v>
      </c>
      <c r="AY190">
        <f t="shared" si="136"/>
        <v>0</v>
      </c>
    </row>
    <row r="191" spans="14:51" x14ac:dyDescent="0.3">
      <c r="N191" s="170">
        <v>73</v>
      </c>
      <c r="O191" s="199">
        <f t="shared" si="137"/>
        <v>537.03179637025301</v>
      </c>
      <c r="P191" s="189" t="str">
        <f t="shared" si="103"/>
        <v>1078.86904761905</v>
      </c>
      <c r="Q191" s="160" t="str">
        <f t="shared" si="104"/>
        <v>1+105.445946638807i</v>
      </c>
      <c r="R191" s="160">
        <f t="shared" si="112"/>
        <v>105.45068829815258</v>
      </c>
      <c r="S191" s="160">
        <f t="shared" si="113"/>
        <v>1.561313079174985</v>
      </c>
      <c r="T191" s="160" t="str">
        <f t="shared" si="105"/>
        <v>1+0.0000674854058488366i</v>
      </c>
      <c r="U191" s="160">
        <f t="shared" si="114"/>
        <v>1.00000000227714</v>
      </c>
      <c r="V191" s="160">
        <f t="shared" si="115"/>
        <v>6.7485405746387452E-5</v>
      </c>
      <c r="W191" s="98" t="str">
        <f t="shared" si="106"/>
        <v>1-0.0488081449261126i</v>
      </c>
      <c r="X191" s="160">
        <f t="shared" si="116"/>
        <v>1.0011904089688077</v>
      </c>
      <c r="Y191" s="160">
        <f t="shared" si="117"/>
        <v>-4.8769442739135936E-2</v>
      </c>
      <c r="Z191" s="98" t="str">
        <f t="shared" si="107"/>
        <v>0.999884638739875+0.0192782505977154i</v>
      </c>
      <c r="AA191" s="160">
        <f t="shared" si="118"/>
        <v>1.0000704683841426</v>
      </c>
      <c r="AB191" s="160">
        <f t="shared" si="119"/>
        <v>1.9278086263558019E-2</v>
      </c>
      <c r="AC191" s="171" t="str">
        <f t="shared" si="120"/>
        <v>-0.59881098778959-10.2249670793785i</v>
      </c>
      <c r="AD191" s="190">
        <f t="shared" si="121"/>
        <v>20.208107866346214</v>
      </c>
      <c r="AE191" s="169">
        <f t="shared" si="122"/>
        <v>-93.351619524522008</v>
      </c>
      <c r="AF191" s="98" t="str">
        <f t="shared" si="108"/>
        <v>-9.95024875621891E-06</v>
      </c>
      <c r="AG191" s="98" t="str">
        <f t="shared" si="109"/>
        <v>0.00337764456273428i</v>
      </c>
      <c r="AH191" s="98">
        <f t="shared" si="123"/>
        <v>3.3776445627342801E-3</v>
      </c>
      <c r="AI191" s="98">
        <f t="shared" si="124"/>
        <v>1.5707963267948966</v>
      </c>
      <c r="AJ191" s="98" t="str">
        <f t="shared" si="110"/>
        <v>1+0.0337089939304878i</v>
      </c>
      <c r="AK191" s="98">
        <f t="shared" si="125"/>
        <v>1.0005679868313824</v>
      </c>
      <c r="AL191" s="98">
        <f t="shared" si="126"/>
        <v>3.3696234826855416E-2</v>
      </c>
      <c r="AM191" s="98" t="str">
        <f t="shared" si="111"/>
        <v>1+33.7427029244183i</v>
      </c>
      <c r="AN191" s="98">
        <f t="shared" si="127"/>
        <v>33.757517690812925</v>
      </c>
      <c r="AO191" s="98">
        <f t="shared" si="128"/>
        <v>1.5411689613902328</v>
      </c>
      <c r="AP191" s="168" t="str">
        <f t="shared" si="129"/>
        <v>-0.0991910702536885+0.00628954469717767i</v>
      </c>
      <c r="AQ191" s="98">
        <f t="shared" si="130"/>
        <v>-20.053122143776104</v>
      </c>
      <c r="AR191" s="169">
        <f t="shared" si="131"/>
        <v>176.37182496316032</v>
      </c>
      <c r="AS191" s="168" t="str">
        <f t="shared" si="132"/>
        <v>0.123707090231439+1.01045917943942i</v>
      </c>
      <c r="AT191" s="190">
        <f t="shared" si="133"/>
        <v>0.1549857225701024</v>
      </c>
      <c r="AU191" s="169">
        <f t="shared" si="134"/>
        <v>83.0202054386383</v>
      </c>
      <c r="AV191" s="225"/>
      <c r="AX191">
        <f t="shared" si="135"/>
        <v>537.03179637025301</v>
      </c>
      <c r="AY191">
        <f t="shared" si="136"/>
        <v>83.0202054386383</v>
      </c>
    </row>
    <row r="192" spans="14:51" x14ac:dyDescent="0.3">
      <c r="N192" s="170">
        <v>74</v>
      </c>
      <c r="O192" s="199">
        <f t="shared" si="137"/>
        <v>549.54087385762534</v>
      </c>
      <c r="P192" s="189" t="str">
        <f t="shared" si="103"/>
        <v>1078.86904761905</v>
      </c>
      <c r="Q192" s="160" t="str">
        <f t="shared" si="104"/>
        <v>1+107.902098259902i</v>
      </c>
      <c r="R192" s="160">
        <f t="shared" si="112"/>
        <v>107.90673199059243</v>
      </c>
      <c r="S192" s="160">
        <f t="shared" si="113"/>
        <v>1.5615289317418015</v>
      </c>
      <c r="T192" s="160" t="str">
        <f t="shared" si="105"/>
        <v>1+0.0000690573428863372i</v>
      </c>
      <c r="U192" s="160">
        <f t="shared" si="114"/>
        <v>1.0000000023844582</v>
      </c>
      <c r="V192" s="160">
        <f t="shared" si="115"/>
        <v>6.905734277656096E-5</v>
      </c>
      <c r="W192" s="98" t="str">
        <f t="shared" si="106"/>
        <v>1-0.0499450326691145i</v>
      </c>
      <c r="X192" s="160">
        <f t="shared" si="116"/>
        <v>1.0012464762925855</v>
      </c>
      <c r="Y192" s="160">
        <f t="shared" si="117"/>
        <v>-4.9903565316432072E-2</v>
      </c>
      <c r="Z192" s="98" t="str">
        <f t="shared" si="107"/>
        <v>0.999879201931184+0.0197272987400745i</v>
      </c>
      <c r="AA192" s="160">
        <f t="shared" si="118"/>
        <v>1.0000737896626035</v>
      </c>
      <c r="AB192" s="160">
        <f t="shared" si="119"/>
        <v>1.9727122650963196E-2</v>
      </c>
      <c r="AC192" s="171" t="str">
        <f t="shared" si="120"/>
        <v>-0.603172833431439-9.99169699574795i</v>
      </c>
      <c r="AD192" s="190">
        <f t="shared" si="121"/>
        <v>20.008583001073248</v>
      </c>
      <c r="AE192" s="169">
        <f t="shared" si="122"/>
        <v>-93.454605227215865</v>
      </c>
      <c r="AF192" s="98" t="str">
        <f t="shared" si="108"/>
        <v>-9.95024875621891E-06</v>
      </c>
      <c r="AG192" s="98" t="str">
        <f t="shared" si="109"/>
        <v>0.00345632001146118i</v>
      </c>
      <c r="AH192" s="98">
        <f t="shared" si="123"/>
        <v>3.4563200114611798E-3</v>
      </c>
      <c r="AI192" s="98">
        <f t="shared" si="124"/>
        <v>1.5707963267948966</v>
      </c>
      <c r="AJ192" s="98" t="str">
        <f t="shared" si="110"/>
        <v>1+0.0344941772659027i</v>
      </c>
      <c r="AK192" s="98">
        <f t="shared" si="125"/>
        <v>1.0005947472704679</v>
      </c>
      <c r="AL192" s="98">
        <f t="shared" si="126"/>
        <v>3.4480506078898826E-2</v>
      </c>
      <c r="AM192" s="98" t="str">
        <f t="shared" si="111"/>
        <v>1+34.5286714431686i</v>
      </c>
      <c r="AN192" s="98">
        <f t="shared" si="127"/>
        <v>34.543149127291315</v>
      </c>
      <c r="AO192" s="98">
        <f t="shared" si="128"/>
        <v>1.541842981342356</v>
      </c>
      <c r="AP192" s="168" t="str">
        <f t="shared" si="129"/>
        <v>-0.0991857646869638+0.00630018768304594i</v>
      </c>
      <c r="AQ192" s="98">
        <f t="shared" si="130"/>
        <v>-20.053525975305103</v>
      </c>
      <c r="AR192" s="169">
        <f t="shared" si="131"/>
        <v>176.36550802898904</v>
      </c>
      <c r="AS192" s="168" t="str">
        <f t="shared" si="132"/>
        <v>0.122775725067638+0.987234004987767i</v>
      </c>
      <c r="AT192" s="190">
        <f t="shared" si="133"/>
        <v>-4.4942974231850515E-2</v>
      </c>
      <c r="AU192" s="169">
        <f t="shared" si="134"/>
        <v>82.910902801773204</v>
      </c>
      <c r="AV192" s="225"/>
      <c r="AX192">
        <f t="shared" si="135"/>
        <v>0</v>
      </c>
      <c r="AY192">
        <f t="shared" si="136"/>
        <v>0</v>
      </c>
    </row>
    <row r="193" spans="14:51" x14ac:dyDescent="0.3">
      <c r="N193" s="170">
        <v>75</v>
      </c>
      <c r="O193" s="199">
        <f t="shared" si="137"/>
        <v>562.34132519034927</v>
      </c>
      <c r="P193" s="189" t="str">
        <f t="shared" si="103"/>
        <v>1078.86904761905</v>
      </c>
      <c r="Q193" s="160" t="str">
        <f t="shared" si="104"/>
        <v>1+110.415461001747i</v>
      </c>
      <c r="R193" s="160">
        <f t="shared" si="112"/>
        <v>110.41998926022549</v>
      </c>
      <c r="S193" s="160">
        <f t="shared" si="113"/>
        <v>1.5617398717388247</v>
      </c>
      <c r="T193" s="160" t="str">
        <f t="shared" si="105"/>
        <v>1+0.000070665895041118i</v>
      </c>
      <c r="U193" s="160">
        <f t="shared" si="114"/>
        <v>1.0000000024968343</v>
      </c>
      <c r="V193" s="160">
        <f t="shared" si="115"/>
        <v>7.0665894923490648E-5</v>
      </c>
      <c r="W193" s="98" t="str">
        <f t="shared" si="106"/>
        <v>1-0.0511084019295382i</v>
      </c>
      <c r="X193" s="160">
        <f t="shared" si="116"/>
        <v>1.0013051826230559</v>
      </c>
      <c r="Y193" s="160">
        <f t="shared" si="117"/>
        <v>-5.106397198807279E-2</v>
      </c>
      <c r="Z193" s="98" t="str">
        <f t="shared" si="107"/>
        <v>0.999873508893593+0.0201868065573472i</v>
      </c>
      <c r="AA193" s="160">
        <f t="shared" si="118"/>
        <v>1.0000772674879526</v>
      </c>
      <c r="AB193" s="160">
        <f t="shared" si="119"/>
        <v>2.0186617872345349E-2</v>
      </c>
      <c r="AC193" s="171" t="str">
        <f t="shared" si="120"/>
        <v>-0.607337723945406-9.76372100377446i</v>
      </c>
      <c r="AD193" s="190">
        <f t="shared" si="121"/>
        <v>19.80907885025632</v>
      </c>
      <c r="AE193" s="169">
        <f t="shared" si="122"/>
        <v>-93.559412577222105</v>
      </c>
      <c r="AF193" s="98" t="str">
        <f t="shared" si="108"/>
        <v>-9.95024875621891E-06</v>
      </c>
      <c r="AG193" s="98" t="str">
        <f t="shared" si="109"/>
        <v>0.00353682804680796i</v>
      </c>
      <c r="AH193" s="98">
        <f t="shared" si="123"/>
        <v>3.53682804680796E-3</v>
      </c>
      <c r="AI193" s="98">
        <f t="shared" si="124"/>
        <v>1.5707963267948966</v>
      </c>
      <c r="AJ193" s="98" t="str">
        <f t="shared" si="110"/>
        <v>1+0.0352976498706883i</v>
      </c>
      <c r="AK193" s="98">
        <f t="shared" si="125"/>
        <v>1.0006227681231292</v>
      </c>
      <c r="AL193" s="98">
        <f t="shared" si="126"/>
        <v>3.5283001422253879E-2</v>
      </c>
      <c r="AM193" s="98" t="str">
        <f t="shared" si="111"/>
        <v>1+35.332947520559i</v>
      </c>
      <c r="AN193" s="98">
        <f t="shared" si="127"/>
        <v>35.347095785800796</v>
      </c>
      <c r="AO193" s="98">
        <f t="shared" si="128"/>
        <v>1.5425016841555654</v>
      </c>
      <c r="AP193" s="168" t="str">
        <f t="shared" si="129"/>
        <v>-0.0991802096848743+0.00631415387861433i</v>
      </c>
      <c r="AQ193" s="98">
        <f t="shared" si="130"/>
        <v>-20.053933027904158</v>
      </c>
      <c r="AR193" s="169">
        <f t="shared" si="131"/>
        <v>176.35726932388621</v>
      </c>
      <c r="AS193" s="168" t="str">
        <f t="shared" si="132"/>
        <v>0.12188551965613+0.964533072613684i</v>
      </c>
      <c r="AT193" s="190">
        <f t="shared" si="133"/>
        <v>-0.24485417764783829</v>
      </c>
      <c r="AU193" s="169">
        <f t="shared" si="134"/>
        <v>82.797856746664095</v>
      </c>
      <c r="AV193" s="225"/>
      <c r="AX193">
        <f t="shared" si="135"/>
        <v>0</v>
      </c>
      <c r="AY193">
        <f t="shared" si="136"/>
        <v>0</v>
      </c>
    </row>
    <row r="194" spans="14:51" x14ac:dyDescent="0.3">
      <c r="N194" s="170">
        <v>76</v>
      </c>
      <c r="O194" s="199">
        <f t="shared" si="137"/>
        <v>575.43993733715706</v>
      </c>
      <c r="P194" s="189" t="str">
        <f t="shared" si="103"/>
        <v>1078.86904761905</v>
      </c>
      <c r="Q194" s="160" t="str">
        <f t="shared" si="104"/>
        <v>1+112.987367482537i</v>
      </c>
      <c r="R194" s="160">
        <f t="shared" si="112"/>
        <v>112.99179266935214</v>
      </c>
      <c r="S194" s="160">
        <f t="shared" si="113"/>
        <v>1.5619460109341028</v>
      </c>
      <c r="T194" s="160" t="str">
        <f t="shared" si="105"/>
        <v>1+0.0000723119151888234i</v>
      </c>
      <c r="U194" s="160">
        <f t="shared" si="114"/>
        <v>1.0000000026145064</v>
      </c>
      <c r="V194" s="160">
        <f t="shared" si="115"/>
        <v>7.2311915062783419E-5</v>
      </c>
      <c r="W194" s="98" t="str">
        <f t="shared" si="106"/>
        <v>1-0.0522988695411647i</v>
      </c>
      <c r="X194" s="160">
        <f t="shared" si="116"/>
        <v>1.0013666520087854</v>
      </c>
      <c r="Y194" s="160">
        <f t="shared" si="117"/>
        <v>-5.2251265509632265E-2</v>
      </c>
      <c r="Z194" s="98" t="str">
        <f t="shared" si="107"/>
        <v>0.999867547551407+0.0206570176866605i</v>
      </c>
      <c r="AA194" s="160">
        <f t="shared" si="118"/>
        <v>1.0000809092399336</v>
      </c>
      <c r="AB194" s="160">
        <f t="shared" si="119"/>
        <v>2.0656815504660149E-2</v>
      </c>
      <c r="AC194" s="171" t="str">
        <f t="shared" si="120"/>
        <v>-0.611314489170377-9.54091847136684i</v>
      </c>
      <c r="AD194" s="190">
        <f t="shared" si="121"/>
        <v>19.60959645739408</v>
      </c>
      <c r="AE194" s="169">
        <f t="shared" si="122"/>
        <v>-93.666096420794048</v>
      </c>
      <c r="AF194" s="98" t="str">
        <f t="shared" si="108"/>
        <v>-9.95024875621891E-06</v>
      </c>
      <c r="AG194" s="98" t="str">
        <f t="shared" si="109"/>
        <v>0.00361921135520061i</v>
      </c>
      <c r="AH194" s="98">
        <f t="shared" si="123"/>
        <v>3.61921135520061E-3</v>
      </c>
      <c r="AI194" s="98">
        <f t="shared" si="124"/>
        <v>1.5707963267948966</v>
      </c>
      <c r="AJ194" s="98" t="str">
        <f t="shared" si="110"/>
        <v>1+0.036119837756655i</v>
      </c>
      <c r="AK194" s="98">
        <f t="shared" si="125"/>
        <v>1.0006521087168943</v>
      </c>
      <c r="AL194" s="98">
        <f t="shared" si="126"/>
        <v>3.6104142213763936E-2</v>
      </c>
      <c r="AM194" s="98" t="str">
        <f t="shared" si="111"/>
        <v>1+36.1559575944117i</v>
      </c>
      <c r="AN194" s="98">
        <f t="shared" si="127"/>
        <v>36.169783930359564</v>
      </c>
      <c r="AO194" s="98">
        <f t="shared" si="128"/>
        <v>1.5431454167950698</v>
      </c>
      <c r="AP194" s="168" t="str">
        <f t="shared" si="129"/>
        <v>-0.0991743935504683+0.00633144945954255i</v>
      </c>
      <c r="AQ194" s="98">
        <f t="shared" si="130"/>
        <v>-20.054344162249723</v>
      </c>
      <c r="AR194" s="169">
        <f t="shared" si="131"/>
        <v>176.34710458552505</v>
      </c>
      <c r="AS194" s="168" t="str">
        <f t="shared" si="132"/>
        <v>0.121034586831162+0.942344296520199i</v>
      </c>
      <c r="AT194" s="190">
        <f t="shared" si="133"/>
        <v>-0.44474770485564064</v>
      </c>
      <c r="AU194" s="169">
        <f t="shared" si="134"/>
        <v>82.681008164730983</v>
      </c>
      <c r="AV194" s="225"/>
      <c r="AX194">
        <f t="shared" si="135"/>
        <v>0</v>
      </c>
      <c r="AY194">
        <f t="shared" si="136"/>
        <v>0</v>
      </c>
    </row>
    <row r="195" spans="14:51" x14ac:dyDescent="0.3">
      <c r="N195" s="170">
        <v>77</v>
      </c>
      <c r="O195" s="199">
        <f t="shared" si="137"/>
        <v>588.84365535558959</v>
      </c>
      <c r="P195" s="189" t="str">
        <f t="shared" si="103"/>
        <v>1078.86904761905</v>
      </c>
      <c r="Q195" s="160" t="str">
        <f t="shared" si="104"/>
        <v>1+115.61918136113i</v>
      </c>
      <c r="R195" s="160">
        <f t="shared" si="112"/>
        <v>115.62350582220674</v>
      </c>
      <c r="S195" s="160">
        <f t="shared" si="113"/>
        <v>1.5621474585552486</v>
      </c>
      <c r="T195" s="160" t="str">
        <f t="shared" si="105"/>
        <v>1+0.0000739962760711232i</v>
      </c>
      <c r="U195" s="160">
        <f t="shared" si="114"/>
        <v>1.0000000027377245</v>
      </c>
      <c r="V195" s="160">
        <f t="shared" si="115"/>
        <v>7.3996275936068917E-5</v>
      </c>
      <c r="W195" s="98" t="str">
        <f t="shared" si="106"/>
        <v>1-0.0535170667056792i</v>
      </c>
      <c r="X195" s="160">
        <f t="shared" si="116"/>
        <v>1.0014310143134075</v>
      </c>
      <c r="Y195" s="160">
        <f t="shared" si="117"/>
        <v>-5.3466062002755686E-2</v>
      </c>
      <c r="Z195" s="98" t="str">
        <f t="shared" si="107"/>
        <v>0.999861305259819+0.0211381814401793i</v>
      </c>
      <c r="AA195" s="160">
        <f t="shared" si="118"/>
        <v>1.0000847226462701</v>
      </c>
      <c r="AB195" s="160">
        <f t="shared" si="119"/>
        <v>2.1137964795594346E-2</v>
      </c>
      <c r="AC195" s="171" t="str">
        <f t="shared" si="120"/>
        <v>-0.615111560299552-9.32317149327373i</v>
      </c>
      <c r="AD195" s="190">
        <f t="shared" si="121"/>
        <v>19.4101369113442</v>
      </c>
      <c r="AE195" s="169">
        <f t="shared" si="122"/>
        <v>-93.774712548218957</v>
      </c>
      <c r="AF195" s="98" t="str">
        <f t="shared" si="108"/>
        <v>-9.95024875621891E-06</v>
      </c>
      <c r="AG195" s="98" t="str">
        <f t="shared" si="109"/>
        <v>0.00370351361735972i</v>
      </c>
      <c r="AH195" s="98">
        <f t="shared" si="123"/>
        <v>3.7035136173597201E-3</v>
      </c>
      <c r="AI195" s="98">
        <f t="shared" si="124"/>
        <v>1.5707963267948966</v>
      </c>
      <c r="AJ195" s="98" t="str">
        <f t="shared" si="110"/>
        <v>1+0.0369611768587029i</v>
      </c>
      <c r="AK195" s="98">
        <f t="shared" si="125"/>
        <v>1.0006828311681881</v>
      </c>
      <c r="AL195" s="98">
        <f t="shared" si="126"/>
        <v>3.6944359401236769E-2</v>
      </c>
      <c r="AM195" s="98" t="str">
        <f t="shared" si="111"/>
        <v>1+36.9981380355616i</v>
      </c>
      <c r="AN195" s="98">
        <f t="shared" si="127"/>
        <v>37.011649761912402</v>
      </c>
      <c r="AO195" s="98">
        <f t="shared" si="128"/>
        <v>1.5437745184411538</v>
      </c>
      <c r="AP195" s="168" t="str">
        <f t="shared" si="129"/>
        <v>-0.0991683040411678+0.00635208227922646i</v>
      </c>
      <c r="AQ195" s="98">
        <f t="shared" si="130"/>
        <v>-20.05476024756998</v>
      </c>
      <c r="AR195" s="169">
        <f t="shared" si="131"/>
        <v>176.33500855601386</v>
      </c>
      <c r="AS195" s="168" t="str">
        <f t="shared" si="132"/>
        <v>0.120221122659636+0.920655866030991i</v>
      </c>
      <c r="AT195" s="190">
        <f t="shared" si="133"/>
        <v>-0.64462333622578594</v>
      </c>
      <c r="AU195" s="169">
        <f t="shared" si="134"/>
        <v>82.560296007794918</v>
      </c>
      <c r="AV195" s="225"/>
      <c r="AX195">
        <f t="shared" si="135"/>
        <v>0</v>
      </c>
      <c r="AY195">
        <f t="shared" si="136"/>
        <v>0</v>
      </c>
    </row>
    <row r="196" spans="14:51" x14ac:dyDescent="0.3">
      <c r="N196" s="170">
        <v>78</v>
      </c>
      <c r="O196" s="199">
        <f t="shared" si="137"/>
        <v>602.55958607435832</v>
      </c>
      <c r="P196" s="189" t="str">
        <f t="shared" si="103"/>
        <v>1078.86904761905</v>
      </c>
      <c r="Q196" s="160" t="str">
        <f t="shared" si="104"/>
        <v>1+118.312298060082i</v>
      </c>
      <c r="R196" s="160">
        <f t="shared" si="112"/>
        <v>118.31652408796364</v>
      </c>
      <c r="S196" s="160">
        <f t="shared" si="113"/>
        <v>1.5623443213470205</v>
      </c>
      <c r="T196" s="160" t="str">
        <f t="shared" si="105"/>
        <v>1+0.0000757198707584524i</v>
      </c>
      <c r="U196" s="160">
        <f t="shared" si="114"/>
        <v>1.0000000028667493</v>
      </c>
      <c r="V196" s="160">
        <f t="shared" si="115"/>
        <v>7.5719870613739139E-5</v>
      </c>
      <c r="W196" s="98" t="str">
        <f t="shared" si="106"/>
        <v>1-0.0547636393273431i</v>
      </c>
      <c r="X196" s="160">
        <f t="shared" si="116"/>
        <v>1.0014984054866864</v>
      </c>
      <c r="Y196" s="160">
        <f t="shared" si="117"/>
        <v>-5.4708991218791976E-2</v>
      </c>
      <c r="Z196" s="98" t="str">
        <f t="shared" si="107"/>
        <v>0.999854768778092+0.0216305529372946i</v>
      </c>
      <c r="AA196" s="160">
        <f t="shared" si="118"/>
        <v>1.0000887157990859</v>
      </c>
      <c r="AB196" s="160">
        <f t="shared" si="119"/>
        <v>2.1630320795445482E-2</v>
      </c>
      <c r="AC196" s="171" t="str">
        <f t="shared" si="120"/>
        <v>-0.618736987729635-9.11036482965371i</v>
      </c>
      <c r="AD196" s="190">
        <f t="shared" si="121"/>
        <v>19.21070134855615</v>
      </c>
      <c r="AE196" s="169">
        <f t="shared" si="122"/>
        <v>-93.885317719751825</v>
      </c>
      <c r="AF196" s="98" t="str">
        <f t="shared" si="108"/>
        <v>-9.95024875621891E-06</v>
      </c>
      <c r="AG196" s="98" t="str">
        <f t="shared" si="109"/>
        <v>0.00378977953146054i</v>
      </c>
      <c r="AH196" s="98">
        <f t="shared" si="123"/>
        <v>3.7897795314605401E-3</v>
      </c>
      <c r="AI196" s="98">
        <f t="shared" si="124"/>
        <v>1.5707963267948966</v>
      </c>
      <c r="AJ196" s="98" t="str">
        <f t="shared" si="110"/>
        <v>1+0.0378221132659602i</v>
      </c>
      <c r="AK196" s="98">
        <f t="shared" si="125"/>
        <v>1.0007150005130847</v>
      </c>
      <c r="AL196" s="98">
        <f t="shared" si="126"/>
        <v>3.7804093730926282E-2</v>
      </c>
      <c r="AM196" s="98" t="str">
        <f t="shared" si="111"/>
        <v>1+37.8599353792262i</v>
      </c>
      <c r="AN196" s="98">
        <f t="shared" si="127"/>
        <v>37.873139649614259</v>
      </c>
      <c r="AO196" s="98">
        <f t="shared" si="128"/>
        <v>1.5443893206588661</v>
      </c>
      <c r="AP196" s="168" t="str">
        <f t="shared" si="129"/>
        <v>-0.0991619283435966+0.00637606186674684i</v>
      </c>
      <c r="AQ196" s="98">
        <f t="shared" si="130"/>
        <v>-20.055182163464455</v>
      </c>
      <c r="AR196" s="169">
        <f t="shared" si="131"/>
        <v>176.32097497973032</v>
      </c>
      <c r="AS196" s="168" t="str">
        <f t="shared" si="132"/>
        <v>0.119443402623285+0.899456239109135i</v>
      </c>
      <c r="AT196" s="190">
        <f t="shared" si="133"/>
        <v>-0.84448081490831095</v>
      </c>
      <c r="AU196" s="169">
        <f t="shared" si="134"/>
        <v>82.435657259978541</v>
      </c>
      <c r="AV196" s="225"/>
      <c r="AX196">
        <f t="shared" si="135"/>
        <v>0</v>
      </c>
      <c r="AY196">
        <f t="shared" si="136"/>
        <v>0</v>
      </c>
    </row>
    <row r="197" spans="14:51" x14ac:dyDescent="0.3">
      <c r="N197" s="170">
        <v>79</v>
      </c>
      <c r="O197" s="199">
        <f t="shared" si="137"/>
        <v>616.59500186148273</v>
      </c>
      <c r="P197" s="189" t="str">
        <f t="shared" si="103"/>
        <v>1078.86904761905</v>
      </c>
      <c r="Q197" s="160" t="str">
        <f t="shared" si="104"/>
        <v>1+121.068145505514i</v>
      </c>
      <c r="R197" s="160">
        <f t="shared" si="112"/>
        <v>121.07227534057627</v>
      </c>
      <c r="S197" s="160">
        <f t="shared" si="113"/>
        <v>1.5625367036276057</v>
      </c>
      <c r="T197" s="160" t="str">
        <f t="shared" si="105"/>
        <v>1+0.0000774836131235288i</v>
      </c>
      <c r="U197" s="160">
        <f t="shared" si="114"/>
        <v>1.000000003001855</v>
      </c>
      <c r="V197" s="160">
        <f t="shared" si="115"/>
        <v>7.7483612968465743E-5</v>
      </c>
      <c r="W197" s="98" t="str">
        <f t="shared" si="106"/>
        <v>1-0.056039248355461i</v>
      </c>
      <c r="X197" s="160">
        <f t="shared" si="116"/>
        <v>1.0015689678480684</v>
      </c>
      <c r="Y197" s="160">
        <f t="shared" si="117"/>
        <v>-5.5980696805214815E-2</v>
      </c>
      <c r="Z197" s="98" t="str">
        <f t="shared" si="107"/>
        <v>0.999847924241472+0.0221343932398915i</v>
      </c>
      <c r="AA197" s="160">
        <f t="shared" si="118"/>
        <v>1.000092897172097</v>
      </c>
      <c r="AB197" s="160">
        <f t="shared" si="119"/>
        <v>2.2134144492059384E-2</v>
      </c>
      <c r="AC197" s="171" t="str">
        <f t="shared" si="120"/>
        <v>-0.622198458105474-8.90238584598812i</v>
      </c>
      <c r="AD197" s="190">
        <f t="shared" si="121"/>
        <v>19.011290955399069</v>
      </c>
      <c r="AE197" s="169">
        <f t="shared" si="122"/>
        <v>-93.997969691809274</v>
      </c>
      <c r="AF197" s="98" t="str">
        <f t="shared" si="108"/>
        <v>-9.95024875621891E-06</v>
      </c>
      <c r="AG197" s="98" t="str">
        <f t="shared" si="109"/>
        <v>0.00387805483683262i</v>
      </c>
      <c r="AH197" s="98">
        <f t="shared" si="123"/>
        <v>3.8780548368326198E-3</v>
      </c>
      <c r="AI197" s="98">
        <f t="shared" si="124"/>
        <v>1.5707963267948966</v>
      </c>
      <c r="AJ197" s="98" t="str">
        <f t="shared" si="110"/>
        <v>1+0.0387031034583061i</v>
      </c>
      <c r="AK197" s="98">
        <f t="shared" si="125"/>
        <v>1.0007486848441542</v>
      </c>
      <c r="AL197" s="98">
        <f t="shared" si="126"/>
        <v>3.8683795958718729E-2</v>
      </c>
      <c r="AM197" s="98" t="str">
        <f t="shared" si="111"/>
        <v>1+38.7418065617644i</v>
      </c>
      <c r="AN197" s="98">
        <f t="shared" si="127"/>
        <v>38.754710367504629</v>
      </c>
      <c r="AO197" s="98">
        <f t="shared" si="128"/>
        <v>1.5449901475643437</v>
      </c>
      <c r="AP197" s="168" t="str">
        <f t="shared" si="129"/>
        <v>-0.0991552530472703+0.00640339942526733i</v>
      </c>
      <c r="AQ197" s="98">
        <f t="shared" si="130"/>
        <v>-20.055610801744763</v>
      </c>
      <c r="AR197" s="169">
        <f t="shared" si="131"/>
        <v>176.30499660075134</v>
      </c>
      <c r="AS197" s="168" t="str">
        <f t="shared" si="132"/>
        <v>0.118699777968778+0.878734136034355i</v>
      </c>
      <c r="AT197" s="190">
        <f t="shared" si="133"/>
        <v>-1.0443198463456884</v>
      </c>
      <c r="AU197" s="169">
        <f t="shared" si="134"/>
        <v>82.307026908942078</v>
      </c>
      <c r="AV197" s="225"/>
      <c r="AX197">
        <f t="shared" si="135"/>
        <v>0</v>
      </c>
      <c r="AY197">
        <f t="shared" si="136"/>
        <v>0</v>
      </c>
    </row>
    <row r="198" spans="14:51" x14ac:dyDescent="0.3">
      <c r="N198" s="170">
        <v>80</v>
      </c>
      <c r="O198" s="199">
        <f t="shared" si="137"/>
        <v>630.95734448019323</v>
      </c>
      <c r="P198" s="189" t="str">
        <f t="shared" si="103"/>
        <v>1078.86904761905</v>
      </c>
      <c r="Q198" s="160" t="str">
        <f t="shared" si="104"/>
        <v>1+123.888184884219i</v>
      </c>
      <c r="R198" s="160">
        <f t="shared" si="112"/>
        <v>123.8922207158562</v>
      </c>
      <c r="S198" s="160">
        <f t="shared" si="113"/>
        <v>1.5627247073436414</v>
      </c>
      <c r="T198" s="160" t="str">
        <f t="shared" si="105"/>
        <v>1+0.0000792884383259i</v>
      </c>
      <c r="U198" s="160">
        <f t="shared" si="114"/>
        <v>1.0000000031433283</v>
      </c>
      <c r="V198" s="160">
        <f t="shared" si="115"/>
        <v>7.9288438159746933E-5</v>
      </c>
      <c r="W198" s="98" t="str">
        <f t="shared" si="106"/>
        <v>1-0.0573445701348239i</v>
      </c>
      <c r="X198" s="160">
        <f t="shared" si="116"/>
        <v>1.0016428503832828</v>
      </c>
      <c r="Y198" s="160">
        <f t="shared" si="117"/>
        <v>-5.7281836574664242E-2</v>
      </c>
      <c r="Z198" s="98" t="str">
        <f t="shared" si="107"/>
        <v>0.999840757131779+0.0226499694907674i</v>
      </c>
      <c r="AA198" s="160">
        <f t="shared" si="118"/>
        <v>1.0000972756386159</v>
      </c>
      <c r="AB198" s="160">
        <f t="shared" si="119"/>
        <v>2.2649702948894082E-2</v>
      </c>
      <c r="AC198" s="171" t="str">
        <f t="shared" si="120"/>
        <v>-0.625503310595811-8.6991244543067i</v>
      </c>
      <c r="AD198" s="190">
        <f t="shared" si="121"/>
        <v>18.811906970586385</v>
      </c>
      <c r="AE198" s="169">
        <f t="shared" si="122"/>
        <v>-94.11272724341967</v>
      </c>
      <c r="AF198" s="98" t="str">
        <f t="shared" si="108"/>
        <v>-9.95024875621891E-06</v>
      </c>
      <c r="AG198" s="98" t="str">
        <f t="shared" si="109"/>
        <v>0.00396838633821129i</v>
      </c>
      <c r="AH198" s="98">
        <f t="shared" si="123"/>
        <v>3.9683863382112897E-3</v>
      </c>
      <c r="AI198" s="98">
        <f t="shared" si="124"/>
        <v>1.5707963267948966</v>
      </c>
      <c r="AJ198" s="98" t="str">
        <f t="shared" si="110"/>
        <v>1+0.0396046145484016i</v>
      </c>
      <c r="AK198" s="98">
        <f t="shared" si="125"/>
        <v>1.000783955453687</v>
      </c>
      <c r="AL198" s="98">
        <f t="shared" si="126"/>
        <v>3.958392706502787E-2</v>
      </c>
      <c r="AM198" s="98" t="str">
        <f t="shared" si="111"/>
        <v>1+39.64421916295i</v>
      </c>
      <c r="AN198" s="98">
        <f t="shared" si="127"/>
        <v>39.656829336698266</v>
      </c>
      <c r="AO198" s="98">
        <f t="shared" si="128"/>
        <v>1.545577315987817</v>
      </c>
      <c r="AP198" s="168" t="str">
        <f t="shared" si="129"/>
        <v>-0.0991482641171078+0.00643410783085065i</v>
      </c>
      <c r="AQ198" s="98">
        <f t="shared" si="130"/>
        <v>-20.056047068299627</v>
      </c>
      <c r="AR198" s="169">
        <f t="shared" si="131"/>
        <v>176.28706515987977</v>
      </c>
      <c r="AS198" s="168" t="str">
        <f t="shared" si="132"/>
        <v>0.117988672218078+0.858478533234264i</v>
      </c>
      <c r="AT198" s="190">
        <f t="shared" si="133"/>
        <v>-1.2441400977132411</v>
      </c>
      <c r="AU198" s="169">
        <f t="shared" si="134"/>
        <v>82.174337916460075</v>
      </c>
      <c r="AV198" s="225"/>
      <c r="AX198">
        <f t="shared" si="135"/>
        <v>0</v>
      </c>
      <c r="AY198">
        <f t="shared" si="136"/>
        <v>0</v>
      </c>
    </row>
    <row r="199" spans="14:51" x14ac:dyDescent="0.3">
      <c r="N199" s="170">
        <v>81</v>
      </c>
      <c r="O199" s="199">
        <f t="shared" si="137"/>
        <v>645.65422903465594</v>
      </c>
      <c r="P199" s="189" t="str">
        <f t="shared" si="103"/>
        <v>1078.86904761905</v>
      </c>
      <c r="Q199" s="160" t="str">
        <f t="shared" si="104"/>
        <v>1+126.773911418403i</v>
      </c>
      <c r="R199" s="160">
        <f t="shared" si="112"/>
        <v>126.77785538618758</v>
      </c>
      <c r="S199" s="160">
        <f t="shared" si="113"/>
        <v>1.5629084321239954</v>
      </c>
      <c r="T199" s="160" t="str">
        <f t="shared" si="105"/>
        <v>1+0.0000811353033077782i</v>
      </c>
      <c r="U199" s="160">
        <f t="shared" si="114"/>
        <v>1.0000000032914687</v>
      </c>
      <c r="V199" s="160">
        <f t="shared" si="115"/>
        <v>8.1135303129741999E-5</v>
      </c>
      <c r="W199" s="98" t="str">
        <f t="shared" si="106"/>
        <v>1-0.0586802967643175i</v>
      </c>
      <c r="X199" s="160">
        <f t="shared" si="116"/>
        <v>1.0017202090545785</v>
      </c>
      <c r="Y199" s="160">
        <f t="shared" si="117"/>
        <v>-5.8613082776424616E-2</v>
      </c>
      <c r="Z199" s="98" t="str">
        <f t="shared" si="107"/>
        <v>0.999833252246612+0.0231775550552752i</v>
      </c>
      <c r="AA199" s="160">
        <f t="shared" si="118"/>
        <v>1.0001018604904091</v>
      </c>
      <c r="AB199" s="160">
        <f t="shared" si="119"/>
        <v>2.3177269446283399E-2</v>
      </c>
      <c r="AC199" s="171" t="str">
        <f t="shared" si="120"/>
        <v>-0.628658552434553-8.50047305570124i</v>
      </c>
      <c r="AD199" s="190">
        <f t="shared" si="121"/>
        <v>18.612550687703106</v>
      </c>
      <c r="AE199" s="169">
        <f t="shared" si="122"/>
        <v>-94.229650202924375</v>
      </c>
      <c r="AF199" s="98" t="str">
        <f t="shared" si="108"/>
        <v>-9.95024875621891E-06</v>
      </c>
      <c r="AG199" s="98" t="str">
        <f t="shared" si="109"/>
        <v>0.0040608219305543i</v>
      </c>
      <c r="AH199" s="98">
        <f t="shared" si="123"/>
        <v>4.0608219305543003E-3</v>
      </c>
      <c r="AI199" s="98">
        <f t="shared" si="124"/>
        <v>1.5707963267948966</v>
      </c>
      <c r="AJ199" s="98" t="str">
        <f t="shared" si="110"/>
        <v>1+0.0405271245293597i</v>
      </c>
      <c r="AK199" s="98">
        <f t="shared" si="125"/>
        <v>1.0008208869835893</v>
      </c>
      <c r="AL199" s="98">
        <f t="shared" si="126"/>
        <v>4.0504958473403643E-2</v>
      </c>
      <c r="AM199" s="98" t="str">
        <f t="shared" si="111"/>
        <v>1+40.5676516538891i</v>
      </c>
      <c r="AN199" s="98">
        <f t="shared" si="127"/>
        <v>40.579974873221538</v>
      </c>
      <c r="AO199" s="98">
        <f t="shared" si="128"/>
        <v>1.5461511356333391</v>
      </c>
      <c r="AP199" s="168" t="str">
        <f t="shared" si="129"/>
        <v>-0.0991409468647041+0.00646820163165913i</v>
      </c>
      <c r="AQ199" s="98">
        <f t="shared" si="130"/>
        <v>-20.056491884988645</v>
      </c>
      <c r="AR199" s="169">
        <f t="shared" si="131"/>
        <v>176.26717139127092</v>
      </c>
      <c r="AS199" s="168" t="str">
        <f t="shared" si="132"/>
        <v>0.117308577831717+0.838678657265512i</v>
      </c>
      <c r="AT199" s="190">
        <f t="shared" si="133"/>
        <v>-1.4439411972855352</v>
      </c>
      <c r="AU199" s="169">
        <f t="shared" si="134"/>
        <v>82.03752118834656</v>
      </c>
      <c r="AV199" s="225"/>
      <c r="AX199">
        <f t="shared" si="135"/>
        <v>0</v>
      </c>
      <c r="AY199">
        <f t="shared" si="136"/>
        <v>0</v>
      </c>
    </row>
    <row r="200" spans="14:51" x14ac:dyDescent="0.3">
      <c r="N200" s="170">
        <v>82</v>
      </c>
      <c r="O200" s="199">
        <f t="shared" si="137"/>
        <v>660.69344800759643</v>
      </c>
      <c r="P200" s="189" t="str">
        <f t="shared" si="103"/>
        <v>1078.86904761905</v>
      </c>
      <c r="Q200" s="160" t="str">
        <f t="shared" si="104"/>
        <v>1+129.726855158473i</v>
      </c>
      <c r="R200" s="160">
        <f t="shared" si="112"/>
        <v>129.73070935328857</v>
      </c>
      <c r="S200" s="160">
        <f t="shared" si="113"/>
        <v>1.5630879753323366</v>
      </c>
      <c r="T200" s="160" t="str">
        <f t="shared" si="105"/>
        <v>1+0.000083025187301423i</v>
      </c>
      <c r="U200" s="160">
        <f t="shared" si="114"/>
        <v>1.0000000034465908</v>
      </c>
      <c r="V200" s="160">
        <f t="shared" si="115"/>
        <v>8.3025187110653766E-5</v>
      </c>
      <c r="W200" s="98" t="str">
        <f t="shared" si="106"/>
        <v>1-0.0600471364638812i</v>
      </c>
      <c r="X200" s="160">
        <f t="shared" si="116"/>
        <v>1.001801207125202</v>
      </c>
      <c r="Y200" s="160">
        <f t="shared" si="117"/>
        <v>-5.9975122370126116E-2</v>
      </c>
      <c r="Z200" s="98" t="str">
        <f t="shared" si="107"/>
        <v>0.999825393667104+0.0237174296662645i</v>
      </c>
      <c r="AA200" s="160">
        <f t="shared" si="118"/>
        <v>1.0001066614574434</v>
      </c>
      <c r="AB200" s="160">
        <f t="shared" si="119"/>
        <v>2.3717123625971222E-2</v>
      </c>
      <c r="AC200" s="171" t="str">
        <f t="shared" si="120"/>
        <v>-0.631670873760278-8.3063264841001i</v>
      </c>
      <c r="AD200" s="190">
        <f t="shared" si="121"/>
        <v>18.413223457839639</v>
      </c>
      <c r="AE200" s="169">
        <f t="shared" si="122"/>
        <v>-94.348799474924149</v>
      </c>
      <c r="AF200" s="98" t="str">
        <f t="shared" si="108"/>
        <v>-9.95024875621891E-06</v>
      </c>
      <c r="AG200" s="98" t="str">
        <f t="shared" si="109"/>
        <v>0.00415541062443622i</v>
      </c>
      <c r="AH200" s="98">
        <f t="shared" si="123"/>
        <v>4.1554106244362198E-3</v>
      </c>
      <c r="AI200" s="98">
        <f t="shared" si="124"/>
        <v>1.5707963267948966</v>
      </c>
      <c r="AJ200" s="98" t="str">
        <f t="shared" si="110"/>
        <v>1+0.0414711225281833i</v>
      </c>
      <c r="AK200" s="98">
        <f t="shared" si="125"/>
        <v>1.0008595575822552</v>
      </c>
      <c r="AL200" s="98">
        <f t="shared" si="126"/>
        <v>4.14473722728467E-2</v>
      </c>
      <c r="AM200" s="98" t="str">
        <f t="shared" si="111"/>
        <v>1+41.5125936507115i</v>
      </c>
      <c r="AN200" s="98">
        <f t="shared" si="127"/>
        <v>41.524636441624544</v>
      </c>
      <c r="AO200" s="98">
        <f t="shared" si="128"/>
        <v>1.5467119092352877</v>
      </c>
      <c r="AP200" s="168" t="str">
        <f t="shared" si="129"/>
        <v>-0.0991332859183231+0.00650569704750444i</v>
      </c>
      <c r="AQ200" s="98">
        <f t="shared" si="130"/>
        <v>-20.056946191567711</v>
      </c>
      <c r="AR200" s="169">
        <f t="shared" si="131"/>
        <v>176.24530501866195</v>
      </c>
      <c r="AS200" s="168" t="str">
        <f t="shared" si="132"/>
        <v>0.116658053017973+0.819323978940818i</v>
      </c>
      <c r="AT200" s="190">
        <f t="shared" si="133"/>
        <v>-1.6437227337280738</v>
      </c>
      <c r="AU200" s="169">
        <f t="shared" si="134"/>
        <v>81.896505543737803</v>
      </c>
      <c r="AV200" s="225"/>
      <c r="AX200">
        <f t="shared" si="135"/>
        <v>0</v>
      </c>
      <c r="AY200">
        <f t="shared" si="136"/>
        <v>0</v>
      </c>
    </row>
    <row r="201" spans="14:51" x14ac:dyDescent="0.3">
      <c r="N201" s="170">
        <v>83</v>
      </c>
      <c r="O201" s="199">
        <f t="shared" si="137"/>
        <v>676.08297539198213</v>
      </c>
      <c r="P201" s="189" t="str">
        <f t="shared" si="103"/>
        <v>1078.86904761905</v>
      </c>
      <c r="Q201" s="160" t="str">
        <f t="shared" si="104"/>
        <v>1+132.748581794286i</v>
      </c>
      <c r="R201" s="160">
        <f t="shared" si="112"/>
        <v>132.75234825943474</v>
      </c>
      <c r="S201" s="160">
        <f t="shared" si="113"/>
        <v>1.5632634321185226</v>
      </c>
      <c r="T201" s="160" t="str">
        <f t="shared" si="105"/>
        <v>1+0.0000849590923483432i</v>
      </c>
      <c r="U201" s="160">
        <f t="shared" si="114"/>
        <v>1.0000000036090235</v>
      </c>
      <c r="V201" s="160">
        <f t="shared" si="115"/>
        <v>8.4959092143930287E-5</v>
      </c>
      <c r="W201" s="98" t="str">
        <f t="shared" si="106"/>
        <v>1-0.0614458139500158i</v>
      </c>
      <c r="X201" s="160">
        <f t="shared" si="116"/>
        <v>1.0018860154987592</v>
      </c>
      <c r="Y201" s="160">
        <f t="shared" si="117"/>
        <v>-6.1368657301442128E-2</v>
      </c>
      <c r="Z201" s="98" t="str">
        <f t="shared" si="107"/>
        <v>0.999817164724154+0.0242698795724001i</v>
      </c>
      <c r="AA201" s="160">
        <f t="shared" si="118"/>
        <v>1.0001116887285666</v>
      </c>
      <c r="AB201" s="160">
        <f t="shared" si="119"/>
        <v>2.4269551638994E-2</v>
      </c>
      <c r="AC201" s="171" t="str">
        <f t="shared" si="120"/>
        <v>-0.634546661785281-8.11658195127935i</v>
      </c>
      <c r="AD201" s="190">
        <f t="shared" si="121"/>
        <v>18.213926692338372</v>
      </c>
      <c r="AE201" s="169">
        <f t="shared" si="122"/>
        <v>-94.470237067462577</v>
      </c>
      <c r="AF201" s="98" t="str">
        <f t="shared" si="108"/>
        <v>-9.95024875621891E-06</v>
      </c>
      <c r="AG201" s="98" t="str">
        <f t="shared" si="109"/>
        <v>0.00425220257203458i</v>
      </c>
      <c r="AH201" s="98">
        <f t="shared" si="123"/>
        <v>4.2522025720345804E-3</v>
      </c>
      <c r="AI201" s="98">
        <f t="shared" si="124"/>
        <v>1.5707963267948966</v>
      </c>
      <c r="AJ201" s="98" t="str">
        <f t="shared" si="110"/>
        <v>1+0.0424371090651065i</v>
      </c>
      <c r="AK201" s="98">
        <f t="shared" si="125"/>
        <v>1.0009000490687388</v>
      </c>
      <c r="AL201" s="98">
        <f t="shared" si="126"/>
        <v>4.2411661443818999E-2</v>
      </c>
      <c r="AM201" s="98" t="str">
        <f t="shared" si="111"/>
        <v>1+42.4795461741716i</v>
      </c>
      <c r="AN201" s="98">
        <f t="shared" si="127"/>
        <v>42.491314914504315</v>
      </c>
      <c r="AO201" s="98">
        <f t="shared" si="128"/>
        <v>1.5472599327116821</v>
      </c>
      <c r="AP201" s="168" t="str">
        <f t="shared" si="129"/>
        <v>-0.0991252651915459+0.0065466119697084i</v>
      </c>
      <c r="AQ201" s="98">
        <f t="shared" si="130"/>
        <v>-20.057410947650759</v>
      </c>
      <c r="AR201" s="169">
        <f t="shared" si="131"/>
        <v>176.22145475120655</v>
      </c>
      <c r="AS201" s="168" t="str">
        <f t="shared" si="132"/>
        <v>0.116035718681241+0.800404207598099i</v>
      </c>
      <c r="AT201" s="190">
        <f t="shared" si="133"/>
        <v>-1.84348425531238</v>
      </c>
      <c r="AU201" s="169">
        <f t="shared" si="134"/>
        <v>81.751217683743988</v>
      </c>
      <c r="AV201" s="225"/>
      <c r="AX201">
        <f t="shared" si="135"/>
        <v>0</v>
      </c>
      <c r="AY201">
        <f t="shared" si="136"/>
        <v>0</v>
      </c>
    </row>
    <row r="202" spans="14:51" x14ac:dyDescent="0.3">
      <c r="N202" s="170">
        <v>84</v>
      </c>
      <c r="O202" s="199">
        <f t="shared" si="137"/>
        <v>691.83097091893671</v>
      </c>
      <c r="P202" s="189" t="str">
        <f t="shared" si="103"/>
        <v>1078.86904761905</v>
      </c>
      <c r="Q202" s="160" t="str">
        <f t="shared" si="104"/>
        <v>1+135.840693485302i</v>
      </c>
      <c r="R202" s="160">
        <f t="shared" si="112"/>
        <v>135.84437421758685</v>
      </c>
      <c r="S202" s="160">
        <f t="shared" si="113"/>
        <v>1.5634348954688273</v>
      </c>
      <c r="T202" s="160" t="str">
        <f t="shared" si="105"/>
        <v>1+0.000086938043830593i</v>
      </c>
      <c r="U202" s="160">
        <f t="shared" si="114"/>
        <v>1.0000000037791117</v>
      </c>
      <c r="V202" s="160">
        <f t="shared" si="115"/>
        <v>8.6938043611560611E-5</v>
      </c>
      <c r="W202" s="98" t="str">
        <f t="shared" si="106"/>
        <v>1-0.0628770708200381i</v>
      </c>
      <c r="X202" s="160">
        <f t="shared" si="116"/>
        <v>1.0019748130741153</v>
      </c>
      <c r="Y202" s="160">
        <f t="shared" si="117"/>
        <v>-6.2794404779526261E-2</v>
      </c>
      <c r="Z202" s="98" t="str">
        <f t="shared" si="107"/>
        <v>0.999808547963071+0.0248351976899348i</v>
      </c>
      <c r="AA202" s="160">
        <f t="shared" si="118"/>
        <v>1.0001169529731622</v>
      </c>
      <c r="AB202" s="160">
        <f t="shared" si="119"/>
        <v>2.4834846296986176E-2</v>
      </c>
      <c r="AC202" s="171" t="str">
        <f t="shared" si="120"/>
        <v>-0.637292014323955-7.93113899308173i</v>
      </c>
      <c r="AD202" s="190">
        <f t="shared" si="121"/>
        <v>18.014661865654549</v>
      </c>
      <c r="AE202" s="169">
        <f t="shared" si="122"/>
        <v>-94.594026119439164</v>
      </c>
      <c r="AF202" s="98" t="str">
        <f t="shared" si="108"/>
        <v>-9.95024875621891E-06</v>
      </c>
      <c r="AG202" s="98" t="str">
        <f t="shared" si="109"/>
        <v>0.00435124909372118i</v>
      </c>
      <c r="AH202" s="98">
        <f t="shared" si="123"/>
        <v>4.3512490937211799E-3</v>
      </c>
      <c r="AI202" s="98">
        <f t="shared" si="124"/>
        <v>1.5707963267948966</v>
      </c>
      <c r="AJ202" s="98" t="str">
        <f t="shared" si="110"/>
        <v>1+0.0434255963189775i</v>
      </c>
      <c r="AK202" s="98">
        <f t="shared" si="125"/>
        <v>1.0009424471045569</v>
      </c>
      <c r="AL202" s="98">
        <f t="shared" si="126"/>
        <v>4.3398330087933125E-2</v>
      </c>
      <c r="AM202" s="98" t="str">
        <f t="shared" si="111"/>
        <v>1+43.4690219152965i</v>
      </c>
      <c r="AN202" s="98">
        <f t="shared" si="127"/>
        <v>43.480522838076908</v>
      </c>
      <c r="AO202" s="98">
        <f t="shared" si="128"/>
        <v>1.5477954953143673</v>
      </c>
      <c r="AP202" s="168" t="str">
        <f t="shared" si="129"/>
        <v>-0.0991168678505267+0.00659096596123504i</v>
      </c>
      <c r="AQ202" s="98">
        <f t="shared" si="130"/>
        <v>-20.057887134711084</v>
      </c>
      <c r="AR202" s="169">
        <f t="shared" si="131"/>
        <v>176.19560827891985</v>
      </c>
      <c r="AS202" s="168" t="str">
        <f t="shared" si="132"/>
        <v>0.115440255503169+0.781909285507665i</v>
      </c>
      <c r="AT202" s="190">
        <f t="shared" si="133"/>
        <v>-2.0432252690565371</v>
      </c>
      <c r="AU202" s="169">
        <f t="shared" si="134"/>
        <v>81.601582159480699</v>
      </c>
      <c r="AV202" s="225"/>
      <c r="AX202">
        <f t="shared" si="135"/>
        <v>0</v>
      </c>
      <c r="AY202">
        <f t="shared" si="136"/>
        <v>0</v>
      </c>
    </row>
    <row r="203" spans="14:51" x14ac:dyDescent="0.3">
      <c r="N203" s="170">
        <v>85</v>
      </c>
      <c r="O203" s="199">
        <f t="shared" si="137"/>
        <v>707.94578438413873</v>
      </c>
      <c r="P203" s="189" t="str">
        <f t="shared" si="103"/>
        <v>1078.86904761905</v>
      </c>
      <c r="Q203" s="160" t="str">
        <f t="shared" si="104"/>
        <v>1+139.004829710067i</v>
      </c>
      <c r="R203" s="160">
        <f t="shared" si="112"/>
        <v>139.00842666084932</v>
      </c>
      <c r="S203" s="160">
        <f t="shared" si="113"/>
        <v>1.5636024562550377</v>
      </c>
      <c r="T203" s="160" t="str">
        <f t="shared" si="105"/>
        <v>1+0.000088963091014443i</v>
      </c>
      <c r="U203" s="160">
        <f t="shared" si="114"/>
        <v>1.0000000039572157</v>
      </c>
      <c r="V203" s="160">
        <f t="shared" si="115"/>
        <v>8.8963090779745559E-5</v>
      </c>
      <c r="W203" s="98" t="str">
        <f t="shared" si="106"/>
        <v>1-0.0643416659452858i</v>
      </c>
      <c r="X203" s="160">
        <f t="shared" si="116"/>
        <v>1.0020677871165278</v>
      </c>
      <c r="Y203" s="160">
        <f t="shared" si="117"/>
        <v>-6.4253097555906913E-2</v>
      </c>
      <c r="Z203" s="98" t="str">
        <f t="shared" si="107"/>
        <v>0.999799525106549+0.0254136837580175i</v>
      </c>
      <c r="AA203" s="160">
        <f t="shared" si="118"/>
        <v>1.0001224653638339</v>
      </c>
      <c r="AB203" s="160">
        <f t="shared" si="119"/>
        <v>2.5413307226987467E-2</v>
      </c>
      <c r="AC203" s="171" t="str">
        <f t="shared" si="120"/>
        <v>-0.639912752709111-7.74989941682238i</v>
      </c>
      <c r="AD203" s="190">
        <f t="shared" si="121"/>
        <v>17.815430518340442</v>
      </c>
      <c r="AE203" s="169">
        <f t="shared" si="122"/>
        <v>-94.720230928239971</v>
      </c>
      <c r="AF203" s="98" t="str">
        <f t="shared" si="108"/>
        <v>-9.95024875621891E-06</v>
      </c>
      <c r="AG203" s="98" t="str">
        <f t="shared" si="109"/>
        <v>0.00445260270527287i</v>
      </c>
      <c r="AH203" s="98">
        <f t="shared" si="123"/>
        <v>4.4526027052728696E-3</v>
      </c>
      <c r="AI203" s="98">
        <f t="shared" si="124"/>
        <v>1.5707963267948966</v>
      </c>
      <c r="AJ203" s="98" t="str">
        <f t="shared" si="110"/>
        <v>1+0.0444371083988227i</v>
      </c>
      <c r="AK203" s="98">
        <f t="shared" si="125"/>
        <v>1.0009868413734762</v>
      </c>
      <c r="AL203" s="98">
        <f t="shared" si="126"/>
        <v>4.4407893661293385E-2</v>
      </c>
      <c r="AM203" s="98" t="str">
        <f t="shared" si="111"/>
        <v>1+44.4815455072215i</v>
      </c>
      <c r="AN203" s="98">
        <f t="shared" si="127"/>
        <v>44.492784703938426</v>
      </c>
      <c r="AO203" s="98">
        <f t="shared" si="128"/>
        <v>1.5483188797761085</v>
      </c>
      <c r="AP203" s="168" t="str">
        <f t="shared" si="129"/>
        <v>-0.0991080762797929+0.00663878025705107i</v>
      </c>
      <c r="AQ203" s="98">
        <f t="shared" si="130"/>
        <v>-20.058375758126648</v>
      </c>
      <c r="AR203" s="169">
        <f t="shared" si="131"/>
        <v>176.16775226773666</v>
      </c>
      <c r="AS203" s="168" t="str">
        <f t="shared" si="132"/>
        <v>0.114870401150439+0.763829382414234i</v>
      </c>
      <c r="AT203" s="190">
        <f t="shared" si="133"/>
        <v>-2.2429452397862102</v>
      </c>
      <c r="AU203" s="169">
        <f t="shared" si="134"/>
        <v>81.447521339496646</v>
      </c>
      <c r="AV203" s="225"/>
      <c r="AX203">
        <f t="shared" si="135"/>
        <v>0</v>
      </c>
      <c r="AY203">
        <f t="shared" si="136"/>
        <v>0</v>
      </c>
    </row>
    <row r="204" spans="14:51" x14ac:dyDescent="0.3">
      <c r="N204" s="170">
        <v>86</v>
      </c>
      <c r="O204" s="199">
        <f t="shared" si="137"/>
        <v>724.43596007499025</v>
      </c>
      <c r="P204" s="189" t="str">
        <f t="shared" si="103"/>
        <v>1078.86904761905</v>
      </c>
      <c r="Q204" s="160" t="str">
        <f t="shared" si="104"/>
        <v>1+142.242668135491i</v>
      </c>
      <c r="R204" s="160">
        <f t="shared" si="112"/>
        <v>142.24618321172426</v>
      </c>
      <c r="S204" s="160">
        <f t="shared" si="113"/>
        <v>1.5637662032824424</v>
      </c>
      <c r="T204" s="160" t="str">
        <f t="shared" si="105"/>
        <v>1+0.0000910353076067144i</v>
      </c>
      <c r="U204" s="160">
        <f t="shared" si="114"/>
        <v>1.0000000041437136</v>
      </c>
      <c r="V204" s="160">
        <f t="shared" si="115"/>
        <v>9.1035307355231583E-5</v>
      </c>
      <c r="W204" s="98" t="str">
        <f t="shared" si="106"/>
        <v>1-0.0658403758734802i</v>
      </c>
      <c r="X204" s="160">
        <f t="shared" si="116"/>
        <v>1.0021651336457287</v>
      </c>
      <c r="Y204" s="160">
        <f t="shared" si="117"/>
        <v>-6.5745484204528845E-2</v>
      </c>
      <c r="Z204" s="98" t="str">
        <f t="shared" si="107"/>
        <v>0.9997900770159+0.0260056444976185i</v>
      </c>
      <c r="AA204" s="160">
        <f t="shared" si="118"/>
        <v>1.0001282376001568</v>
      </c>
      <c r="AB204" s="160">
        <f t="shared" si="119"/>
        <v>2.6005241029831344E-2</v>
      </c>
      <c r="AC204" s="171" t="str">
        <f t="shared" si="120"/>
        <v>-0.642414434123436-7.57276724985331i</v>
      </c>
      <c r="AD204" s="190">
        <f t="shared" si="121"/>
        <v>17.616234260154634</v>
      </c>
      <c r="AE204" s="169">
        <f t="shared" si="122"/>
        <v>-94.848916977575868</v>
      </c>
      <c r="AF204" s="98" t="str">
        <f t="shared" si="108"/>
        <v>-9.95024875621891E-06</v>
      </c>
      <c r="AG204" s="98" t="str">
        <f t="shared" si="109"/>
        <v>0.00455631714571605i</v>
      </c>
      <c r="AH204" s="98">
        <f t="shared" si="123"/>
        <v>4.5563171457160502E-3</v>
      </c>
      <c r="AI204" s="98">
        <f t="shared" si="124"/>
        <v>1.5707963267948966</v>
      </c>
      <c r="AJ204" s="98" t="str">
        <f t="shared" si="110"/>
        <v>1+0.0454721816217355i</v>
      </c>
      <c r="AK204" s="98">
        <f t="shared" si="125"/>
        <v>1.0010333257696469</v>
      </c>
      <c r="AL204" s="98">
        <f t="shared" si="126"/>
        <v>4.5440879211454246E-2</v>
      </c>
      <c r="AM204" s="98" t="str">
        <f t="shared" si="111"/>
        <v>1+45.5176538033572i</v>
      </c>
      <c r="AN204" s="98">
        <f t="shared" si="127"/>
        <v>45.528637227159329</v>
      </c>
      <c r="AO204" s="98">
        <f t="shared" si="128"/>
        <v>1.548830362454646</v>
      </c>
      <c r="AP204" s="168" t="str">
        <f t="shared" si="129"/>
        <v>-0.099098872046533+0.00669007776466924i</v>
      </c>
      <c r="AQ204" s="98">
        <f t="shared" si="130"/>
        <v>-20.058877849273074</v>
      </c>
      <c r="AR204" s="169">
        <f t="shared" si="131"/>
        <v>176.13787235418869</v>
      </c>
      <c r="AS204" s="168" t="str">
        <f t="shared" si="132"/>
        <v>0.114324947603303+0.746154890209957i</v>
      </c>
      <c r="AT204" s="190">
        <f t="shared" si="133"/>
        <v>-2.4426435891184415</v>
      </c>
      <c r="AU204" s="169">
        <f t="shared" si="134"/>
        <v>81.288955376612847</v>
      </c>
      <c r="AV204" s="225"/>
      <c r="AX204">
        <f t="shared" si="135"/>
        <v>0</v>
      </c>
      <c r="AY204">
        <f t="shared" si="136"/>
        <v>0</v>
      </c>
    </row>
    <row r="205" spans="14:51" x14ac:dyDescent="0.3">
      <c r="N205" s="170">
        <v>87</v>
      </c>
      <c r="O205" s="199">
        <f t="shared" si="137"/>
        <v>741.31024130091828</v>
      </c>
      <c r="P205" s="189" t="str">
        <f t="shared" si="103"/>
        <v>1078.86904761905</v>
      </c>
      <c r="Q205" s="160" t="str">
        <f t="shared" si="104"/>
        <v>1+145.555925506365i</v>
      </c>
      <c r="R205" s="160">
        <f t="shared" si="112"/>
        <v>145.55936057160488</v>
      </c>
      <c r="S205" s="160">
        <f t="shared" si="113"/>
        <v>1.5639262233367388</v>
      </c>
      <c r="T205" s="160" t="str">
        <f t="shared" si="105"/>
        <v>1+0.0000931557923240736i</v>
      </c>
      <c r="U205" s="160">
        <f t="shared" si="114"/>
        <v>1.0000000043390007</v>
      </c>
      <c r="V205" s="160">
        <f t="shared" si="115"/>
        <v>9.3155792054604899E-5</v>
      </c>
      <c r="W205" s="98" t="str">
        <f t="shared" si="106"/>
        <v>1-0.067373995240463i</v>
      </c>
      <c r="X205" s="160">
        <f t="shared" si="116"/>
        <v>1.0022670578417021</v>
      </c>
      <c r="Y205" s="160">
        <f t="shared" si="117"/>
        <v>-6.7272329402604872E-2</v>
      </c>
      <c r="Z205" s="98" t="str">
        <f t="shared" si="107"/>
        <v>0.999780183650457+0.0266113937741576i</v>
      </c>
      <c r="AA205" s="160">
        <f t="shared" si="118"/>
        <v>1.0001342819335535</v>
      </c>
      <c r="AB205" s="160">
        <f t="shared" si="119"/>
        <v>2.6610961442197822E-2</v>
      </c>
      <c r="AC205" s="171" t="str">
        <f t="shared" si="120"/>
        <v>-0.644802363372125-7.39964868926414i</v>
      </c>
      <c r="AD205" s="190">
        <f t="shared" si="121"/>
        <v>17.41707477330343</v>
      </c>
      <c r="AE205" s="169">
        <f t="shared" si="122"/>
        <v>-94.980150965513772</v>
      </c>
      <c r="AF205" s="98" t="str">
        <f t="shared" si="108"/>
        <v>-9.95024875621891E-06</v>
      </c>
      <c r="AG205" s="98" t="str">
        <f t="shared" si="109"/>
        <v>0.00466244740581989i</v>
      </c>
      <c r="AH205" s="98">
        <f t="shared" si="123"/>
        <v>4.66244740581989E-3</v>
      </c>
      <c r="AI205" s="98">
        <f t="shared" si="124"/>
        <v>1.5707963267948966</v>
      </c>
      <c r="AJ205" s="98" t="str">
        <f t="shared" si="110"/>
        <v>1+0.0465313647972396i</v>
      </c>
      <c r="AK205" s="98">
        <f t="shared" si="125"/>
        <v>1.0010819985944677</v>
      </c>
      <c r="AL205" s="98">
        <f t="shared" si="126"/>
        <v>4.6497825617955332E-2</v>
      </c>
      <c r="AM205" s="98" t="str">
        <f t="shared" si="111"/>
        <v>1+46.5778961620368i</v>
      </c>
      <c r="AN205" s="98">
        <f t="shared" si="127"/>
        <v>46.588629630860396</v>
      </c>
      <c r="AO205" s="98">
        <f t="shared" si="128"/>
        <v>1.5493302134737628</v>
      </c>
      <c r="AP205" s="168" t="str">
        <f t="shared" si="129"/>
        <v>-0.0990892358633071+0.00674488306482604i</v>
      </c>
      <c r="AQ205" s="98">
        <f t="shared" si="130"/>
        <v>-20.059394467668721</v>
      </c>
      <c r="AR205" s="169">
        <f t="shared" si="131"/>
        <v>176.10595313970535</v>
      </c>
      <c r="AS205" s="168" t="str">
        <f t="shared" si="132"/>
        <v>0.113802738599278+0.728876417735237i</v>
      </c>
      <c r="AT205" s="190">
        <f t="shared" si="133"/>
        <v>-2.6423196943652965</v>
      </c>
      <c r="AU205" s="169">
        <f t="shared" si="134"/>
        <v>81.125802174191591</v>
      </c>
      <c r="AV205" s="225"/>
      <c r="AX205">
        <f t="shared" si="135"/>
        <v>0</v>
      </c>
      <c r="AY205">
        <f t="shared" si="136"/>
        <v>0</v>
      </c>
    </row>
    <row r="206" spans="14:51" x14ac:dyDescent="0.3">
      <c r="N206" s="170">
        <v>88</v>
      </c>
      <c r="O206" s="199">
        <f t="shared" si="137"/>
        <v>758.57757502918378</v>
      </c>
      <c r="P206" s="189" t="str">
        <f t="shared" si="103"/>
        <v>1078.86904761905</v>
      </c>
      <c r="Q206" s="160" t="str">
        <f t="shared" si="104"/>
        <v>1+148.946358555603i</v>
      </c>
      <c r="R206" s="160">
        <f t="shared" si="112"/>
        <v>148.94971543099453</v>
      </c>
      <c r="S206" s="160">
        <f t="shared" si="113"/>
        <v>1.5640826012298779</v>
      </c>
      <c r="T206" s="160" t="str">
        <f t="shared" si="105"/>
        <v>1+0.0000953256694755858i</v>
      </c>
      <c r="U206" s="160">
        <f t="shared" si="114"/>
        <v>1.0000000045434916</v>
      </c>
      <c r="V206" s="160">
        <f t="shared" si="115"/>
        <v>9.532566918684488E-5</v>
      </c>
      <c r="W206" s="98" t="str">
        <f t="shared" si="106"/>
        <v>1-0.0689433371915227i</v>
      </c>
      <c r="X206" s="160">
        <f t="shared" si="116"/>
        <v>1.0023737744689374</v>
      </c>
      <c r="Y206" s="160">
        <f t="shared" si="117"/>
        <v>-6.8834414211902908E-2</v>
      </c>
      <c r="Z206" s="98" t="str">
        <f t="shared" si="107"/>
        <v>0.999769824025065+0.0272312527639191i</v>
      </c>
      <c r="AA206" s="160">
        <f t="shared" si="118"/>
        <v>1.0001406111933471</v>
      </c>
      <c r="AB206" s="160">
        <f t="shared" si="119"/>
        <v>2.7230789502411902E-2</v>
      </c>
      <c r="AC206" s="171" t="str">
        <f t="shared" si="120"/>
        <v>-0.647081604121564-7.23045205269529i</v>
      </c>
      <c r="AD206" s="190">
        <f t="shared" si="121"/>
        <v>17.217953815820092</v>
      </c>
      <c r="AE206" s="169">
        <f t="shared" si="122"/>
        <v>-95.114000832686386</v>
      </c>
      <c r="AF206" s="98" t="str">
        <f t="shared" si="108"/>
        <v>-9.95024875621891E-06</v>
      </c>
      <c r="AG206" s="98" t="str">
        <f t="shared" si="109"/>
        <v>0.00477104975725307i</v>
      </c>
      <c r="AH206" s="98">
        <f t="shared" si="123"/>
        <v>4.7710497572530696E-3</v>
      </c>
      <c r="AI206" s="98">
        <f t="shared" si="124"/>
        <v>1.5707963267948966</v>
      </c>
      <c r="AJ206" s="98" t="str">
        <f t="shared" si="110"/>
        <v>1+0.0476152195182746i</v>
      </c>
      <c r="AK206" s="98">
        <f t="shared" si="125"/>
        <v>1.001132962762576</v>
      </c>
      <c r="AL206" s="98">
        <f t="shared" si="126"/>
        <v>4.7579283836377197E-2</v>
      </c>
      <c r="AM206" s="98" t="str">
        <f t="shared" si="111"/>
        <v>1+47.6628347377929i</v>
      </c>
      <c r="AN206" s="98">
        <f t="shared" si="127"/>
        <v>47.673323937419738</v>
      </c>
      <c r="AO206" s="98">
        <f t="shared" si="128"/>
        <v>1.5498186968614063</v>
      </c>
      <c r="AP206" s="168" t="str">
        <f t="shared" si="129"/>
        <v>-0.0990791475491208+0.00680322241224213i</v>
      </c>
      <c r="AQ206" s="98">
        <f t="shared" si="130"/>
        <v>-20.059926703175627</v>
      </c>
      <c r="AR206" s="169">
        <f t="shared" si="131"/>
        <v>176.07197818454426</v>
      </c>
      <c r="AS206" s="168" t="str">
        <f t="shared" si="132"/>
        <v>0.113302667186621+0.71198478570413i</v>
      </c>
      <c r="AT206" s="190">
        <f t="shared" si="133"/>
        <v>-2.841972887355543</v>
      </c>
      <c r="AU206" s="169">
        <f t="shared" si="134"/>
        <v>80.957977351857863</v>
      </c>
      <c r="AV206" s="225"/>
      <c r="AX206">
        <f t="shared" si="135"/>
        <v>0</v>
      </c>
      <c r="AY206">
        <f t="shared" si="136"/>
        <v>0</v>
      </c>
    </row>
    <row r="207" spans="14:51" x14ac:dyDescent="0.3">
      <c r="N207" s="170">
        <v>89</v>
      </c>
      <c r="O207" s="199">
        <f t="shared" si="137"/>
        <v>776.24711662869231</v>
      </c>
      <c r="P207" s="189" t="str">
        <f t="shared" si="103"/>
        <v>1078.86904761905</v>
      </c>
      <c r="Q207" s="160" t="str">
        <f t="shared" si="104"/>
        <v>1+152.415764935685i</v>
      </c>
      <c r="R207" s="160">
        <f t="shared" si="112"/>
        <v>152.41904540092744</v>
      </c>
      <c r="S207" s="160">
        <f t="shared" si="113"/>
        <v>1.5642354198448787</v>
      </c>
      <c r="T207" s="160" t="str">
        <f t="shared" si="105"/>
        <v>1+0.0000975460895588384i</v>
      </c>
      <c r="U207" s="160">
        <f t="shared" si="114"/>
        <v>1.0000000047576196</v>
      </c>
      <c r="V207" s="160">
        <f t="shared" si="115"/>
        <v>9.7546089249446935E-5</v>
      </c>
      <c r="W207" s="98" t="str">
        <f t="shared" si="106"/>
        <v>1-0.0705492338125343i</v>
      </c>
      <c r="X207" s="160">
        <f t="shared" si="116"/>
        <v>1.0024855083199635</v>
      </c>
      <c r="Y207" s="160">
        <f t="shared" si="117"/>
        <v>-7.0432536360062262E-2</v>
      </c>
      <c r="Z207" s="98" t="str">
        <f t="shared" si="107"/>
        <v>0.99975897616557+0.0278655501243444i</v>
      </c>
      <c r="AA207" s="160">
        <f t="shared" si="118"/>
        <v>1.0001472388140462</v>
      </c>
      <c r="AB207" s="160">
        <f t="shared" si="119"/>
        <v>2.7865053720075254E-2</v>
      </c>
      <c r="AC207" s="171" t="str">
        <f t="shared" si="120"/>
        <v>-0.649256989627685-7.06508773023871i</v>
      </c>
      <c r="AD207" s="190">
        <f t="shared" si="121"/>
        <v>17.018873225085798</v>
      </c>
      <c r="AE207" s="169">
        <f t="shared" si="122"/>
        <v>-95.250535790662838</v>
      </c>
      <c r="AF207" s="98" t="str">
        <f t="shared" si="108"/>
        <v>-9.95024875621891E-06</v>
      </c>
      <c r="AG207" s="98" t="str">
        <f t="shared" si="109"/>
        <v>0.00488218178241986i</v>
      </c>
      <c r="AH207" s="98">
        <f t="shared" si="123"/>
        <v>4.88218178241986E-3</v>
      </c>
      <c r="AI207" s="98">
        <f t="shared" si="124"/>
        <v>1.5707963267948966</v>
      </c>
      <c r="AJ207" s="98" t="str">
        <f t="shared" si="110"/>
        <v>1+0.0487243204589602i</v>
      </c>
      <c r="AK207" s="98">
        <f t="shared" si="125"/>
        <v>1.0011863260173839</v>
      </c>
      <c r="AL207" s="98">
        <f t="shared" si="126"/>
        <v>4.8685817145856285E-2</v>
      </c>
      <c r="AM207" s="98" t="str">
        <f t="shared" si="111"/>
        <v>1+48.7730447794192i</v>
      </c>
      <c r="AN207" s="98">
        <f t="shared" si="127"/>
        <v>48.783295266466276</v>
      </c>
      <c r="AO207" s="98">
        <f t="shared" si="128"/>
        <v>1.55029607068492</v>
      </c>
      <c r="AP207" s="168" t="str">
        <f t="shared" si="129"/>
        <v>-0.0990685859887882+0.00686512373640989i</v>
      </c>
      <c r="AQ207" s="98">
        <f t="shared" si="130"/>
        <v>-20.06047567826128</v>
      </c>
      <c r="AR207" s="169">
        <f t="shared" si="131"/>
        <v>176.03593000135783</v>
      </c>
      <c r="AS207" s="168" t="str">
        <f t="shared" si="132"/>
        <v>0.112823673382432+0.695471021750963i</v>
      </c>
      <c r="AT207" s="190">
        <f t="shared" si="133"/>
        <v>-3.0416024531754826</v>
      </c>
      <c r="AU207" s="169">
        <f t="shared" si="134"/>
        <v>80.785394210695017</v>
      </c>
      <c r="AV207" s="225"/>
      <c r="AX207">
        <f t="shared" si="135"/>
        <v>0</v>
      </c>
      <c r="AY207">
        <f t="shared" si="136"/>
        <v>0</v>
      </c>
    </row>
    <row r="208" spans="14:51" x14ac:dyDescent="0.3">
      <c r="N208" s="170">
        <v>90</v>
      </c>
      <c r="O208" s="199">
        <f t="shared" si="137"/>
        <v>794.32823472428208</v>
      </c>
      <c r="P208" s="189" t="str">
        <f t="shared" si="103"/>
        <v>1078.86904761905</v>
      </c>
      <c r="Q208" s="160" t="str">
        <f t="shared" si="104"/>
        <v>1+155.965984171797i</v>
      </c>
      <c r="R208" s="160">
        <f t="shared" si="112"/>
        <v>155.96918996608667</v>
      </c>
      <c r="S208" s="160">
        <f t="shared" si="113"/>
        <v>1.5643847601796266</v>
      </c>
      <c r="T208" s="160" t="str">
        <f t="shared" si="105"/>
        <v>1+0.0000998182298699502i</v>
      </c>
      <c r="U208" s="160">
        <f t="shared" si="114"/>
        <v>1.0000000049818394</v>
      </c>
      <c r="V208" s="160">
        <f t="shared" si="115"/>
        <v>9.9818229538431257E-5</v>
      </c>
      <c r="W208" s="98" t="str">
        <f t="shared" si="106"/>
        <v>1-0.0721925365711428i</v>
      </c>
      <c r="X208" s="160">
        <f t="shared" si="116"/>
        <v>1.0026024946790106</v>
      </c>
      <c r="Y208" s="160">
        <f t="shared" si="117"/>
        <v>-7.2067510521497596E-2</v>
      </c>
      <c r="Z208" s="98" t="str">
        <f t="shared" si="107"/>
        <v>0.999747617062208+0.0285146221682897i</v>
      </c>
      <c r="AA208" s="160">
        <f t="shared" si="118"/>
        <v>1.0001541788639208</v>
      </c>
      <c r="AB208" s="160">
        <f t="shared" si="119"/>
        <v>2.8514090249615636E-2</v>
      </c>
      <c r="AC208" s="171" t="str">
        <f t="shared" si="120"/>
        <v>-0.651333132976788-6.90346813740497i</v>
      </c>
      <c r="AD208" s="190">
        <f t="shared" si="121"/>
        <v>16.819834921500249</v>
      </c>
      <c r="AE208" s="169">
        <f t="shared" si="122"/>
        <v>-95.38982635046159</v>
      </c>
      <c r="AF208" s="98" t="str">
        <f t="shared" si="108"/>
        <v>-9.95024875621891E-06</v>
      </c>
      <c r="AG208" s="98" t="str">
        <f t="shared" si="109"/>
        <v>0.00499590240499101i</v>
      </c>
      <c r="AH208" s="98">
        <f t="shared" si="123"/>
        <v>4.9959024049910103E-3</v>
      </c>
      <c r="AI208" s="98">
        <f t="shared" si="124"/>
        <v>1.5707963267948966</v>
      </c>
      <c r="AJ208" s="98" t="str">
        <f t="shared" si="110"/>
        <v>1+0.0498592556792958i</v>
      </c>
      <c r="AK208" s="98">
        <f t="shared" si="125"/>
        <v>1.00124220115659</v>
      </c>
      <c r="AL208" s="98">
        <f t="shared" si="126"/>
        <v>4.9818001399982999E-2</v>
      </c>
      <c r="AM208" s="98" t="str">
        <f t="shared" si="111"/>
        <v>1+49.9091149349751i</v>
      </c>
      <c r="AN208" s="98">
        <f t="shared" si="127"/>
        <v>49.919132139817442</v>
      </c>
      <c r="AO208" s="98">
        <f t="shared" si="128"/>
        <v>1.5507625871834314</v>
      </c>
      <c r="AP208" s="168" t="str">
        <f t="shared" si="129"/>
        <v>-0.0990575290905252+0.00693061664234954i</v>
      </c>
      <c r="AQ208" s="98">
        <f t="shared" si="130"/>
        <v>-20.061042550324821</v>
      </c>
      <c r="AR208" s="169">
        <f t="shared" si="131"/>
        <v>175.99779004840315</v>
      </c>
      <c r="AS208" s="168" t="str">
        <f t="shared" si="132"/>
        <v>0.1123647419305+0.679326355595384i</v>
      </c>
      <c r="AT208" s="190">
        <f t="shared" si="133"/>
        <v>-3.2412076288245686</v>
      </c>
      <c r="AU208" s="169">
        <f t="shared" si="134"/>
        <v>80.607963697941514</v>
      </c>
      <c r="AV208" s="225"/>
      <c r="AX208">
        <f t="shared" si="135"/>
        <v>0</v>
      </c>
      <c r="AY208">
        <f t="shared" si="136"/>
        <v>0</v>
      </c>
    </row>
    <row r="209" spans="14:51" x14ac:dyDescent="0.3">
      <c r="N209" s="170">
        <v>91</v>
      </c>
      <c r="O209" s="199">
        <f t="shared" si="137"/>
        <v>812.83051616409978</v>
      </c>
      <c r="P209" s="189" t="str">
        <f t="shared" si="103"/>
        <v>1078.86904761905</v>
      </c>
      <c r="Q209" s="160" t="str">
        <f t="shared" si="104"/>
        <v>1+159.598898637171i</v>
      </c>
      <c r="R209" s="160">
        <f t="shared" si="112"/>
        <v>159.60203146012267</v>
      </c>
      <c r="S209" s="160">
        <f t="shared" si="113"/>
        <v>1.564530701389683</v>
      </c>
      <c r="T209" s="160" t="str">
        <f t="shared" si="105"/>
        <v>1+0.000102143295127789i</v>
      </c>
      <c r="U209" s="160">
        <f t="shared" si="114"/>
        <v>1.0000000052166262</v>
      </c>
      <c r="V209" s="160">
        <f t="shared" si="115"/>
        <v>1.0214329477256007E-4</v>
      </c>
      <c r="W209" s="98" t="str">
        <f t="shared" si="106"/>
        <v>1-0.0738741167682224i</v>
      </c>
      <c r="X209" s="160">
        <f t="shared" si="116"/>
        <v>1.0027249798066691</v>
      </c>
      <c r="Y209" s="160">
        <f t="shared" si="117"/>
        <v>-7.3740168597406147E-2</v>
      </c>
      <c r="Z209" s="98" t="str">
        <f t="shared" si="107"/>
        <v>0.999735722620797+0.0291788130423443i</v>
      </c>
      <c r="AA209" s="160">
        <f t="shared" si="118"/>
        <v>1.000161446074926</v>
      </c>
      <c r="AB209" s="160">
        <f t="shared" si="119"/>
        <v>2.9178243067846079E-2</v>
      </c>
      <c r="AC209" s="171" t="str">
        <f t="shared" si="120"/>
        <v>-0.653314436860311-6.74550766913218i</v>
      </c>
      <c r="AD209" s="190">
        <f t="shared" si="121"/>
        <v>16.620840912305642</v>
      </c>
      <c r="AE209" s="169">
        <f t="shared" si="122"/>
        <v>-95.531944351184208</v>
      </c>
      <c r="AF209" s="98" t="str">
        <f t="shared" si="108"/>
        <v>-9.95024875621891E-06</v>
      </c>
      <c r="AG209" s="98" t="str">
        <f t="shared" si="109"/>
        <v>0.00511227192114586i</v>
      </c>
      <c r="AH209" s="98">
        <f t="shared" si="123"/>
        <v>5.1122719211458599E-3</v>
      </c>
      <c r="AI209" s="98">
        <f t="shared" si="124"/>
        <v>1.5707963267948966</v>
      </c>
      <c r="AJ209" s="98" t="str">
        <f t="shared" si="110"/>
        <v>1+0.0510206269369577i</v>
      </c>
      <c r="AK209" s="98">
        <f t="shared" si="125"/>
        <v>1.0013007062681221</v>
      </c>
      <c r="AL209" s="98">
        <f t="shared" si="126"/>
        <v>5.0976425280996066E-2</v>
      </c>
      <c r="AM209" s="98" t="str">
        <f t="shared" si="111"/>
        <v>1+51.0716475638947i</v>
      </c>
      <c r="AN209" s="98">
        <f t="shared" si="127"/>
        <v>51.081436793522869</v>
      </c>
      <c r="AO209" s="98">
        <f t="shared" si="128"/>
        <v>1.5512184928974451</v>
      </c>
      <c r="AP209" s="168" t="str">
        <f t="shared" si="129"/>
        <v>-0.0990459537416974+0.00699973241127054i</v>
      </c>
      <c r="AQ209" s="98">
        <f t="shared" si="130"/>
        <v>-20.061628514092572</v>
      </c>
      <c r="AR209" s="169">
        <f t="shared" si="131"/>
        <v>175.9575387224028</v>
      </c>
      <c r="AS209" s="168" t="str">
        <f t="shared" si="132"/>
        <v>0.111924900154148+0.663542214322689i</v>
      </c>
      <c r="AT209" s="190">
        <f t="shared" si="133"/>
        <v>-3.4407876017869272</v>
      </c>
      <c r="AU209" s="169">
        <f t="shared" si="134"/>
        <v>80.42559437121858</v>
      </c>
      <c r="AV209" s="225"/>
      <c r="AX209">
        <f t="shared" si="135"/>
        <v>0</v>
      </c>
      <c r="AY209">
        <f t="shared" si="136"/>
        <v>0</v>
      </c>
    </row>
    <row r="210" spans="14:51" x14ac:dyDescent="0.3">
      <c r="N210" s="170">
        <v>92</v>
      </c>
      <c r="O210" s="199">
        <f t="shared" si="137"/>
        <v>831.7637711026714</v>
      </c>
      <c r="P210" s="189" t="str">
        <f t="shared" si="103"/>
        <v>1078.86904761905</v>
      </c>
      <c r="Q210" s="160" t="str">
        <f t="shared" si="104"/>
        <v>1+163.316434551143i</v>
      </c>
      <c r="R210" s="160">
        <f t="shared" si="112"/>
        <v>163.31949606369039</v>
      </c>
      <c r="S210" s="160">
        <f t="shared" si="113"/>
        <v>1.5646733208301278</v>
      </c>
      <c r="T210" s="160" t="str">
        <f t="shared" si="105"/>
        <v>1+0.000104522518112732i</v>
      </c>
      <c r="U210" s="160">
        <f t="shared" si="114"/>
        <v>1.0000000054624782</v>
      </c>
      <c r="V210" s="160">
        <f t="shared" si="115"/>
        <v>1.0452251773209733E-4</v>
      </c>
      <c r="W210" s="98" t="str">
        <f t="shared" si="106"/>
        <v>1-0.0755948659998522i</v>
      </c>
      <c r="X210" s="160">
        <f t="shared" si="116"/>
        <v>1.0028532214464565</v>
      </c>
      <c r="Y210" s="160">
        <f t="shared" si="117"/>
        <v>-7.5451359994354344E-2</v>
      </c>
      <c r="Z210" s="98" t="str">
        <f t="shared" si="107"/>
        <v>0.999723267611632+0.0298584749093012i</v>
      </c>
      <c r="AA210" s="160">
        <f t="shared" si="118"/>
        <v>1.0001690558740497</v>
      </c>
      <c r="AB210" s="160">
        <f t="shared" si="119"/>
        <v>2.9857864155621718E-2</v>
      </c>
      <c r="AC210" s="171" t="str">
        <f t="shared" si="120"/>
        <v>-0.655205102904357-6.5911226548166i</v>
      </c>
      <c r="AD210" s="190">
        <f t="shared" si="121"/>
        <v>16.421893295572673</v>
      </c>
      <c r="AE210" s="169">
        <f t="shared" si="122"/>
        <v>-95.676962988745998</v>
      </c>
      <c r="AF210" s="98" t="str">
        <f t="shared" si="108"/>
        <v>-9.95024875621891E-06</v>
      </c>
      <c r="AG210" s="98" t="str">
        <f t="shared" si="109"/>
        <v>0.00523135203154223i</v>
      </c>
      <c r="AH210" s="98">
        <f t="shared" si="123"/>
        <v>5.2313520315422296E-3</v>
      </c>
      <c r="AI210" s="98">
        <f t="shared" si="124"/>
        <v>1.5707963267948966</v>
      </c>
      <c r="AJ210" s="98" t="str">
        <f t="shared" si="110"/>
        <v>1+0.0522090500063595i</v>
      </c>
      <c r="AK210" s="98">
        <f t="shared" si="125"/>
        <v>1.001361964976984</v>
      </c>
      <c r="AL210" s="98">
        <f t="shared" si="126"/>
        <v>5.2161690557172471E-2</v>
      </c>
      <c r="AM210" s="98" t="str">
        <f t="shared" si="111"/>
        <v>1+52.2612590563659i</v>
      </c>
      <c r="AN210" s="98">
        <f t="shared" si="127"/>
        <v>52.270825497179466</v>
      </c>
      <c r="AO210" s="98">
        <f t="shared" si="128"/>
        <v>1.55166402879569</v>
      </c>
      <c r="AP210" s="168" t="str">
        <f t="shared" si="129"/>
        <v>-0.0990338357626492+0.0070725040010711i</v>
      </c>
      <c r="AQ210" s="98">
        <f t="shared" si="130"/>
        <v>-20.062234804087669</v>
      </c>
      <c r="AR210" s="169">
        <f t="shared" si="131"/>
        <v>175.91515535106549</v>
      </c>
      <c r="AS210" s="168" t="str">
        <f t="shared" si="132"/>
        <v>0.111503215899621+0.64811021777677i</v>
      </c>
      <c r="AT210" s="190">
        <f t="shared" si="133"/>
        <v>-3.6403415085149997</v>
      </c>
      <c r="AU210" s="169">
        <f t="shared" si="134"/>
        <v>80.238192362319467</v>
      </c>
      <c r="AV210" s="225"/>
      <c r="AX210">
        <f t="shared" si="135"/>
        <v>0</v>
      </c>
      <c r="AY210">
        <f t="shared" si="136"/>
        <v>0</v>
      </c>
    </row>
    <row r="211" spans="14:51" x14ac:dyDescent="0.3">
      <c r="N211" s="170">
        <v>93</v>
      </c>
      <c r="O211" s="199">
        <f t="shared" si="137"/>
        <v>851.13803820237763</v>
      </c>
      <c r="P211" s="189" t="str">
        <f t="shared" ref="P211:P274" si="138">COMPLEX(Adc,0)</f>
        <v>1078.86904761905</v>
      </c>
      <c r="Q211" s="160" t="str">
        <f t="shared" ref="Q211:Q274" si="139">IMSUM(COMPLEX(1,0),IMDIV(COMPLEX(0,2*PI()*O211),COMPLEX(wp_lf,0)))</f>
        <v>1+167.120563000464i</v>
      </c>
      <c r="R211" s="160">
        <f t="shared" si="112"/>
        <v>167.12355482573977</v>
      </c>
      <c r="S211" s="160">
        <f t="shared" si="113"/>
        <v>1.5648126940964557</v>
      </c>
      <c r="T211" s="160" t="str">
        <f t="shared" ref="T211:T274" si="140">IMSUM(COMPLEX(1,0),IMDIV(COMPLEX(0,2*PI()*O211),COMPLEX(wz_esr,0)))</f>
        <v>1+0.000106957160320297i</v>
      </c>
      <c r="U211" s="160">
        <f t="shared" si="114"/>
        <v>1.000000005719917</v>
      </c>
      <c r="V211" s="160">
        <f t="shared" si="115"/>
        <v>1.0695715991243961E-4</v>
      </c>
      <c r="W211" s="98" t="str">
        <f t="shared" ref="W211:W274" si="141">IMSUB(COMPLEX(1,0),IMDIV(COMPLEX(0,2*PI()*O211),COMPLEX(wz_rhp,0)))</f>
        <v>1-0.0773556966300515i</v>
      </c>
      <c r="X211" s="160">
        <f t="shared" si="116"/>
        <v>1.0029874893542394</v>
      </c>
      <c r="Y211" s="160">
        <f t="shared" si="117"/>
        <v>-7.7201951900872728E-2</v>
      </c>
      <c r="Z211" s="98" t="str">
        <f t="shared" ref="Z211:Z274" si="142">IF(Dc_Mode_Loop="CCM",IMSUM(COMPLEX(1,0),IMDIV(COMPLEX(0,2*PI()*O211),COMPLEX(Q*(wsl/2),0)),IMDIV(IMPOWER(COMPLEX(0,2*PI()*O211),2),IMPOWER(COMPLEX(wsl/2,0),2))),COMPLEX(1,0))</f>
        <v>0.99971022561597+0.0305539681348787i</v>
      </c>
      <c r="AA211" s="160">
        <f t="shared" si="118"/>
        <v>1.0001770244161385</v>
      </c>
      <c r="AB211" s="160">
        <f t="shared" si="119"/>
        <v>3.055331368368927E-2</v>
      </c>
      <c r="AC211" s="171" t="str">
        <f t="shared" si="120"/>
        <v>-0.657009140573478-6.44023131434064i</v>
      </c>
      <c r="AD211" s="190">
        <f t="shared" si="121"/>
        <v>16.222994264351684</v>
      </c>
      <c r="AE211" s="169">
        <f t="shared" si="122"/>
        <v>-95.824956844677843</v>
      </c>
      <c r="AF211" s="98" t="str">
        <f t="shared" ref="AF211:AF274" si="143">COMPLEX(Adc_ea,0)</f>
        <v>-9.95024875621891E-06</v>
      </c>
      <c r="AG211" s="98" t="str">
        <f t="shared" ref="AG211:AG274" si="144">COMPLEX(0,2*PI()*O211*wp0_ea)</f>
        <v>0.00535320587403085i</v>
      </c>
      <c r="AH211" s="98">
        <f t="shared" si="123"/>
        <v>5.3532058740308501E-3</v>
      </c>
      <c r="AI211" s="98">
        <f t="shared" si="124"/>
        <v>1.5707963267948966</v>
      </c>
      <c r="AJ211" s="98" t="str">
        <f t="shared" ref="AJ211:AJ274" si="145">IMSUM(COMPLEX(1,0),IMDIV(COMPLEX(0,2*PI()*O211),COMPLEX(wp1_ea,0)))</f>
        <v>1+0.0534251550051433i</v>
      </c>
      <c r="AK211" s="98">
        <f t="shared" si="125"/>
        <v>1.0014261067034969</v>
      </c>
      <c r="AL211" s="98">
        <f t="shared" si="126"/>
        <v>5.3374412343296061E-2</v>
      </c>
      <c r="AM211" s="98" t="str">
        <f t="shared" ref="AM211:AM274" si="146">IMSUM(COMPLEX(1,0),IMDIV(COMPLEX(0,2*PI()*O211),COMPLEX(wz_ea,0)))</f>
        <v>1+53.4785801601484i</v>
      </c>
      <c r="AN211" s="98">
        <f t="shared" si="127"/>
        <v>53.48792888068688</v>
      </c>
      <c r="AO211" s="98">
        <f t="shared" si="128"/>
        <v>1.5520994303992726</v>
      </c>
      <c r="AP211" s="168" t="str">
        <f t="shared" si="129"/>
        <v>-0.0990211498585451+0.0071489660466038i</v>
      </c>
      <c r="AQ211" s="98">
        <f t="shared" si="130"/>
        <v>-20.062862697177874</v>
      </c>
      <c r="AR211" s="169">
        <f t="shared" si="131"/>
        <v>175.87061818527556</v>
      </c>
      <c r="AS211" s="168" t="str">
        <f t="shared" si="132"/>
        <v>0.111098795565656+0.633022174062751i</v>
      </c>
      <c r="AT211" s="190">
        <f t="shared" si="133"/>
        <v>-3.8398684328261927</v>
      </c>
      <c r="AU211" s="169">
        <f t="shared" si="134"/>
        <v>80.045661340597718</v>
      </c>
      <c r="AV211" s="225"/>
      <c r="AX211">
        <f t="shared" si="135"/>
        <v>0</v>
      </c>
      <c r="AY211">
        <f t="shared" si="136"/>
        <v>0</v>
      </c>
    </row>
    <row r="212" spans="14:51" x14ac:dyDescent="0.3">
      <c r="N212" s="170">
        <v>94</v>
      </c>
      <c r="O212" s="199">
        <f t="shared" si="137"/>
        <v>870.96358995608091</v>
      </c>
      <c r="P212" s="189" t="str">
        <f t="shared" si="138"/>
        <v>1078.86904761905</v>
      </c>
      <c r="Q212" s="160" t="str">
        <f t="shared" si="139"/>
        <v>1+171.013300984388i</v>
      </c>
      <c r="R212" s="160">
        <f t="shared" ref="R212:R275" si="147">IMABS(Q212)</f>
        <v>171.01622470858396</v>
      </c>
      <c r="S212" s="160">
        <f t="shared" ref="S212:S275" si="148">IMARGUMENT(Q212)</f>
        <v>1.5649488950645463</v>
      </c>
      <c r="T212" s="160" t="str">
        <f t="shared" si="140"/>
        <v>1+0.000109448512630009i</v>
      </c>
      <c r="U212" s="160">
        <f t="shared" ref="U212:U275" si="149">IMABS(T212)</f>
        <v>1.0000000059894885</v>
      </c>
      <c r="V212" s="160">
        <f t="shared" ref="V212:V275" si="150">IMARGUMENT(T212)</f>
        <v>1.0944851219298193E-4</v>
      </c>
      <c r="W212" s="98" t="str">
        <f t="shared" si="141"/>
        <v>1-0.0791575422745275i</v>
      </c>
      <c r="X212" s="160">
        <f t="shared" ref="X212:X275" si="151">IMABS(W212)</f>
        <v>1.0031280658514863</v>
      </c>
      <c r="Y212" s="160">
        <f t="shared" ref="Y212:Y275" si="152">IMARGUMENT(W212)</f>
        <v>-7.899282956144324E-2</v>
      </c>
      <c r="Z212" s="98" t="str">
        <f t="shared" si="142"/>
        <v>0.999696568969988+0.0312656614787907i</v>
      </c>
      <c r="AA212" s="160">
        <f t="shared" ref="AA212:AA275" si="153">IMABS(Z212)</f>
        <v>1.000185368618274</v>
      </c>
      <c r="AB212" s="160">
        <f t="shared" ref="AB212:AB275" si="154">IMARGUMENT(Z212)</f>
        <v>3.1264960202822642E-2</v>
      </c>
      <c r="AC212" s="171" t="str">
        <f t="shared" ref="AC212:AC275" si="155">(IMDIV(IMPRODUCT(P212,T212,W212),IMPRODUCT(Q212,Z212)))</f>
        <v>-0.65873037566779-6.2927537150792i</v>
      </c>
      <c r="AD212" s="190">
        <f t="shared" ref="AD212:AD275" si="156">20*LOG(IMABS(AC212))</f>
        <v>16.02414611099848</v>
      </c>
      <c r="AE212" s="169">
        <f t="shared" ref="AE212:AE275" si="157">(180/PI())*IMARGUMENT(AC212)</f>
        <v>-95.976001914970553</v>
      </c>
      <c r="AF212" s="98" t="str">
        <f t="shared" si="143"/>
        <v>-9.95024875621891E-06</v>
      </c>
      <c r="AG212" s="98" t="str">
        <f t="shared" si="144"/>
        <v>0.00547789805713193i</v>
      </c>
      <c r="AH212" s="98">
        <f t="shared" ref="AH212:AH275" si="158">IMABS(AG212)</f>
        <v>5.4778980571319304E-3</v>
      </c>
      <c r="AI212" s="98">
        <f t="shared" ref="AI212:AI275" si="159">IMARGUMENT(AG212)</f>
        <v>1.5707963267948966</v>
      </c>
      <c r="AJ212" s="98" t="str">
        <f t="shared" si="145"/>
        <v>1+0.054669586728276i</v>
      </c>
      <c r="AK212" s="98">
        <f t="shared" ref="AK212:AK275" si="160">IMABS(AJ212)</f>
        <v>1.0014932669334531</v>
      </c>
      <c r="AL212" s="98">
        <f t="shared" ref="AL212:AL275" si="161">IMARGUMENT(AJ212)</f>
        <v>5.4615219364074923E-2</v>
      </c>
      <c r="AM212" s="98" t="str">
        <f t="shared" si="146"/>
        <v>1+54.7242563150043i</v>
      </c>
      <c r="AN212" s="98">
        <f t="shared" ref="AN212:AN275" si="162">IMABS(AM212)</f>
        <v>54.733392268616861</v>
      </c>
      <c r="AO212" s="98">
        <f t="shared" ref="AO212:AO275" si="163">IMARGUMENT(AM212)</f>
        <v>1.5525249279031785</v>
      </c>
      <c r="AP212" s="168" t="str">
        <f t="shared" ref="AP212:AP275" si="164">IMPRODUCT(AF212,IMDIV(AM212,IMPRODUCT(AG212,AJ212)))</f>
        <v>-0.0990078695691406+0.00722915485963051i</v>
      </c>
      <c r="AQ212" s="98">
        <f t="shared" ref="AQ212:AQ275" si="165">20*LOG(IMABS(AP212))</f>
        <v>-20.063513515207102</v>
      </c>
      <c r="AR212" s="169">
        <f t="shared" ref="AR212:AR275" si="166">(180/PI())*IMARGUMENT(AP212)</f>
        <v>175.8239043909619</v>
      </c>
      <c r="AS212" s="168" t="str">
        <f t="shared" ref="AS212:AS275" si="167">IMPRODUCT(AC212,AP212)</f>
        <v>0.11071078221517+0.618270075156841i</v>
      </c>
      <c r="AT212" s="190">
        <f t="shared" ref="AT212:AT275" si="168">20*LOG(IMABS(AS212))</f>
        <v>-4.0393674042086296</v>
      </c>
      <c r="AU212" s="169">
        <f t="shared" ref="AU212:AU275" si="169">(180/PI())*IMARGUMENT(AS212)</f>
        <v>79.847902475991333</v>
      </c>
      <c r="AV212" s="225"/>
      <c r="AX212">
        <f t="shared" ref="AX212:AX275" si="170">SUM((AT213&lt;0)*(AT212&gt;0))*O212</f>
        <v>0</v>
      </c>
      <c r="AY212">
        <f t="shared" ref="AY212:AY275" si="171">IF(AX212&gt;0,AU212,0)</f>
        <v>0</v>
      </c>
    </row>
    <row r="213" spans="14:51" x14ac:dyDescent="0.3">
      <c r="N213" s="170">
        <v>95</v>
      </c>
      <c r="O213" s="199">
        <f t="shared" si="137"/>
        <v>891.25093813374656</v>
      </c>
      <c r="P213" s="189" t="str">
        <f t="shared" si="138"/>
        <v>1078.86904761905</v>
      </c>
      <c r="Q213" s="160" t="str">
        <f t="shared" si="139"/>
        <v>1+174.996712484124i</v>
      </c>
      <c r="R213" s="160">
        <f t="shared" si="147"/>
        <v>174.99956965733131</v>
      </c>
      <c r="S213" s="160">
        <f t="shared" si="148"/>
        <v>1.5650819959297309</v>
      </c>
      <c r="T213" s="160" t="str">
        <f t="shared" si="140"/>
        <v>1+0.00011199789598984i</v>
      </c>
      <c r="U213" s="160">
        <f t="shared" si="149"/>
        <v>1.0000000062717642</v>
      </c>
      <c r="V213" s="160">
        <f t="shared" si="150"/>
        <v>1.1199789552155706E-4</v>
      </c>
      <c r="W213" s="98" t="str">
        <f t="shared" si="141"/>
        <v>1-0.0810013582956916i</v>
      </c>
      <c r="X213" s="160">
        <f t="shared" si="151"/>
        <v>1.0032752464033721</v>
      </c>
      <c r="Y213" s="160">
        <f t="shared" si="152"/>
        <v>-8.082489654721027E-2</v>
      </c>
      <c r="Z213" s="98" t="str">
        <f t="shared" si="142"/>
        <v>0.99968226870611+0.0319939322902689i</v>
      </c>
      <c r="AA213" s="160">
        <f t="shared" si="153"/>
        <v>1.0001941061957871</v>
      </c>
      <c r="AB213" s="160">
        <f t="shared" si="154"/>
        <v>3.1993180838342974E-2</v>
      </c>
      <c r="AC213" s="171" t="str">
        <f t="shared" si="155"/>
        <v>-0.660372458431105-6.1486117298614i</v>
      </c>
      <c r="AD213" s="190">
        <f t="shared" si="156"/>
        <v>15.825351231678695</v>
      </c>
      <c r="AE213" s="169">
        <f t="shared" si="157"/>
        <v>-96.13017563892943</v>
      </c>
      <c r="AF213" s="98" t="str">
        <f t="shared" si="143"/>
        <v>-9.95024875621891E-06</v>
      </c>
      <c r="AG213" s="98" t="str">
        <f t="shared" si="144"/>
        <v>0.00560549469429147i</v>
      </c>
      <c r="AH213" s="98">
        <f t="shared" si="158"/>
        <v>5.6054946942914697E-3</v>
      </c>
      <c r="AI213" s="98">
        <f t="shared" si="159"/>
        <v>1.5707963267948966</v>
      </c>
      <c r="AJ213" s="98" t="str">
        <f t="shared" si="145"/>
        <v>1+0.0559430049899299i</v>
      </c>
      <c r="AK213" s="98">
        <f t="shared" si="160"/>
        <v>1.0015635875007156</v>
      </c>
      <c r="AL213" s="98">
        <f t="shared" si="161"/>
        <v>5.588475422036155E-2</v>
      </c>
      <c r="AM213" s="98" t="str">
        <f t="shared" si="146"/>
        <v>1+55.9989479949198i</v>
      </c>
      <c r="AN213" s="98">
        <f t="shared" si="162"/>
        <v>56.007876022375036</v>
      </c>
      <c r="AO213" s="98">
        <f t="shared" si="163"/>
        <v>1.5529407462951792</v>
      </c>
      <c r="AP213" s="168" t="str">
        <f t="shared" si="164"/>
        <v>-0.0989939672164104+0.00731310842838478i</v>
      </c>
      <c r="AQ213" s="98">
        <f t="shared" si="165"/>
        <v>-20.064188627714962</v>
      </c>
      <c r="AR213" s="169">
        <f t="shared" si="166"/>
        <v>175.77499004065749</v>
      </c>
      <c r="AS213" s="168" t="str">
        <f t="shared" si="167"/>
        <v>0.110338353765064+0.60384609262071i</v>
      </c>
      <c r="AT213" s="190">
        <f t="shared" si="168"/>
        <v>-4.2388373960362706</v>
      </c>
      <c r="AU213" s="169">
        <f t="shared" si="169"/>
        <v>79.644814401728041</v>
      </c>
      <c r="AV213" s="225"/>
      <c r="AX213">
        <f t="shared" si="170"/>
        <v>0</v>
      </c>
      <c r="AY213">
        <f t="shared" si="171"/>
        <v>0</v>
      </c>
    </row>
    <row r="214" spans="14:51" x14ac:dyDescent="0.3">
      <c r="N214" s="170">
        <v>96</v>
      </c>
      <c r="O214" s="199">
        <f t="shared" si="137"/>
        <v>912.01083935590987</v>
      </c>
      <c r="P214" s="189" t="str">
        <f t="shared" si="138"/>
        <v>1078.86904761905</v>
      </c>
      <c r="Q214" s="160" t="str">
        <f t="shared" si="139"/>
        <v>1+179.072909557174i</v>
      </c>
      <c r="R214" s="160">
        <f t="shared" si="147"/>
        <v>179.07570169420478</v>
      </c>
      <c r="S214" s="160">
        <f t="shared" si="148"/>
        <v>1.5652120672449754</v>
      </c>
      <c r="T214" s="160" t="str">
        <f t="shared" si="140"/>
        <v>1+0.000114606662116591i</v>
      </c>
      <c r="U214" s="160">
        <f t="shared" si="149"/>
        <v>1.0000000065673433</v>
      </c>
      <c r="V214" s="160">
        <f t="shared" si="150"/>
        <v>1.1460666161481679E-4</v>
      </c>
      <c r="W214" s="98" t="str">
        <f t="shared" si="141"/>
        <v>1-0.0828881223092036i</v>
      </c>
      <c r="X214" s="160">
        <f t="shared" si="151"/>
        <v>1.003429340222791</v>
      </c>
      <c r="Y214" s="160">
        <f t="shared" si="152"/>
        <v>-8.2699075022688848E-2</v>
      </c>
      <c r="Z214" s="98" t="str">
        <f t="shared" si="142"/>
        <v>0.999667294491559+0.0327391667081371i</v>
      </c>
      <c r="AA214" s="160">
        <f t="shared" si="153"/>
        <v>1.0002032556999685</v>
      </c>
      <c r="AB214" s="160">
        <f t="shared" si="154"/>
        <v>3.2738361489119107E-2</v>
      </c>
      <c r="AC214" s="171" t="str">
        <f t="shared" si="155"/>
        <v>-0.661938871287468-6.00772899586839i</v>
      </c>
      <c r="AD214" s="190">
        <f t="shared" si="156"/>
        <v>15.626612131059334</v>
      </c>
      <c r="AE214" s="169">
        <f t="shared" si="157"/>
        <v>-96.287556928005273</v>
      </c>
      <c r="AF214" s="98" t="str">
        <f t="shared" si="143"/>
        <v>-9.95024875621891E-06</v>
      </c>
      <c r="AG214" s="98" t="str">
        <f t="shared" si="144"/>
        <v>0.0057360634389354i</v>
      </c>
      <c r="AH214" s="98">
        <f t="shared" si="158"/>
        <v>5.7360634389353998E-3</v>
      </c>
      <c r="AI214" s="98">
        <f t="shared" si="159"/>
        <v>1.5707963267948966</v>
      </c>
      <c r="AJ214" s="98" t="str">
        <f t="shared" si="145"/>
        <v>1+0.0572460849733224i</v>
      </c>
      <c r="AK214" s="98">
        <f t="shared" si="160"/>
        <v>1.0016372168828258</v>
      </c>
      <c r="AL214" s="98">
        <f t="shared" si="161"/>
        <v>5.7183673658003295E-2</v>
      </c>
      <c r="AM214" s="98" t="str">
        <f t="shared" si="146"/>
        <v>1+57.3033310582957i</v>
      </c>
      <c r="AN214" s="98">
        <f t="shared" si="162"/>
        <v>57.312055890332857</v>
      </c>
      <c r="AO214" s="98">
        <f t="shared" si="163"/>
        <v>1.5533471054721835</v>
      </c>
      <c r="AP214" s="168" t="str">
        <f t="shared" si="164"/>
        <v>-0.0989794138499474+0.00740086641665333i</v>
      </c>
      <c r="AQ214" s="98">
        <f t="shared" si="165"/>
        <v>-20.064889454749959</v>
      </c>
      <c r="AR214" s="169">
        <f t="shared" si="166"/>
        <v>175.72385010476185</v>
      </c>
      <c r="AS214" s="168" t="str">
        <f t="shared" si="167"/>
        <v>0.109980721250406+0.589742573417997i</v>
      </c>
      <c r="AT214" s="190">
        <f t="shared" si="168"/>
        <v>-4.4382773236906328</v>
      </c>
      <c r="AU214" s="169">
        <f t="shared" si="169"/>
        <v>79.436293176756578</v>
      </c>
      <c r="AV214" s="225"/>
      <c r="AX214">
        <f t="shared" si="170"/>
        <v>0</v>
      </c>
      <c r="AY214">
        <f t="shared" si="171"/>
        <v>0</v>
      </c>
    </row>
    <row r="215" spans="14:51" x14ac:dyDescent="0.3">
      <c r="N215" s="170">
        <v>97</v>
      </c>
      <c r="O215" s="199">
        <f t="shared" si="137"/>
        <v>933.25430079699106</v>
      </c>
      <c r="P215" s="189" t="str">
        <f t="shared" si="138"/>
        <v>1078.86904761905</v>
      </c>
      <c r="Q215" s="160" t="str">
        <f t="shared" si="139"/>
        <v>1+183.244053457182i</v>
      </c>
      <c r="R215" s="160">
        <f t="shared" si="147"/>
        <v>183.24678203837189</v>
      </c>
      <c r="S215" s="160">
        <f t="shared" si="148"/>
        <v>1.565339177958198</v>
      </c>
      <c r="T215" s="160" t="str">
        <f t="shared" si="140"/>
        <v>1+0.000117276194212596i</v>
      </c>
      <c r="U215" s="160">
        <f t="shared" si="149"/>
        <v>1.0000000068768529</v>
      </c>
      <c r="V215" s="160">
        <f t="shared" si="150"/>
        <v>1.1727619367493525E-4</v>
      </c>
      <c r="W215" s="98" t="str">
        <f t="shared" si="141"/>
        <v>1-0.0848188347023181i</v>
      </c>
      <c r="X215" s="160">
        <f t="shared" si="151"/>
        <v>1.0035906709013687</v>
      </c>
      <c r="Y215" s="160">
        <f t="shared" si="152"/>
        <v>-8.4616306007695041E-2</v>
      </c>
      <c r="Z215" s="98" t="str">
        <f t="shared" si="142"/>
        <v>0.999651614564018+0.033501759865548i</v>
      </c>
      <c r="AA215" s="160">
        <f t="shared" si="153"/>
        <v>1.0002128365575682</v>
      </c>
      <c r="AB215" s="160">
        <f t="shared" si="154"/>
        <v>3.3500897031153089E-2</v>
      </c>
      <c r="AC215" s="171" t="str">
        <f t="shared" si="155"/>
        <v>-0.663432936222279-5.87003087444621i</v>
      </c>
      <c r="AD215" s="190">
        <f t="shared" si="156"/>
        <v>15.42793142719308</v>
      </c>
      <c r="AE215" s="169">
        <f t="shared" si="157"/>
        <v>-96.448226194563304</v>
      </c>
      <c r="AF215" s="98" t="str">
        <f t="shared" si="143"/>
        <v>-9.95024875621891E-06</v>
      </c>
      <c r="AG215" s="98" t="str">
        <f t="shared" si="144"/>
        <v>0.00586967352034044i</v>
      </c>
      <c r="AH215" s="98">
        <f t="shared" si="158"/>
        <v>5.8696735203404397E-3</v>
      </c>
      <c r="AI215" s="98">
        <f t="shared" si="159"/>
        <v>1.5707963267948966</v>
      </c>
      <c r="AJ215" s="98" t="str">
        <f t="shared" si="145"/>
        <v>1+0.0585795175887094i</v>
      </c>
      <c r="AK215" s="98">
        <f t="shared" si="160"/>
        <v>1.0017143105102002</v>
      </c>
      <c r="AL215" s="98">
        <f t="shared" si="161"/>
        <v>5.8512648839146558E-2</v>
      </c>
      <c r="AM215" s="98" t="str">
        <f t="shared" si="146"/>
        <v>1+58.6380971062981i</v>
      </c>
      <c r="AN215" s="98">
        <f t="shared" si="162"/>
        <v>58.646623366120963</v>
      </c>
      <c r="AO215" s="98">
        <f t="shared" si="163"/>
        <v>1.5537442203540883</v>
      </c>
      <c r="AP215" s="168" t="str">
        <f t="shared" si="164"/>
        <v>-0.098964179190057+0.00749247016228368i</v>
      </c>
      <c r="AQ215" s="98">
        <f t="shared" si="165"/>
        <v>-20.065617469781007</v>
      </c>
      <c r="AR215" s="169">
        <f t="shared" si="166"/>
        <v>175.67045844251967</v>
      </c>
      <c r="AS215" s="168" t="str">
        <f t="shared" si="167"/>
        <v>0.109637127159359+0.57595203583054i</v>
      </c>
      <c r="AT215" s="190">
        <f t="shared" si="168"/>
        <v>-4.6376860425879283</v>
      </c>
      <c r="AU215" s="169">
        <f t="shared" si="169"/>
        <v>79.222232247956413</v>
      </c>
      <c r="AV215" s="225"/>
      <c r="AX215">
        <f t="shared" si="170"/>
        <v>0</v>
      </c>
      <c r="AY215">
        <f t="shared" si="171"/>
        <v>0</v>
      </c>
    </row>
    <row r="216" spans="14:51" x14ac:dyDescent="0.3">
      <c r="N216" s="170">
        <v>98</v>
      </c>
      <c r="O216" s="199">
        <f t="shared" si="137"/>
        <v>954.99258602143675</v>
      </c>
      <c r="P216" s="189" t="str">
        <f t="shared" si="138"/>
        <v>1078.86904761905</v>
      </c>
      <c r="Q216" s="160" t="str">
        <f t="shared" si="139"/>
        <v>1+187.512355779854i</v>
      </c>
      <c r="R216" s="160">
        <f t="shared" si="147"/>
        <v>187.51502225184666</v>
      </c>
      <c r="S216" s="160">
        <f t="shared" si="148"/>
        <v>1.5654633954487416</v>
      </c>
      <c r="T216" s="160" t="str">
        <f t="shared" si="140"/>
        <v>1+0.000120007907699107i</v>
      </c>
      <c r="U216" s="160">
        <f t="shared" si="149"/>
        <v>1.0000000072009489</v>
      </c>
      <c r="V216" s="160">
        <f t="shared" si="150"/>
        <v>1.2000790712299313E-4</v>
      </c>
      <c r="W216" s="98" t="str">
        <f t="shared" si="141"/>
        <v>1-0.0867945191643019i</v>
      </c>
      <c r="X216" s="160">
        <f t="shared" si="151"/>
        <v>1.0037595770686139</v>
      </c>
      <c r="Y216" s="160">
        <f t="shared" si="152"/>
        <v>-8.6577549633649747E-2</v>
      </c>
      <c r="Z216" s="98" t="str">
        <f t="shared" si="142"/>
        <v>0.999635195664258+0.034282116099488i</v>
      </c>
      <c r="AA216" s="160">
        <f t="shared" si="153"/>
        <v>1.0002228691121686</v>
      </c>
      <c r="AB216" s="160">
        <f t="shared" si="154"/>
        <v>3.4281191525851011E-2</v>
      </c>
      <c r="AC216" s="171" t="str">
        <f t="shared" si="155"/>
        <v>-0.664857821823699-5.73544441181395i</v>
      </c>
      <c r="AD216" s="190">
        <f t="shared" si="156"/>
        <v>15.229311856602489</v>
      </c>
      <c r="AE216" s="169">
        <f t="shared" si="157"/>
        <v>-96.612265380549388</v>
      </c>
      <c r="AF216" s="98" t="str">
        <f t="shared" si="143"/>
        <v>-9.95024875621891E-06</v>
      </c>
      <c r="AG216" s="98" t="str">
        <f t="shared" si="144"/>
        <v>0.00600639578034028i</v>
      </c>
      <c r="AH216" s="98">
        <f t="shared" si="158"/>
        <v>6.0063957803402797E-3</v>
      </c>
      <c r="AI216" s="98">
        <f t="shared" si="159"/>
        <v>1.5707963267948966</v>
      </c>
      <c r="AJ216" s="98" t="str">
        <f t="shared" si="145"/>
        <v>1+0.0599440098397136i</v>
      </c>
      <c r="AK216" s="98">
        <f t="shared" si="160"/>
        <v>1.0017950310895256</v>
      </c>
      <c r="AL216" s="98">
        <f t="shared" si="161"/>
        <v>5.9872365615779313E-2</v>
      </c>
      <c r="AM216" s="98" t="str">
        <f t="shared" si="146"/>
        <v>1+60.0039538495533i</v>
      </c>
      <c r="AN216" s="98">
        <f t="shared" si="162"/>
        <v>60.012286055268063</v>
      </c>
      <c r="AO216" s="98">
        <f t="shared" si="163"/>
        <v>1.5541323009951724</v>
      </c>
      <c r="AP216" s="168" t="str">
        <f t="shared" si="164"/>
        <v>-0.0989482315684569+0.00758796267501717i</v>
      </c>
      <c r="AQ216" s="98">
        <f t="shared" si="165"/>
        <v>-20.066374202713071</v>
      </c>
      <c r="AR216" s="169">
        <f t="shared" si="166"/>
        <v>175.61478779273034</v>
      </c>
      <c r="AS216" s="168" t="str">
        <f t="shared" si="167"/>
        <v>0.109306843835391+0.562467165471987i</v>
      </c>
      <c r="AT216" s="190">
        <f t="shared" si="168"/>
        <v>-4.8370623461105877</v>
      </c>
      <c r="AU216" s="169">
        <f t="shared" si="169"/>
        <v>79.00252241218098</v>
      </c>
      <c r="AV216" s="225"/>
      <c r="AX216">
        <f t="shared" si="170"/>
        <v>0</v>
      </c>
      <c r="AY216">
        <f t="shared" si="171"/>
        <v>0</v>
      </c>
    </row>
    <row r="217" spans="14:51" x14ac:dyDescent="0.3">
      <c r="N217" s="170">
        <v>99</v>
      </c>
      <c r="O217" s="199">
        <f t="shared" si="137"/>
        <v>977.23722095581138</v>
      </c>
      <c r="P217" s="189" t="str">
        <f t="shared" si="138"/>
        <v>1078.86904761905</v>
      </c>
      <c r="Q217" s="160" t="str">
        <f t="shared" si="139"/>
        <v>1+191.88007963558i</v>
      </c>
      <c r="R217" s="160">
        <f t="shared" si="147"/>
        <v>191.88268541209371</v>
      </c>
      <c r="S217" s="160">
        <f t="shared" si="148"/>
        <v>1.5655847855630216</v>
      </c>
      <c r="T217" s="160" t="str">
        <f t="shared" si="140"/>
        <v>1+0.000122803250966771i</v>
      </c>
      <c r="U217" s="160">
        <f t="shared" si="149"/>
        <v>1.0000000075403193</v>
      </c>
      <c r="V217" s="160">
        <f t="shared" si="150"/>
        <v>1.2280325034945386E-4</v>
      </c>
      <c r="W217" s="98" t="str">
        <f t="shared" si="141"/>
        <v>1-0.0888162232292078i</v>
      </c>
      <c r="X217" s="160">
        <f t="shared" si="151"/>
        <v>1.0039364130803805</v>
      </c>
      <c r="Y217" s="160">
        <f t="shared" si="152"/>
        <v>-8.8583785393352182E-2</v>
      </c>
      <c r="Z217" s="98" t="str">
        <f t="shared" si="142"/>
        <v>0.999618002965591+0.0350806491651613i</v>
      </c>
      <c r="AA217" s="160">
        <f t="shared" si="153"/>
        <v>1.0002333746675149</v>
      </c>
      <c r="AB217" s="160">
        <f t="shared" si="154"/>
        <v>3.5079658433084304E-2</v>
      </c>
      <c r="AC217" s="171" t="str">
        <f t="shared" si="155"/>
        <v>-0.666216549999194-5.6038983006481i</v>
      </c>
      <c r="AD217" s="190">
        <f t="shared" si="156"/>
        <v>15.030756279571595</v>
      </c>
      <c r="AE217" s="169">
        <f t="shared" si="157"/>
        <v>-96.779757986007596</v>
      </c>
      <c r="AF217" s="98" t="str">
        <f t="shared" si="143"/>
        <v>-9.95024875621891E-06</v>
      </c>
      <c r="AG217" s="98" t="str">
        <f t="shared" si="144"/>
        <v>0.00614630271088691i</v>
      </c>
      <c r="AH217" s="98">
        <f t="shared" si="158"/>
        <v>6.1463027108869103E-3</v>
      </c>
      <c r="AI217" s="98">
        <f t="shared" si="159"/>
        <v>1.5707963267948966</v>
      </c>
      <c r="AJ217" s="98" t="str">
        <f t="shared" si="145"/>
        <v>1+0.0613402851981875i</v>
      </c>
      <c r="AK217" s="98">
        <f t="shared" si="160"/>
        <v>1.0018795489419849</v>
      </c>
      <c r="AL217" s="98">
        <f t="shared" si="161"/>
        <v>6.1263524805288336E-2</v>
      </c>
      <c r="AM217" s="98" t="str">
        <f t="shared" si="146"/>
        <v>1+61.4016254833857i</v>
      </c>
      <c r="AN217" s="98">
        <f t="shared" si="162"/>
        <v>61.409768050383967</v>
      </c>
      <c r="AO217" s="98">
        <f t="shared" si="163"/>
        <v>1.5545115526930802</v>
      </c>
      <c r="AP217" s="168" t="str">
        <f t="shared" si="164"/>
        <v>-0.0989315378665006+0.00768738863354051i</v>
      </c>
      <c r="AQ217" s="98">
        <f t="shared" si="165"/>
        <v>-20.06716124301218</v>
      </c>
      <c r="AR217" s="169">
        <f t="shared" si="166"/>
        <v>175.5568097642039</v>
      </c>
      <c r="AS217" s="168" t="str">
        <f t="shared" si="167"/>
        <v>0.108989171943454+0.549280811396646i</v>
      </c>
      <c r="AT217" s="190">
        <f t="shared" si="168"/>
        <v>-5.0364049634405763</v>
      </c>
      <c r="AU217" s="169">
        <f t="shared" si="169"/>
        <v>78.777051778196324</v>
      </c>
      <c r="AV217" s="225"/>
      <c r="AX217">
        <f t="shared" si="170"/>
        <v>0</v>
      </c>
      <c r="AY217">
        <f t="shared" si="171"/>
        <v>0</v>
      </c>
    </row>
    <row r="218" spans="14:51" x14ac:dyDescent="0.3">
      <c r="N218" s="170">
        <v>100</v>
      </c>
      <c r="O218" s="199">
        <f t="shared" si="137"/>
        <v>1000</v>
      </c>
      <c r="P218" s="189" t="str">
        <f t="shared" si="138"/>
        <v>1078.86904761905</v>
      </c>
      <c r="Q218" s="160" t="str">
        <f t="shared" si="139"/>
        <v>1+196.349540849362i</v>
      </c>
      <c r="R218" s="160">
        <f t="shared" si="147"/>
        <v>196.3520873119389</v>
      </c>
      <c r="S218" s="160">
        <f t="shared" si="148"/>
        <v>1.5657034126493656</v>
      </c>
      <c r="T218" s="160" t="str">
        <f t="shared" si="140"/>
        <v>1+0.000125663706143592i</v>
      </c>
      <c r="U218" s="160">
        <f t="shared" si="149"/>
        <v>1.0000000078956834</v>
      </c>
      <c r="V218" s="160">
        <f t="shared" si="150"/>
        <v>1.2566370548212479E-4</v>
      </c>
      <c r="W218" s="98" t="str">
        <f t="shared" si="141"/>
        <v>1-0.0908850188312914i</v>
      </c>
      <c r="X218" s="160">
        <f t="shared" si="151"/>
        <v>1.0041215497378613</v>
      </c>
      <c r="Y218" s="160">
        <f t="shared" si="152"/>
        <v>-9.0636012383244549E-2</v>
      </c>
      <c r="Z218" s="98" t="str">
        <f t="shared" si="142"/>
        <v>0.9996+0.0358977824553692i</v>
      </c>
      <c r="AA218" s="160">
        <f t="shared" si="153"/>
        <v>1.000244375532906</v>
      </c>
      <c r="AB218" s="160">
        <f t="shared" si="154"/>
        <v>3.5896720829151053E-2</v>
      </c>
      <c r="AC218" s="171" t="str">
        <f t="shared" si="155"/>
        <v>-0.667512002381449-5.4753228425233i</v>
      </c>
      <c r="AD218" s="190">
        <f t="shared" si="156"/>
        <v>14.832267685651024</v>
      </c>
      <c r="AE218" s="169">
        <f t="shared" si="157"/>
        <v>-96.950789097401596</v>
      </c>
      <c r="AF218" s="98" t="str">
        <f t="shared" si="143"/>
        <v>-9.95024875621891E-06</v>
      </c>
      <c r="AG218" s="98" t="str">
        <f t="shared" si="144"/>
        <v>0.00628946849248677i</v>
      </c>
      <c r="AH218" s="98">
        <f t="shared" si="158"/>
        <v>6.2894684924867704E-3</v>
      </c>
      <c r="AI218" s="98">
        <f t="shared" si="159"/>
        <v>1.5707963267948966</v>
      </c>
      <c r="AJ218" s="98" t="str">
        <f t="shared" si="145"/>
        <v>1+0.0627690839878081i</v>
      </c>
      <c r="AK218" s="98">
        <f t="shared" si="160"/>
        <v>1.0019680423569748</v>
      </c>
      <c r="AL218" s="98">
        <f t="shared" si="161"/>
        <v>6.2686842467775727E-2</v>
      </c>
      <c r="AM218" s="98" t="str">
        <f t="shared" si="146"/>
        <v>1+62.8318530717959i</v>
      </c>
      <c r="AN218" s="98">
        <f t="shared" si="162"/>
        <v>62.839810315084087</v>
      </c>
      <c r="AO218" s="98">
        <f t="shared" si="163"/>
        <v>1.5548821760954434</v>
      </c>
      <c r="AP218" s="168" t="str">
        <f t="shared" si="164"/>
        <v>-0.0989140634508383+0.00779079438164195i</v>
      </c>
      <c r="AQ218" s="98">
        <f t="shared" si="165"/>
        <v>-20.067980242945296</v>
      </c>
      <c r="AR218" s="169">
        <f t="shared" si="166"/>
        <v>175.49649482598119</v>
      </c>
      <c r="AS218" s="168" t="str">
        <f t="shared" si="167"/>
        <v>0.108683438996961+0.536385982301342i</v>
      </c>
      <c r="AT218" s="190">
        <f t="shared" si="168"/>
        <v>-5.2357125572942751</v>
      </c>
      <c r="AU218" s="169">
        <f t="shared" si="169"/>
        <v>78.545705728579577</v>
      </c>
      <c r="AV218" s="225"/>
      <c r="AX218">
        <f t="shared" si="170"/>
        <v>0</v>
      </c>
      <c r="AY218">
        <f t="shared" si="171"/>
        <v>0</v>
      </c>
    </row>
    <row r="219" spans="14:51" x14ac:dyDescent="0.3">
      <c r="N219" s="170">
        <v>1</v>
      </c>
      <c r="O219" s="199">
        <f>10^(3+(N219/100))</f>
        <v>1023.2929922807547</v>
      </c>
      <c r="P219" s="189" t="str">
        <f t="shared" si="138"/>
        <v>1078.86904761905</v>
      </c>
      <c r="Q219" s="160" t="str">
        <f t="shared" si="139"/>
        <v>1+200.923109188696i</v>
      </c>
      <c r="R219" s="160">
        <f t="shared" si="147"/>
        <v>200.92559768743419</v>
      </c>
      <c r="S219" s="160">
        <f t="shared" si="148"/>
        <v>1.5658193395920623</v>
      </c>
      <c r="T219" s="160" t="str">
        <f t="shared" si="140"/>
        <v>1+0.000128590789880765i</v>
      </c>
      <c r="U219" s="160">
        <f t="shared" si="149"/>
        <v>1.0000000082677956</v>
      </c>
      <c r="V219" s="160">
        <f t="shared" si="150"/>
        <v>1.2859078917199009E-4</v>
      </c>
      <c r="W219" s="98" t="str">
        <f t="shared" si="141"/>
        <v>1-0.0930020028733648i</v>
      </c>
      <c r="X219" s="160">
        <f t="shared" si="151"/>
        <v>1.0043153750383678</v>
      </c>
      <c r="Y219" s="160">
        <f t="shared" si="152"/>
        <v>-9.2735249537116093E-2</v>
      </c>
      <c r="Z219" s="98" t="str">
        <f t="shared" si="142"/>
        <v>0.99958114858078+0.0367339492249983i</v>
      </c>
      <c r="AA219" s="160">
        <f t="shared" si="153"/>
        <v>1.0002558950707245</v>
      </c>
      <c r="AB219" s="160">
        <f t="shared" si="154"/>
        <v>3.6732811629744407E-2</v>
      </c>
      <c r="AC219" s="171" t="str">
        <f t="shared" si="155"/>
        <v>-0.668746926437233-5.34964991119193i</v>
      </c>
      <c r="AD219" s="190">
        <f t="shared" si="156"/>
        <v>14.633849199385509</v>
      </c>
      <c r="AE219" s="169">
        <f t="shared" si="157"/>
        <v>-97.125445415685874</v>
      </c>
      <c r="AF219" s="98" t="str">
        <f t="shared" si="143"/>
        <v>-9.95024875621891E-06</v>
      </c>
      <c r="AG219" s="98" t="str">
        <f t="shared" si="144"/>
        <v>0.00643596903353231i</v>
      </c>
      <c r="AH219" s="98">
        <f t="shared" si="158"/>
        <v>6.4359690335323103E-3</v>
      </c>
      <c r="AI219" s="98">
        <f t="shared" si="159"/>
        <v>1.5707963267948966</v>
      </c>
      <c r="AJ219" s="98" t="str">
        <f t="shared" si="145"/>
        <v>1+0.0642311637766061i</v>
      </c>
      <c r="AK219" s="98">
        <f t="shared" si="160"/>
        <v>1.0020606979620033</v>
      </c>
      <c r="AL219" s="98">
        <f t="shared" si="161"/>
        <v>6.4143050184854666E-2</v>
      </c>
      <c r="AM219" s="98" t="str">
        <f t="shared" si="146"/>
        <v>1+64.2953949403827i</v>
      </c>
      <c r="AN219" s="98">
        <f t="shared" si="162"/>
        <v>64.303171076858959</v>
      </c>
      <c r="AO219" s="98">
        <f t="shared" si="163"/>
        <v>1.5552443673041869</v>
      </c>
      <c r="AP219" s="168" t="str">
        <f t="shared" si="164"/>
        <v>-0.0988957721064217+0.00789822792334938i</v>
      </c>
      <c r="AQ219" s="98">
        <f t="shared" si="165"/>
        <v>-20.068832920941354</v>
      </c>
      <c r="AR219" s="169">
        <f t="shared" si="166"/>
        <v>175.43381229733589</v>
      </c>
      <c r="AS219" s="168" t="str">
        <f t="shared" si="167"/>
        <v>0.108388997942526+0.523775842818336i</v>
      </c>
      <c r="AT219" s="190">
        <f t="shared" si="168"/>
        <v>-5.4349837215558372</v>
      </c>
      <c r="AU219" s="169">
        <f t="shared" si="169"/>
        <v>78.308366881650059</v>
      </c>
      <c r="AV219" s="225"/>
      <c r="AX219">
        <f t="shared" si="170"/>
        <v>0</v>
      </c>
      <c r="AY219">
        <f t="shared" si="171"/>
        <v>0</v>
      </c>
    </row>
    <row r="220" spans="14:51" x14ac:dyDescent="0.3">
      <c r="N220" s="170">
        <v>2</v>
      </c>
      <c r="O220" s="199">
        <f t="shared" ref="O220:O283" si="172">10^(3+(N220/100))</f>
        <v>1047.1285480509</v>
      </c>
      <c r="P220" s="189" t="str">
        <f t="shared" si="138"/>
        <v>1078.86904761905</v>
      </c>
      <c r="Q220" s="160" t="str">
        <f t="shared" si="139"/>
        <v>1+205.603209620053i</v>
      </c>
      <c r="R220" s="160">
        <f t="shared" si="147"/>
        <v>205.60564147432203</v>
      </c>
      <c r="S220" s="160">
        <f t="shared" si="148"/>
        <v>1.5659326278446402</v>
      </c>
      <c r="T220" s="160" t="str">
        <f t="shared" si="140"/>
        <v>1+0.000131586054156834i</v>
      </c>
      <c r="U220" s="160">
        <f t="shared" si="149"/>
        <v>1.0000000086574448</v>
      </c>
      <c r="V220" s="160">
        <f t="shared" si="150"/>
        <v>1.3158605339736799E-4</v>
      </c>
      <c r="W220" s="98" t="str">
        <f t="shared" si="141"/>
        <v>1-0.0951682978083888i</v>
      </c>
      <c r="X220" s="160">
        <f t="shared" si="151"/>
        <v>1.0045182949592038</v>
      </c>
      <c r="Y220" s="160">
        <f t="shared" si="152"/>
        <v>-9.4882535850117675E-2</v>
      </c>
      <c r="Z220" s="98" t="str">
        <f t="shared" si="142"/>
        <v>0.999561408721543+0.0375895928207378i</v>
      </c>
      <c r="AA220" s="160">
        <f t="shared" si="153"/>
        <v>1.0002679577462354</v>
      </c>
      <c r="AB220" s="160">
        <f t="shared" si="154"/>
        <v>3.7588373818040248E-2</v>
      </c>
      <c r="AC220" s="171" t="str">
        <f t="shared" si="155"/>
        <v>-0.669923941292034-5.22681291668251i</v>
      </c>
      <c r="AD220" s="190">
        <f t="shared" si="156"/>
        <v>14.43550408626855</v>
      </c>
      <c r="AE220" s="169">
        <f t="shared" si="157"/>
        <v>-97.303815284069827</v>
      </c>
      <c r="AF220" s="98" t="str">
        <f t="shared" si="143"/>
        <v>-9.95024875621891E-06</v>
      </c>
      <c r="AG220" s="98" t="str">
        <f t="shared" si="144"/>
        <v>0.00658588201054955i</v>
      </c>
      <c r="AH220" s="98">
        <f t="shared" si="158"/>
        <v>6.5858820105495503E-3</v>
      </c>
      <c r="AI220" s="98">
        <f t="shared" si="159"/>
        <v>1.5707963267948966</v>
      </c>
      <c r="AJ220" s="98" t="str">
        <f t="shared" si="145"/>
        <v>1+0.0657272997786385i</v>
      </c>
      <c r="AK220" s="98">
        <f t="shared" si="160"/>
        <v>1.0021577111094795</v>
      </c>
      <c r="AL220" s="98">
        <f t="shared" si="161"/>
        <v>6.5632895339617539E-2</v>
      </c>
      <c r="AM220" s="98" t="str">
        <f t="shared" si="146"/>
        <v>1+65.7930270784171i</v>
      </c>
      <c r="AN220" s="98">
        <f t="shared" si="162"/>
        <v>65.800626229096977</v>
      </c>
      <c r="AO220" s="98">
        <f t="shared" si="163"/>
        <v>1.5555983179775601</v>
      </c>
      <c r="AP220" s="168" t="str">
        <f t="shared" si="164"/>
        <v>-0.0988766259667703+0.00800973891692065i</v>
      </c>
      <c r="AQ220" s="98">
        <f t="shared" si="165"/>
        <v>-20.06972106507876</v>
      </c>
      <c r="AR220" s="169">
        <f t="shared" si="166"/>
        <v>175.36873033758005</v>
      </c>
      <c r="AS220" s="168" t="str">
        <f t="shared" si="167"/>
        <v>0.108105225799532+0.511443709897157i</v>
      </c>
      <c r="AT220" s="190">
        <f t="shared" si="168"/>
        <v>-5.6342169788102057</v>
      </c>
      <c r="AU220" s="169">
        <f t="shared" si="169"/>
        <v>78.06491505351029</v>
      </c>
      <c r="AV220" s="225"/>
      <c r="AX220">
        <f t="shared" si="170"/>
        <v>0</v>
      </c>
      <c r="AY220">
        <f t="shared" si="171"/>
        <v>0</v>
      </c>
    </row>
    <row r="221" spans="14:51" x14ac:dyDescent="0.3">
      <c r="N221" s="170">
        <v>3</v>
      </c>
      <c r="O221" s="199">
        <f t="shared" si="172"/>
        <v>1071.5193052376069</v>
      </c>
      <c r="P221" s="189" t="str">
        <f t="shared" si="138"/>
        <v>1078.86904761905</v>
      </c>
      <c r="Q221" s="160" t="str">
        <f t="shared" si="139"/>
        <v>1+210.392323594632i</v>
      </c>
      <c r="R221" s="160">
        <f t="shared" si="147"/>
        <v>210.3947000937722</v>
      </c>
      <c r="S221" s="160">
        <f t="shared" si="148"/>
        <v>1.5660433374623921</v>
      </c>
      <c r="T221" s="160" t="str">
        <f t="shared" si="140"/>
        <v>1+0.000134651087100564i</v>
      </c>
      <c r="U221" s="160">
        <f t="shared" si="149"/>
        <v>1.0000000090654575</v>
      </c>
      <c r="V221" s="160">
        <f t="shared" si="150"/>
        <v>1.3465108628678152E-4</v>
      </c>
      <c r="W221" s="98" t="str">
        <f t="shared" si="141"/>
        <v>1-0.0973850522346121i</v>
      </c>
      <c r="X221" s="160">
        <f t="shared" si="151"/>
        <v>1.0047307342759741</v>
      </c>
      <c r="Y221" s="160">
        <f t="shared" si="152"/>
        <v>-9.7078930591875029E-2</v>
      </c>
      <c r="Z221" s="98" t="str">
        <f t="shared" si="142"/>
        <v>0.999540738551401+0.0384651669161479i</v>
      </c>
      <c r="AA221" s="160">
        <f t="shared" si="153"/>
        <v>1.0002805891797397</v>
      </c>
      <c r="AB221" s="160">
        <f t="shared" si="154"/>
        <v>3.8463860678018942E-2</v>
      </c>
      <c r="AC221" s="171" t="str">
        <f t="shared" si="155"/>
        <v>-0.671045543282941-5.10674677020046i</v>
      </c>
      <c r="AD221" s="190">
        <f t="shared" si="156"/>
        <v>14.237235758933737</v>
      </c>
      <c r="AE221" s="169">
        <f t="shared" si="157"/>
        <v>-97.485988715413271</v>
      </c>
      <c r="AF221" s="98" t="str">
        <f t="shared" si="143"/>
        <v>-9.95024875621891E-06</v>
      </c>
      <c r="AG221" s="98" t="str">
        <f t="shared" si="144"/>
        <v>0.00673928690938324i</v>
      </c>
      <c r="AH221" s="98">
        <f t="shared" si="158"/>
        <v>6.7392869093832403E-3</v>
      </c>
      <c r="AI221" s="98">
        <f t="shared" si="159"/>
        <v>1.5707963267948966</v>
      </c>
      <c r="AJ221" s="98" t="str">
        <f t="shared" si="145"/>
        <v>1+0.0672582852650171i</v>
      </c>
      <c r="AK221" s="98">
        <f t="shared" si="160"/>
        <v>1.0022592862811452</v>
      </c>
      <c r="AL221" s="98">
        <f t="shared" si="161"/>
        <v>6.7157141397438516E-2</v>
      </c>
      <c r="AM221" s="98" t="str">
        <f t="shared" si="146"/>
        <v>1+67.3255435502821i</v>
      </c>
      <c r="AN221" s="98">
        <f t="shared" si="162"/>
        <v>67.332969742474106</v>
      </c>
      <c r="AO221" s="98">
        <f t="shared" si="163"/>
        <v>1.555944215429945</v>
      </c>
      <c r="AP221" s="168" t="str">
        <f t="shared" si="164"/>
        <v>-0.0988565854414032+0.00812537866754671i</v>
      </c>
      <c r="AQ221" s="98">
        <f t="shared" si="165"/>
        <v>-20.070646536705961</v>
      </c>
      <c r="AR221" s="169">
        <f t="shared" si="166"/>
        <v>175.30121593569345</v>
      </c>
      <c r="AS221" s="168" t="str">
        <f t="shared" si="167"/>
        <v>0.107831522351773+0.499383049273588i</v>
      </c>
      <c r="AT221" s="190">
        <f t="shared" si="168"/>
        <v>-5.8334107777722277</v>
      </c>
      <c r="AU221" s="169">
        <f t="shared" si="169"/>
        <v>77.81522722028015</v>
      </c>
      <c r="AV221" s="225"/>
      <c r="AX221">
        <f t="shared" si="170"/>
        <v>0</v>
      </c>
      <c r="AY221">
        <f t="shared" si="171"/>
        <v>0</v>
      </c>
    </row>
    <row r="222" spans="14:51" x14ac:dyDescent="0.3">
      <c r="N222" s="170">
        <v>4</v>
      </c>
      <c r="O222" s="199">
        <f t="shared" si="172"/>
        <v>1096.4781961431863</v>
      </c>
      <c r="P222" s="189" t="str">
        <f t="shared" si="138"/>
        <v>1078.86904761905</v>
      </c>
      <c r="Q222" s="160" t="str">
        <f t="shared" si="139"/>
        <v>1+215.292990364051i</v>
      </c>
      <c r="R222" s="160">
        <f t="shared" si="147"/>
        <v>215.29531276805668</v>
      </c>
      <c r="S222" s="160">
        <f t="shared" si="148"/>
        <v>1.5661515271341611</v>
      </c>
      <c r="T222" s="160" t="str">
        <f t="shared" si="140"/>
        <v>1+0.000137787513832993i</v>
      </c>
      <c r="U222" s="160">
        <f t="shared" si="149"/>
        <v>1.0000000094926995</v>
      </c>
      <c r="V222" s="160">
        <f t="shared" si="150"/>
        <v>1.3778751296100936E-4</v>
      </c>
      <c r="W222" s="98" t="str">
        <f t="shared" si="141"/>
        <v>1-0.0996534415045738i</v>
      </c>
      <c r="X222" s="160">
        <f t="shared" si="151"/>
        <v>1.0049531374167182</v>
      </c>
      <c r="Y222" s="160">
        <f t="shared" si="152"/>
        <v>-9.9325513507402194E-2</v>
      </c>
      <c r="Z222" s="98" t="str">
        <f t="shared" si="142"/>
        <v>0.999519094226153+0.0393611357522037i</v>
      </c>
      <c r="AA222" s="160">
        <f t="shared" si="153"/>
        <v>1.0002938162012063</v>
      </c>
      <c r="AB222" s="160">
        <f t="shared" si="154"/>
        <v>3.9359736033136569E-2</v>
      </c>
      <c r="AC222" s="171" t="str">
        <f t="shared" si="155"/>
        <v>-0.672114111251415-4.98938784981305i</v>
      </c>
      <c r="AD222" s="190">
        <f t="shared" si="156"/>
        <v>14.039047783589291</v>
      </c>
      <c r="AE222" s="169">
        <f t="shared" si="157"/>
        <v>-97.672057419185279</v>
      </c>
      <c r="AF222" s="98" t="str">
        <f t="shared" si="143"/>
        <v>-9.95024875621891E-06</v>
      </c>
      <c r="AG222" s="98" t="str">
        <f t="shared" si="144"/>
        <v>0.0068962650673413i</v>
      </c>
      <c r="AH222" s="98">
        <f t="shared" si="158"/>
        <v>6.8962650673412996E-3</v>
      </c>
      <c r="AI222" s="98">
        <f t="shared" si="159"/>
        <v>1.5707963267948966</v>
      </c>
      <c r="AJ222" s="98" t="str">
        <f t="shared" si="145"/>
        <v>1+0.0688249319845119i</v>
      </c>
      <c r="AK222" s="98">
        <f t="shared" si="160"/>
        <v>1.0023656375109198</v>
      </c>
      <c r="AL222" s="98">
        <f t="shared" si="161"/>
        <v>6.8716568187242269E-2</v>
      </c>
      <c r="AM222" s="98" t="str">
        <f t="shared" si="146"/>
        <v>1+68.8937569164964i</v>
      </c>
      <c r="AN222" s="98">
        <f t="shared" si="162"/>
        <v>68.901014085928338</v>
      </c>
      <c r="AO222" s="98">
        <f t="shared" si="163"/>
        <v>1.55628224272948</v>
      </c>
      <c r="AP222" s="168" t="str">
        <f t="shared" si="164"/>
        <v>-0.0988356091403486+0.00824520011861956i</v>
      </c>
      <c r="AQ222" s="98">
        <f t="shared" si="165"/>
        <v>-20.071611274201018</v>
      </c>
      <c r="AR222" s="169">
        <f t="shared" si="166"/>
        <v>175.23123489980162</v>
      </c>
      <c r="AS222" s="168" t="str">
        <f t="shared" si="167"/>
        <v>0.107567308888475+0.487587472023911i</v>
      </c>
      <c r="AT222" s="190">
        <f t="shared" si="168"/>
        <v>-6.0325634906117278</v>
      </c>
      <c r="AU222" s="169">
        <f t="shared" si="169"/>
        <v>77.559177480616398</v>
      </c>
      <c r="AV222" s="225"/>
      <c r="AX222">
        <f t="shared" si="170"/>
        <v>0</v>
      </c>
      <c r="AY222">
        <f t="shared" si="171"/>
        <v>0</v>
      </c>
    </row>
    <row r="223" spans="14:51" x14ac:dyDescent="0.3">
      <c r="N223" s="170">
        <v>5</v>
      </c>
      <c r="O223" s="199">
        <f t="shared" si="172"/>
        <v>1122.0184543019636</v>
      </c>
      <c r="P223" s="189" t="str">
        <f t="shared" si="138"/>
        <v>1078.86904761905</v>
      </c>
      <c r="Q223" s="160" t="str">
        <f t="shared" si="139"/>
        <v>1+220.307808326702i</v>
      </c>
      <c r="R223" s="160">
        <f t="shared" si="147"/>
        <v>220.31007786688937</v>
      </c>
      <c r="S223" s="160">
        <f t="shared" si="148"/>
        <v>1.5662572542134063</v>
      </c>
      <c r="T223" s="160" t="str">
        <f t="shared" si="140"/>
        <v>1+0.000140996997329089i</v>
      </c>
      <c r="U223" s="160">
        <f t="shared" si="149"/>
        <v>1.0000000099400765</v>
      </c>
      <c r="V223" s="160">
        <f t="shared" si="150"/>
        <v>1.409969963947417E-4</v>
      </c>
      <c r="W223" s="98" t="str">
        <f t="shared" si="141"/>
        <v>1-0.10197466834829i</v>
      </c>
      <c r="X223" s="160">
        <f t="shared" si="151"/>
        <v>1.0051859693533052</v>
      </c>
      <c r="Y223" s="160">
        <f t="shared" si="152"/>
        <v>-0.1016233850044209</v>
      </c>
      <c r="Z223" s="98" t="str">
        <f t="shared" si="142"/>
        <v>0.999496429835282+0.0402779743834415i</v>
      </c>
      <c r="AA223" s="160">
        <f t="shared" si="153"/>
        <v>1.0003076669074908</v>
      </c>
      <c r="AB223" s="160">
        <f t="shared" si="154"/>
        <v>4.0276474490463857E-2</v>
      </c>
      <c r="AC223" s="171" t="str">
        <f t="shared" si="155"/>
        <v>-0.673131911587191-4.87467396690062i</v>
      </c>
      <c r="AD223" s="190">
        <f t="shared" si="156"/>
        <v>13.840943886701931</v>
      </c>
      <c r="AE223" s="169">
        <f t="shared" si="157"/>
        <v>-97.862114827915917</v>
      </c>
      <c r="AF223" s="98" t="str">
        <f t="shared" si="143"/>
        <v>-9.95024875621891E-06</v>
      </c>
      <c r="AG223" s="98" t="str">
        <f t="shared" si="144"/>
        <v>0.0070568997163209i</v>
      </c>
      <c r="AH223" s="98">
        <f t="shared" si="158"/>
        <v>7.0568997163209003E-3</v>
      </c>
      <c r="AI223" s="98">
        <f t="shared" si="159"/>
        <v>1.5707963267948966</v>
      </c>
      <c r="AJ223" s="98" t="str">
        <f t="shared" si="145"/>
        <v>1+0.0704280705939506i</v>
      </c>
      <c r="AK223" s="98">
        <f t="shared" si="160"/>
        <v>1.0024769888269687</v>
      </c>
      <c r="AL223" s="98">
        <f t="shared" si="161"/>
        <v>7.031197218283311E-2</v>
      </c>
      <c r="AM223" s="98" t="str">
        <f t="shared" si="146"/>
        <v>1+70.4984986645445i</v>
      </c>
      <c r="AN223" s="98">
        <f t="shared" si="162"/>
        <v>70.50559065744207</v>
      </c>
      <c r="AO223" s="98">
        <f t="shared" si="163"/>
        <v>1.5566125787935459</v>
      </c>
      <c r="AP223" s="168" t="str">
        <f t="shared" si="164"/>
        <v>-0.0988136537956378+0.00836925784140639i</v>
      </c>
      <c r="AQ223" s="98">
        <f t="shared" si="165"/>
        <v>-20.072617296876821</v>
      </c>
      <c r="AR223" s="169">
        <f t="shared" si="166"/>
        <v>175.15875184652791</v>
      </c>
      <c r="AS223" s="168" t="str">
        <f t="shared" si="167"/>
        <v>0.107312026992155+0.476050731202574i</v>
      </c>
      <c r="AT223" s="190">
        <f t="shared" si="168"/>
        <v>-6.2316734101748938</v>
      </c>
      <c r="AU223" s="169">
        <f t="shared" si="169"/>
        <v>77.296637018611989</v>
      </c>
      <c r="AV223" s="225"/>
      <c r="AX223">
        <f t="shared" si="170"/>
        <v>0</v>
      </c>
      <c r="AY223">
        <f t="shared" si="171"/>
        <v>0</v>
      </c>
    </row>
    <row r="224" spans="14:51" x14ac:dyDescent="0.3">
      <c r="N224" s="170">
        <v>6</v>
      </c>
      <c r="O224" s="199">
        <f t="shared" si="172"/>
        <v>1148.1536214968839</v>
      </c>
      <c r="P224" s="189" t="str">
        <f t="shared" si="138"/>
        <v>1078.86904761905</v>
      </c>
      <c r="Q224" s="160" t="str">
        <f t="shared" si="139"/>
        <v>1+225.439436405445i</v>
      </c>
      <c r="R224" s="160">
        <f t="shared" si="147"/>
        <v>225.44165428510473</v>
      </c>
      <c r="S224" s="160">
        <f t="shared" si="148"/>
        <v>1.5663605747485649</v>
      </c>
      <c r="T224" s="160" t="str">
        <f t="shared" si="140"/>
        <v>1+0.000144281239299485i</v>
      </c>
      <c r="U224" s="160">
        <f t="shared" si="149"/>
        <v>1.000000010408538</v>
      </c>
      <c r="V224" s="160">
        <f t="shared" si="150"/>
        <v>1.4428123829831384E-4</v>
      </c>
      <c r="W224" s="98" t="str">
        <f t="shared" si="141"/>
        <v>1-0.10434996351096i</v>
      </c>
      <c r="X224" s="160">
        <f t="shared" si="151"/>
        <v>1.0054297165315627</v>
      </c>
      <c r="Y224" s="160">
        <f t="shared" si="152"/>
        <v>-0.10397366632560148</v>
      </c>
      <c r="Z224" s="98" t="str">
        <f t="shared" si="142"/>
        <v>0.999472697304577+0.0412161689298394i</v>
      </c>
      <c r="AA224" s="160">
        <f t="shared" si="153"/>
        <v>1.0003221707222827</v>
      </c>
      <c r="AB224" s="160">
        <f t="shared" si="154"/>
        <v>4.121456169041432E-2</v>
      </c>
      <c r="AC224" s="171" t="str">
        <f t="shared" si="155"/>
        <v>-0.674101103034056-4.76254433335863i</v>
      </c>
      <c r="AD224" s="190">
        <f t="shared" si="156"/>
        <v>13.642927961939726</v>
      </c>
      <c r="AE224" s="169">
        <f t="shared" si="157"/>
        <v>-98.056256123062042</v>
      </c>
      <c r="AF224" s="98" t="str">
        <f t="shared" si="143"/>
        <v>-9.95024875621891E-06</v>
      </c>
      <c r="AG224" s="98" t="str">
        <f t="shared" si="144"/>
        <v>0.00722127602693923i</v>
      </c>
      <c r="AH224" s="98">
        <f t="shared" si="158"/>
        <v>7.2212760269392299E-3</v>
      </c>
      <c r="AI224" s="98">
        <f t="shared" si="159"/>
        <v>1.5707963267948966</v>
      </c>
      <c r="AJ224" s="98" t="str">
        <f t="shared" si="145"/>
        <v>1+0.0720685510986439i</v>
      </c>
      <c r="AK224" s="98">
        <f t="shared" si="160"/>
        <v>1.0025935747138308</v>
      </c>
      <c r="AL224" s="98">
        <f t="shared" si="161"/>
        <v>7.1944166783845492E-2</v>
      </c>
      <c r="AM224" s="98" t="str">
        <f t="shared" si="146"/>
        <v>1+72.1406196497425i</v>
      </c>
      <c r="AN224" s="98">
        <f t="shared" si="162"/>
        <v>72.147550224860822</v>
      </c>
      <c r="AO224" s="98">
        <f t="shared" si="163"/>
        <v>1.5569353984821552</v>
      </c>
      <c r="AP224" s="168" t="str">
        <f t="shared" si="164"/>
        <v>-0.0987906741796923+0.00849760802296136i</v>
      </c>
      <c r="AQ224" s="98">
        <f t="shared" si="165"/>
        <v>-20.073666709038427</v>
      </c>
      <c r="AR224" s="169">
        <f t="shared" si="166"/>
        <v>175.08373019024691</v>
      </c>
      <c r="AS224" s="168" t="str">
        <f t="shared" si="167"/>
        <v>0.107065137370866+0.464766718561743i</v>
      </c>
      <c r="AT224" s="190">
        <f t="shared" si="168"/>
        <v>-6.4307387470987045</v>
      </c>
      <c r="AU224" s="169">
        <f t="shared" si="169"/>
        <v>77.027474067184855</v>
      </c>
      <c r="AV224" s="225"/>
      <c r="AX224">
        <f t="shared" si="170"/>
        <v>0</v>
      </c>
      <c r="AY224">
        <f t="shared" si="171"/>
        <v>0</v>
      </c>
    </row>
    <row r="225" spans="14:51" x14ac:dyDescent="0.3">
      <c r="N225" s="170">
        <v>7</v>
      </c>
      <c r="O225" s="199">
        <f t="shared" si="172"/>
        <v>1174.8975549395295</v>
      </c>
      <c r="P225" s="189" t="str">
        <f t="shared" si="138"/>
        <v>1078.86904761905</v>
      </c>
      <c r="Q225" s="160" t="str">
        <f t="shared" si="139"/>
        <v>1+230.690595457415i</v>
      </c>
      <c r="R225" s="160">
        <f t="shared" si="147"/>
        <v>230.69276285244993</v>
      </c>
      <c r="S225" s="160">
        <f t="shared" si="148"/>
        <v>1.5664615435127232</v>
      </c>
      <c r="T225" s="160" t="str">
        <f t="shared" si="140"/>
        <v>1+0.000147641981092745i</v>
      </c>
      <c r="U225" s="160">
        <f t="shared" si="149"/>
        <v>1.0000000108990772</v>
      </c>
      <c r="V225" s="160">
        <f t="shared" si="150"/>
        <v>1.4764198001997078E-4</v>
      </c>
      <c r="W225" s="98" t="str">
        <f t="shared" si="141"/>
        <v>1-0.106780586405517i</v>
      </c>
      <c r="X225" s="160">
        <f t="shared" si="151"/>
        <v>1.0056848878416669</v>
      </c>
      <c r="Y225" s="160">
        <f t="shared" si="152"/>
        <v>-0.10637749970411967</v>
      </c>
      <c r="Z225" s="98" t="str">
        <f t="shared" si="142"/>
        <v>0.999447846294159+0.0421762168345644i</v>
      </c>
      <c r="AA225" s="160">
        <f t="shared" si="153"/>
        <v>1.0003373584588897</v>
      </c>
      <c r="AB225" s="160">
        <f t="shared" si="154"/>
        <v>4.2174494562184063E-2</v>
      </c>
      <c r="AC225" s="171" t="str">
        <f t="shared" si="155"/>
        <v>-0.675023741267529-4.65293952953227i</v>
      </c>
      <c r="AD225" s="190">
        <f t="shared" si="156"/>
        <v>13.445004077378204</v>
      </c>
      <c r="AE225" s="169">
        <f t="shared" si="157"/>
        <v>-98.254578260204326</v>
      </c>
      <c r="AF225" s="98" t="str">
        <f t="shared" si="143"/>
        <v>-9.95024875621891E-06</v>
      </c>
      <c r="AG225" s="98" t="str">
        <f t="shared" si="144"/>
        <v>0.00738948115369191i</v>
      </c>
      <c r="AH225" s="98">
        <f t="shared" si="158"/>
        <v>7.3894811536919097E-3</v>
      </c>
      <c r="AI225" s="98">
        <f t="shared" si="159"/>
        <v>1.5707963267948966</v>
      </c>
      <c r="AJ225" s="98" t="str">
        <f t="shared" si="145"/>
        <v>1+0.0737472433030696i</v>
      </c>
      <c r="AK225" s="98">
        <f t="shared" si="160"/>
        <v>1.0027156405954791</v>
      </c>
      <c r="AL225" s="98">
        <f t="shared" si="161"/>
        <v>7.3613982595835972E-2</v>
      </c>
      <c r="AM225" s="98" t="str">
        <f t="shared" si="146"/>
        <v>1+73.8209905463727i</v>
      </c>
      <c r="AN225" s="98">
        <f t="shared" si="162"/>
        <v>73.82776337698202</v>
      </c>
      <c r="AO225" s="98">
        <f t="shared" si="163"/>
        <v>1.5572508726892909</v>
      </c>
      <c r="AP225" s="168" t="str">
        <f t="shared" si="164"/>
        <v>-0.0987666230205141+0.00863030845209563i</v>
      </c>
      <c r="AQ225" s="98">
        <f t="shared" si="165"/>
        <v>-20.074761704199283</v>
      </c>
      <c r="AR225" s="169">
        <f t="shared" si="166"/>
        <v>175.00613213226976</v>
      </c>
      <c r="AS225" s="168" t="str">
        <f t="shared" si="167"/>
        <v>0.106826118732479+0.453729461350936i</v>
      </c>
      <c r="AT225" s="190">
        <f t="shared" si="168"/>
        <v>-6.6297576268210747</v>
      </c>
      <c r="AU225" s="169">
        <f t="shared" si="169"/>
        <v>76.751553872065458</v>
      </c>
      <c r="AV225" s="225"/>
      <c r="AX225">
        <f t="shared" si="170"/>
        <v>0</v>
      </c>
      <c r="AY225">
        <f t="shared" si="171"/>
        <v>0</v>
      </c>
    </row>
    <row r="226" spans="14:51" x14ac:dyDescent="0.3">
      <c r="N226" s="170">
        <v>8</v>
      </c>
      <c r="O226" s="199">
        <f t="shared" si="172"/>
        <v>1202.2644346174138</v>
      </c>
      <c r="P226" s="189" t="str">
        <f t="shared" si="138"/>
        <v>1078.86904761905</v>
      </c>
      <c r="Q226" s="160" t="str">
        <f t="shared" si="139"/>
        <v>1+236.064069716647i</v>
      </c>
      <c r="R226" s="160">
        <f t="shared" si="147"/>
        <v>236.06618777619548</v>
      </c>
      <c r="S226" s="160">
        <f t="shared" si="148"/>
        <v>1.5665602140326169</v>
      </c>
      <c r="T226" s="160" t="str">
        <f t="shared" si="140"/>
        <v>1+0.000151081004618654i</v>
      </c>
      <c r="U226" s="160">
        <f t="shared" si="149"/>
        <v>1.000000011412735</v>
      </c>
      <c r="V226" s="160">
        <f t="shared" si="150"/>
        <v>1.5108100346915569E-4</v>
      </c>
      <c r="W226" s="98" t="str">
        <f t="shared" si="141"/>
        <v>1-0.109267825780396i</v>
      </c>
      <c r="X226" s="160">
        <f t="shared" si="151"/>
        <v>1.0059520156303554</v>
      </c>
      <c r="Y226" s="160">
        <f t="shared" si="152"/>
        <v>-0.1088360485008544</v>
      </c>
      <c r="Z226" s="98" t="str">
        <f t="shared" si="142"/>
        <v>0.999421824091702+0.0431586271277233i</v>
      </c>
      <c r="AA226" s="160">
        <f t="shared" si="153"/>
        <v>1.0003532623860107</v>
      </c>
      <c r="AB226" s="160">
        <f t="shared" si="154"/>
        <v>4.3156781585028767E-2</v>
      </c>
      <c r="AC226" s="171" t="str">
        <f t="shared" si="155"/>
        <v>-0.675901783254354-4.54580147286887i</v>
      </c>
      <c r="AD226" s="190">
        <f t="shared" si="156"/>
        <v>13.247176482979231</v>
      </c>
      <c r="AE226" s="169">
        <f t="shared" si="157"/>
        <v>-98.457179993486619</v>
      </c>
      <c r="AF226" s="98" t="str">
        <f t="shared" si="143"/>
        <v>-9.95024875621891E-06</v>
      </c>
      <c r="AG226" s="98" t="str">
        <f t="shared" si="144"/>
        <v>0.00756160428116364i</v>
      </c>
      <c r="AH226" s="98">
        <f t="shared" si="158"/>
        <v>7.5616042811636397E-3</v>
      </c>
      <c r="AI226" s="98">
        <f t="shared" si="159"/>
        <v>1.5707963267948966</v>
      </c>
      <c r="AJ226" s="98" t="str">
        <f t="shared" si="145"/>
        <v>1+0.075465037272055i</v>
      </c>
      <c r="AK226" s="98">
        <f t="shared" si="160"/>
        <v>1.0028434433402218</v>
      </c>
      <c r="AL226" s="98">
        <f t="shared" si="161"/>
        <v>7.5322267708995083E-2</v>
      </c>
      <c r="AM226" s="98" t="str">
        <f t="shared" si="146"/>
        <v>1+75.5405023093271i</v>
      </c>
      <c r="AN226" s="98">
        <f t="shared" si="162"/>
        <v>75.547120985153711</v>
      </c>
      <c r="AO226" s="98">
        <f t="shared" si="163"/>
        <v>1.5575591684322312</v>
      </c>
      <c r="AP226" s="168" t="str">
        <f t="shared" si="164"/>
        <v>-0.0987414509135867+0.00876741850321359i</v>
      </c>
      <c r="AQ226" s="98">
        <f t="shared" si="165"/>
        <v>-20.075904569463269</v>
      </c>
      <c r="AR226" s="169">
        <f t="shared" si="166"/>
        <v>174.92591864999301</v>
      </c>
      <c r="AS226" s="168" t="str">
        <f t="shared" si="167"/>
        <v>0.106594466698782+0.442933119195332i</v>
      </c>
      <c r="AT226" s="190">
        <f t="shared" si="168"/>
        <v>-6.8287280864840465</v>
      </c>
      <c r="AU226" s="169">
        <f t="shared" si="169"/>
        <v>76.468738656506332</v>
      </c>
      <c r="AV226" s="225"/>
      <c r="AX226">
        <f t="shared" si="170"/>
        <v>0</v>
      </c>
      <c r="AY226">
        <f t="shared" si="171"/>
        <v>0</v>
      </c>
    </row>
    <row r="227" spans="14:51" x14ac:dyDescent="0.3">
      <c r="N227" s="170">
        <v>9</v>
      </c>
      <c r="O227" s="199">
        <f t="shared" si="172"/>
        <v>1230.2687708123824</v>
      </c>
      <c r="P227" s="189" t="str">
        <f t="shared" si="138"/>
        <v>1078.86904761905</v>
      </c>
      <c r="Q227" s="160" t="str">
        <f t="shared" si="139"/>
        <v>1+241.56270827032i</v>
      </c>
      <c r="R227" s="160">
        <f t="shared" si="147"/>
        <v>241.56477811736488</v>
      </c>
      <c r="S227" s="160">
        <f t="shared" si="148"/>
        <v>1.566656638616972</v>
      </c>
      <c r="T227" s="160" t="str">
        <f t="shared" si="140"/>
        <v>1+0.000154600133293005i</v>
      </c>
      <c r="U227" s="160">
        <f t="shared" si="149"/>
        <v>1.0000000119506005</v>
      </c>
      <c r="V227" s="160">
        <f t="shared" si="150"/>
        <v>1.5460013206129537E-4</v>
      </c>
      <c r="W227" s="98" t="str">
        <f t="shared" si="141"/>
        <v>1-0.111813000402833i</v>
      </c>
      <c r="X227" s="160">
        <f t="shared" si="151"/>
        <v>1.0062316567565761</v>
      </c>
      <c r="Y227" s="160">
        <f t="shared" si="152"/>
        <v>-0.11135049732137219</v>
      </c>
      <c r="Z227" s="98" t="str">
        <f t="shared" si="142"/>
        <v>0.999394575500625+0.0441639206962573i</v>
      </c>
      <c r="AA227" s="160">
        <f t="shared" si="153"/>
        <v>1.0003699162966369</v>
      </c>
      <c r="AB227" s="160">
        <f t="shared" si="154"/>
        <v>4.416194305550581E-2</v>
      </c>
      <c r="AC227" s="171" t="str">
        <f t="shared" si="155"/>
        <v>-0.676737091402823-4.44107338727136i</v>
      </c>
      <c r="AD227" s="190">
        <f t="shared" si="156"/>
        <v>13.049449618347946</v>
      </c>
      <c r="AE227" s="169">
        <f t="shared" si="157"/>
        <v>-98.664161899200394</v>
      </c>
      <c r="AF227" s="98" t="str">
        <f t="shared" si="143"/>
        <v>-9.95024875621891E-06</v>
      </c>
      <c r="AG227" s="98" t="str">
        <f t="shared" si="144"/>
        <v>0.0077377366713149i</v>
      </c>
      <c r="AH227" s="98">
        <f t="shared" si="158"/>
        <v>7.7377366713148998E-3</v>
      </c>
      <c r="AI227" s="98">
        <f t="shared" si="159"/>
        <v>1.5707963267948966</v>
      </c>
      <c r="AJ227" s="98" t="str">
        <f t="shared" si="145"/>
        <v>1+0.0772228438026998i</v>
      </c>
      <c r="AK227" s="98">
        <f t="shared" si="160"/>
        <v>1.0029772517883824</v>
      </c>
      <c r="AL227" s="98">
        <f t="shared" si="161"/>
        <v>7.7069887974911128E-2</v>
      </c>
      <c r="AM227" s="98" t="str">
        <f t="shared" si="146"/>
        <v>1+77.3000666465025i</v>
      </c>
      <c r="AN227" s="98">
        <f t="shared" si="162"/>
        <v>77.30653467562577</v>
      </c>
      <c r="AO227" s="98">
        <f t="shared" si="163"/>
        <v>1.5578604489389059</v>
      </c>
      <c r="AP227" s="168" t="str">
        <f t="shared" si="164"/>
        <v>-0.0987151062303982+0.00890899911781157i</v>
      </c>
      <c r="AQ227" s="98">
        <f t="shared" si="165"/>
        <v>-20.077097690079704</v>
      </c>
      <c r="AR227" s="169">
        <f t="shared" si="166"/>
        <v>174.84304948604651</v>
      </c>
      <c r="AS227" s="168" t="str">
        <f t="shared" si="167"/>
        <v>0.106369692757217+0.432371981051189i</v>
      </c>
      <c r="AT227" s="190">
        <f t="shared" si="168"/>
        <v>-7.0276480717317522</v>
      </c>
      <c r="AU227" s="169">
        <f t="shared" si="169"/>
        <v>76.178887586846187</v>
      </c>
      <c r="AV227" s="225"/>
      <c r="AX227">
        <f t="shared" si="170"/>
        <v>0</v>
      </c>
      <c r="AY227">
        <f t="shared" si="171"/>
        <v>0</v>
      </c>
    </row>
    <row r="228" spans="14:51" x14ac:dyDescent="0.3">
      <c r="N228" s="170">
        <v>10</v>
      </c>
      <c r="O228" s="199">
        <f t="shared" si="172"/>
        <v>1258.925411794168</v>
      </c>
      <c r="P228" s="189" t="str">
        <f t="shared" si="138"/>
        <v>1078.86904761905</v>
      </c>
      <c r="Q228" s="160" t="str">
        <f t="shared" si="139"/>
        <v>1+247.189426569379i</v>
      </c>
      <c r="R228" s="160">
        <f t="shared" si="147"/>
        <v>247.19144930134297</v>
      </c>
      <c r="S228" s="160">
        <f t="shared" si="148"/>
        <v>1.5667508683842037</v>
      </c>
      <c r="T228" s="160" t="str">
        <f t="shared" si="140"/>
        <v>1+0.000158201233004403i</v>
      </c>
      <c r="U228" s="160">
        <f t="shared" si="149"/>
        <v>1.0000000125138151</v>
      </c>
      <c r="V228" s="160">
        <f t="shared" si="150"/>
        <v>1.5820123168460237E-4</v>
      </c>
      <c r="W228" s="98" t="str">
        <f t="shared" si="141"/>
        <v>1-0.114417459758104i</v>
      </c>
      <c r="X228" s="160">
        <f t="shared" si="151"/>
        <v>1.006524393692223</v>
      </c>
      <c r="Y228" s="160">
        <f t="shared" si="152"/>
        <v>-0.11392205211080768</v>
      </c>
      <c r="Z228" s="98" t="str">
        <f t="shared" si="142"/>
        <v>0.999366042723016+0.0451926305601231i</v>
      </c>
      <c r="AA228" s="160">
        <f t="shared" si="153"/>
        <v>1.0003873555802294</v>
      </c>
      <c r="AB228" s="160">
        <f t="shared" si="154"/>
        <v>4.5190511360811265E-2</v>
      </c>
      <c r="AC228" s="171" t="str">
        <f t="shared" si="155"/>
        <v>-0.677531437512921-4.33869977313759i</v>
      </c>
      <c r="AD228" s="190">
        <f t="shared" si="156"/>
        <v>12.851828120775075</v>
      </c>
      <c r="AE228" s="169">
        <f t="shared" si="157"/>
        <v>-98.875626398413473</v>
      </c>
      <c r="AF228" s="98" t="str">
        <f t="shared" si="143"/>
        <v>-9.95024875621891E-06</v>
      </c>
      <c r="AG228" s="98" t="str">
        <f t="shared" si="144"/>
        <v>0.00791797171187035i</v>
      </c>
      <c r="AH228" s="98">
        <f t="shared" si="158"/>
        <v>7.9179717118703502E-3</v>
      </c>
      <c r="AI228" s="98">
        <f t="shared" si="159"/>
        <v>1.5707963267948966</v>
      </c>
      <c r="AJ228" s="98" t="str">
        <f t="shared" si="145"/>
        <v>1+0.079021594907294i</v>
      </c>
      <c r="AK228" s="98">
        <f t="shared" si="160"/>
        <v>1.0031173473037402</v>
      </c>
      <c r="AL228" s="98">
        <f t="shared" si="161"/>
        <v>7.8857727280775655E-2</v>
      </c>
      <c r="AM228" s="98" t="str">
        <f t="shared" si="146"/>
        <v>1+79.1006165022013i</v>
      </c>
      <c r="AN228" s="98">
        <f t="shared" si="162"/>
        <v>79.106937312907775</v>
      </c>
      <c r="AO228" s="98">
        <f t="shared" si="163"/>
        <v>1.5581548737333248</v>
      </c>
      <c r="AP228" s="168" t="str">
        <f t="shared" si="164"/>
        <v>-0.0986875350234999+0.00905511278342247i</v>
      </c>
      <c r="AQ228" s="98">
        <f t="shared" si="165"/>
        <v>-20.078343554178375</v>
      </c>
      <c r="AR228" s="169">
        <f t="shared" si="166"/>
        <v>174.7574831374771</v>
      </c>
      <c r="AS228" s="168" t="str">
        <f t="shared" si="167"/>
        <v>0.106151323248249+0.422040462236973i</v>
      </c>
      <c r="AT228" s="190">
        <f t="shared" si="168"/>
        <v>-7.2265154334032999</v>
      </c>
      <c r="AU228" s="169">
        <f t="shared" si="169"/>
        <v>75.881856739063622</v>
      </c>
      <c r="AV228" s="225"/>
      <c r="AX228">
        <f t="shared" si="170"/>
        <v>0</v>
      </c>
      <c r="AY228">
        <f t="shared" si="171"/>
        <v>0</v>
      </c>
    </row>
    <row r="229" spans="14:51" x14ac:dyDescent="0.3">
      <c r="N229" s="170">
        <v>11</v>
      </c>
      <c r="O229" s="199">
        <f t="shared" si="172"/>
        <v>1288.2495516931347</v>
      </c>
      <c r="P229" s="189" t="str">
        <f t="shared" si="138"/>
        <v>1078.86904761905</v>
      </c>
      <c r="Q229" s="160" t="str">
        <f t="shared" si="139"/>
        <v>1+252.947207974343i</v>
      </c>
      <c r="R229" s="160">
        <f t="shared" si="147"/>
        <v>252.9491846636702</v>
      </c>
      <c r="S229" s="160">
        <f t="shared" si="148"/>
        <v>1.5668429532894839</v>
      </c>
      <c r="T229" s="160" t="str">
        <f t="shared" si="140"/>
        <v>1+0.00016188621310358i</v>
      </c>
      <c r="U229" s="160">
        <f t="shared" si="149"/>
        <v>1.0000000131035729</v>
      </c>
      <c r="V229" s="160">
        <f t="shared" si="150"/>
        <v>1.6188621168938816E-4</v>
      </c>
      <c r="W229" s="98" t="str">
        <f t="shared" si="141"/>
        <v>1-0.117082584765033i</v>
      </c>
      <c r="X229" s="160">
        <f t="shared" si="151"/>
        <v>1.0068308356696576</v>
      </c>
      <c r="Y229" s="160">
        <f t="shared" si="152"/>
        <v>-0.11655194022453892</v>
      </c>
      <c r="Z229" s="98" t="str">
        <f t="shared" si="142"/>
        <v>0.999336165237025+0.046245302154907i</v>
      </c>
      <c r="AA229" s="160">
        <f t="shared" si="153"/>
        <v>1.0004056172983242</v>
      </c>
      <c r="AB229" s="160">
        <f t="shared" si="154"/>
        <v>4.6243031258345051E-2</v>
      </c>
      <c r="AC229" s="171" t="str">
        <f t="shared" si="155"/>
        <v>-0.678286506534529-4.23862637807029i</v>
      </c>
      <c r="AD229" s="190">
        <f t="shared" si="156"/>
        <v>12.654316833570967</v>
      </c>
      <c r="AE229" s="169">
        <f t="shared" si="157"/>
        <v>-99.091677778531704</v>
      </c>
      <c r="AF229" s="98" t="str">
        <f t="shared" si="143"/>
        <v>-9.95024875621891E-06</v>
      </c>
      <c r="AG229" s="98" t="str">
        <f t="shared" si="144"/>
        <v>0.00810240496583417i</v>
      </c>
      <c r="AH229" s="98">
        <f t="shared" si="158"/>
        <v>8.1024049658341701E-3</v>
      </c>
      <c r="AI229" s="98">
        <f t="shared" si="159"/>
        <v>1.5707963267948966</v>
      </c>
      <c r="AJ229" s="98" t="str">
        <f t="shared" si="145"/>
        <v>1+0.0808622443074824i</v>
      </c>
      <c r="AK229" s="98">
        <f t="shared" si="160"/>
        <v>1.0032640243497437</v>
      </c>
      <c r="AL229" s="98">
        <f t="shared" si="161"/>
        <v>8.0686687820361674E-2</v>
      </c>
      <c r="AM229" s="98" t="str">
        <f t="shared" si="146"/>
        <v>1+80.9431065517899i</v>
      </c>
      <c r="AN229" s="98">
        <f t="shared" si="162"/>
        <v>80.949283494385625</v>
      </c>
      <c r="AO229" s="98">
        <f t="shared" si="163"/>
        <v>1.5584425987191135</v>
      </c>
      <c r="AP229" s="168" t="str">
        <f t="shared" si="164"/>
        <v>-0.0986586809280124+0.00920582350977489i</v>
      </c>
      <c r="AQ229" s="98">
        <f t="shared" si="165"/>
        <v>-20.079644757692275</v>
      </c>
      <c r="AR229" s="169">
        <f t="shared" si="166"/>
        <v>174.66917684500899</v>
      </c>
      <c r="AS229" s="168" t="str">
        <f t="shared" si="167"/>
        <v>0.105938898386358+0.411933101538875i</v>
      </c>
      <c r="AT229" s="190">
        <f t="shared" si="168"/>
        <v>-7.425327924121305</v>
      </c>
      <c r="AU229" s="169">
        <f t="shared" si="169"/>
        <v>75.577499066477273</v>
      </c>
      <c r="AV229" s="225"/>
      <c r="AX229">
        <f t="shared" si="170"/>
        <v>0</v>
      </c>
      <c r="AY229">
        <f t="shared" si="171"/>
        <v>0</v>
      </c>
    </row>
    <row r="230" spans="14:51" x14ac:dyDescent="0.3">
      <c r="N230" s="170">
        <v>12</v>
      </c>
      <c r="O230" s="199">
        <f t="shared" si="172"/>
        <v>1318.2567385564089</v>
      </c>
      <c r="P230" s="189" t="str">
        <f t="shared" si="138"/>
        <v>1078.86904761905</v>
      </c>
      <c r="Q230" s="160" t="str">
        <f t="shared" si="139"/>
        <v>1+258.839105337128i</v>
      </c>
      <c r="R230" s="160">
        <f t="shared" si="147"/>
        <v>258.84103703185252</v>
      </c>
      <c r="S230" s="160">
        <f t="shared" si="148"/>
        <v>1.5669329421511982</v>
      </c>
      <c r="T230" s="160" t="str">
        <f t="shared" si="140"/>
        <v>1+0.000165657027415762i</v>
      </c>
      <c r="U230" s="160">
        <f t="shared" si="149"/>
        <v>1.0000000137211253</v>
      </c>
      <c r="V230" s="160">
        <f t="shared" si="150"/>
        <v>1.6565702590042814E-4</v>
      </c>
      <c r="W230" s="98" t="str">
        <f t="shared" si="141"/>
        <v>1-0.119809788508176i</v>
      </c>
      <c r="X230" s="160">
        <f t="shared" si="151"/>
        <v>1.007151619877749</v>
      </c>
      <c r="Y230" s="160">
        <f t="shared" si="152"/>
        <v>-0.11924141047249066</v>
      </c>
      <c r="Z230" s="98" t="str">
        <f t="shared" si="142"/>
        <v>0.9993048796685+0.0473224936210224i</v>
      </c>
      <c r="AA230" s="160">
        <f t="shared" si="153"/>
        <v>1.0004247402637476</v>
      </c>
      <c r="AB230" s="160">
        <f t="shared" si="154"/>
        <v>4.7320060161638221E-2</v>
      </c>
      <c r="AC230" s="171" t="str">
        <f t="shared" si="155"/>
        <v>-0.679003900141732-4.14080016824265i</v>
      </c>
      <c r="AD230" s="190">
        <f t="shared" si="156"/>
        <v>12.456920814697117</v>
      </c>
      <c r="AE230" s="169">
        <f t="shared" si="157"/>
        <v>-99.312422213677451</v>
      </c>
      <c r="AF230" s="98" t="str">
        <f t="shared" si="143"/>
        <v>-9.95024875621891E-06</v>
      </c>
      <c r="AG230" s="98" t="str">
        <f t="shared" si="144"/>
        <v>0.0082911342221589i</v>
      </c>
      <c r="AH230" s="98">
        <f t="shared" si="158"/>
        <v>8.2911342221588993E-3</v>
      </c>
      <c r="AI230" s="98">
        <f t="shared" si="159"/>
        <v>1.5707963267948966</v>
      </c>
      <c r="AJ230" s="98" t="str">
        <f t="shared" si="145"/>
        <v>1+0.0827457679399412i</v>
      </c>
      <c r="AK230" s="98">
        <f t="shared" si="160"/>
        <v>1.0034175910915508</v>
      </c>
      <c r="AL230" s="98">
        <f t="shared" si="161"/>
        <v>8.2557690361059172E-2</v>
      </c>
      <c r="AM230" s="98" t="str">
        <f t="shared" si="146"/>
        <v>1+82.8285137078811i</v>
      </c>
      <c r="AN230" s="98">
        <f t="shared" si="162"/>
        <v>82.834550056462845</v>
      </c>
      <c r="AO230" s="98">
        <f t="shared" si="163"/>
        <v>1.5587237762612027</v>
      </c>
      <c r="AP230" s="168" t="str">
        <f t="shared" si="164"/>
        <v>-0.0986284850594994+0.00936119680192202i</v>
      </c>
      <c r="AQ230" s="98">
        <f t="shared" si="165"/>
        <v>-20.081004009475343</v>
      </c>
      <c r="AR230" s="169">
        <f t="shared" si="166"/>
        <v>174.57808658242436</v>
      </c>
      <c r="AS230" s="168" t="str">
        <f t="shared" si="167"/>
        <v>0.105731971312822+0.402044558389393i</v>
      </c>
      <c r="AT230" s="190">
        <f t="shared" si="168"/>
        <v>-7.6240831947782395</v>
      </c>
      <c r="AU230" s="169">
        <f t="shared" si="169"/>
        <v>75.265664368746883</v>
      </c>
      <c r="AV230" s="225"/>
      <c r="AX230">
        <f t="shared" si="170"/>
        <v>0</v>
      </c>
      <c r="AY230">
        <f t="shared" si="171"/>
        <v>0</v>
      </c>
    </row>
    <row r="231" spans="14:51" x14ac:dyDescent="0.3">
      <c r="N231" s="170">
        <v>13</v>
      </c>
      <c r="O231" s="199">
        <f t="shared" si="172"/>
        <v>1348.9628825916541</v>
      </c>
      <c r="P231" s="189" t="str">
        <f t="shared" si="138"/>
        <v>1078.86904761905</v>
      </c>
      <c r="Q231" s="160" t="str">
        <f t="shared" si="139"/>
        <v>1+264.868242619703i</v>
      </c>
      <c r="R231" s="160">
        <f t="shared" si="147"/>
        <v>264.87013034400434</v>
      </c>
      <c r="S231" s="160">
        <f t="shared" si="148"/>
        <v>1.5670208826767991</v>
      </c>
      <c r="T231" s="160" t="str">
        <f t="shared" si="140"/>
        <v>1+0.00016951567527661i</v>
      </c>
      <c r="U231" s="160">
        <f t="shared" si="149"/>
        <v>1.0000000143677821</v>
      </c>
      <c r="V231" s="160">
        <f t="shared" si="150"/>
        <v>1.6951567365290052E-4</v>
      </c>
      <c r="W231" s="98" t="str">
        <f t="shared" si="141"/>
        <v>1-0.122600516987055i</v>
      </c>
      <c r="X231" s="160">
        <f t="shared" si="151"/>
        <v>1.007487412708215</v>
      </c>
      <c r="Y231" s="160">
        <f t="shared" si="152"/>
        <v>-0.12199173313472071</v>
      </c>
      <c r="Z231" s="98" t="str">
        <f t="shared" si="142"/>
        <v>0.999272119656556+0.0484247760996429i</v>
      </c>
      <c r="AA231" s="160">
        <f t="shared" si="153"/>
        <v>1.0004447651235957</v>
      </c>
      <c r="AB231" s="160">
        <f t="shared" si="154"/>
        <v>4.8422168432780244E-2</v>
      </c>
      <c r="AC231" s="171" t="str">
        <f t="shared" si="155"/>
        <v>-0.679685140130796-4.04516930040515i</v>
      </c>
      <c r="AD231" s="190">
        <f t="shared" si="156"/>
        <v>12.259645345701301</v>
      </c>
      <c r="AE231" s="169">
        <f t="shared" si="157"/>
        <v>-99.537967783759512</v>
      </c>
      <c r="AF231" s="98" t="str">
        <f t="shared" si="143"/>
        <v>-9.95024875621891E-06</v>
      </c>
      <c r="AG231" s="98" t="str">
        <f t="shared" si="144"/>
        <v>0.00848425954759434i</v>
      </c>
      <c r="AH231" s="98">
        <f t="shared" si="158"/>
        <v>8.4842595475943406E-3</v>
      </c>
      <c r="AI231" s="98">
        <f t="shared" si="159"/>
        <v>1.5707963267948966</v>
      </c>
      <c r="AJ231" s="98" t="str">
        <f t="shared" si="145"/>
        <v>1+0.0846731644738312i</v>
      </c>
      <c r="AK231" s="98">
        <f t="shared" si="160"/>
        <v>1.0035783700249883</v>
      </c>
      <c r="AL231" s="98">
        <f t="shared" si="161"/>
        <v>8.4471674506187713E-2</v>
      </c>
      <c r="AM231" s="98" t="str">
        <f t="shared" si="146"/>
        <v>1+84.757837638305i</v>
      </c>
      <c r="AN231" s="98">
        <f t="shared" si="162"/>
        <v>84.763736592491441</v>
      </c>
      <c r="AO231" s="98">
        <f t="shared" si="163"/>
        <v>1.558998555265704</v>
      </c>
      <c r="AP231" s="168" t="str">
        <f t="shared" si="164"/>
        <v>-0.098596885908129+0.00952129963007914i</v>
      </c>
      <c r="AQ231" s="98">
        <f t="shared" si="165"/>
        <v>-20.082424136623086</v>
      </c>
      <c r="AR231" s="169">
        <f t="shared" si="166"/>
        <v>174.48416704611029</v>
      </c>
      <c r="AS231" s="168" t="str">
        <f t="shared" si="167"/>
        <v>0.105530107178482+0.392369610117815i</v>
      </c>
      <c r="AT231" s="190">
        <f t="shared" si="168"/>
        <v>-7.8227787909217792</v>
      </c>
      <c r="AU231" s="169">
        <f t="shared" si="169"/>
        <v>74.946199262350731</v>
      </c>
      <c r="AV231" s="225"/>
      <c r="AX231">
        <f t="shared" si="170"/>
        <v>0</v>
      </c>
      <c r="AY231">
        <f t="shared" si="171"/>
        <v>0</v>
      </c>
    </row>
    <row r="232" spans="14:51" x14ac:dyDescent="0.3">
      <c r="N232" s="170">
        <v>14</v>
      </c>
      <c r="O232" s="199">
        <f t="shared" si="172"/>
        <v>1380.3842646028863</v>
      </c>
      <c r="P232" s="189" t="str">
        <f t="shared" si="138"/>
        <v>1078.86904761905</v>
      </c>
      <c r="Q232" s="160" t="str">
        <f t="shared" si="139"/>
        <v>1+271.037816550461i</v>
      </c>
      <c r="R232" s="160">
        <f t="shared" si="147"/>
        <v>271.03966130520706</v>
      </c>
      <c r="S232" s="160">
        <f t="shared" si="148"/>
        <v>1.5671068214880732</v>
      </c>
      <c r="T232" s="160" t="str">
        <f t="shared" si="140"/>
        <v>1+0.000173464202592295i</v>
      </c>
      <c r="U232" s="160">
        <f t="shared" si="149"/>
        <v>1.0000000150449146</v>
      </c>
      <c r="V232" s="160">
        <f t="shared" si="150"/>
        <v>1.7346420085245895E-4</v>
      </c>
      <c r="W232" s="98" t="str">
        <f t="shared" si="141"/>
        <v>1-0.125456249882852i</v>
      </c>
      <c r="X232" s="160">
        <f t="shared" si="151"/>
        <v>1.0078389110540775</v>
      </c>
      <c r="Y232" s="160">
        <f t="shared" si="152"/>
        <v>-0.12480419994582602</v>
      </c>
      <c r="Z232" s="98" t="str">
        <f t="shared" si="142"/>
        <v>0.999237815712815+0.0495527340355291i</v>
      </c>
      <c r="AA232" s="160">
        <f t="shared" si="153"/>
        <v>1.0004657344461698</v>
      </c>
      <c r="AB232" s="160">
        <f t="shared" si="154"/>
        <v>4.9549939681486042E-2</v>
      </c>
      <c r="AC232" s="171" t="str">
        <f t="shared" si="155"/>
        <v>-0.680331671649018-3.95168309451903i</v>
      </c>
      <c r="AD232" s="190">
        <f t="shared" si="156"/>
        <v>12.062495940960707</v>
      </c>
      <c r="AE232" s="169">
        <f t="shared" si="157"/>
        <v>-99.768424492102056</v>
      </c>
      <c r="AF232" s="98" t="str">
        <f t="shared" si="143"/>
        <v>-9.95024875621891E-06</v>
      </c>
      <c r="AG232" s="98" t="str">
        <f t="shared" si="144"/>
        <v>0.00868188333974437i</v>
      </c>
      <c r="AH232" s="98">
        <f t="shared" si="158"/>
        <v>8.6818833397443694E-3</v>
      </c>
      <c r="AI232" s="98">
        <f t="shared" si="159"/>
        <v>1.5707963267948966</v>
      </c>
      <c r="AJ232" s="98" t="str">
        <f t="shared" si="145"/>
        <v>1+0.0866454558403072i</v>
      </c>
      <c r="AK232" s="98">
        <f t="shared" si="160"/>
        <v>1.0037466986335619</v>
      </c>
      <c r="AL232" s="98">
        <f t="shared" si="161"/>
        <v>8.6429598951753506E-2</v>
      </c>
      <c r="AM232" s="98" t="str">
        <f t="shared" si="146"/>
        <v>1+86.7321012961475i</v>
      </c>
      <c r="AN232" s="98">
        <f t="shared" si="162"/>
        <v>86.737865982771282</v>
      </c>
      <c r="AO232" s="98">
        <f t="shared" si="163"/>
        <v>1.5592670812580132</v>
      </c>
      <c r="AP232" s="168" t="str">
        <f t="shared" si="164"/>
        <v>-0.0985638192290485+0.00968620039589379i</v>
      </c>
      <c r="AQ232" s="98">
        <f t="shared" si="165"/>
        <v>-20.083908090003799</v>
      </c>
      <c r="AR232" s="169">
        <f t="shared" si="166"/>
        <v>174.38737164482274</v>
      </c>
      <c r="AS232" s="168" t="str">
        <f t="shared" si="167"/>
        <v>0.105332882254787+0.382903149271395i</v>
      </c>
      <c r="AT232" s="190">
        <f t="shared" si="168"/>
        <v>-8.0214121490430905</v>
      </c>
      <c r="AU232" s="169">
        <f t="shared" si="169"/>
        <v>74.618947152720722</v>
      </c>
      <c r="AV232" s="225"/>
      <c r="AX232">
        <f t="shared" si="170"/>
        <v>0</v>
      </c>
      <c r="AY232">
        <f t="shared" si="171"/>
        <v>0</v>
      </c>
    </row>
    <row r="233" spans="14:51" x14ac:dyDescent="0.3">
      <c r="N233" s="170">
        <v>15</v>
      </c>
      <c r="O233" s="199">
        <f t="shared" si="172"/>
        <v>1412.5375446227545</v>
      </c>
      <c r="P233" s="189" t="str">
        <f t="shared" si="138"/>
        <v>1078.86904761905</v>
      </c>
      <c r="Q233" s="160" t="str">
        <f t="shared" si="139"/>
        <v>1+277.351098319163i</v>
      </c>
      <c r="R233" s="160">
        <f t="shared" si="147"/>
        <v>277.35290108244044</v>
      </c>
      <c r="S233" s="160">
        <f t="shared" si="148"/>
        <v>1.5671908041458356</v>
      </c>
      <c r="T233" s="160" t="str">
        <f t="shared" si="140"/>
        <v>1+0.000177504702924264i</v>
      </c>
      <c r="U233" s="160">
        <f t="shared" si="149"/>
        <v>1.0000000157539597</v>
      </c>
      <c r="V233" s="160">
        <f t="shared" si="150"/>
        <v>1.7750470105999607E-4</v>
      </c>
      <c r="W233" s="98" t="str">
        <f t="shared" si="141"/>
        <v>1-0.128378501342945i</v>
      </c>
      <c r="X233" s="160">
        <f t="shared" si="151"/>
        <v>1.0082068436620832</v>
      </c>
      <c r="Y233" s="160">
        <f t="shared" si="152"/>
        <v>-0.12768012404551843</v>
      </c>
      <c r="Z233" s="98" t="str">
        <f t="shared" si="142"/>
        <v>0.999201895074012+0.0507069654869089i</v>
      </c>
      <c r="AA233" s="160">
        <f t="shared" si="153"/>
        <v>1.0004876928120543</v>
      </c>
      <c r="AB233" s="160">
        <f t="shared" si="154"/>
        <v>5.0703971070944487E-2</v>
      </c>
      <c r="AC233" s="171" t="str">
        <f t="shared" si="155"/>
        <v>-0.680944866261326-3.86029200700332i</v>
      </c>
      <c r="AD233" s="190">
        <f t="shared" si="156"/>
        <v>11.865478357239539</v>
      </c>
      <c r="AE233" s="169">
        <f t="shared" si="157"/>
        <v>-100.00390428148906</v>
      </c>
      <c r="AF233" s="98" t="str">
        <f t="shared" si="143"/>
        <v>-9.95024875621891E-06</v>
      </c>
      <c r="AG233" s="98" t="str">
        <f t="shared" si="144"/>
        <v>0.00888411038135943i</v>
      </c>
      <c r="AH233" s="98">
        <f t="shared" si="158"/>
        <v>8.8841103813594308E-3</v>
      </c>
      <c r="AI233" s="98">
        <f t="shared" si="159"/>
        <v>1.5707963267948966</v>
      </c>
      <c r="AJ233" s="98" t="str">
        <f t="shared" si="145"/>
        <v>1+0.0886636877743578i</v>
      </c>
      <c r="AK233" s="98">
        <f t="shared" si="160"/>
        <v>1.003922930074689</v>
      </c>
      <c r="AL233" s="98">
        <f t="shared" si="161"/>
        <v>8.8432441736741627E-2</v>
      </c>
      <c r="AM233" s="98" t="str">
        <f t="shared" si="146"/>
        <v>1+88.7523514621322i</v>
      </c>
      <c r="AN233" s="98">
        <f t="shared" si="162"/>
        <v>88.757984936893649</v>
      </c>
      <c r="AO233" s="98">
        <f t="shared" si="163"/>
        <v>1.5595294964591775</v>
      </c>
      <c r="AP233" s="168" t="str">
        <f t="shared" si="164"/>
        <v>-0.0985292179289042+0.00985596889485414i</v>
      </c>
      <c r="AQ233" s="98">
        <f t="shared" si="165"/>
        <v>-20.085458950008519</v>
      </c>
      <c r="AR233" s="169">
        <f t="shared" si="166"/>
        <v>174.28765248972149</v>
      </c>
      <c r="AS233" s="168" t="str">
        <f t="shared" si="167"/>
        <v>0.105139883071509+0.373640181006255i</v>
      </c>
      <c r="AT233" s="190">
        <f t="shared" si="168"/>
        <v>-8.219980592768982</v>
      </c>
      <c r="AU233" s="169">
        <f t="shared" si="169"/>
        <v>74.283748208232495</v>
      </c>
      <c r="AV233" s="225"/>
      <c r="AX233">
        <f t="shared" si="170"/>
        <v>0</v>
      </c>
      <c r="AY233">
        <f t="shared" si="171"/>
        <v>0</v>
      </c>
    </row>
    <row r="234" spans="14:51" x14ac:dyDescent="0.3">
      <c r="N234" s="170">
        <v>16</v>
      </c>
      <c r="O234" s="199">
        <f t="shared" si="172"/>
        <v>1445.4397707459289</v>
      </c>
      <c r="P234" s="189" t="str">
        <f t="shared" si="138"/>
        <v>1078.86904761905</v>
      </c>
      <c r="Q234" s="160" t="str">
        <f t="shared" si="139"/>
        <v>1+283.81143531137i</v>
      </c>
      <c r="R234" s="160">
        <f t="shared" si="147"/>
        <v>283.81319703900306</v>
      </c>
      <c r="S234" s="160">
        <f t="shared" si="148"/>
        <v>1.5672728751740612</v>
      </c>
      <c r="T234" s="160" t="str">
        <f t="shared" si="140"/>
        <v>1+0.000181639318599277i</v>
      </c>
      <c r="U234" s="160">
        <f t="shared" si="149"/>
        <v>1.0000000164964209</v>
      </c>
      <c r="V234" s="160">
        <f t="shared" si="150"/>
        <v>1.8163931660167791E-4</v>
      </c>
      <c r="W234" s="98" t="str">
        <f t="shared" si="141"/>
        <v>1-0.131368820783741i</v>
      </c>
      <c r="X234" s="160">
        <f t="shared" si="151"/>
        <v>1.0085919725409829</v>
      </c>
      <c r="Y234" s="160">
        <f t="shared" si="152"/>
        <v>-0.13062083989262585</v>
      </c>
      <c r="Z234" s="98" t="str">
        <f t="shared" si="142"/>
        <v>0.999164281547658+0.051888082442576i</v>
      </c>
      <c r="AA234" s="160">
        <f t="shared" si="153"/>
        <v>1.0005106869095477</v>
      </c>
      <c r="AB234" s="160">
        <f t="shared" si="154"/>
        <v>5.1884873630592986E-2</v>
      </c>
      <c r="AC234" s="171" t="str">
        <f t="shared" si="155"/>
        <v>-0.68152602486111-3.7709476045805i</v>
      </c>
      <c r="AD234" s="190">
        <f t="shared" si="156"/>
        <v>11.668598603562454</v>
      </c>
      <c r="AE234" s="169">
        <f t="shared" si="157"/>
        <v>-100.24452104847681</v>
      </c>
      <c r="AF234" s="98" t="str">
        <f t="shared" si="143"/>
        <v>-9.95024875621891E-06</v>
      </c>
      <c r="AG234" s="98" t="str">
        <f t="shared" si="144"/>
        <v>0.00909104789589382i</v>
      </c>
      <c r="AH234" s="98">
        <f t="shared" si="158"/>
        <v>9.0910478958938206E-3</v>
      </c>
      <c r="AI234" s="98">
        <f t="shared" si="159"/>
        <v>1.5707963267948966</v>
      </c>
      <c r="AJ234" s="98" t="str">
        <f t="shared" si="145"/>
        <v>1+0.0907289303692692i</v>
      </c>
      <c r="AK234" s="98">
        <f t="shared" si="160"/>
        <v>1.0041074338963694</v>
      </c>
      <c r="AL234" s="98">
        <f t="shared" si="161"/>
        <v>9.0481200485977395E-2</v>
      </c>
      <c r="AM234" s="98" t="str">
        <f t="shared" si="146"/>
        <v>1+90.8196592996385i</v>
      </c>
      <c r="AN234" s="98">
        <f t="shared" si="162"/>
        <v>90.825164548721929</v>
      </c>
      <c r="AO234" s="98">
        <f t="shared" si="163"/>
        <v>1.5597859398605642</v>
      </c>
      <c r="AP234" s="168" t="str">
        <f t="shared" si="164"/>
        <v>-0.0984930119484432+0.0100306762745252i</v>
      </c>
      <c r="AQ234" s="98">
        <f t="shared" si="165"/>
        <v>-20.087079932527686</v>
      </c>
      <c r="AR234" s="169">
        <f t="shared" si="166"/>
        <v>174.18496038473322</v>
      </c>
      <c r="AS234" s="168" t="str">
        <f t="shared" si="167"/>
        <v>0.104950705579564+0.364575820546855i</v>
      </c>
      <c r="AT234" s="190">
        <f t="shared" si="168"/>
        <v>-8.4184813289652194</v>
      </c>
      <c r="AU234" s="169">
        <f t="shared" si="169"/>
        <v>73.940439336256347</v>
      </c>
      <c r="AV234" s="225"/>
      <c r="AX234">
        <f t="shared" si="170"/>
        <v>0</v>
      </c>
      <c r="AY234">
        <f t="shared" si="171"/>
        <v>0</v>
      </c>
    </row>
    <row r="235" spans="14:51" x14ac:dyDescent="0.3">
      <c r="N235" s="170">
        <v>17</v>
      </c>
      <c r="O235" s="199">
        <f t="shared" si="172"/>
        <v>1479.1083881682086</v>
      </c>
      <c r="P235" s="189" t="str">
        <f t="shared" si="138"/>
        <v>1078.86904761905</v>
      </c>
      <c r="Q235" s="160" t="str">
        <f t="shared" si="139"/>
        <v>1+290.422252883268i</v>
      </c>
      <c r="R235" s="160">
        <f t="shared" si="147"/>
        <v>290.42397450932464</v>
      </c>
      <c r="S235" s="160">
        <f t="shared" si="148"/>
        <v>1.567353078083471</v>
      </c>
      <c r="T235" s="160" t="str">
        <f t="shared" si="140"/>
        <v>1+0.000185870241845291i</v>
      </c>
      <c r="U235" s="160">
        <f t="shared" si="149"/>
        <v>1.0000000172738732</v>
      </c>
      <c r="V235" s="160">
        <f t="shared" si="150"/>
        <v>1.8587023970482503E-4</v>
      </c>
      <c r="W235" s="98" t="str">
        <f t="shared" si="141"/>
        <v>1-0.134428793712189i</v>
      </c>
      <c r="X235" s="160">
        <f t="shared" si="151"/>
        <v>1.0089950944275765</v>
      </c>
      <c r="Y235" s="160">
        <f t="shared" si="152"/>
        <v>-0.13362770313953168</v>
      </c>
      <c r="Z235" s="98" t="str">
        <f t="shared" si="142"/>
        <v>0.99912489535042+0.0530967111463741i</v>
      </c>
      <c r="AA235" s="160">
        <f t="shared" si="153"/>
        <v>1.0005347656346326</v>
      </c>
      <c r="AB235" s="160">
        <f t="shared" si="154"/>
        <v>5.3093272575964925E-2</v>
      </c>
      <c r="AC235" s="171" t="str">
        <f t="shared" si="155"/>
        <v>-0.682076380431525-3.68360253870881i</v>
      </c>
      <c r="AD235" s="190">
        <f t="shared" si="156"/>
        <v>11.471862951409939</v>
      </c>
      <c r="AE235" s="169">
        <f t="shared" si="157"/>
        <v>-100.49039065581201</v>
      </c>
      <c r="AF235" s="98" t="str">
        <f t="shared" si="143"/>
        <v>-9.95024875621891E-06</v>
      </c>
      <c r="AG235" s="98" t="str">
        <f t="shared" si="144"/>
        <v>0.00930280560435684i</v>
      </c>
      <c r="AH235" s="98">
        <f t="shared" si="158"/>
        <v>9.3028056043568397E-3</v>
      </c>
      <c r="AI235" s="98">
        <f t="shared" si="159"/>
        <v>1.5707963267948966</v>
      </c>
      <c r="AJ235" s="98" t="str">
        <f t="shared" si="145"/>
        <v>1+0.0928422786440017i</v>
      </c>
      <c r="AK235" s="98">
        <f t="shared" si="160"/>
        <v>1.0043005967855492</v>
      </c>
      <c r="AL235" s="98">
        <f t="shared" si="161"/>
        <v>9.2576892644506442E-2</v>
      </c>
      <c r="AM235" s="98" t="str">
        <f t="shared" si="146"/>
        <v>1+92.9351209226457i</v>
      </c>
      <c r="AN235" s="98">
        <f t="shared" si="162"/>
        <v>92.940500864299082</v>
      </c>
      <c r="AO235" s="98">
        <f t="shared" si="163"/>
        <v>1.5600365472968654</v>
      </c>
      <c r="AP235" s="168" t="str">
        <f t="shared" si="164"/>
        <v>-0.0984551281411439+0.0102103949882825i</v>
      </c>
      <c r="AQ235" s="98">
        <f t="shared" si="165"/>
        <v>-20.08877439516268</v>
      </c>
      <c r="AR235" s="169">
        <f t="shared" si="166"/>
        <v>174.07924481730549</v>
      </c>
      <c r="AS235" s="168" t="str">
        <f t="shared" si="167"/>
        <v>0.104764954337491+0.355705290713235i</v>
      </c>
      <c r="AT235" s="190">
        <f t="shared" si="168"/>
        <v>-8.6169114437527359</v>
      </c>
      <c r="AU235" s="169">
        <f t="shared" si="169"/>
        <v>73.588854161493416</v>
      </c>
      <c r="AV235" s="225"/>
      <c r="AX235">
        <f t="shared" si="170"/>
        <v>0</v>
      </c>
      <c r="AY235">
        <f t="shared" si="171"/>
        <v>0</v>
      </c>
    </row>
    <row r="236" spans="14:51" x14ac:dyDescent="0.3">
      <c r="N236" s="170">
        <v>18</v>
      </c>
      <c r="O236" s="199">
        <f t="shared" si="172"/>
        <v>1513.5612484362093</v>
      </c>
      <c r="P236" s="189" t="str">
        <f t="shared" si="138"/>
        <v>1078.86904761905</v>
      </c>
      <c r="Q236" s="160" t="str">
        <f t="shared" si="139"/>
        <v>1+297.187056177837i</v>
      </c>
      <c r="R236" s="160">
        <f t="shared" si="147"/>
        <v>297.18873861512458</v>
      </c>
      <c r="S236" s="160">
        <f t="shared" si="148"/>
        <v>1.5674314553945792</v>
      </c>
      <c r="T236" s="160" t="str">
        <f t="shared" si="140"/>
        <v>1+0.000190199715953816i</v>
      </c>
      <c r="U236" s="160">
        <f t="shared" si="149"/>
        <v>1.0000000180879658</v>
      </c>
      <c r="V236" s="160">
        <f t="shared" si="150"/>
        <v>1.901997136602654E-4</v>
      </c>
      <c r="W236" s="98" t="str">
        <f t="shared" si="141"/>
        <v>1-0.137560042566438i</v>
      </c>
      <c r="X236" s="160">
        <f t="shared" si="151"/>
        <v>1.0094170423124826</v>
      </c>
      <c r="Y236" s="160">
        <f t="shared" si="152"/>
        <v>-0.13670209046396764</v>
      </c>
      <c r="Z236" s="98" t="str">
        <f t="shared" si="142"/>
        <v>0.999083652938893+0.05433349242924i</v>
      </c>
      <c r="AA236" s="160">
        <f t="shared" si="153"/>
        <v>1.0005599801957306</v>
      </c>
      <c r="AB236" s="160">
        <f t="shared" si="154"/>
        <v>5.4329807635759488E-2</v>
      </c>
      <c r="AC236" s="171" t="str">
        <f t="shared" si="155"/>
        <v>-0.682597100663064-3.59821052058716i</v>
      </c>
      <c r="AD236" s="190">
        <f t="shared" si="156"/>
        <v>11.275277945235944</v>
      </c>
      <c r="AE236" s="169">
        <f t="shared" si="157"/>
        <v>-100.74163094278774</v>
      </c>
      <c r="AF236" s="98" t="str">
        <f t="shared" si="143"/>
        <v>-9.95024875621891E-06</v>
      </c>
      <c r="AG236" s="98" t="str">
        <f t="shared" si="144"/>
        <v>0.00951949578348847i</v>
      </c>
      <c r="AH236" s="98">
        <f t="shared" si="158"/>
        <v>9.5194957834884696E-3</v>
      </c>
      <c r="AI236" s="98">
        <f t="shared" si="159"/>
        <v>1.5707963267948966</v>
      </c>
      <c r="AJ236" s="98" t="str">
        <f t="shared" si="145"/>
        <v>1+0.095004853123784i</v>
      </c>
      <c r="AK236" s="98">
        <f t="shared" si="160"/>
        <v>1.0045028233494777</v>
      </c>
      <c r="AL236" s="98">
        <f t="shared" si="161"/>
        <v>9.4720555702374309E-2</v>
      </c>
      <c r="AM236" s="98" t="str">
        <f t="shared" si="146"/>
        <v>1+95.0998579769078i</v>
      </c>
      <c r="AN236" s="98">
        <f t="shared" si="162"/>
        <v>95.105115462986717</v>
      </c>
      <c r="AO236" s="98">
        <f t="shared" si="163"/>
        <v>1.5602814515174754</v>
      </c>
      <c r="AP236" s="168" t="str">
        <f t="shared" si="164"/>
        <v>-0.0984154901478266+0.0103951987441945i</v>
      </c>
      <c r="AQ236" s="98">
        <f t="shared" si="165"/>
        <v>-20.090545843680744</v>
      </c>
      <c r="AR236" s="169">
        <f t="shared" si="166"/>
        <v>173.97045394961745</v>
      </c>
      <c r="AS236" s="168" t="str">
        <f t="shared" si="167"/>
        <v>0.104582241720196+0.347023919515048i</v>
      </c>
      <c r="AT236" s="190">
        <f t="shared" si="168"/>
        <v>-8.8152678984447981</v>
      </c>
      <c r="AU236" s="169">
        <f t="shared" si="169"/>
        <v>73.228823006829657</v>
      </c>
      <c r="AV236" s="225"/>
      <c r="AX236">
        <f t="shared" si="170"/>
        <v>0</v>
      </c>
      <c r="AY236">
        <f t="shared" si="171"/>
        <v>0</v>
      </c>
    </row>
    <row r="237" spans="14:51" x14ac:dyDescent="0.3">
      <c r="N237" s="170">
        <v>19</v>
      </c>
      <c r="O237" s="199">
        <f t="shared" si="172"/>
        <v>1548.8166189124822</v>
      </c>
      <c r="P237" s="189" t="str">
        <f t="shared" si="138"/>
        <v>1078.86904761905</v>
      </c>
      <c r="Q237" s="160" t="str">
        <f t="shared" si="139"/>
        <v>1+304.109431983327i</v>
      </c>
      <c r="R237" s="160">
        <f t="shared" si="147"/>
        <v>304.11107612387582</v>
      </c>
      <c r="S237" s="160">
        <f t="shared" si="148"/>
        <v>1.56750804866022</v>
      </c>
      <c r="T237" s="160" t="str">
        <f t="shared" si="140"/>
        <v>1+0.000194630036469329i</v>
      </c>
      <c r="U237" s="160">
        <f t="shared" si="149"/>
        <v>1.0000000189404255</v>
      </c>
      <c r="V237" s="160">
        <f t="shared" si="150"/>
        <v>1.9463003401174524E-4</v>
      </c>
      <c r="W237" s="98" t="str">
        <f t="shared" si="141"/>
        <v>1-0.140764227576078i</v>
      </c>
      <c r="X237" s="160">
        <f t="shared" si="151"/>
        <v>1.009858687027591</v>
      </c>
      <c r="Y237" s="160">
        <f t="shared" si="152"/>
        <v>-0.1398453993548647</v>
      </c>
      <c r="Z237" s="98" t="str">
        <f t="shared" si="142"/>
        <v>0.999040466832392+0.0555990820489807i</v>
      </c>
      <c r="AA237" s="160">
        <f t="shared" si="153"/>
        <v>1.0005863842234577</v>
      </c>
      <c r="AB237" s="160">
        <f t="shared" si="154"/>
        <v>5.5595133386284863E-2</v>
      </c>
      <c r="AC237" s="171" t="str">
        <f t="shared" si="155"/>
        <v>-0.683089290433081-3.51472629672051i</v>
      </c>
      <c r="AD237" s="190">
        <f t="shared" si="156"/>
        <v>11.078850413310715</v>
      </c>
      <c r="AE237" s="169">
        <f t="shared" si="157"/>
        <v>-100.99836173335881</v>
      </c>
      <c r="AF237" s="98" t="str">
        <f t="shared" si="143"/>
        <v>-9.95024875621891E-06</v>
      </c>
      <c r="AG237" s="98" t="str">
        <f t="shared" si="144"/>
        <v>0.00974123332528994i</v>
      </c>
      <c r="AH237" s="98">
        <f t="shared" si="158"/>
        <v>9.7412333252899393E-3</v>
      </c>
      <c r="AI237" s="98">
        <f t="shared" si="159"/>
        <v>1.5707963267948966</v>
      </c>
      <c r="AJ237" s="98" t="str">
        <f t="shared" si="145"/>
        <v>1+0.0972178004342305i</v>
      </c>
      <c r="AK237" s="98">
        <f t="shared" si="160"/>
        <v>1.0047145369313961</v>
      </c>
      <c r="AL237" s="98">
        <f t="shared" si="161"/>
        <v>9.6913247408597525E-2</v>
      </c>
      <c r="AM237" s="98" t="str">
        <f t="shared" si="146"/>
        <v>1+97.3150182346647i</v>
      </c>
      <c r="AN237" s="98">
        <f t="shared" si="162"/>
        <v>97.320156052141257</v>
      </c>
      <c r="AO237" s="98">
        <f t="shared" si="163"/>
        <v>1.560520782256275</v>
      </c>
      <c r="AP237" s="168" t="str">
        <f t="shared" si="164"/>
        <v>-0.0983740182672113+0.0105851624486846i</v>
      </c>
      <c r="AQ237" s="98">
        <f t="shared" si="165"/>
        <v>-20.092397938721366</v>
      </c>
      <c r="AR237" s="169">
        <f t="shared" si="166"/>
        <v>173.85853461031846</v>
      </c>
      <c r="AS237" s="168" t="str">
        <f t="shared" si="167"/>
        <v>0.104402187148651+0.338527137811641i</v>
      </c>
      <c r="AT237" s="190">
        <f t="shared" si="168"/>
        <v>-9.0135475254106385</v>
      </c>
      <c r="AU237" s="169">
        <f t="shared" si="169"/>
        <v>72.860172876959581</v>
      </c>
      <c r="AV237" s="225"/>
      <c r="AX237">
        <f t="shared" si="170"/>
        <v>0</v>
      </c>
      <c r="AY237">
        <f t="shared" si="171"/>
        <v>0</v>
      </c>
    </row>
    <row r="238" spans="14:51" x14ac:dyDescent="0.3">
      <c r="N238" s="170">
        <v>20</v>
      </c>
      <c r="O238" s="199">
        <f t="shared" si="172"/>
        <v>1584.8931924611156</v>
      </c>
      <c r="P238" s="189" t="str">
        <f t="shared" si="138"/>
        <v>1078.86904761905</v>
      </c>
      <c r="Q238" s="160" t="str">
        <f t="shared" si="139"/>
        <v>1+311.19305063502i</v>
      </c>
      <c r="R238" s="160">
        <f t="shared" si="147"/>
        <v>311.19465735055621</v>
      </c>
      <c r="S238" s="160">
        <f t="shared" si="148"/>
        <v>1.5675828984875595</v>
      </c>
      <c r="T238" s="160" t="str">
        <f t="shared" si="140"/>
        <v>1+0.000199163552406413i</v>
      </c>
      <c r="U238" s="160">
        <f t="shared" si="149"/>
        <v>1.0000000198330601</v>
      </c>
      <c r="V238" s="160">
        <f t="shared" si="150"/>
        <v>1.9916354977306456E-4</v>
      </c>
      <c r="W238" s="98" t="str">
        <f t="shared" si="141"/>
        <v>1-0.144043047642414i</v>
      </c>
      <c r="X238" s="160">
        <f t="shared" si="151"/>
        <v>1.0103209388971974</v>
      </c>
      <c r="Y238" s="160">
        <f t="shared" si="152"/>
        <v>-0.14305904784878823</v>
      </c>
      <c r="Z238" s="98" t="str">
        <f t="shared" si="142"/>
        <v>0.998995245427396+0.0568941510379647i</v>
      </c>
      <c r="AA238" s="160">
        <f t="shared" si="153"/>
        <v>1.0006140338856309</v>
      </c>
      <c r="AB238" s="160">
        <f t="shared" si="154"/>
        <v>5.6889919593428477E-2</v>
      </c>
      <c r="AC238" s="171" t="str">
        <f t="shared" si="155"/>
        <v>-0.6835539941524-3.43310562503315i</v>
      </c>
      <c r="AD238" s="190">
        <f t="shared" si="156"/>
        <v>10.882587478888919</v>
      </c>
      <c r="AE238" s="169">
        <f t="shared" si="157"/>
        <v>-101.26070484182465</v>
      </c>
      <c r="AF238" s="98" t="str">
        <f t="shared" si="143"/>
        <v>-9.95024875621891E-06</v>
      </c>
      <c r="AG238" s="98" t="str">
        <f t="shared" si="144"/>
        <v>0.00996813579794095i</v>
      </c>
      <c r="AH238" s="98">
        <f t="shared" si="158"/>
        <v>9.9681357979409507E-3</v>
      </c>
      <c r="AI238" s="98">
        <f t="shared" si="159"/>
        <v>1.5707963267948966</v>
      </c>
      <c r="AJ238" s="98" t="str">
        <f t="shared" si="145"/>
        <v>1+0.099482293909297i</v>
      </c>
      <c r="AK238" s="98">
        <f t="shared" si="160"/>
        <v>1.0049361804619514</v>
      </c>
      <c r="AL238" s="98">
        <f t="shared" si="161"/>
        <v>9.9156045973033749E-2</v>
      </c>
      <c r="AM238" s="98" t="str">
        <f t="shared" si="146"/>
        <v>1+99.5817762032063i</v>
      </c>
      <c r="AN238" s="98">
        <f t="shared" si="162"/>
        <v>99.586797075643858</v>
      </c>
      <c r="AO238" s="98">
        <f t="shared" si="163"/>
        <v>1.5607546662998577</v>
      </c>
      <c r="AP238" s="168" t="str">
        <f t="shared" si="164"/>
        <v>-0.0983306293223955+0.0107803621445821i</v>
      </c>
      <c r="AQ238" s="98">
        <f t="shared" si="165"/>
        <v>-20.094334502762816</v>
      </c>
      <c r="AR238" s="169">
        <f t="shared" si="166"/>
        <v>173.74343228687104</v>
      </c>
      <c r="AS238" s="168" t="str">
        <f t="shared" si="167"/>
        <v>0.104224416339302+0.330210477037427i</v>
      </c>
      <c r="AT238" s="190">
        <f t="shared" si="168"/>
        <v>-9.2117470238738992</v>
      </c>
      <c r="AU238" s="169">
        <f t="shared" si="169"/>
        <v>72.482727445046351</v>
      </c>
      <c r="AV238" s="225"/>
      <c r="AX238">
        <f t="shared" si="170"/>
        <v>0</v>
      </c>
      <c r="AY238">
        <f t="shared" si="171"/>
        <v>0</v>
      </c>
    </row>
    <row r="239" spans="14:51" x14ac:dyDescent="0.3">
      <c r="N239" s="170">
        <v>21</v>
      </c>
      <c r="O239" s="199">
        <f t="shared" si="172"/>
        <v>1621.8100973589308</v>
      </c>
      <c r="P239" s="189" t="str">
        <f t="shared" si="138"/>
        <v>1078.86904761905</v>
      </c>
      <c r="Q239" s="160" t="str">
        <f t="shared" si="139"/>
        <v>1+318.441667961284i</v>
      </c>
      <c r="R239" s="160">
        <f t="shared" si="147"/>
        <v>318.44323810369195</v>
      </c>
      <c r="S239" s="160">
        <f t="shared" si="148"/>
        <v>1.5676560445596106</v>
      </c>
      <c r="T239" s="160" t="str">
        <f t="shared" si="140"/>
        <v>1+0.000203802667495222i</v>
      </c>
      <c r="U239" s="160">
        <f t="shared" si="149"/>
        <v>1.0000000207677635</v>
      </c>
      <c r="V239" s="160">
        <f t="shared" si="150"/>
        <v>2.0380266467353832E-4</v>
      </c>
      <c r="W239" s="98" t="str">
        <f t="shared" si="141"/>
        <v>1-0.147398241239244i</v>
      </c>
      <c r="X239" s="160">
        <f t="shared" si="151"/>
        <v>1.0108047494548205</v>
      </c>
      <c r="Y239" s="160">
        <f t="shared" si="152"/>
        <v>-0.14634447421331032</v>
      </c>
      <c r="Z239" s="98" t="str">
        <f t="shared" si="142"/>
        <v>0.998947892803242+0.0582193860589118i</v>
      </c>
      <c r="AA239" s="160">
        <f t="shared" si="153"/>
        <v>1.0006429880077681</v>
      </c>
      <c r="AB239" s="160">
        <f t="shared" si="154"/>
        <v>5.8214851562310314E-2</v>
      </c>
      <c r="AC239" s="171" t="str">
        <f t="shared" si="155"/>
        <v>-0.683992197984162-3.35330525151745i</v>
      </c>
      <c r="AD239" s="190">
        <f t="shared" si="156"/>
        <v>10.68649657170192</v>
      </c>
      <c r="AE239" s="169">
        <f t="shared" si="157"/>
        <v>-101.52878407588366</v>
      </c>
      <c r="AF239" s="98" t="str">
        <f t="shared" si="143"/>
        <v>-9.95024875621891E-06</v>
      </c>
      <c r="AG239" s="98" t="str">
        <f t="shared" si="144"/>
        <v>0.0102003235081359i</v>
      </c>
      <c r="AH239" s="98">
        <f t="shared" si="158"/>
        <v>1.02003235081359E-2</v>
      </c>
      <c r="AI239" s="98">
        <f t="shared" si="159"/>
        <v>1.5707963267948966</v>
      </c>
      <c r="AJ239" s="98" t="str">
        <f t="shared" si="145"/>
        <v>1+0.101799534213398i</v>
      </c>
      <c r="AK239" s="98">
        <f t="shared" si="160"/>
        <v>1.0051682173477556</v>
      </c>
      <c r="AL239" s="98">
        <f t="shared" si="161"/>
        <v>0.10145005025476717</v>
      </c>
      <c r="AM239" s="98" t="str">
        <f t="shared" si="146"/>
        <v>1+101.901333747611i</v>
      </c>
      <c r="AN239" s="98">
        <f t="shared" si="162"/>
        <v>101.90624033660551</v>
      </c>
      <c r="AO239" s="98">
        <f t="shared" si="163"/>
        <v>1.560983227554229</v>
      </c>
      <c r="AP239" s="168" t="str">
        <f t="shared" si="164"/>
        <v>-0.0982852365232426+0.0109808749431514i</v>
      </c>
      <c r="AQ239" s="98">
        <f t="shared" si="165"/>
        <v>-20.09635952735708</v>
      </c>
      <c r="AR239" s="169">
        <f t="shared" si="166"/>
        <v>173.62509111857847</v>
      </c>
      <c r="AS239" s="168" t="str">
        <f t="shared" si="167"/>
        <v>0.104048560572052+0.322069566991869i</v>
      </c>
      <c r="AT239" s="190">
        <f t="shared" si="168"/>
        <v>-9.4098629556551519</v>
      </c>
      <c r="AU239" s="169">
        <f t="shared" si="169"/>
        <v>72.096307042694804</v>
      </c>
      <c r="AV239" s="225"/>
      <c r="AX239">
        <f t="shared" si="170"/>
        <v>0</v>
      </c>
      <c r="AY239">
        <f t="shared" si="171"/>
        <v>0</v>
      </c>
    </row>
    <row r="240" spans="14:51" x14ac:dyDescent="0.3">
      <c r="N240" s="170">
        <v>22</v>
      </c>
      <c r="O240" s="199">
        <f t="shared" si="172"/>
        <v>1659.5869074375626</v>
      </c>
      <c r="P240" s="189" t="str">
        <f t="shared" si="138"/>
        <v>1078.86904761905</v>
      </c>
      <c r="Q240" s="160" t="str">
        <f t="shared" si="139"/>
        <v>1+325.859127274978i</v>
      </c>
      <c r="R240" s="160">
        <f t="shared" si="147"/>
        <v>325.86066167675148</v>
      </c>
      <c r="S240" s="160">
        <f t="shared" si="148"/>
        <v>1.5677275256562559</v>
      </c>
      <c r="T240" s="160" t="str">
        <f t="shared" si="140"/>
        <v>1+0.000208549841455986i</v>
      </c>
      <c r="U240" s="160">
        <f t="shared" si="149"/>
        <v>1.0000000217465179</v>
      </c>
      <c r="V240" s="160">
        <f t="shared" si="150"/>
        <v>2.0854983843249749E-4</v>
      </c>
      <c r="W240" s="98" t="str">
        <f t="shared" si="141"/>
        <v>1-0.150831587334627i</v>
      </c>
      <c r="X240" s="160">
        <f t="shared" si="151"/>
        <v>1.0113111132277164</v>
      </c>
      <c r="Y240" s="160">
        <f t="shared" si="152"/>
        <v>-0.14970313657348505</v>
      </c>
      <c r="Z240" s="98" t="str">
        <f t="shared" si="142"/>
        <v>0.998898308518665+0.0595754897689725i</v>
      </c>
      <c r="AA240" s="160">
        <f t="shared" si="153"/>
        <v>1.0006733081993657</v>
      </c>
      <c r="AB240" s="160">
        <f t="shared" si="154"/>
        <v>5.9570630494779675E-2</v>
      </c>
      <c r="AC240" s="171" t="str">
        <f t="shared" si="155"/>
        <v>-0.684404831939558-3.27528288740663i</v>
      </c>
      <c r="AD240" s="190">
        <f t="shared" si="156"/>
        <v>10.490585439772984</v>
      </c>
      <c r="AE240" s="169">
        <f t="shared" si="157"/>
        <v>-101.80272523684604</v>
      </c>
      <c r="AF240" s="98" t="str">
        <f t="shared" si="143"/>
        <v>-9.95024875621891E-06</v>
      </c>
      <c r="AG240" s="98" t="str">
        <f t="shared" si="144"/>
        <v>0.0104379195648721i</v>
      </c>
      <c r="AH240" s="98">
        <f t="shared" si="158"/>
        <v>1.0437919564872101E-2</v>
      </c>
      <c r="AI240" s="98">
        <f t="shared" si="159"/>
        <v>1.5707963267948966</v>
      </c>
      <c r="AJ240" s="98" t="str">
        <f t="shared" si="145"/>
        <v>1+0.104170749978015i</v>
      </c>
      <c r="AK240" s="98">
        <f t="shared" si="160"/>
        <v>1.0054111323985735</v>
      </c>
      <c r="AL240" s="98">
        <f t="shared" si="161"/>
        <v>0.10379637993552622</v>
      </c>
      <c r="AM240" s="98" t="str">
        <f t="shared" si="146"/>
        <v>1+104.274920727993i</v>
      </c>
      <c r="AN240" s="98">
        <f t="shared" si="162"/>
        <v>104.27971563458172</v>
      </c>
      <c r="AO240" s="98">
        <f t="shared" si="163"/>
        <v>1.5612065871100163</v>
      </c>
      <c r="AP240" s="168" t="str">
        <f t="shared" si="164"/>
        <v>-0.0982377493246867+0.0111867789496635i</v>
      </c>
      <c r="AQ240" s="98">
        <f t="shared" si="165"/>
        <v>-20.098477180641506</v>
      </c>
      <c r="AR240" s="169">
        <f t="shared" si="166"/>
        <v>173.5034538903852</v>
      </c>
      <c r="AS240" s="168" t="str">
        <f t="shared" si="167"/>
        <v>0.103874255975716+0.314100133693499i</v>
      </c>
      <c r="AT240" s="190">
        <f t="shared" si="168"/>
        <v>-9.607891740868526</v>
      </c>
      <c r="AU240" s="169">
        <f t="shared" si="169"/>
        <v>71.700728653539173</v>
      </c>
      <c r="AV240" s="225"/>
      <c r="AX240">
        <f t="shared" si="170"/>
        <v>0</v>
      </c>
      <c r="AY240">
        <f t="shared" si="171"/>
        <v>0</v>
      </c>
    </row>
    <row r="241" spans="14:51" x14ac:dyDescent="0.3">
      <c r="N241" s="170">
        <v>23</v>
      </c>
      <c r="O241" s="199">
        <f t="shared" si="172"/>
        <v>1698.2436524617447</v>
      </c>
      <c r="P241" s="189" t="str">
        <f t="shared" si="138"/>
        <v>1078.86904761905</v>
      </c>
      <c r="Q241" s="160" t="str">
        <f t="shared" si="139"/>
        <v>1+333.449361411206i</v>
      </c>
      <c r="R241" s="160">
        <f t="shared" si="147"/>
        <v>333.45086088588988</v>
      </c>
      <c r="S241" s="160">
        <f t="shared" si="148"/>
        <v>1.5677973796747957</v>
      </c>
      <c r="T241" s="160" t="str">
        <f t="shared" si="140"/>
        <v>1+0.000213407591303172i</v>
      </c>
      <c r="U241" s="160">
        <f t="shared" si="149"/>
        <v>1.0000000227713997</v>
      </c>
      <c r="V241" s="160">
        <f t="shared" si="150"/>
        <v>2.1340758806344566E-4</v>
      </c>
      <c r="W241" s="98" t="str">
        <f t="shared" si="141"/>
        <v>1-0.154344906334106i</v>
      </c>
      <c r="X241" s="160">
        <f t="shared" si="151"/>
        <v>1.0118410695911113</v>
      </c>
      <c r="Y241" s="160">
        <f t="shared" si="152"/>
        <v>-0.15313651247737026</v>
      </c>
      <c r="Z241" s="98" t="str">
        <f t="shared" si="142"/>
        <v>0.998846387398749+0.0609631811922831i</v>
      </c>
      <c r="AA241" s="160">
        <f t="shared" si="153"/>
        <v>1.0007050589862203</v>
      </c>
      <c r="AB241" s="160">
        <f t="shared" si="154"/>
        <v>6.0957973854908913E-2</v>
      </c>
      <c r="AC241" s="171" t="str">
        <f t="shared" si="155"/>
        <v>-0.684792771854927-3.19899718685962i</v>
      </c>
      <c r="AD241" s="190">
        <f t="shared" si="156"/>
        <v>10.294862161551242</v>
      </c>
      <c r="AE241" s="169">
        <f t="shared" si="157"/>
        <v>-102.08265611678411</v>
      </c>
      <c r="AF241" s="98" t="str">
        <f t="shared" si="143"/>
        <v>-9.95024875621891E-06</v>
      </c>
      <c r="AG241" s="98" t="str">
        <f t="shared" si="144"/>
        <v>0.0106810499447238i</v>
      </c>
      <c r="AH241" s="98">
        <f t="shared" si="158"/>
        <v>1.0681049944723801E-2</v>
      </c>
      <c r="AI241" s="98">
        <f t="shared" si="159"/>
        <v>1.5707963267948966</v>
      </c>
      <c r="AJ241" s="98" t="str">
        <f t="shared" si="145"/>
        <v>1+0.106597198453133i</v>
      </c>
      <c r="AK241" s="98">
        <f t="shared" si="160"/>
        <v>1.005665432794653</v>
      </c>
      <c r="AL241" s="98">
        <f t="shared" si="161"/>
        <v>0.10619617567654915</v>
      </c>
      <c r="AM241" s="98" t="str">
        <f t="shared" si="146"/>
        <v>1+106.703795651586i</v>
      </c>
      <c r="AN241" s="98">
        <f t="shared" si="162"/>
        <v>106.70848141762407</v>
      </c>
      <c r="AO241" s="98">
        <f t="shared" si="163"/>
        <v>1.5614248633062147</v>
      </c>
      <c r="AP241" s="168" t="str">
        <f t="shared" si="164"/>
        <v>-0.0981880732809645+0.0113981531820522i</v>
      </c>
      <c r="AQ241" s="98">
        <f t="shared" si="165"/>
        <v>-20.100691815136443</v>
      </c>
      <c r="AR241" s="169">
        <f t="shared" si="166"/>
        <v>173.37846202754145</v>
      </c>
      <c r="AS241" s="168" t="str">
        <f t="shared" si="167"/>
        <v>0.103701142829946+0.306297997297407i</v>
      </c>
      <c r="AT241" s="190">
        <f t="shared" si="168"/>
        <v>-9.8058296535852048</v>
      </c>
      <c r="AU241" s="169">
        <f t="shared" si="169"/>
        <v>71.295805910757394</v>
      </c>
      <c r="AV241" s="225"/>
      <c r="AX241">
        <f t="shared" si="170"/>
        <v>0</v>
      </c>
      <c r="AY241">
        <f t="shared" si="171"/>
        <v>0</v>
      </c>
    </row>
    <row r="242" spans="14:51" x14ac:dyDescent="0.3">
      <c r="N242" s="170">
        <v>24</v>
      </c>
      <c r="O242" s="199">
        <f t="shared" si="172"/>
        <v>1737.8008287493772</v>
      </c>
      <c r="P242" s="189" t="str">
        <f t="shared" si="138"/>
        <v>1078.86904761905</v>
      </c>
      <c r="Q242" s="160" t="str">
        <f t="shared" si="139"/>
        <v>1+341.216394812581i</v>
      </c>
      <c r="R242" s="160">
        <f t="shared" si="147"/>
        <v>341.21786015520223</v>
      </c>
      <c r="S242" s="160">
        <f t="shared" si="148"/>
        <v>1.5678656436500269</v>
      </c>
      <c r="T242" s="160" t="str">
        <f t="shared" si="140"/>
        <v>1+0.000218378492680052i</v>
      </c>
      <c r="U242" s="160">
        <f t="shared" si="149"/>
        <v>1.0000000238445828</v>
      </c>
      <c r="V242" s="160">
        <f t="shared" si="150"/>
        <v>2.183784892086227E-4</v>
      </c>
      <c r="W242" s="98" t="str">
        <f t="shared" si="141"/>
        <v>1-0.157940061045921i</v>
      </c>
      <c r="X242" s="160">
        <f t="shared" si="151"/>
        <v>1.0123957046941623</v>
      </c>
      <c r="Y242" s="160">
        <f t="shared" si="152"/>
        <v>-0.15664609839639831</v>
      </c>
      <c r="Z242" s="98" t="str">
        <f t="shared" si="142"/>
        <v>0.998792019311839+0.0623831961012054i</v>
      </c>
      <c r="AA242" s="160">
        <f t="shared" si="153"/>
        <v>1.0007383079490972</v>
      </c>
      <c r="AB242" s="160">
        <f t="shared" si="154"/>
        <v>6.2377615742657593E-2</v>
      </c>
      <c r="AC242" s="171" t="str">
        <f t="shared" si="155"/>
        <v>-0.685156841254504-3.12440772514694i</v>
      </c>
      <c r="AD242" s="190">
        <f t="shared" si="156"/>
        <v>10.099335158359787</v>
      </c>
      <c r="AE242" s="169">
        <f t="shared" si="157"/>
        <v>-102.36870649238841</v>
      </c>
      <c r="AF242" s="98" t="str">
        <f t="shared" si="143"/>
        <v>-9.95024875621891E-06</v>
      </c>
      <c r="AG242" s="98" t="str">
        <f t="shared" si="144"/>
        <v>0.0109298435586366i</v>
      </c>
      <c r="AH242" s="98">
        <f t="shared" si="158"/>
        <v>1.09298435586366E-2</v>
      </c>
      <c r="AI242" s="98">
        <f t="shared" si="159"/>
        <v>1.5707963267948966</v>
      </c>
      <c r="AJ242" s="98" t="str">
        <f t="shared" si="145"/>
        <v>1+0.109080166173852i</v>
      </c>
      <c r="AK242" s="98">
        <f t="shared" si="160"/>
        <v>1.0059316490957599</v>
      </c>
      <c r="AL242" s="98">
        <f t="shared" si="161"/>
        <v>0.10865059925720527</v>
      </c>
      <c r="AM242" s="98" t="str">
        <f t="shared" si="146"/>
        <v>1+109.189246340026i</v>
      </c>
      <c r="AN242" s="98">
        <f t="shared" si="162"/>
        <v>109.19382544953208</v>
      </c>
      <c r="AO242" s="98">
        <f t="shared" si="163"/>
        <v>1.5616381717925076</v>
      </c>
      <c r="AP242" s="168" t="str">
        <f t="shared" si="164"/>
        <v>-0.0981361098958335+0.0116150774821759i</v>
      </c>
      <c r="AQ242" s="98">
        <f t="shared" si="165"/>
        <v>-20.103007975835428</v>
      </c>
      <c r="AR242" s="169">
        <f t="shared" si="166"/>
        <v>173.25005559123139</v>
      </c>
      <c r="AS242" s="168" t="str">
        <f t="shared" si="167"/>
        <v>0.103528864882725+0.298659070075797i</v>
      </c>
      <c r="AT242" s="190">
        <f t="shared" si="168"/>
        <v>-10.003672817475646</v>
      </c>
      <c r="AU242" s="169">
        <f t="shared" si="169"/>
        <v>70.881349098842904</v>
      </c>
      <c r="AV242" s="225"/>
      <c r="AX242">
        <f t="shared" si="170"/>
        <v>0</v>
      </c>
      <c r="AY242">
        <f t="shared" si="171"/>
        <v>0</v>
      </c>
    </row>
    <row r="243" spans="14:51" x14ac:dyDescent="0.3">
      <c r="N243" s="170">
        <v>25</v>
      </c>
      <c r="O243" s="199">
        <f t="shared" si="172"/>
        <v>1778.2794100389244</v>
      </c>
      <c r="P243" s="189" t="str">
        <f t="shared" si="138"/>
        <v>1078.86904761905</v>
      </c>
      <c r="Q243" s="160" t="str">
        <f t="shared" si="139"/>
        <v>1+349.164345663019i</v>
      </c>
      <c r="R243" s="160">
        <f t="shared" si="147"/>
        <v>349.16577765050829</v>
      </c>
      <c r="S243" s="160">
        <f t="shared" si="148"/>
        <v>1.5679323537738661</v>
      </c>
      <c r="T243" s="160" t="str">
        <f t="shared" si="140"/>
        <v>1+0.000223465181224332i</v>
      </c>
      <c r="U243" s="160">
        <f t="shared" si="149"/>
        <v>1.0000000249683434</v>
      </c>
      <c r="V243" s="160">
        <f t="shared" si="150"/>
        <v>2.2346517750462851E-4</v>
      </c>
      <c r="W243" s="98" t="str">
        <f t="shared" si="141"/>
        <v>1-0.161618957668686i</v>
      </c>
      <c r="X243" s="160">
        <f t="shared" si="151"/>
        <v>1.012976153459652</v>
      </c>
      <c r="Y243" s="160">
        <f t="shared" si="152"/>
        <v>-0.16023340915612941</v>
      </c>
      <c r="Z243" s="98" t="str">
        <f t="shared" si="142"/>
        <v>0.998735088935933+0.0638362874064398i</v>
      </c>
      <c r="AA243" s="160">
        <f t="shared" si="153"/>
        <v>1.0007731258690471</v>
      </c>
      <c r="AB243" s="160">
        <f t="shared" si="154"/>
        <v>6.3830307275858617E-2</v>
      </c>
      <c r="AC243" s="171" t="str">
        <f t="shared" si="155"/>
        <v>-0.685497813102751-3.05147497732621i</v>
      </c>
      <c r="AD243" s="190">
        <f t="shared" si="156"/>
        <v>9.9040132071500384</v>
      </c>
      <c r="AE243" s="169">
        <f t="shared" si="157"/>
        <v>-102.66100811528545</v>
      </c>
      <c r="AF243" s="98" t="str">
        <f t="shared" si="143"/>
        <v>-9.95024875621891E-06</v>
      </c>
      <c r="AG243" s="98" t="str">
        <f t="shared" si="144"/>
        <v>0.0111844323202778i</v>
      </c>
      <c r="AH243" s="98">
        <f t="shared" si="158"/>
        <v>1.11844323202778E-2</v>
      </c>
      <c r="AI243" s="98">
        <f t="shared" si="159"/>
        <v>1.5707963267948966</v>
      </c>
      <c r="AJ243" s="98" t="str">
        <f t="shared" si="145"/>
        <v>1+0.111620969642523i</v>
      </c>
      <c r="AK243" s="98">
        <f t="shared" si="160"/>
        <v>1.0062103362935291</v>
      </c>
      <c r="AL243" s="98">
        <f t="shared" si="161"/>
        <v>0.11116083369356211</v>
      </c>
      <c r="AM243" s="98" t="str">
        <f t="shared" si="146"/>
        <v>1+111.732590612166i</v>
      </c>
      <c r="AN243" s="98">
        <f t="shared" si="162"/>
        <v>111.73706549263717</v>
      </c>
      <c r="AO243" s="98">
        <f t="shared" si="163"/>
        <v>1.5618466255901884</v>
      </c>
      <c r="AP243" s="168" t="str">
        <f t="shared" si="164"/>
        <v>-0.0980817564688116+0.0118376324191738i</v>
      </c>
      <c r="AQ243" s="98">
        <f t="shared" si="165"/>
        <v>-20.105430408598504</v>
      </c>
      <c r="AR243" s="169">
        <f t="shared" si="166"/>
        <v>173.11817327527035</v>
      </c>
      <c r="AS243" s="168" t="str">
        <f t="shared" si="167"/>
        <v>0.103357068682541+0.291179354461124i</v>
      </c>
      <c r="AT243" s="190">
        <f t="shared" si="168"/>
        <v>-10.201417201448466</v>
      </c>
      <c r="AU243" s="169">
        <f t="shared" si="169"/>
        <v>70.457165159984967</v>
      </c>
      <c r="AV243" s="225"/>
      <c r="AX243">
        <f t="shared" si="170"/>
        <v>0</v>
      </c>
      <c r="AY243">
        <f t="shared" si="171"/>
        <v>0</v>
      </c>
    </row>
    <row r="244" spans="14:51" x14ac:dyDescent="0.3">
      <c r="N244" s="170">
        <v>26</v>
      </c>
      <c r="O244" s="199">
        <f t="shared" si="172"/>
        <v>1819.7008586099832</v>
      </c>
      <c r="P244" s="189" t="str">
        <f t="shared" si="138"/>
        <v>1078.86904761905</v>
      </c>
      <c r="Q244" s="160" t="str">
        <f t="shared" si="139"/>
        <v>1+357.297428071259i</v>
      </c>
      <c r="R244" s="160">
        <f t="shared" si="147"/>
        <v>357.29882746286262</v>
      </c>
      <c r="S244" s="160">
        <f t="shared" si="148"/>
        <v>1.5679975454145276</v>
      </c>
      <c r="T244" s="160" t="str">
        <f t="shared" si="140"/>
        <v>1+0.000228670353965606i</v>
      </c>
      <c r="U244" s="160">
        <f t="shared" si="149"/>
        <v>1.000000026145065</v>
      </c>
      <c r="V244" s="160">
        <f t="shared" si="150"/>
        <v>2.286703499798719E-4</v>
      </c>
      <c r="W244" s="98" t="str">
        <f t="shared" si="141"/>
        <v>1-0.165383546802085i</v>
      </c>
      <c r="X244" s="160">
        <f t="shared" si="151"/>
        <v>1.0135836016593982</v>
      </c>
      <c r="Y244" s="160">
        <f t="shared" si="152"/>
        <v>-0.16389997729278796</v>
      </c>
      <c r="Z244" s="98" t="str">
        <f t="shared" si="142"/>
        <v>0.99867547551407+0.0653232255562295i</v>
      </c>
      <c r="AA244" s="160">
        <f t="shared" si="153"/>
        <v>1.000809586879704</v>
      </c>
      <c r="AB244" s="160">
        <f t="shared" si="154"/>
        <v>6.5316816980702561E-2</v>
      </c>
      <c r="AC244" s="171" t="str">
        <f t="shared" si="155"/>
        <v>-0.6858164114501-2.98016029739709i</v>
      </c>
      <c r="AD244" s="190">
        <f t="shared" si="156"/>
        <v>9.708905453554852</v>
      </c>
      <c r="AE244" s="169">
        <f t="shared" si="157"/>
        <v>-102.95969469856088</v>
      </c>
      <c r="AF244" s="98" t="str">
        <f t="shared" si="143"/>
        <v>-9.95024875621891E-06</v>
      </c>
      <c r="AG244" s="98" t="str">
        <f t="shared" si="144"/>
        <v>0.0114449512159786i</v>
      </c>
      <c r="AH244" s="98">
        <f t="shared" si="158"/>
        <v>1.14449512159786E-2</v>
      </c>
      <c r="AI244" s="98">
        <f t="shared" si="159"/>
        <v>1.5707963267948966</v>
      </c>
      <c r="AJ244" s="98" t="str">
        <f t="shared" si="145"/>
        <v>1+0.114220956026776i</v>
      </c>
      <c r="AK244" s="98">
        <f t="shared" si="160"/>
        <v>1.0065020749087756</v>
      </c>
      <c r="AL244" s="98">
        <f t="shared" si="161"/>
        <v>0.11372808333497754</v>
      </c>
      <c r="AM244" s="98" t="str">
        <f t="shared" si="146"/>
        <v>1+114.335176982803i</v>
      </c>
      <c r="AN244" s="98">
        <f t="shared" si="162"/>
        <v>114.33955000649986</v>
      </c>
      <c r="AO244" s="98">
        <f t="shared" si="163"/>
        <v>1.5620503351517143</v>
      </c>
      <c r="AP244" s="168" t="str">
        <f t="shared" si="164"/>
        <v>-0.0980249059375475+0.0120658991843902i</v>
      </c>
      <c r="AQ244" s="98">
        <f t="shared" si="165"/>
        <v>-20.107964068854468</v>
      </c>
      <c r="AR244" s="169">
        <f t="shared" si="166"/>
        <v>172.98275240398257</v>
      </c>
      <c r="AS244" s="168" t="str">
        <f t="shared" si="167"/>
        <v>0.103185402924538+0.283854941151606i</v>
      </c>
      <c r="AT244" s="190">
        <f t="shared" si="168"/>
        <v>-10.399058615299621</v>
      </c>
      <c r="AU244" s="169">
        <f t="shared" si="169"/>
        <v>70.023057705421692</v>
      </c>
      <c r="AV244" s="225"/>
      <c r="AX244">
        <f t="shared" si="170"/>
        <v>0</v>
      </c>
      <c r="AY244">
        <f t="shared" si="171"/>
        <v>0</v>
      </c>
    </row>
    <row r="245" spans="14:51" x14ac:dyDescent="0.3">
      <c r="N245" s="170">
        <v>27</v>
      </c>
      <c r="O245" s="199">
        <f t="shared" si="172"/>
        <v>1862.0871366628687</v>
      </c>
      <c r="P245" s="189" t="str">
        <f t="shared" si="138"/>
        <v>1078.86904761905</v>
      </c>
      <c r="Q245" s="160" t="str">
        <f t="shared" si="139"/>
        <v>1+365.619954305256i</v>
      </c>
      <c r="R245" s="160">
        <f t="shared" si="147"/>
        <v>365.6213218429383</v>
      </c>
      <c r="S245" s="160">
        <f t="shared" si="148"/>
        <v>1.5680612531352647</v>
      </c>
      <c r="T245" s="160" t="str">
        <f t="shared" si="140"/>
        <v>1+0.000233996770755364i</v>
      </c>
      <c r="U245" s="160">
        <f t="shared" si="149"/>
        <v>1.000000027377244</v>
      </c>
      <c r="V245" s="160">
        <f t="shared" si="150"/>
        <v>2.3399676648457296E-4</v>
      </c>
      <c r="W245" s="98" t="str">
        <f t="shared" si="141"/>
        <v>1-0.16923582448111i</v>
      </c>
      <c r="X245" s="160">
        <f t="shared" si="151"/>
        <v>1.0142192880673297</v>
      </c>
      <c r="Y245" s="160">
        <f t="shared" si="152"/>
        <v>-0.16764735233073849</v>
      </c>
      <c r="Z245" s="98" t="str">
        <f t="shared" si="142"/>
        <v>0.99861305259819+0.0668447989448647i</v>
      </c>
      <c r="AA245" s="160">
        <f t="shared" si="153"/>
        <v>1.0008477686269051</v>
      </c>
      <c r="AB245" s="160">
        <f t="shared" si="154"/>
        <v>6.6837931190885644E-2</v>
      </c>
      <c r="AC245" s="171" t="str">
        <f t="shared" si="155"/>
        <v>-0.686113312975553-2.91042589792405i</v>
      </c>
      <c r="AD245" s="190">
        <f t="shared" si="156"/>
        <v>9.5140214252261739</v>
      </c>
      <c r="AE245" s="169">
        <f t="shared" si="157"/>
        <v>-103.26490189922404</v>
      </c>
      <c r="AF245" s="98" t="str">
        <f t="shared" si="143"/>
        <v>-9.95024875621891E-06</v>
      </c>
      <c r="AG245" s="98" t="str">
        <f t="shared" si="144"/>
        <v>0.011711538376306i</v>
      </c>
      <c r="AH245" s="98">
        <f t="shared" si="158"/>
        <v>1.1711538376306001E-2</v>
      </c>
      <c r="AI245" s="98">
        <f t="shared" si="159"/>
        <v>1.5707963267948966</v>
      </c>
      <c r="AJ245" s="98" t="str">
        <f t="shared" si="145"/>
        <v>1+0.116881503873808i</v>
      </c>
      <c r="AK245" s="98">
        <f t="shared" si="160"/>
        <v>1.0068074721354638</v>
      </c>
      <c r="AL245" s="98">
        <f t="shared" si="161"/>
        <v>0.1163535739366633</v>
      </c>
      <c r="AM245" s="98" t="str">
        <f t="shared" si="146"/>
        <v>1+116.998385377682i</v>
      </c>
      <c r="AN245" s="98">
        <f t="shared" si="162"/>
        <v>117.0026588628848</v>
      </c>
      <c r="AO245" s="98">
        <f t="shared" si="163"/>
        <v>1.5622494084189251</v>
      </c>
      <c r="AP245" s="168" t="str">
        <f t="shared" si="164"/>
        <v>-0.0979654467164169+0.0122999594773045i</v>
      </c>
      <c r="AQ245" s="98">
        <f t="shared" si="165"/>
        <v>-20.110614130621411</v>
      </c>
      <c r="AR245" s="169">
        <f t="shared" si="166"/>
        <v>172.84372893137981</v>
      </c>
      <c r="AS245" s="168" t="str">
        <f t="shared" si="167"/>
        <v>0.103013517809894+0.27668200727872i</v>
      </c>
      <c r="AT245" s="190">
        <f t="shared" si="168"/>
        <v>-10.596592705395231</v>
      </c>
      <c r="AU245" s="169">
        <f t="shared" si="169"/>
        <v>69.578827032155814</v>
      </c>
      <c r="AV245" s="225"/>
      <c r="AX245">
        <f t="shared" si="170"/>
        <v>0</v>
      </c>
      <c r="AY245">
        <f t="shared" si="171"/>
        <v>0</v>
      </c>
    </row>
    <row r="246" spans="14:51" x14ac:dyDescent="0.3">
      <c r="N246" s="170">
        <v>28</v>
      </c>
      <c r="O246" s="199">
        <f t="shared" si="172"/>
        <v>1905.4607179632501</v>
      </c>
      <c r="P246" s="189" t="str">
        <f t="shared" si="138"/>
        <v>1078.86904761905</v>
      </c>
      <c r="Q246" s="160" t="str">
        <f t="shared" si="139"/>
        <v>1+374.136337078581i</v>
      </c>
      <c r="R246" s="160">
        <f t="shared" si="147"/>
        <v>374.13767348741771</v>
      </c>
      <c r="S246" s="160">
        <f t="shared" si="148"/>
        <v>1.5681235107126845</v>
      </c>
      <c r="T246" s="160" t="str">
        <f t="shared" si="140"/>
        <v>1+0.000239447255730292i</v>
      </c>
      <c r="U246" s="160">
        <f t="shared" si="149"/>
        <v>1.0000000286674937</v>
      </c>
      <c r="V246" s="160">
        <f t="shared" si="150"/>
        <v>2.3944725115405697E-4</v>
      </c>
      <c r="W246" s="98" t="str">
        <f t="shared" si="141"/>
        <v>1-0.173177833234376i</v>
      </c>
      <c r="X246" s="160">
        <f t="shared" si="151"/>
        <v>1.0148845066921424</v>
      </c>
      <c r="Y246" s="160">
        <f t="shared" si="152"/>
        <v>-0.17147709997585725</v>
      </c>
      <c r="Z246" s="98" t="str">
        <f t="shared" si="142"/>
        <v>0.99854768778092+0.0684018143306965i</v>
      </c>
      <c r="AA246" s="160">
        <f t="shared" si="153"/>
        <v>1.0008877524359825</v>
      </c>
      <c r="AB246" s="160">
        <f t="shared" si="154"/>
        <v>6.8394454455584452E-2</v>
      </c>
      <c r="AC246" s="171" t="str">
        <f t="shared" si="155"/>
        <v>-0.686389148429589-2.84223483011831i</v>
      </c>
      <c r="AD246" s="190">
        <f t="shared" si="156"/>
        <v>9.3193710454478556</v>
      </c>
      <c r="AE246" s="169">
        <f t="shared" si="157"/>
        <v>-103.57676729633161</v>
      </c>
      <c r="AF246" s="98" t="str">
        <f t="shared" si="143"/>
        <v>-9.95024875621891E-06</v>
      </c>
      <c r="AG246" s="98" t="str">
        <f t="shared" si="144"/>
        <v>0.0119843351493011i</v>
      </c>
      <c r="AH246" s="98">
        <f t="shared" si="158"/>
        <v>1.19843351493011E-2</v>
      </c>
      <c r="AI246" s="98">
        <f t="shared" si="159"/>
        <v>1.5707963267948966</v>
      </c>
      <c r="AJ246" s="98" t="str">
        <f t="shared" si="145"/>
        <v>1+0.119604023841305i</v>
      </c>
      <c r="AK246" s="98">
        <f t="shared" si="160"/>
        <v>1.0071271630330658</v>
      </c>
      <c r="AL246" s="98">
        <f t="shared" si="161"/>
        <v>0.11903855270603216</v>
      </c>
      <c r="AM246" s="98" t="str">
        <f t="shared" si="146"/>
        <v>1+119.723627865146i</v>
      </c>
      <c r="AN246" s="98">
        <f t="shared" si="162"/>
        <v>119.72780407738199</v>
      </c>
      <c r="AO246" s="98">
        <f t="shared" si="163"/>
        <v>1.5624439508799515</v>
      </c>
      <c r="AP246" s="168" t="str">
        <f t="shared" si="164"/>
        <v>-0.0979032625314887+0.0125398953818885i</v>
      </c>
      <c r="AQ246" s="98">
        <f t="shared" si="165"/>
        <v>-20.113385995852738</v>
      </c>
      <c r="AR246" s="169">
        <f t="shared" si="166"/>
        <v>172.70103744176566</v>
      </c>
      <c r="AS246" s="168" t="str">
        <f t="shared" si="167"/>
        <v>0.10284106441791+0.269656814636644i</v>
      </c>
      <c r="AT246" s="190">
        <f t="shared" si="168"/>
        <v>-10.794014950404868</v>
      </c>
      <c r="AU246" s="169">
        <f t="shared" si="169"/>
        <v>69.124270145434139</v>
      </c>
      <c r="AV246" s="225"/>
      <c r="AX246">
        <f t="shared" si="170"/>
        <v>0</v>
      </c>
      <c r="AY246">
        <f t="shared" si="171"/>
        <v>0</v>
      </c>
    </row>
    <row r="247" spans="14:51" x14ac:dyDescent="0.3">
      <c r="N247" s="170">
        <v>29</v>
      </c>
      <c r="O247" s="199">
        <f t="shared" si="172"/>
        <v>1949.8445997580463</v>
      </c>
      <c r="P247" s="189" t="str">
        <f t="shared" si="138"/>
        <v>1078.86904761905</v>
      </c>
      <c r="Q247" s="160" t="str">
        <f t="shared" si="139"/>
        <v>1+382.8510918901i</v>
      </c>
      <c r="R247" s="160">
        <f t="shared" si="147"/>
        <v>382.8523978786626</v>
      </c>
      <c r="S247" s="160">
        <f t="shared" si="148"/>
        <v>1.5681843511546467</v>
      </c>
      <c r="T247" s="160" t="str">
        <f t="shared" si="140"/>
        <v>1+0.000245024698809664i</v>
      </c>
      <c r="U247" s="160">
        <f t="shared" si="149"/>
        <v>1.000000030018551</v>
      </c>
      <c r="V247" s="160">
        <f t="shared" si="150"/>
        <v>2.4502469390613979E-4</v>
      </c>
      <c r="W247" s="98" t="str">
        <f t="shared" si="141"/>
        <v>1-0.177211663167101i</v>
      </c>
      <c r="X247" s="160">
        <f t="shared" si="151"/>
        <v>1.0155806090913957</v>
      </c>
      <c r="Y247" s="160">
        <f t="shared" si="152"/>
        <v>-0.17539080121959785</v>
      </c>
      <c r="Z247" s="98" t="str">
        <f t="shared" si="142"/>
        <v>0.998479242414718+0.0699950972638906i</v>
      </c>
      <c r="AA247" s="160">
        <f t="shared" si="153"/>
        <v>1.0009296234871115</v>
      </c>
      <c r="AB247" s="160">
        <f t="shared" si="154"/>
        <v>6.9987209956436217E-2</v>
      </c>
      <c r="AC247" s="171" t="str">
        <f t="shared" si="155"/>
        <v>-0.686644503980436-2.77555096436738i</v>
      </c>
      <c r="AD247" s="190">
        <f t="shared" si="156"/>
        <v>9.1249646470028996</v>
      </c>
      <c r="AE247" s="169">
        <f t="shared" si="157"/>
        <v>-103.89543036448605</v>
      </c>
      <c r="AF247" s="98" t="str">
        <f t="shared" si="143"/>
        <v>-9.95024875621891E-06</v>
      </c>
      <c r="AG247" s="98" t="str">
        <f t="shared" si="144"/>
        <v>0.0122634861754237i</v>
      </c>
      <c r="AH247" s="98">
        <f t="shared" si="158"/>
        <v>1.22634861754237E-2</v>
      </c>
      <c r="AI247" s="98">
        <f t="shared" si="159"/>
        <v>1.5707963267948966</v>
      </c>
      <c r="AJ247" s="98" t="str">
        <f t="shared" si="145"/>
        <v>1+0.122389959445387i</v>
      </c>
      <c r="AK247" s="98">
        <f t="shared" si="160"/>
        <v>1.0074618117690832</v>
      </c>
      <c r="AL247" s="98">
        <f t="shared" si="161"/>
        <v>0.12178428832050897</v>
      </c>
      <c r="AM247" s="98" t="str">
        <f t="shared" si="146"/>
        <v>1+122.512349404832i</v>
      </c>
      <c r="AN247" s="98">
        <f t="shared" si="162"/>
        <v>122.5164305580751</v>
      </c>
      <c r="AO247" s="98">
        <f t="shared" si="163"/>
        <v>1.5626340656248447</v>
      </c>
      <c r="AP247" s="168" t="str">
        <f t="shared" si="164"/>
        <v>-0.0978382322520346+0.0127857892327754i</v>
      </c>
      <c r="AQ247" s="98">
        <f t="shared" si="165"/>
        <v>-20.116285304115912</v>
      </c>
      <c r="AR247" s="169">
        <f t="shared" si="166"/>
        <v>172.55461115190298</v>
      </c>
      <c r="AS247" s="168" t="str">
        <f t="shared" si="167"/>
        <v>0.102667694090249+0.262775707973397i</v>
      </c>
      <c r="AT247" s="190">
        <f t="shared" si="168"/>
        <v>-10.991320657113008</v>
      </c>
      <c r="AU247" s="169">
        <f t="shared" si="169"/>
        <v>68.659180787416915</v>
      </c>
      <c r="AV247" s="225"/>
      <c r="AX247">
        <f t="shared" si="170"/>
        <v>0</v>
      </c>
      <c r="AY247">
        <f t="shared" si="171"/>
        <v>0</v>
      </c>
    </row>
    <row r="248" spans="14:51" x14ac:dyDescent="0.3">
      <c r="N248" s="170">
        <v>30</v>
      </c>
      <c r="O248" s="199">
        <f t="shared" si="172"/>
        <v>1995.2623149688804</v>
      </c>
      <c r="P248" s="189" t="str">
        <f t="shared" si="138"/>
        <v>1078.86904761905</v>
      </c>
      <c r="Q248" s="160" t="str">
        <f t="shared" si="139"/>
        <v>1+391.768839418175i</v>
      </c>
      <c r="R248" s="160">
        <f t="shared" si="147"/>
        <v>391.77011567890651</v>
      </c>
      <c r="S248" s="160">
        <f t="shared" si="148"/>
        <v>1.5682438067177564</v>
      </c>
      <c r="T248" s="160" t="str">
        <f t="shared" si="140"/>
        <v>1+0.000250732057227632i</v>
      </c>
      <c r="U248" s="160">
        <f t="shared" si="149"/>
        <v>1.0000000314332818</v>
      </c>
      <c r="V248" s="160">
        <f t="shared" si="150"/>
        <v>2.5073205197341118E-4</v>
      </c>
      <c r="W248" s="98" t="str">
        <f t="shared" si="141"/>
        <v>1-0.181339453069313i</v>
      </c>
      <c r="X248" s="160">
        <f t="shared" si="151"/>
        <v>1.0163090067688456</v>
      </c>
      <c r="Y248" s="160">
        <f t="shared" si="152"/>
        <v>-0.17939005134831845</v>
      </c>
      <c r="Z248" s="98" t="str">
        <f t="shared" si="142"/>
        <v>0.998407571317786+0.0716254925241492i</v>
      </c>
      <c r="AA248" s="160">
        <f t="shared" si="153"/>
        <v>1.0009734709991105</v>
      </c>
      <c r="AB248" s="160">
        <f t="shared" si="154"/>
        <v>7.1617039933699028E-2</v>
      </c>
      <c r="AC248" s="171" t="str">
        <f t="shared" si="155"/>
        <v>-0.686879922466603-2.71033897120318i</v>
      </c>
      <c r="AD248" s="190">
        <f t="shared" si="156"/>
        <v>8.9308129862776351</v>
      </c>
      <c r="AE248" s="169">
        <f t="shared" si="157"/>
        <v>-104.22103244240532</v>
      </c>
      <c r="AF248" s="98" t="str">
        <f t="shared" si="143"/>
        <v>-9.95024875621891E-06</v>
      </c>
      <c r="AG248" s="98" t="str">
        <f t="shared" si="144"/>
        <v>0.012549139464243i</v>
      </c>
      <c r="AH248" s="98">
        <f t="shared" si="158"/>
        <v>1.2549139464243001E-2</v>
      </c>
      <c r="AI248" s="98">
        <f t="shared" si="159"/>
        <v>1.5707963267948966</v>
      </c>
      <c r="AJ248" s="98" t="str">
        <f t="shared" si="145"/>
        <v>1+0.12524078782599i</v>
      </c>
      <c r="AK248" s="98">
        <f t="shared" si="160"/>
        <v>1.0078121129135502</v>
      </c>
      <c r="AL248" s="98">
        <f t="shared" si="161"/>
        <v>0.12459207091435864</v>
      </c>
      <c r="AM248" s="98" t="str">
        <f t="shared" si="146"/>
        <v>1+125.366028613816i</v>
      </c>
      <c r="AN248" s="98">
        <f t="shared" si="162"/>
        <v>125.37001687165927</v>
      </c>
      <c r="AO248" s="98">
        <f t="shared" si="163"/>
        <v>1.5628198533999562</v>
      </c>
      <c r="AP248" s="168" t="str">
        <f t="shared" si="164"/>
        <v>-0.0977702297187946+0.0130377234706107i</v>
      </c>
      <c r="AQ248" s="98">
        <f t="shared" si="165"/>
        <v>-20.119317942610415</v>
      </c>
      <c r="AR248" s="169">
        <f t="shared" si="166"/>
        <v>172.40438191488406</v>
      </c>
      <c r="AS248" s="168" t="str">
        <f t="shared" si="167"/>
        <v>0.102493057826954+0.256035113343702i</v>
      </c>
      <c r="AT248" s="190">
        <f t="shared" si="168"/>
        <v>-11.188504956332787</v>
      </c>
      <c r="AU248" s="169">
        <f t="shared" si="169"/>
        <v>68.183349472478753</v>
      </c>
      <c r="AV248" s="225"/>
      <c r="AX248">
        <f t="shared" si="170"/>
        <v>0</v>
      </c>
      <c r="AY248">
        <f t="shared" si="171"/>
        <v>0</v>
      </c>
    </row>
    <row r="249" spans="14:51" x14ac:dyDescent="0.3">
      <c r="N249" s="170">
        <v>31</v>
      </c>
      <c r="O249" s="199">
        <f t="shared" si="172"/>
        <v>2041.7379446695318</v>
      </c>
      <c r="P249" s="189" t="str">
        <f t="shared" si="138"/>
        <v>1078.86904761905</v>
      </c>
      <c r="Q249" s="160" t="str">
        <f t="shared" si="139"/>
        <v>1+400.894307970581i</v>
      </c>
      <c r="R249" s="160">
        <f t="shared" si="147"/>
        <v>400.89555518016294</v>
      </c>
      <c r="S249" s="160">
        <f t="shared" si="148"/>
        <v>1.5683019089244579</v>
      </c>
      <c r="T249" s="160" t="str">
        <f t="shared" si="140"/>
        <v>1+0.000256572357101172i</v>
      </c>
      <c r="U249" s="160">
        <f t="shared" si="149"/>
        <v>1.0000000329146868</v>
      </c>
      <c r="V249" s="160">
        <f t="shared" si="150"/>
        <v>2.5657235147117296E-4</v>
      </c>
      <c r="W249" s="98" t="str">
        <f t="shared" si="141"/>
        <v>1-0.185563391549852i</v>
      </c>
      <c r="X249" s="160">
        <f t="shared" si="151"/>
        <v>1.0170711736567328</v>
      </c>
      <c r="Y249" s="160">
        <f t="shared" si="152"/>
        <v>-0.18347645885224312</v>
      </c>
      <c r="Z249" s="98" t="str">
        <f t="shared" si="142"/>
        <v>0.998332522466119+0.0732938645686191i</v>
      </c>
      <c r="AA249" s="160">
        <f t="shared" si="153"/>
        <v>1.0010193884221059</v>
      </c>
      <c r="AB249" s="160">
        <f t="shared" si="154"/>
        <v>7.3284806121751395E-2</v>
      </c>
      <c r="AC249" s="171" t="str">
        <f t="shared" si="155"/>
        <v>-0.68709590455848-2.64656430269952i</v>
      </c>
      <c r="AD249" s="190">
        <f t="shared" si="156"/>
        <v>8.7369272575812129</v>
      </c>
      <c r="AE249" s="169">
        <f t="shared" si="157"/>
        <v>-104.55371669625288</v>
      </c>
      <c r="AF249" s="98" t="str">
        <f t="shared" si="143"/>
        <v>-9.95024875621891E-06</v>
      </c>
      <c r="AG249" s="98" t="str">
        <f t="shared" si="144"/>
        <v>0.0128414464729137i</v>
      </c>
      <c r="AH249" s="98">
        <f t="shared" si="158"/>
        <v>1.2841446472913701E-2</v>
      </c>
      <c r="AI249" s="98">
        <f t="shared" si="159"/>
        <v>1.5707963267948966</v>
      </c>
      <c r="AJ249" s="98" t="str">
        <f t="shared" si="145"/>
        <v>1+0.128158020530056i</v>
      </c>
      <c r="AK249" s="98">
        <f t="shared" si="160"/>
        <v>1.0081787927873618</v>
      </c>
      <c r="AL249" s="98">
        <f t="shared" si="161"/>
        <v>0.1274632120318816</v>
      </c>
      <c r="AM249" s="98" t="str">
        <f t="shared" si="146"/>
        <v>1+128.286178550586i</v>
      </c>
      <c r="AN249" s="98">
        <f t="shared" si="162"/>
        <v>128.29007602738736</v>
      </c>
      <c r="AO249" s="98">
        <f t="shared" si="163"/>
        <v>1.5630014126610912</v>
      </c>
      <c r="AP249" s="168" t="str">
        <f t="shared" si="164"/>
        <v>-0.0976991235692341+0.0132957804859148i</v>
      </c>
      <c r="AQ249" s="98">
        <f t="shared" si="165"/>
        <v>-20.122490056532435</v>
      </c>
      <c r="AR249" s="169">
        <f t="shared" si="166"/>
        <v>172.25028022585815</v>
      </c>
      <c r="AS249" s="168" t="str">
        <f t="shared" si="167"/>
        <v>0.102316805693925+0.249431536523584i</v>
      </c>
      <c r="AT249" s="190">
        <f t="shared" si="168"/>
        <v>-11.385562798951206</v>
      </c>
      <c r="AU249" s="169">
        <f t="shared" si="169"/>
        <v>67.696563529605214</v>
      </c>
      <c r="AV249" s="225"/>
      <c r="AX249">
        <f t="shared" si="170"/>
        <v>0</v>
      </c>
      <c r="AY249">
        <f t="shared" si="171"/>
        <v>0</v>
      </c>
    </row>
    <row r="250" spans="14:51" x14ac:dyDescent="0.3">
      <c r="N250" s="170">
        <v>32</v>
      </c>
      <c r="O250" s="199">
        <f t="shared" si="172"/>
        <v>2089.2961308540398</v>
      </c>
      <c r="P250" s="189" t="str">
        <f t="shared" si="138"/>
        <v>1078.86904761905</v>
      </c>
      <c r="Q250" s="160" t="str">
        <f t="shared" si="139"/>
        <v>1+410.232335991541i</v>
      </c>
      <c r="R250" s="160">
        <f t="shared" si="147"/>
        <v>410.23355481125208</v>
      </c>
      <c r="S250" s="160">
        <f t="shared" si="148"/>
        <v>1.5683586885797403</v>
      </c>
      <c r="T250" s="160" t="str">
        <f t="shared" si="140"/>
        <v>1+0.000262548695034586i</v>
      </c>
      <c r="U250" s="160">
        <f t="shared" si="149"/>
        <v>1.0000000344659081</v>
      </c>
      <c r="V250" s="160">
        <f t="shared" si="150"/>
        <v>2.625486890019334E-4</v>
      </c>
      <c r="W250" s="98" t="str">
        <f t="shared" si="141"/>
        <v>1-0.189885718196814i</v>
      </c>
      <c r="X250" s="160">
        <f t="shared" si="151"/>
        <v>1.0178686486846522</v>
      </c>
      <c r="Y250" s="160">
        <f t="shared" si="152"/>
        <v>-0.18765164422831601</v>
      </c>
      <c r="Z250" s="98" t="str">
        <f t="shared" si="142"/>
        <v>0.998253936671039+0.075001097990243i</v>
      </c>
      <c r="AA250" s="160">
        <f t="shared" si="153"/>
        <v>1.0010674736394989</v>
      </c>
      <c r="AB250" s="160">
        <f t="shared" si="154"/>
        <v>7.499139019412536E-2</v>
      </c>
      <c r="AC250" s="171" t="str">
        <f t="shared" si="155"/>
        <v>-0.687292909831521-2.58419317428882i</v>
      </c>
      <c r="AD250" s="190">
        <f t="shared" si="156"/>
        <v>8.5433191076516017</v>
      </c>
      <c r="AE250" s="169">
        <f t="shared" si="157"/>
        <v>-104.89362807741031</v>
      </c>
      <c r="AF250" s="98" t="str">
        <f t="shared" si="143"/>
        <v>-9.95024875621891E-06</v>
      </c>
      <c r="AG250" s="98" t="str">
        <f t="shared" si="144"/>
        <v>0.013140562186481i</v>
      </c>
      <c r="AH250" s="98">
        <f t="shared" si="158"/>
        <v>1.3140562186481001E-2</v>
      </c>
      <c r="AI250" s="98">
        <f t="shared" si="159"/>
        <v>1.5707963267948966</v>
      </c>
      <c r="AJ250" s="98" t="str">
        <f t="shared" si="145"/>
        <v>1+0.13114320431298i</v>
      </c>
      <c r="AK250" s="98">
        <f t="shared" si="160"/>
        <v>1.0085626108663142</v>
      </c>
      <c r="AL250" s="98">
        <f t="shared" si="161"/>
        <v>0.1303990445442394</v>
      </c>
      <c r="AM250" s="98" t="str">
        <f t="shared" si="146"/>
        <v>1+131.274347517293i</v>
      </c>
      <c r="AN250" s="98">
        <f t="shared" si="162"/>
        <v>131.27815627929502</v>
      </c>
      <c r="AO250" s="98">
        <f t="shared" si="163"/>
        <v>1.5631788396254669</v>
      </c>
      <c r="AP250" s="168" t="str">
        <f t="shared" si="164"/>
        <v>-0.0976247770600969+0.0135600424507757i</v>
      </c>
      <c r="AQ250" s="98">
        <f t="shared" si="165"/>
        <v>-20.125808059790881</v>
      </c>
      <c r="AR250" s="169">
        <f t="shared" si="166"/>
        <v>172.09223522977328</v>
      </c>
      <c r="AS250" s="168" t="str">
        <f t="shared" si="167"/>
        <v>0.102138586241649+0.242961561486738i</v>
      </c>
      <c r="AT250" s="190">
        <f t="shared" si="168"/>
        <v>-11.582488952139267</v>
      </c>
      <c r="AU250" s="169">
        <f t="shared" si="169"/>
        <v>67.198607152362953</v>
      </c>
      <c r="AV250" s="225"/>
      <c r="AX250">
        <f t="shared" si="170"/>
        <v>0</v>
      </c>
      <c r="AY250">
        <f t="shared" si="171"/>
        <v>0</v>
      </c>
    </row>
    <row r="251" spans="14:51" x14ac:dyDescent="0.3">
      <c r="N251" s="170">
        <v>33</v>
      </c>
      <c r="O251" s="199">
        <f t="shared" si="172"/>
        <v>2137.9620895022344</v>
      </c>
      <c r="P251" s="189" t="str">
        <f t="shared" si="138"/>
        <v>1078.86904761905</v>
      </c>
      <c r="Q251" s="160" t="str">
        <f t="shared" si="139"/>
        <v>1+419.787874627106i</v>
      </c>
      <c r="R251" s="160">
        <f t="shared" si="147"/>
        <v>419.78906570317298</v>
      </c>
      <c r="S251" s="160">
        <f t="shared" si="148"/>
        <v>1.5684141757874628</v>
      </c>
      <c r="T251" s="160" t="str">
        <f t="shared" si="140"/>
        <v>1+0.000268664239761348i</v>
      </c>
      <c r="U251" s="160">
        <f t="shared" si="149"/>
        <v>1.0000000360902364</v>
      </c>
      <c r="V251" s="160">
        <f t="shared" si="150"/>
        <v>2.6866423329724421E-4</v>
      </c>
      <c r="W251" s="98" t="str">
        <f t="shared" si="141"/>
        <v>1-0.194308724764997i</v>
      </c>
      <c r="X251" s="160">
        <f t="shared" si="151"/>
        <v>1.0187030384365205</v>
      </c>
      <c r="Y251" s="160">
        <f t="shared" si="152"/>
        <v>-0.19191723867094126</v>
      </c>
      <c r="Z251" s="98" t="str">
        <f t="shared" si="142"/>
        <v>0.998171647241541+0.0767480979867777i</v>
      </c>
      <c r="AA251" s="160">
        <f t="shared" si="153"/>
        <v>1.001117829179702</v>
      </c>
      <c r="AB251" s="160">
        <f t="shared" si="154"/>
        <v>7.6737694218228084E-2</v>
      </c>
      <c r="AC251" s="171" t="str">
        <f t="shared" si="155"/>
        <v>-0.687471357753392-2.52319254699011i</v>
      </c>
      <c r="AD251" s="190">
        <f t="shared" si="156"/>
        <v>8.350000650321487</v>
      </c>
      <c r="AE251" s="169">
        <f t="shared" si="157"/>
        <v>-105.24091327435698</v>
      </c>
      <c r="AF251" s="98" t="str">
        <f t="shared" si="143"/>
        <v>-9.95024875621891E-06</v>
      </c>
      <c r="AG251" s="98" t="str">
        <f t="shared" si="144"/>
        <v>0.0134466452000555i</v>
      </c>
      <c r="AH251" s="98">
        <f t="shared" si="158"/>
        <v>1.34466452000555E-2</v>
      </c>
      <c r="AI251" s="98">
        <f t="shared" si="159"/>
        <v>1.5707963267948966</v>
      </c>
      <c r="AJ251" s="98" t="str">
        <f t="shared" si="145"/>
        <v>1+0.134197921958715i</v>
      </c>
      <c r="AK251" s="98">
        <f t="shared" si="160"/>
        <v>1.0089643612427732</v>
      </c>
      <c r="AL251" s="98">
        <f t="shared" si="161"/>
        <v>0.13340092252695446</v>
      </c>
      <c r="AM251" s="98" t="str">
        <f t="shared" si="146"/>
        <v>1+134.332119880674i</v>
      </c>
      <c r="AN251" s="98">
        <f t="shared" si="162"/>
        <v>134.33584194709829</v>
      </c>
      <c r="AO251" s="98">
        <f t="shared" si="163"/>
        <v>1.5633522283224983</v>
      </c>
      <c r="AP251" s="168" t="str">
        <f t="shared" si="164"/>
        <v>-0.0975470478875781+0.0138305911376491i</v>
      </c>
      <c r="AQ251" s="98">
        <f t="shared" si="165"/>
        <v>-20.129278646081289</v>
      </c>
      <c r="AR251" s="169">
        <f t="shared" si="166"/>
        <v>171.93017473130558</v>
      </c>
      <c r="AS251" s="168" t="str">
        <f t="shared" si="167"/>
        <v>0.101958045935092+0.236621848942893i</v>
      </c>
      <c r="AT251" s="190">
        <f t="shared" si="168"/>
        <v>-11.779277995759799</v>
      </c>
      <c r="AU251" s="169">
        <f t="shared" si="169"/>
        <v>66.689261456948671</v>
      </c>
      <c r="AV251" s="225"/>
      <c r="AX251">
        <f t="shared" si="170"/>
        <v>0</v>
      </c>
      <c r="AY251">
        <f t="shared" si="171"/>
        <v>0</v>
      </c>
    </row>
    <row r="252" spans="14:51" x14ac:dyDescent="0.3">
      <c r="N252" s="170">
        <v>34</v>
      </c>
      <c r="O252" s="199">
        <f t="shared" si="172"/>
        <v>2187.7616239495528</v>
      </c>
      <c r="P252" s="189" t="str">
        <f t="shared" si="138"/>
        <v>1078.86904761905</v>
      </c>
      <c r="Q252" s="160" t="str">
        <f t="shared" si="139"/>
        <v>1+429.56599035035i</v>
      </c>
      <c r="R252" s="160">
        <f t="shared" si="147"/>
        <v>429.56715431429001</v>
      </c>
      <c r="S252" s="160">
        <f t="shared" si="148"/>
        <v>1.56846839996631</v>
      </c>
      <c r="T252" s="160" t="str">
        <f t="shared" si="140"/>
        <v>1+0.000274922233824224i</v>
      </c>
      <c r="U252" s="160">
        <f t="shared" si="149"/>
        <v>1.0000000377911167</v>
      </c>
      <c r="V252" s="160">
        <f t="shared" si="150"/>
        <v>2.7492222689781204E-4</v>
      </c>
      <c r="W252" s="98" t="str">
        <f t="shared" si="141"/>
        <v>1-0.198834756391032i</v>
      </c>
      <c r="X252" s="160">
        <f t="shared" si="151"/>
        <v>1.0195760198970361</v>
      </c>
      <c r="Y252" s="160">
        <f t="shared" si="152"/>
        <v>-0.19627488264455228</v>
      </c>
      <c r="Z252" s="98" t="str">
        <f t="shared" si="142"/>
        <v>0.998085479630709+0.0785357908407463i</v>
      </c>
      <c r="AA252" s="160">
        <f t="shared" si="153"/>
        <v>1.0011705624381113</v>
      </c>
      <c r="AB252" s="160">
        <f t="shared" si="154"/>
        <v>7.8524641119948113E-2</v>
      </c>
      <c r="AC252" s="171" t="str">
        <f t="shared" si="155"/>
        <v>-0.68763162858725-2.46353011003854i</v>
      </c>
      <c r="AD252" s="190">
        <f t="shared" si="156"/>
        <v>8.1569844813069441</v>
      </c>
      <c r="AE252" s="169">
        <f t="shared" si="157"/>
        <v>-105.59572065832199</v>
      </c>
      <c r="AF252" s="98" t="str">
        <f t="shared" si="143"/>
        <v>-9.95024875621891E-06</v>
      </c>
      <c r="AG252" s="98" t="str">
        <f t="shared" si="144"/>
        <v>0.0137598578029024i</v>
      </c>
      <c r="AH252" s="98">
        <f t="shared" si="158"/>
        <v>1.3759857802902399E-2</v>
      </c>
      <c r="AI252" s="98">
        <f t="shared" si="159"/>
        <v>1.5707963267948966</v>
      </c>
      <c r="AJ252" s="98" t="str">
        <f t="shared" si="145"/>
        <v>1+0.137323793118993i</v>
      </c>
      <c r="AK252" s="98">
        <f t="shared" si="160"/>
        <v>1.0093848741469174</v>
      </c>
      <c r="AL252" s="98">
        <f t="shared" si="161"/>
        <v>0.1364702210950052</v>
      </c>
      <c r="AM252" s="98" t="str">
        <f t="shared" si="146"/>
        <v>1+137.461116912112i</v>
      </c>
      <c r="AN252" s="98">
        <f t="shared" si="162"/>
        <v>137.46475425622862</v>
      </c>
      <c r="AO252" s="98">
        <f t="shared" si="163"/>
        <v>1.5635216706434429</v>
      </c>
      <c r="AP252" s="168" t="str">
        <f t="shared" si="164"/>
        <v>-0.097465788005523+0.0141075077245336i</v>
      </c>
      <c r="AQ252" s="98">
        <f t="shared" si="165"/>
        <v>-20.132908800320504</v>
      </c>
      <c r="AR252" s="169">
        <f t="shared" si="166"/>
        <v>171.7640252071518</v>
      </c>
      <c r="AS252" s="168" t="str">
        <f t="shared" si="167"/>
        <v>0.101774828594767+0.230409134938311i</v>
      </c>
      <c r="AT252" s="190">
        <f t="shared" si="168"/>
        <v>-11.975924319013558</v>
      </c>
      <c r="AU252" s="169">
        <f t="shared" si="169"/>
        <v>66.168304548829894</v>
      </c>
      <c r="AV252" s="225"/>
      <c r="AX252">
        <f t="shared" si="170"/>
        <v>0</v>
      </c>
      <c r="AY252">
        <f t="shared" si="171"/>
        <v>0</v>
      </c>
    </row>
    <row r="253" spans="14:51" x14ac:dyDescent="0.3">
      <c r="N253" s="170">
        <v>35</v>
      </c>
      <c r="O253" s="199">
        <f t="shared" si="172"/>
        <v>2238.7211385683418</v>
      </c>
      <c r="P253" s="189" t="str">
        <f t="shared" si="138"/>
        <v>1078.86904761905</v>
      </c>
      <c r="Q253" s="160" t="str">
        <f t="shared" si="139"/>
        <v>1+439.571867647656i</v>
      </c>
      <c r="R253" s="160">
        <f t="shared" si="147"/>
        <v>439.57300511661128</v>
      </c>
      <c r="S253" s="160">
        <f t="shared" si="148"/>
        <v>1.5685213898653834</v>
      </c>
      <c r="T253" s="160" t="str">
        <f t="shared" si="140"/>
        <v>1+0.0002813259952945i</v>
      </c>
      <c r="U253" s="160">
        <f t="shared" si="149"/>
        <v>1.0000000395721569</v>
      </c>
      <c r="V253" s="160">
        <f t="shared" si="150"/>
        <v>2.8132598787271589E-4</v>
      </c>
      <c r="W253" s="98" t="str">
        <f t="shared" si="141"/>
        <v>1-0.203466212836794i</v>
      </c>
      <c r="X253" s="160">
        <f t="shared" si="151"/>
        <v>1.0204893432888693</v>
      </c>
      <c r="Y253" s="160">
        <f t="shared" si="152"/>
        <v>-0.20072622433171913</v>
      </c>
      <c r="Z253" s="98" t="str">
        <f t="shared" si="142"/>
        <v>0.997995251065491+0.0803651244105629i</v>
      </c>
      <c r="AA253" s="160">
        <f t="shared" si="153"/>
        <v>1.0012257859098506</v>
      </c>
      <c r="AB253" s="160">
        <f t="shared" si="154"/>
        <v>8.0353175158303328E-2</v>
      </c>
      <c r="AC253" s="171" t="str">
        <f t="shared" si="155"/>
        <v>-0.687774064213211-2.40517426390858i</v>
      </c>
      <c r="AD253" s="190">
        <f t="shared" si="156"/>
        <v>7.9642836930827041</v>
      </c>
      <c r="AE253" s="169">
        <f t="shared" si="157"/>
        <v>-105.9582002223579</v>
      </c>
      <c r="AF253" s="98" t="str">
        <f t="shared" si="143"/>
        <v>-9.95024875621891E-06</v>
      </c>
      <c r="AG253" s="98" t="str">
        <f t="shared" si="144"/>
        <v>0.0140803660644897i</v>
      </c>
      <c r="AH253" s="98">
        <f t="shared" si="158"/>
        <v>1.40803660644897E-2</v>
      </c>
      <c r="AI253" s="98">
        <f t="shared" si="159"/>
        <v>1.5707963267948966</v>
      </c>
      <c r="AJ253" s="98" t="str">
        <f t="shared" si="145"/>
        <v>1+0.140522475172078i</v>
      </c>
      <c r="AK253" s="98">
        <f t="shared" si="160"/>
        <v>1.009825017529516</v>
      </c>
      <c r="AL253" s="98">
        <f t="shared" si="161"/>
        <v>0.13960833619221352</v>
      </c>
      <c r="AM253" s="98" t="str">
        <f t="shared" si="146"/>
        <v>1+140.66299764725i</v>
      </c>
      <c r="AN253" s="98">
        <f t="shared" si="162"/>
        <v>140.66655219742273</v>
      </c>
      <c r="AO253" s="98">
        <f t="shared" si="163"/>
        <v>1.5636872563899209</v>
      </c>
      <c r="AP253" s="168" t="str">
        <f t="shared" si="164"/>
        <v>-0.0973808434420758+0.014390872585751i</v>
      </c>
      <c r="AQ253" s="98">
        <f t="shared" si="165"/>
        <v>-20.136705810447815</v>
      </c>
      <c r="AR253" s="169">
        <f t="shared" si="166"/>
        <v>171.59371182087625</v>
      </c>
      <c r="AS253" s="168" t="str">
        <f t="shared" si="167"/>
        <v>0.101588574849103+0.224320229518715i</v>
      </c>
      <c r="AT253" s="190">
        <f t="shared" si="168"/>
        <v>-12.1724221173651</v>
      </c>
      <c r="AU253" s="169">
        <f t="shared" si="169"/>
        <v>65.635511598518306</v>
      </c>
      <c r="AV253" s="225"/>
      <c r="AX253">
        <f t="shared" si="170"/>
        <v>0</v>
      </c>
      <c r="AY253">
        <f t="shared" si="171"/>
        <v>0</v>
      </c>
    </row>
    <row r="254" spans="14:51" x14ac:dyDescent="0.3">
      <c r="N254" s="170">
        <v>36</v>
      </c>
      <c r="O254" s="199">
        <f t="shared" si="172"/>
        <v>2290.8676527677749</v>
      </c>
      <c r="P254" s="189" t="str">
        <f t="shared" si="138"/>
        <v>1078.86904761905</v>
      </c>
      <c r="Q254" s="160" t="str">
        <f t="shared" si="139"/>
        <v>1+449.810811767609i</v>
      </c>
      <c r="R254" s="160">
        <f t="shared" si="147"/>
        <v>449.8119233446746</v>
      </c>
      <c r="S254" s="160">
        <f t="shared" si="148"/>
        <v>1.5685731735794377</v>
      </c>
      <c r="T254" s="160" t="str">
        <f t="shared" si="140"/>
        <v>1+0.00028787891953127i</v>
      </c>
      <c r="U254" s="160">
        <f t="shared" si="149"/>
        <v>1.0000000414371353</v>
      </c>
      <c r="V254" s="160">
        <f t="shared" si="150"/>
        <v>2.8787891157868508E-4</v>
      </c>
      <c r="W254" s="98" t="str">
        <f t="shared" si="141"/>
        <v>1-0.208205549761796i</v>
      </c>
      <c r="X254" s="160">
        <f t="shared" si="151"/>
        <v>1.0214448350016812</v>
      </c>
      <c r="Y254" s="160">
        <f t="shared" si="152"/>
        <v>-0.20527291795047456</v>
      </c>
      <c r="Z254" s="98" t="str">
        <f t="shared" si="142"/>
        <v>0.997900770159001+0.0822370686330999i</v>
      </c>
      <c r="AA254" s="160">
        <f t="shared" si="153"/>
        <v>1.001283617433788</v>
      </c>
      <c r="AB254" s="160">
        <f t="shared" si="154"/>
        <v>8.2224262410319451E-2</v>
      </c>
      <c r="AC254" s="171" t="str">
        <f t="shared" si="155"/>
        <v>-0.687898968869917-2.34809410372249i</v>
      </c>
      <c r="AD254" s="190">
        <f t="shared" si="156"/>
        <v>7.7719118898005943</v>
      </c>
      <c r="AE254" s="169">
        <f t="shared" si="157"/>
        <v>-106.32850351348389</v>
      </c>
      <c r="AF254" s="98" t="str">
        <f t="shared" si="143"/>
        <v>-9.95024875621891E-06</v>
      </c>
      <c r="AG254" s="98" t="str">
        <f t="shared" si="144"/>
        <v>0.01440833992254i</v>
      </c>
      <c r="AH254" s="98">
        <f t="shared" si="158"/>
        <v>1.440833992254E-2</v>
      </c>
      <c r="AI254" s="98">
        <f t="shared" si="159"/>
        <v>1.5707963267948966</v>
      </c>
      <c r="AJ254" s="98" t="str">
        <f t="shared" si="145"/>
        <v>1+0.143795664101533i</v>
      </c>
      <c r="AK254" s="98">
        <f t="shared" si="160"/>
        <v>1.010285698708242</v>
      </c>
      <c r="AL254" s="98">
        <f t="shared" si="161"/>
        <v>0.14281668433149766</v>
      </c>
      <c r="AM254" s="98" t="str">
        <f t="shared" si="146"/>
        <v>1+143.939459765635i</v>
      </c>
      <c r="AN254" s="98">
        <f t="shared" si="162"/>
        <v>143.94293340634286</v>
      </c>
      <c r="AO254" s="98">
        <f t="shared" si="163"/>
        <v>1.563849073321345</v>
      </c>
      <c r="AP254" s="168" t="str">
        <f t="shared" si="164"/>
        <v>-0.0972920541153051+0.0146807650675485i</v>
      </c>
      <c r="AQ254" s="98">
        <f t="shared" si="165"/>
        <v>-20.140677279593369</v>
      </c>
      <c r="AR254" s="169">
        <f t="shared" si="166"/>
        <v>171.4191584405109</v>
      </c>
      <c r="AS254" s="168" t="str">
        <f t="shared" si="167"/>
        <v>0.1013989215984+0.218352015455009i</v>
      </c>
      <c r="AT254" s="190">
        <f t="shared" si="168"/>
        <v>-12.368765389792788</v>
      </c>
      <c r="AU254" s="169">
        <f t="shared" si="169"/>
        <v>65.090654927027032</v>
      </c>
      <c r="AV254" s="225"/>
      <c r="AX254">
        <f t="shared" si="170"/>
        <v>0</v>
      </c>
      <c r="AY254">
        <f t="shared" si="171"/>
        <v>0</v>
      </c>
    </row>
    <row r="255" spans="14:51" x14ac:dyDescent="0.3">
      <c r="N255" s="170">
        <v>37</v>
      </c>
      <c r="O255" s="199">
        <f t="shared" si="172"/>
        <v>2344.2288153199238</v>
      </c>
      <c r="P255" s="189" t="str">
        <f t="shared" si="138"/>
        <v>1078.86904761905</v>
      </c>
      <c r="Q255" s="160" t="str">
        <f t="shared" si="139"/>
        <v>1+460.288251533913i</v>
      </c>
      <c r="R255" s="160">
        <f t="shared" si="147"/>
        <v>460.28933780845585</v>
      </c>
      <c r="S255" s="160">
        <f t="shared" si="148"/>
        <v>1.5686237785637718</v>
      </c>
      <c r="T255" s="160" t="str">
        <f t="shared" si="140"/>
        <v>1+0.000294584480981704i</v>
      </c>
      <c r="U255" s="160">
        <f t="shared" si="149"/>
        <v>1.0000000433900074</v>
      </c>
      <c r="V255" s="160">
        <f t="shared" si="150"/>
        <v>2.9458447246035575E-4</v>
      </c>
      <c r="W255" s="98" t="str">
        <f t="shared" si="141"/>
        <v>1-0.213055280025208i</v>
      </c>
      <c r="X255" s="160">
        <f t="shared" si="151"/>
        <v>1.0224444006138524</v>
      </c>
      <c r="Y255" s="160">
        <f t="shared" si="152"/>
        <v>-0.20991662193437272</v>
      </c>
      <c r="Z255" s="98" t="str">
        <f t="shared" si="142"/>
        <v>0.997801836504569+0.0841526160379627i</v>
      </c>
      <c r="AA255" s="160">
        <f t="shared" si="153"/>
        <v>1.0013441804484227</v>
      </c>
      <c r="AB255" s="160">
        <f t="shared" si="154"/>
        <v>8.413889126630969E-2</v>
      </c>
      <c r="AC255" s="171" t="str">
        <f t="shared" si="155"/>
        <v>-0.688006609817824-2.29225940303581i</v>
      </c>
      <c r="AD255" s="190">
        <f t="shared" si="156"/>
        <v>7.579883202202228</v>
      </c>
      <c r="AE255" s="169">
        <f t="shared" si="157"/>
        <v>-106.70678355753839</v>
      </c>
      <c r="AF255" s="98" t="str">
        <f t="shared" si="143"/>
        <v>-9.95024875621891E-06</v>
      </c>
      <c r="AG255" s="98" t="str">
        <f t="shared" si="144"/>
        <v>0.0147439532731342i</v>
      </c>
      <c r="AH255" s="98">
        <f t="shared" si="158"/>
        <v>1.47439532731342E-2</v>
      </c>
      <c r="AI255" s="98">
        <f t="shared" si="159"/>
        <v>1.5707963267948966</v>
      </c>
      <c r="AJ255" s="98" t="str">
        <f t="shared" si="145"/>
        <v>1+0.147145095395457i</v>
      </c>
      <c r="AK255" s="98">
        <f t="shared" si="160"/>
        <v>1.0107678660795159</v>
      </c>
      <c r="AL255" s="98">
        <f t="shared" si="161"/>
        <v>0.14609670228234128</v>
      </c>
      <c r="AM255" s="98" t="str">
        <f t="shared" si="146"/>
        <v>1+147.292240490852i</v>
      </c>
      <c r="AN255" s="98">
        <f t="shared" si="162"/>
        <v>147.29563506368743</v>
      </c>
      <c r="AO255" s="98">
        <f t="shared" si="163"/>
        <v>1.5640072072012774</v>
      </c>
      <c r="AP255" s="168" t="str">
        <f t="shared" si="164"/>
        <v>-0.0971992536483643+0.0149772632477136i</v>
      </c>
      <c r="AQ255" s="98">
        <f t="shared" si="165"/>
        <v>-20.144831138616798</v>
      </c>
      <c r="AR255" s="169">
        <f t="shared" si="166"/>
        <v>171.24028765911862</v>
      </c>
      <c r="AS255" s="168" t="str">
        <f t="shared" si="167"/>
        <v>0.101205501490748+0.212501447032117i</v>
      </c>
      <c r="AT255" s="190">
        <f t="shared" si="168"/>
        <v>-12.564947936414582</v>
      </c>
      <c r="AU255" s="169">
        <f t="shared" si="169"/>
        <v>64.533504101580192</v>
      </c>
      <c r="AV255" s="225"/>
      <c r="AX255">
        <f t="shared" si="170"/>
        <v>0</v>
      </c>
      <c r="AY255">
        <f t="shared" si="171"/>
        <v>0</v>
      </c>
    </row>
    <row r="256" spans="14:51" x14ac:dyDescent="0.3">
      <c r="N256" s="170">
        <v>38</v>
      </c>
      <c r="O256" s="199">
        <f t="shared" si="172"/>
        <v>2398.8329190194918</v>
      </c>
      <c r="P256" s="189" t="str">
        <f t="shared" si="138"/>
        <v>1078.86904761905</v>
      </c>
      <c r="Q256" s="160" t="str">
        <f t="shared" si="139"/>
        <v>1+471.009742223813i</v>
      </c>
      <c r="R256" s="160">
        <f t="shared" si="147"/>
        <v>471.01080377178488</v>
      </c>
      <c r="S256" s="160">
        <f t="shared" si="148"/>
        <v>1.568673231648781</v>
      </c>
      <c r="T256" s="160" t="str">
        <f t="shared" si="140"/>
        <v>1+0.00030144623502324i</v>
      </c>
      <c r="U256" s="160">
        <f t="shared" si="149"/>
        <v>1.0000000454349152</v>
      </c>
      <c r="V256" s="160">
        <f t="shared" si="150"/>
        <v>3.0144622589245088E-4</v>
      </c>
      <c r="W256" s="98" t="str">
        <f t="shared" si="141"/>
        <v>1-0.218017975018208i</v>
      </c>
      <c r="X256" s="160">
        <f t="shared" si="151"/>
        <v>1.0234900280076207</v>
      </c>
      <c r="Y256" s="160">
        <f t="shared" si="152"/>
        <v>-0.21465899696877838</v>
      </c>
      <c r="Z256" s="98" t="str">
        <f t="shared" si="142"/>
        <v>0.997698240250651+0.08611278227374i</v>
      </c>
      <c r="AA256" s="160">
        <f t="shared" si="153"/>
        <v>1.0014076042602085</v>
      </c>
      <c r="AB256" s="160">
        <f t="shared" si="154"/>
        <v>8.6098072935727743E-2</v>
      </c>
      <c r="AC256" s="171" t="str">
        <f t="shared" si="155"/>
        <v>-0.688097217925831-2.23764059799225i</v>
      </c>
      <c r="AD256" s="190">
        <f t="shared" si="156"/>
        <v>7.3882123024730646</v>
      </c>
      <c r="AE256" s="169">
        <f t="shared" si="157"/>
        <v>-107.09319477637833</v>
      </c>
      <c r="AF256" s="98" t="str">
        <f t="shared" si="143"/>
        <v>-9.95024875621891E-06</v>
      </c>
      <c r="AG256" s="98" t="str">
        <f t="shared" si="144"/>
        <v>0.0150873840629132i</v>
      </c>
      <c r="AH256" s="98">
        <f t="shared" si="158"/>
        <v>1.50873840629132E-2</v>
      </c>
      <c r="AI256" s="98">
        <f t="shared" si="159"/>
        <v>1.5707963267948966</v>
      </c>
      <c r="AJ256" s="98" t="str">
        <f t="shared" si="145"/>
        <v>1+0.150572544966653i</v>
      </c>
      <c r="AK256" s="98">
        <f t="shared" si="160"/>
        <v>1.0112725108978957</v>
      </c>
      <c r="AL256" s="98">
        <f t="shared" si="161"/>
        <v>0.14944984670163758</v>
      </c>
      <c r="AM256" s="98" t="str">
        <f t="shared" si="146"/>
        <v>1+150.72311751162i</v>
      </c>
      <c r="AN256" s="98">
        <f t="shared" si="162"/>
        <v>150.7264348162644</v>
      </c>
      <c r="AO256" s="98">
        <f t="shared" si="163"/>
        <v>1.5641617418427418</v>
      </c>
      <c r="AP256" s="168" t="str">
        <f t="shared" si="164"/>
        <v>-0.0971022691848382+0.0152804436783773i</v>
      </c>
      <c r="AQ256" s="98">
        <f t="shared" si="165"/>
        <v>-20.149175659015697</v>
      </c>
      <c r="AR256" s="169">
        <f t="shared" si="166"/>
        <v>171.05702081853957</v>
      </c>
      <c r="AS256" s="168" t="str">
        <f t="shared" si="167"/>
        <v>0.101007942410443+0.206765548901402i</v>
      </c>
      <c r="AT256" s="190">
        <f t="shared" si="168"/>
        <v>-12.760963356542636</v>
      </c>
      <c r="AU256" s="169">
        <f t="shared" si="169"/>
        <v>63.963826042161323</v>
      </c>
      <c r="AV256" s="225"/>
      <c r="AX256">
        <f t="shared" si="170"/>
        <v>0</v>
      </c>
      <c r="AY256">
        <f t="shared" si="171"/>
        <v>0</v>
      </c>
    </row>
    <row r="257" spans="14:51" x14ac:dyDescent="0.3">
      <c r="N257" s="170">
        <v>39</v>
      </c>
      <c r="O257" s="199">
        <f t="shared" si="172"/>
        <v>2454.7089156850338</v>
      </c>
      <c r="P257" s="189" t="str">
        <f t="shared" si="138"/>
        <v>1078.86904761905</v>
      </c>
      <c r="Q257" s="160" t="str">
        <f t="shared" si="139"/>
        <v>1+481.980968513591i</v>
      </c>
      <c r="R257" s="160">
        <f t="shared" si="147"/>
        <v>481.98200589783346</v>
      </c>
      <c r="S257" s="160">
        <f t="shared" si="148"/>
        <v>1.5687215590541776</v>
      </c>
      <c r="T257" s="160" t="str">
        <f t="shared" si="140"/>
        <v>1+0.000308467819848698i</v>
      </c>
      <c r="U257" s="160">
        <f t="shared" si="149"/>
        <v>1.0000000475761968</v>
      </c>
      <c r="V257" s="160">
        <f t="shared" si="150"/>
        <v>3.0846781006488115E-4</v>
      </c>
      <c r="W257" s="98" t="str">
        <f t="shared" si="141"/>
        <v>1-0.223096266027372i</v>
      </c>
      <c r="X257" s="160">
        <f t="shared" si="151"/>
        <v>1.0245837905780844</v>
      </c>
      <c r="Y257" s="160">
        <f t="shared" si="152"/>
        <v>-0.21950170387683499</v>
      </c>
      <c r="Z257" s="98" t="str">
        <f t="shared" si="142"/>
        <v>0.997589761655703+0.0881186066465162i</v>
      </c>
      <c r="AA257" s="160">
        <f t="shared" si="153"/>
        <v>1.0014740243249476</v>
      </c>
      <c r="AB257" s="160">
        <f t="shared" si="154"/>
        <v>8.8102841963774256E-2</v>
      </c>
      <c r="AC257" s="171" t="str">
        <f t="shared" si="155"/>
        <v>-0.688170988182675-2.18420877184049i</v>
      </c>
      <c r="AD257" s="190">
        <f t="shared" si="156"/>
        <v>7.1969144189788148</v>
      </c>
      <c r="AE257" s="169">
        <f t="shared" si="157"/>
        <v>-107.48789289705994</v>
      </c>
      <c r="AF257" s="98" t="str">
        <f t="shared" si="143"/>
        <v>-9.95024875621891E-06</v>
      </c>
      <c r="AG257" s="98" t="str">
        <f t="shared" si="144"/>
        <v>0.0154388143834274i</v>
      </c>
      <c r="AH257" s="98">
        <f t="shared" si="158"/>
        <v>1.54388143834274E-2</v>
      </c>
      <c r="AI257" s="98">
        <f t="shared" si="159"/>
        <v>1.5707963267948966</v>
      </c>
      <c r="AJ257" s="98" t="str">
        <f t="shared" si="145"/>
        <v>1+0.154079830094255i</v>
      </c>
      <c r="AK257" s="98">
        <f t="shared" si="160"/>
        <v>1.0118006691250379</v>
      </c>
      <c r="AL257" s="98">
        <f t="shared" si="161"/>
        <v>0.15287759370392695</v>
      </c>
      <c r="AM257" s="98" t="str">
        <f t="shared" si="146"/>
        <v>1+154.233909924349i</v>
      </c>
      <c r="AN257" s="98">
        <f t="shared" si="162"/>
        <v>154.23715171952639</v>
      </c>
      <c r="AO257" s="98">
        <f t="shared" si="163"/>
        <v>1.5643127591525101</v>
      </c>
      <c r="AP257" s="168" t="str">
        <f t="shared" si="164"/>
        <v>-0.0970009212049983+0.0155903811111633i</v>
      </c>
      <c r="AQ257" s="98">
        <f t="shared" si="165"/>
        <v>-20.153719466203036</v>
      </c>
      <c r="AR257" s="169">
        <f t="shared" si="166"/>
        <v>170.86927803655291</v>
      </c>
      <c r="AS257" s="168" t="str">
        <f t="shared" si="167"/>
        <v>0.100805866979613+0.201141414997152i</v>
      </c>
      <c r="AT257" s="190">
        <f t="shared" si="168"/>
        <v>-12.956805047224208</v>
      </c>
      <c r="AU257" s="169">
        <f t="shared" si="169"/>
        <v>63.381385139492942</v>
      </c>
      <c r="AV257" s="225"/>
      <c r="AX257">
        <f t="shared" si="170"/>
        <v>0</v>
      </c>
      <c r="AY257">
        <f t="shared" si="171"/>
        <v>0</v>
      </c>
    </row>
    <row r="258" spans="14:51" x14ac:dyDescent="0.3">
      <c r="N258" s="170">
        <v>40</v>
      </c>
      <c r="O258" s="199">
        <f t="shared" si="172"/>
        <v>2511.8864315095811</v>
      </c>
      <c r="P258" s="189" t="str">
        <f t="shared" si="138"/>
        <v>1078.86904761905</v>
      </c>
      <c r="Q258" s="160" t="str">
        <f t="shared" si="139"/>
        <v>1+493.20774749265i</v>
      </c>
      <c r="R258" s="160">
        <f t="shared" si="147"/>
        <v>493.20876126319331</v>
      </c>
      <c r="S258" s="160">
        <f t="shared" si="148"/>
        <v>1.5687687864028881</v>
      </c>
      <c r="T258" s="160" t="str">
        <f t="shared" si="140"/>
        <v>1+0.000315652958395296i</v>
      </c>
      <c r="U258" s="160">
        <f t="shared" si="149"/>
        <v>1.0000000498183939</v>
      </c>
      <c r="V258" s="160">
        <f t="shared" si="150"/>
        <v>3.1565294791174745E-4</v>
      </c>
      <c r="W258" s="98" t="str">
        <f t="shared" si="141"/>
        <v>1-0.228292845629814i</v>
      </c>
      <c r="X258" s="160">
        <f t="shared" si="151"/>
        <v>1.0257278505362708</v>
      </c>
      <c r="Y258" s="160">
        <f t="shared" si="152"/>
        <v>-0.22444640134855415</v>
      </c>
      <c r="Z258" s="98" t="str">
        <f t="shared" si="142"/>
        <v>0.997476170622079+0.0901711526709247i</v>
      </c>
      <c r="AA258" s="160">
        <f t="shared" si="153"/>
        <v>1.0015435825429118</v>
      </c>
      <c r="AB258" s="160">
        <f t="shared" si="154"/>
        <v>9.0154256758921553E-2</v>
      </c>
      <c r="AC258" s="171" t="str">
        <f t="shared" si="155"/>
        <v>-0.688228080134312-2.13193563980543i</v>
      </c>
      <c r="AD258" s="190">
        <f t="shared" si="156"/>
        <v>7.006005350818282</v>
      </c>
      <c r="AE258" s="169">
        <f t="shared" si="157"/>
        <v>-107.89103485263591</v>
      </c>
      <c r="AF258" s="98" t="str">
        <f t="shared" si="143"/>
        <v>-9.95024875621891E-06</v>
      </c>
      <c r="AG258" s="98" t="str">
        <f t="shared" si="144"/>
        <v>0.0157984305676845i</v>
      </c>
      <c r="AH258" s="98">
        <f t="shared" si="158"/>
        <v>1.5798430567684499E-2</v>
      </c>
      <c r="AI258" s="98">
        <f t="shared" si="159"/>
        <v>1.5707963267948966</v>
      </c>
      <c r="AJ258" s="98" t="str">
        <f t="shared" si="145"/>
        <v>1+0.157668810387261i</v>
      </c>
      <c r="AK258" s="98">
        <f t="shared" si="160"/>
        <v>1.012353423350232</v>
      </c>
      <c r="AL258" s="98">
        <f t="shared" si="161"/>
        <v>0.15638143836676172</v>
      </c>
      <c r="AM258" s="98" t="str">
        <f t="shared" si="146"/>
        <v>1+157.826479197648i</v>
      </c>
      <c r="AN258" s="98">
        <f t="shared" si="162"/>
        <v>157.82964720205649</v>
      </c>
      <c r="AO258" s="98">
        <f t="shared" si="163"/>
        <v>1.5644603391743899</v>
      </c>
      <c r="AP258" s="168" t="str">
        <f t="shared" si="164"/>
        <v>-0.0968950233437607+0.0159071482038256i</v>
      </c>
      <c r="AQ258" s="98">
        <f t="shared" si="165"/>
        <v>-20.158471553151816</v>
      </c>
      <c r="AR258" s="169">
        <f t="shared" si="166"/>
        <v>170.67697823769711</v>
      </c>
      <c r="AS258" s="168" t="str">
        <f t="shared" si="167"/>
        <v>0.100598892073849+0.195626207517612i</v>
      </c>
      <c r="AT258" s="190">
        <f t="shared" si="168"/>
        <v>-13.15246620233351</v>
      </c>
      <c r="AU258" s="169">
        <f t="shared" si="169"/>
        <v>62.785943385061117</v>
      </c>
      <c r="AV258" s="225"/>
      <c r="AX258">
        <f t="shared" si="170"/>
        <v>0</v>
      </c>
      <c r="AY258">
        <f t="shared" si="171"/>
        <v>0</v>
      </c>
    </row>
    <row r="259" spans="14:51" x14ac:dyDescent="0.3">
      <c r="N259" s="170">
        <v>41</v>
      </c>
      <c r="O259" s="199">
        <f t="shared" si="172"/>
        <v>2570.3957827688669</v>
      </c>
      <c r="P259" s="189" t="str">
        <f t="shared" si="138"/>
        <v>1078.86904761905</v>
      </c>
      <c r="Q259" s="160" t="str">
        <f t="shared" si="139"/>
        <v>1+504.696031747803i</v>
      </c>
      <c r="R259" s="160">
        <f t="shared" si="147"/>
        <v>504.69702244215722</v>
      </c>
      <c r="S259" s="160">
        <f t="shared" si="148"/>
        <v>1.5688149387346344</v>
      </c>
      <c r="T259" s="160" t="str">
        <f t="shared" si="140"/>
        <v>1+0.000323005460318594i</v>
      </c>
      <c r="U259" s="160">
        <f t="shared" si="149"/>
        <v>1.0000000521662624</v>
      </c>
      <c r="V259" s="160">
        <f t="shared" si="150"/>
        <v>3.2300544908526937E-4</v>
      </c>
      <c r="W259" s="98" t="str">
        <f t="shared" si="141"/>
        <v>1-0.23361046912082i</v>
      </c>
      <c r="X259" s="160">
        <f t="shared" si="151"/>
        <v>1.0269244623061862</v>
      </c>
      <c r="Y259" s="160">
        <f t="shared" si="152"/>
        <v>-0.22949474350653207</v>
      </c>
      <c r="Z259" s="98" t="str">
        <f t="shared" si="142"/>
        <v>0.99735722620797+0.092271508634035i</v>
      </c>
      <c r="AA259" s="160">
        <f t="shared" si="153"/>
        <v>1.0016164275683865</v>
      </c>
      <c r="AB259" s="160">
        <f t="shared" si="154"/>
        <v>9.2253400131526136E-2</v>
      </c>
      <c r="AC259" s="171" t="str">
        <f t="shared" si="155"/>
        <v>-0.688268618248439-2.08079353430691i</v>
      </c>
      <c r="AD259" s="190">
        <f t="shared" si="156"/>
        <v>6.815501482121217</v>
      </c>
      <c r="AE259" s="169">
        <f t="shared" si="157"/>
        <v>-108.30277867420681</v>
      </c>
      <c r="AF259" s="98" t="str">
        <f t="shared" si="143"/>
        <v>-9.95024875621891E-06</v>
      </c>
      <c r="AG259" s="98" t="str">
        <f t="shared" si="144"/>
        <v>0.0161664232889456i</v>
      </c>
      <c r="AH259" s="98">
        <f t="shared" si="158"/>
        <v>1.6166423288945599E-2</v>
      </c>
      <c r="AI259" s="98">
        <f t="shared" si="159"/>
        <v>1.5707963267948966</v>
      </c>
      <c r="AJ259" s="98" t="str">
        <f t="shared" si="145"/>
        <v>1+0.161341388770526i</v>
      </c>
      <c r="AK259" s="98">
        <f t="shared" si="160"/>
        <v>1.0129319047845231</v>
      </c>
      <c r="AL259" s="98">
        <f t="shared" si="161"/>
        <v>0.15996289416682427</v>
      </c>
      <c r="AM259" s="98" t="str">
        <f t="shared" si="146"/>
        <v>1+161.502730159297i</v>
      </c>
      <c r="AN259" s="98">
        <f t="shared" si="162"/>
        <v>161.50582605251952</v>
      </c>
      <c r="AO259" s="98">
        <f t="shared" si="163"/>
        <v>1.564604560131533</v>
      </c>
      <c r="AP259" s="168" t="str">
        <f t="shared" si="164"/>
        <v>-0.0967843822112535+0.0162308152075141i</v>
      </c>
      <c r="AQ259" s="98">
        <f t="shared" si="165"/>
        <v>-20.163441294401593</v>
      </c>
      <c r="AR259" s="169">
        <f t="shared" si="166"/>
        <v>170.48003918800256</v>
      </c>
      <c r="AS259" s="168" t="str">
        <f t="shared" si="167"/>
        <v>0.100386628352894+0.190217155971144i</v>
      </c>
      <c r="AT259" s="190">
        <f t="shared" si="168"/>
        <v>-13.347939812280353</v>
      </c>
      <c r="AU259" s="169">
        <f t="shared" si="169"/>
        <v>62.177260513795801</v>
      </c>
      <c r="AV259" s="225"/>
      <c r="AX259">
        <f t="shared" si="170"/>
        <v>0</v>
      </c>
      <c r="AY259">
        <f t="shared" si="171"/>
        <v>0</v>
      </c>
    </row>
    <row r="260" spans="14:51" x14ac:dyDescent="0.3">
      <c r="N260" s="170">
        <v>42</v>
      </c>
      <c r="O260" s="199">
        <f t="shared" si="172"/>
        <v>2630.2679918953822</v>
      </c>
      <c r="P260" s="189" t="str">
        <f t="shared" si="138"/>
        <v>1078.86904761905</v>
      </c>
      <c r="Q260" s="160" t="str">
        <f t="shared" si="139"/>
        <v>1+516.451912519431i</v>
      </c>
      <c r="R260" s="160">
        <f t="shared" si="147"/>
        <v>516.45288066287128</v>
      </c>
      <c r="S260" s="160">
        <f t="shared" si="148"/>
        <v>1.5688600405192075</v>
      </c>
      <c r="T260" s="160" t="str">
        <f t="shared" si="140"/>
        <v>1+0.000330529224012436i</v>
      </c>
      <c r="U260" s="160">
        <f t="shared" si="149"/>
        <v>1.0000000546247825</v>
      </c>
      <c r="V260" s="160">
        <f t="shared" si="150"/>
        <v>3.3052921197571186E-4</v>
      </c>
      <c r="W260" s="98" t="str">
        <f t="shared" si="141"/>
        <v>1-0.239051955974754i</v>
      </c>
      <c r="X260" s="160">
        <f t="shared" si="151"/>
        <v>1.0281759760154658</v>
      </c>
      <c r="Y260" s="160">
        <f t="shared" si="152"/>
        <v>-0.23464837730190916</v>
      </c>
      <c r="Z260" s="98" t="str">
        <f t="shared" si="142"/>
        <v>0.997232676116324+0.094420788172381i</v>
      </c>
      <c r="AA260" s="160">
        <f t="shared" si="153"/>
        <v>1.0016927151343464</v>
      </c>
      <c r="AB260" s="160">
        <f t="shared" si="154"/>
        <v>9.4401379843706029E-2</v>
      </c>
      <c r="AC260" s="171" t="str">
        <f t="shared" si="155"/>
        <v>-0.68829269220717-2.03075539051902i</v>
      </c>
      <c r="AD260" s="190">
        <f t="shared" si="156"/>
        <v>6.6254197960123733</v>
      </c>
      <c r="AE260" s="169">
        <f t="shared" si="157"/>
        <v>-108.72328337387034</v>
      </c>
      <c r="AF260" s="98" t="str">
        <f t="shared" si="143"/>
        <v>-9.95024875621891E-06</v>
      </c>
      <c r="AG260" s="98" t="str">
        <f t="shared" si="144"/>
        <v>0.0165429876618224i</v>
      </c>
      <c r="AH260" s="98">
        <f t="shared" si="158"/>
        <v>1.6542987661822401E-2</v>
      </c>
      <c r="AI260" s="98">
        <f t="shared" si="159"/>
        <v>1.5707963267948966</v>
      </c>
      <c r="AJ260" s="98" t="str">
        <f t="shared" si="145"/>
        <v>1+0.165099512493724i</v>
      </c>
      <c r="AK260" s="98">
        <f t="shared" si="160"/>
        <v>1.0135372953304014</v>
      </c>
      <c r="AL260" s="98">
        <f t="shared" si="161"/>
        <v>0.16362349234217108</v>
      </c>
      <c r="AM260" s="98" t="str">
        <f t="shared" si="146"/>
        <v>1+165.264612006218i</v>
      </c>
      <c r="AN260" s="98">
        <f t="shared" si="162"/>
        <v>165.26763742961225</v>
      </c>
      <c r="AO260" s="98">
        <f t="shared" si="163"/>
        <v>1.5647454984677887</v>
      </c>
      <c r="AP260" s="168" t="str">
        <f t="shared" si="164"/>
        <v>-0.0966687972169813+0.0165614496338025i</v>
      </c>
      <c r="AQ260" s="98">
        <f t="shared" si="165"/>
        <v>-20.16863846042094</v>
      </c>
      <c r="AR260" s="169">
        <f t="shared" si="166"/>
        <v>170.27837753390094</v>
      </c>
      <c r="AS260" s="168" t="str">
        <f t="shared" si="167"/>
        <v>0.100168679807559+0.184911556288071i</v>
      </c>
      <c r="AT260" s="190">
        <f t="shared" si="168"/>
        <v>-13.543218664408577</v>
      </c>
      <c r="AU260" s="169">
        <f t="shared" si="169"/>
        <v>61.555094160030464</v>
      </c>
      <c r="AV260" s="225"/>
      <c r="AX260">
        <f t="shared" si="170"/>
        <v>0</v>
      </c>
      <c r="AY260">
        <f t="shared" si="171"/>
        <v>0</v>
      </c>
    </row>
    <row r="261" spans="14:51" x14ac:dyDescent="0.3">
      <c r="N261" s="170">
        <v>43</v>
      </c>
      <c r="O261" s="199">
        <f t="shared" si="172"/>
        <v>2691.5348039269184</v>
      </c>
      <c r="P261" s="189" t="str">
        <f t="shared" si="138"/>
        <v>1078.86904761905</v>
      </c>
      <c r="Q261" s="160" t="str">
        <f t="shared" si="139"/>
        <v>1+528.481622931128i</v>
      </c>
      <c r="R261" s="160">
        <f t="shared" si="147"/>
        <v>528.48256903697302</v>
      </c>
      <c r="S261" s="160">
        <f t="shared" si="148"/>
        <v>1.5689041156694354</v>
      </c>
      <c r="T261" s="160" t="str">
        <f t="shared" si="140"/>
        <v>1+0.000338228238675922i</v>
      </c>
      <c r="U261" s="160">
        <f t="shared" si="149"/>
        <v>1.0000000571991692</v>
      </c>
      <c r="V261" s="160">
        <f t="shared" si="150"/>
        <v>3.382282257783397E-4</v>
      </c>
      <c r="W261" s="98" t="str">
        <f t="shared" si="141"/>
        <v>1-0.244620191339974i</v>
      </c>
      <c r="X261" s="160">
        <f t="shared" si="151"/>
        <v>1.0294848410788793</v>
      </c>
      <c r="Y261" s="160">
        <f t="shared" si="152"/>
        <v>-0.2399089397342854</v>
      </c>
      <c r="Z261" s="98" t="str">
        <f t="shared" si="142"/>
        <v>0.9971022561597+0.0966201308624232i</v>
      </c>
      <c r="AA261" s="160">
        <f t="shared" si="153"/>
        <v>1.0017726083930603</v>
      </c>
      <c r="AB261" s="160">
        <f t="shared" si="154"/>
        <v>9.6599329170629814E-2</v>
      </c>
      <c r="AC261" s="171" t="str">
        <f t="shared" si="155"/>
        <v>-0.688300357128715-1.9817947322635i</v>
      </c>
      <c r="AD261" s="190">
        <f t="shared" si="156"/>
        <v>6.435777888156399</v>
      </c>
      <c r="AE261" s="169">
        <f t="shared" si="157"/>
        <v>-109.15270881821907</v>
      </c>
      <c r="AF261" s="98" t="str">
        <f t="shared" si="143"/>
        <v>-9.95024875621891E-06</v>
      </c>
      <c r="AG261" s="98" t="str">
        <f t="shared" si="144"/>
        <v>0.0169283233457299i</v>
      </c>
      <c r="AH261" s="98">
        <f t="shared" si="158"/>
        <v>1.6928323345729902E-2</v>
      </c>
      <c r="AI261" s="98">
        <f t="shared" si="159"/>
        <v>1.5707963267948966</v>
      </c>
      <c r="AJ261" s="98" t="str">
        <f t="shared" si="145"/>
        <v>1+0.168945174163797i</v>
      </c>
      <c r="AK261" s="98">
        <f t="shared" si="160"/>
        <v>1.0141708297290135</v>
      </c>
      <c r="AL261" s="98">
        <f t="shared" si="161"/>
        <v>0.16736478117576931</v>
      </c>
      <c r="AM261" s="98" t="str">
        <f t="shared" si="146"/>
        <v>1+169.114119337961i</v>
      </c>
      <c r="AN261" s="98">
        <f t="shared" si="162"/>
        <v>169.11707589552901</v>
      </c>
      <c r="AO261" s="98">
        <f t="shared" si="163"/>
        <v>1.5648832288881187</v>
      </c>
      <c r="AP261" s="168" t="str">
        <f t="shared" si="164"/>
        <v>-0.0965480603986698+0.0168991159006027i</v>
      </c>
      <c r="AQ261" s="98">
        <f t="shared" si="165"/>
        <v>-20.17407323231847</v>
      </c>
      <c r="AR261" s="169">
        <f t="shared" si="166"/>
        <v>170.07190884559182</v>
      </c>
      <c r="AS261" s="168" t="str">
        <f t="shared" si="167"/>
        <v>0.0999446433242139+0.179706769998798i</v>
      </c>
      <c r="AT261" s="190">
        <f t="shared" si="168"/>
        <v>-13.738295344162058</v>
      </c>
      <c r="AU261" s="169">
        <f t="shared" si="169"/>
        <v>60.919200027372817</v>
      </c>
      <c r="AV261" s="225"/>
      <c r="AX261">
        <f t="shared" si="170"/>
        <v>0</v>
      </c>
      <c r="AY261">
        <f t="shared" si="171"/>
        <v>0</v>
      </c>
    </row>
    <row r="262" spans="14:51" x14ac:dyDescent="0.3">
      <c r="N262" s="170">
        <v>44</v>
      </c>
      <c r="O262" s="199">
        <f t="shared" si="172"/>
        <v>2754.228703338169</v>
      </c>
      <c r="P262" s="189" t="str">
        <f t="shared" si="138"/>
        <v>1078.86904761905</v>
      </c>
      <c r="Q262" s="160" t="str">
        <f t="shared" si="139"/>
        <v>1+540.791541294584i</v>
      </c>
      <c r="R262" s="160">
        <f t="shared" si="147"/>
        <v>540.792465864468</v>
      </c>
      <c r="S262" s="160">
        <f t="shared" si="148"/>
        <v>1.5689471875538614</v>
      </c>
      <c r="T262" s="160" t="str">
        <f t="shared" si="140"/>
        <v>1+0.000346106586428534i</v>
      </c>
      <c r="U262" s="160">
        <f t="shared" si="149"/>
        <v>1.0000000598948828</v>
      </c>
      <c r="V262" s="160">
        <f t="shared" si="150"/>
        <v>3.4610657260852559E-4</v>
      </c>
      <c r="W262" s="98" t="str">
        <f t="shared" si="141"/>
        <v>1-0.250318127568573i</v>
      </c>
      <c r="X262" s="160">
        <f t="shared" si="151"/>
        <v>1.0308536098736019</v>
      </c>
      <c r="Y262" s="160">
        <f t="shared" si="152"/>
        <v>-0.24527805488956955</v>
      </c>
      <c r="Z262" s="98" t="str">
        <f t="shared" si="142"/>
        <v>0.996965689699883+0.0988707028247673i</v>
      </c>
      <c r="AA262" s="160">
        <f t="shared" si="153"/>
        <v>1.0018562782733993</v>
      </c>
      <c r="AB262" s="160">
        <f t="shared" si="154"/>
        <v>9.8848407473389341E-2</v>
      </c>
      <c r="AC262" s="171" t="str">
        <f t="shared" si="155"/>
        <v>-0.688291633718769-1.93388565823078i</v>
      </c>
      <c r="AD262" s="190">
        <f t="shared" si="156"/>
        <v>6.2465939797899006</v>
      </c>
      <c r="AE262" s="169">
        <f t="shared" si="157"/>
        <v>-109.59121559204962</v>
      </c>
      <c r="AF262" s="98" t="str">
        <f t="shared" si="143"/>
        <v>-9.95024875621891E-06</v>
      </c>
      <c r="AG262" s="98" t="str">
        <f t="shared" si="144"/>
        <v>0.0173226346507481i</v>
      </c>
      <c r="AH262" s="98">
        <f t="shared" si="158"/>
        <v>1.7322634650748101E-2</v>
      </c>
      <c r="AI262" s="98">
        <f t="shared" si="159"/>
        <v>1.5707963267948966</v>
      </c>
      <c r="AJ262" s="98" t="str">
        <f t="shared" si="145"/>
        <v>1+0.172880412801466i</v>
      </c>
      <c r="AK262" s="98">
        <f t="shared" si="160"/>
        <v>1.0148337977868127</v>
      </c>
      <c r="AL262" s="98">
        <f t="shared" si="161"/>
        <v>0.17118832519533717</v>
      </c>
      <c r="AM262" s="98" t="str">
        <f t="shared" si="146"/>
        <v>1+173.053293214267i</v>
      </c>
      <c r="AN262" s="98">
        <f t="shared" si="162"/>
        <v>173.05618247350503</v>
      </c>
      <c r="AO262" s="98">
        <f t="shared" si="163"/>
        <v>1.5650178243981017</v>
      </c>
      <c r="AP262" s="168" t="str">
        <f t="shared" si="164"/>
        <v>-0.0964219562570014+0.0172438749561153i</v>
      </c>
      <c r="AQ262" s="98">
        <f t="shared" si="165"/>
        <v>-20.179756216890855</v>
      </c>
      <c r="AR262" s="169">
        <f t="shared" si="166"/>
        <v>169.86054766515159</v>
      </c>
      <c r="AS262" s="168" t="str">
        <f t="shared" si="167"/>
        <v>0.0997141082684475+0.174600223478784i</v>
      </c>
      <c r="AT262" s="190">
        <f t="shared" si="168"/>
        <v>-13.933162237100948</v>
      </c>
      <c r="AU262" s="169">
        <f t="shared" si="169"/>
        <v>60.269332073101964</v>
      </c>
      <c r="AV262" s="225"/>
      <c r="AX262">
        <f t="shared" si="170"/>
        <v>0</v>
      </c>
      <c r="AY262">
        <f t="shared" si="171"/>
        <v>0</v>
      </c>
    </row>
    <row r="263" spans="14:51" x14ac:dyDescent="0.3">
      <c r="N263" s="170">
        <v>45</v>
      </c>
      <c r="O263" s="199">
        <f t="shared" si="172"/>
        <v>2818.3829312644561</v>
      </c>
      <c r="P263" s="189" t="str">
        <f t="shared" si="138"/>
        <v>1078.86904761905</v>
      </c>
      <c r="Q263" s="160" t="str">
        <f t="shared" si="139"/>
        <v>1+553.388194491456i</v>
      </c>
      <c r="R263" s="160">
        <f t="shared" si="147"/>
        <v>553.38909801559475</v>
      </c>
      <c r="S263" s="160">
        <f t="shared" si="148"/>
        <v>1.5689892790091287</v>
      </c>
      <c r="T263" s="160" t="str">
        <f t="shared" si="140"/>
        <v>1+0.000354168444474532i</v>
      </c>
      <c r="U263" s="160">
        <f t="shared" si="149"/>
        <v>1.0000000627176415</v>
      </c>
      <c r="V263" s="160">
        <f t="shared" si="150"/>
        <v>3.5416842966612633E-4</v>
      </c>
      <c r="W263" s="98" t="str">
        <f t="shared" si="141"/>
        <v>1-0.256148785781761i</v>
      </c>
      <c r="X263" s="160">
        <f t="shared" si="151"/>
        <v>1.0322849415047526</v>
      </c>
      <c r="Y263" s="160">
        <f t="shared" si="152"/>
        <v>-0.25075733079000112</v>
      </c>
      <c r="Z263" s="98" t="str">
        <f t="shared" si="142"/>
        <v>0.996822687061103+0.101173697342457i</v>
      </c>
      <c r="AA263" s="160">
        <f t="shared" si="153"/>
        <v>1.0019439038557301</v>
      </c>
      <c r="AB263" s="160">
        <f t="shared" si="154"/>
        <v>0.1011498007836045</v>
      </c>
      <c r="AC263" s="171" t="str">
        <f t="shared" si="155"/>
        <v>-0.688266508352314-1.88700282852275i</v>
      </c>
      <c r="AD263" s="190">
        <f t="shared" si="156"/>
        <v>6.0578869301405192</v>
      </c>
      <c r="AE263" s="169">
        <f t="shared" si="157"/>
        <v>-110.03896485196303</v>
      </c>
      <c r="AF263" s="98" t="str">
        <f t="shared" si="143"/>
        <v>-9.95024875621891E-06</v>
      </c>
      <c r="AG263" s="98" t="str">
        <f t="shared" si="144"/>
        <v>0.0177261306459503i</v>
      </c>
      <c r="AH263" s="98">
        <f t="shared" si="158"/>
        <v>1.77261306459503E-2</v>
      </c>
      <c r="AI263" s="98">
        <f t="shared" si="159"/>
        <v>1.5707963267948966</v>
      </c>
      <c r="AJ263" s="98" t="str">
        <f t="shared" si="145"/>
        <v>1+0.176907314922344i</v>
      </c>
      <c r="AK263" s="98">
        <f t="shared" si="160"/>
        <v>1.0155275466835123</v>
      </c>
      <c r="AL263" s="98">
        <f t="shared" si="161"/>
        <v>0.17509570428425572</v>
      </c>
      <c r="AM263" s="98" t="str">
        <f t="shared" si="146"/>
        <v>1+177.084222237266i</v>
      </c>
      <c r="AN263" s="98">
        <f t="shared" si="162"/>
        <v>177.0870457299952</v>
      </c>
      <c r="AO263" s="98">
        <f t="shared" si="163"/>
        <v>1.5651493563425405</v>
      </c>
      <c r="AP263" s="168" t="str">
        <f t="shared" si="164"/>
        <v>-0.0962902615975533+0.0175957838799637i</v>
      </c>
      <c r="AQ263" s="98">
        <f t="shared" si="165"/>
        <v>-20.185698461995372</v>
      </c>
      <c r="AR263" s="169">
        <f t="shared" si="166"/>
        <v>169.64420755968632</v>
      </c>
      <c r="AS263" s="168" t="str">
        <f t="shared" si="167"/>
        <v>0.0994766560896454+0.169589407260994i</v>
      </c>
      <c r="AT263" s="190">
        <f t="shared" si="168"/>
        <v>-14.127811531854855</v>
      </c>
      <c r="AU263" s="169">
        <f t="shared" si="169"/>
        <v>59.605242707723313</v>
      </c>
      <c r="AV263" s="225"/>
      <c r="AX263">
        <f t="shared" si="170"/>
        <v>0</v>
      </c>
      <c r="AY263">
        <f t="shared" si="171"/>
        <v>0</v>
      </c>
    </row>
    <row r="264" spans="14:51" x14ac:dyDescent="0.3">
      <c r="N264" s="170">
        <v>46</v>
      </c>
      <c r="O264" s="199">
        <f t="shared" si="172"/>
        <v>2884.0315031266077</v>
      </c>
      <c r="P264" s="189" t="str">
        <f t="shared" si="138"/>
        <v>1078.86904761905</v>
      </c>
      <c r="Q264" s="160" t="str">
        <f t="shared" si="139"/>
        <v>1+566.278261434006i</v>
      </c>
      <c r="R264" s="160">
        <f t="shared" si="147"/>
        <v>566.27914439145684</v>
      </c>
      <c r="S264" s="160">
        <f t="shared" si="148"/>
        <v>1.5690304123520875</v>
      </c>
      <c r="T264" s="160" t="str">
        <f t="shared" si="140"/>
        <v>1+0.000362418087317764i</v>
      </c>
      <c r="U264" s="160">
        <f t="shared" si="149"/>
        <v>1.0000000656734329</v>
      </c>
      <c r="V264" s="160">
        <f t="shared" si="150"/>
        <v>3.6241807145027147E-4</v>
      </c>
      <c r="W264" s="98" t="str">
        <f t="shared" si="141"/>
        <v>1-0.2621152574717i</v>
      </c>
      <c r="X264" s="160">
        <f t="shared" si="151"/>
        <v>1.0337816056592686</v>
      </c>
      <c r="Y264" s="160">
        <f t="shared" si="152"/>
        <v>-0.25634835605091466</v>
      </c>
      <c r="Z264" s="98" t="str">
        <f t="shared" si="142"/>
        <v>0.996672944915589+0.103530335493671i</v>
      </c>
      <c r="AA264" s="160">
        <f t="shared" si="153"/>
        <v>1.0020356727652686</v>
      </c>
      <c r="AB264" s="160">
        <f t="shared" si="154"/>
        <v>0.10350472239991373</v>
      </c>
      <c r="AC264" s="171" t="str">
        <f t="shared" si="155"/>
        <v>-0.688224933086211-1.84112145151101i</v>
      </c>
      <c r="AD264" s="190">
        <f t="shared" si="156"/>
        <v>5.8696762481223255</v>
      </c>
      <c r="AE264" s="169">
        <f t="shared" si="157"/>
        <v>-110.49611816955509</v>
      </c>
      <c r="AF264" s="98" t="str">
        <f t="shared" si="143"/>
        <v>-9.95024875621891E-06</v>
      </c>
      <c r="AG264" s="98" t="str">
        <f t="shared" si="144"/>
        <v>0.0181390252702541i</v>
      </c>
      <c r="AH264" s="98">
        <f t="shared" si="158"/>
        <v>1.81390252702541E-2</v>
      </c>
      <c r="AI264" s="98">
        <f t="shared" si="159"/>
        <v>1.5707963267948966</v>
      </c>
      <c r="AJ264" s="98" t="str">
        <f t="shared" si="145"/>
        <v>1+0.181028015643239i</v>
      </c>
      <c r="AK264" s="98">
        <f t="shared" si="160"/>
        <v>1.0162534833631465</v>
      </c>
      <c r="AL264" s="98">
        <f t="shared" si="161"/>
        <v>0.17908851269815873</v>
      </c>
      <c r="AM264" s="98" t="str">
        <f t="shared" si="146"/>
        <v>1+181.209043658882i</v>
      </c>
      <c r="AN264" s="98">
        <f t="shared" si="162"/>
        <v>181.21180288206008</v>
      </c>
      <c r="AO264" s="98">
        <f t="shared" si="163"/>
        <v>1.5652778944431982</v>
      </c>
      <c r="AP264" s="168" t="str">
        <f t="shared" si="164"/>
        <v>-0.0961527453813808+0.0179548954606897i</v>
      </c>
      <c r="AQ264" s="98">
        <f t="shared" si="165"/>
        <v>-20.191911472230736</v>
      </c>
      <c r="AR264" s="169">
        <f t="shared" si="166"/>
        <v>169.42280117983964</v>
      </c>
      <c r="AS264" s="168" t="str">
        <f t="shared" si="167"/>
        <v>0.0992318599484698+0.164671875416333i</v>
      </c>
      <c r="AT264" s="190">
        <f t="shared" si="168"/>
        <v>-14.32223522410842</v>
      </c>
      <c r="AU264" s="169">
        <f t="shared" si="169"/>
        <v>58.926683010284478</v>
      </c>
      <c r="AV264" s="225"/>
      <c r="AX264">
        <f t="shared" si="170"/>
        <v>0</v>
      </c>
      <c r="AY264">
        <f t="shared" si="171"/>
        <v>0</v>
      </c>
    </row>
    <row r="265" spans="14:51" x14ac:dyDescent="0.3">
      <c r="N265" s="170">
        <v>47</v>
      </c>
      <c r="O265" s="199">
        <f t="shared" si="172"/>
        <v>2951.2092266663876</v>
      </c>
      <c r="P265" s="189" t="str">
        <f t="shared" si="138"/>
        <v>1078.86904761905</v>
      </c>
      <c r="Q265" s="160" t="str">
        <f t="shared" si="139"/>
        <v>1+579.468576606347i</v>
      </c>
      <c r="R265" s="160">
        <f t="shared" si="147"/>
        <v>579.46943946526289</v>
      </c>
      <c r="S265" s="160">
        <f t="shared" si="148"/>
        <v>1.5690706093916233</v>
      </c>
      <c r="T265" s="160" t="str">
        <f t="shared" si="140"/>
        <v>1+0.000370859889028062i</v>
      </c>
      <c r="U265" s="160">
        <f t="shared" si="149"/>
        <v>1.0000000687685262</v>
      </c>
      <c r="V265" s="160">
        <f t="shared" si="150"/>
        <v>3.708598720257375E-4</v>
      </c>
      <c r="W265" s="98" t="str">
        <f t="shared" si="141"/>
        <v>1-0.268220706140656i</v>
      </c>
      <c r="X265" s="160">
        <f t="shared" si="151"/>
        <v>1.0353464865457322</v>
      </c>
      <c r="Y265" s="160">
        <f t="shared" si="152"/>
        <v>-0.2620526963392783</v>
      </c>
      <c r="Z265" s="98" t="str">
        <f t="shared" si="142"/>
        <v>0.996516145640176+0.105941866799148i</v>
      </c>
      <c r="AA265" s="160">
        <f t="shared" si="153"/>
        <v>1.0021317815848576</v>
      </c>
      <c r="AB265" s="160">
        <f t="shared" si="154"/>
        <v>0.10591441349647783</v>
      </c>
      <c r="AC265" s="171" t="str">
        <f t="shared" si="155"/>
        <v>-0.688166825603066-1.79621727100552i</v>
      </c>
      <c r="AD265" s="190">
        <f t="shared" si="156"/>
        <v>5.6819821031922384</v>
      </c>
      <c r="AE265" s="169">
        <f t="shared" si="157"/>
        <v>-110.96283736391806</v>
      </c>
      <c r="AF265" s="98" t="str">
        <f t="shared" si="143"/>
        <v>-9.95024875621891E-06</v>
      </c>
      <c r="AG265" s="98" t="str">
        <f t="shared" si="144"/>
        <v>0.0185615374458545i</v>
      </c>
      <c r="AH265" s="98">
        <f t="shared" si="158"/>
        <v>1.8561537445854499E-2</v>
      </c>
      <c r="AI265" s="98">
        <f t="shared" si="159"/>
        <v>1.5707963267948966</v>
      </c>
      <c r="AJ265" s="98" t="str">
        <f t="shared" si="145"/>
        <v>1+0.185244699814217i</v>
      </c>
      <c r="AK265" s="98">
        <f t="shared" si="160"/>
        <v>1.0170130770099564</v>
      </c>
      <c r="AL265" s="98">
        <f t="shared" si="161"/>
        <v>0.18316835798159137</v>
      </c>
      <c r="AM265" s="98" t="str">
        <f t="shared" si="146"/>
        <v>1+185.429944514031i</v>
      </c>
      <c r="AN265" s="98">
        <f t="shared" si="162"/>
        <v>185.43264093054549</v>
      </c>
      <c r="AO265" s="98">
        <f t="shared" si="163"/>
        <v>1.5654035068356775</v>
      </c>
      <c r="AP265" s="168" t="str">
        <f t="shared" si="164"/>
        <v>-0.0960091685858131+0.018321257748816i</v>
      </c>
      <c r="AQ265" s="98">
        <f t="shared" si="165"/>
        <v>-20.198407224907413</v>
      </c>
      <c r="AR265" s="169">
        <f t="shared" si="166"/>
        <v>169.19624032397627</v>
      </c>
      <c r="AS265" s="168" t="str">
        <f t="shared" si="167"/>
        <v>0.0989792843694556+0.15984524500266i</v>
      </c>
      <c r="AT265" s="190">
        <f t="shared" si="168"/>
        <v>-14.516425121715166</v>
      </c>
      <c r="AU265" s="169">
        <f t="shared" si="169"/>
        <v>58.23340296005825</v>
      </c>
      <c r="AV265" s="225"/>
      <c r="AX265">
        <f t="shared" si="170"/>
        <v>0</v>
      </c>
      <c r="AY265">
        <f t="shared" si="171"/>
        <v>0</v>
      </c>
    </row>
    <row r="266" spans="14:51" x14ac:dyDescent="0.3">
      <c r="N266" s="170">
        <v>48</v>
      </c>
      <c r="O266" s="199">
        <f t="shared" si="172"/>
        <v>3019.9517204020176</v>
      </c>
      <c r="P266" s="189" t="str">
        <f t="shared" si="138"/>
        <v>1078.86904761905</v>
      </c>
      <c r="Q266" s="160" t="str">
        <f t="shared" si="139"/>
        <v>1+592.966133688178i</v>
      </c>
      <c r="R266" s="160">
        <f t="shared" si="147"/>
        <v>592.96697690605515</v>
      </c>
      <c r="S266" s="160">
        <f t="shared" si="148"/>
        <v>1.5691098914402186</v>
      </c>
      <c r="T266" s="160" t="str">
        <f t="shared" si="140"/>
        <v>1+0.000379498325560434i</v>
      </c>
      <c r="U266" s="160">
        <f t="shared" si="149"/>
        <v>1.000000072009487</v>
      </c>
      <c r="V266" s="160">
        <f t="shared" si="150"/>
        <v>3.7949830734211511E-4</v>
      </c>
      <c r="W266" s="98" t="str">
        <f t="shared" si="141"/>
        <v>1-0.274468368978328i</v>
      </c>
      <c r="X266" s="160">
        <f t="shared" si="151"/>
        <v>1.0369825869172653</v>
      </c>
      <c r="Y266" s="160">
        <f t="shared" si="152"/>
        <v>-0.26787189062953876</v>
      </c>
      <c r="Z266" s="98" t="str">
        <f t="shared" si="142"/>
        <v>0.996351956642576+0.10840956988471i</v>
      </c>
      <c r="AA266" s="160">
        <f t="shared" si="153"/>
        <v>1.0022324362881483</v>
      </c>
      <c r="AB266" s="160">
        <f t="shared" si="154"/>
        <v>0.10838014374366119</v>
      </c>
      <c r="AC266" s="171" t="str">
        <f t="shared" si="155"/>
        <v>-0.688092069086616-1.75226655372801i</v>
      </c>
      <c r="AD266" s="190">
        <f t="shared" si="156"/>
        <v>5.4948253352405105</v>
      </c>
      <c r="AE266" s="169">
        <f t="shared" si="157"/>
        <v>-111.43928432320773</v>
      </c>
      <c r="AF266" s="98" t="str">
        <f t="shared" si="143"/>
        <v>-9.95024875621891E-06</v>
      </c>
      <c r="AG266" s="98" t="str">
        <f t="shared" si="144"/>
        <v>0.0189938911942997i</v>
      </c>
      <c r="AH266" s="98">
        <f t="shared" si="158"/>
        <v>1.89938911942997E-2</v>
      </c>
      <c r="AI266" s="98">
        <f t="shared" si="159"/>
        <v>1.5707963267948966</v>
      </c>
      <c r="AJ266" s="98" t="str">
        <f t="shared" si="145"/>
        <v>1+0.18955960317704i</v>
      </c>
      <c r="AK266" s="98">
        <f t="shared" si="160"/>
        <v>1.0178078616107447</v>
      </c>
      <c r="AL266" s="98">
        <f t="shared" si="161"/>
        <v>0.18733685977897838</v>
      </c>
      <c r="AM266" s="98" t="str">
        <f t="shared" si="146"/>
        <v>1+189.749162780217i</v>
      </c>
      <c r="AN266" s="98">
        <f t="shared" si="162"/>
        <v>189.75179781966042</v>
      </c>
      <c r="AO266" s="98">
        <f t="shared" si="163"/>
        <v>1.5655262601054667</v>
      </c>
      <c r="AP266" s="168" t="str">
        <f t="shared" si="164"/>
        <v>-0.0958592840771623+0.0186949135847232i</v>
      </c>
      <c r="AQ266" s="98">
        <f t="shared" si="165"/>
        <v>-20.205198186285607</v>
      </c>
      <c r="AR266" s="169">
        <f t="shared" si="166"/>
        <v>168.96443600837361</v>
      </c>
      <c r="AS266" s="168" t="str">
        <f t="shared" si="167"/>
        <v>0.0987184849211622+0.155107195582816i</v>
      </c>
      <c r="AT266" s="190">
        <f t="shared" si="168"/>
        <v>-14.710372851045088</v>
      </c>
      <c r="AU266" s="169">
        <f t="shared" si="169"/>
        <v>57.525151685165909</v>
      </c>
      <c r="AV266" s="225"/>
      <c r="AX266">
        <f t="shared" si="170"/>
        <v>0</v>
      </c>
      <c r="AY266">
        <f t="shared" si="171"/>
        <v>0</v>
      </c>
    </row>
    <row r="267" spans="14:51" x14ac:dyDescent="0.3">
      <c r="N267" s="170">
        <v>49</v>
      </c>
      <c r="O267" s="199">
        <f t="shared" si="172"/>
        <v>3090.295432513592</v>
      </c>
      <c r="P267" s="189" t="str">
        <f t="shared" si="138"/>
        <v>1078.86904761905</v>
      </c>
      <c r="Q267" s="160" t="str">
        <f t="shared" si="139"/>
        <v>1+606.778089262925i</v>
      </c>
      <c r="R267" s="160">
        <f t="shared" si="147"/>
        <v>606.77891328684632</v>
      </c>
      <c r="S267" s="160">
        <f t="shared" si="148"/>
        <v>1.5691482793252507</v>
      </c>
      <c r="T267" s="160" t="str">
        <f t="shared" si="140"/>
        <v>1+0.000388337977128272i</v>
      </c>
      <c r="U267" s="160">
        <f t="shared" si="149"/>
        <v>1.0000000754031895</v>
      </c>
      <c r="V267" s="160">
        <f t="shared" si="150"/>
        <v>3.8833795760699169E-4</v>
      </c>
      <c r="W267" s="98" t="str">
        <f t="shared" si="141"/>
        <v>1-0.280861558578252i</v>
      </c>
      <c r="X267" s="160">
        <f t="shared" si="151"/>
        <v>1.0386930321740899</v>
      </c>
      <c r="Y267" s="160">
        <f t="shared" si="152"/>
        <v>-0.27380744725293904</v>
      </c>
      <c r="Z267" s="98" t="str">
        <f t="shared" si="142"/>
        <v>0.996180029655914+0.110934753159194i</v>
      </c>
      <c r="AA267" s="160">
        <f t="shared" si="153"/>
        <v>1.0023378526942643</v>
      </c>
      <c r="AB267" s="160">
        <f t="shared" si="154"/>
        <v>0.11090321194097205</v>
      </c>
      <c r="AC267" s="171" t="str">
        <f t="shared" si="155"/>
        <v>-0.688000512028718-1.7092460770849i</v>
      </c>
      <c r="AD267" s="190">
        <f t="shared" si="156"/>
        <v>5.3082274633797599</v>
      </c>
      <c r="AE267" s="169">
        <f t="shared" si="157"/>
        <v>-111.9256208150634</v>
      </c>
      <c r="AF267" s="98" t="str">
        <f t="shared" si="143"/>
        <v>-9.95024875621891E-06</v>
      </c>
      <c r="AG267" s="98" t="str">
        <f t="shared" si="144"/>
        <v>0.01943631575527i</v>
      </c>
      <c r="AH267" s="98">
        <f t="shared" si="158"/>
        <v>1.9436315755269998E-2</v>
      </c>
      <c r="AI267" s="98">
        <f t="shared" si="159"/>
        <v>1.5707963267948966</v>
      </c>
      <c r="AJ267" s="98" t="str">
        <f t="shared" si="145"/>
        <v>1+0.193975013550585i</v>
      </c>
      <c r="AK267" s="98">
        <f t="shared" si="160"/>
        <v>1.018639438605216</v>
      </c>
      <c r="AL267" s="98">
        <f t="shared" si="161"/>
        <v>0.1915956485339525</v>
      </c>
      <c r="AM267" s="98" t="str">
        <f t="shared" si="146"/>
        <v>1+194.168988564136i</v>
      </c>
      <c r="AN267" s="98">
        <f t="shared" si="162"/>
        <v>194.17156362356349</v>
      </c>
      <c r="AO267" s="98">
        <f t="shared" si="163"/>
        <v>1.5656462193231686</v>
      </c>
      <c r="AP267" s="168" t="str">
        <f t="shared" si="164"/>
        <v>-0.0957028364972005+0.0190759001006382i</v>
      </c>
      <c r="AQ267" s="98">
        <f t="shared" si="165"/>
        <v>-20.212297328054433</v>
      </c>
      <c r="AR267" s="169">
        <f t="shared" si="166"/>
        <v>168.72729854376379</v>
      </c>
      <c r="AS267" s="168" t="str">
        <f t="shared" si="167"/>
        <v>0.0984490079265539+0.15045546881209i</v>
      </c>
      <c r="AT267" s="190">
        <f t="shared" si="168"/>
        <v>-14.904069864674664</v>
      </c>
      <c r="AU267" s="169">
        <f t="shared" si="169"/>
        <v>56.801677728700447</v>
      </c>
      <c r="AV267" s="225"/>
      <c r="AX267">
        <f t="shared" si="170"/>
        <v>0</v>
      </c>
      <c r="AY267">
        <f t="shared" si="171"/>
        <v>0</v>
      </c>
    </row>
    <row r="268" spans="14:51" x14ac:dyDescent="0.3">
      <c r="N268" s="170">
        <v>50</v>
      </c>
      <c r="O268" s="199">
        <f t="shared" si="172"/>
        <v>3162.2776601683804</v>
      </c>
      <c r="P268" s="189" t="str">
        <f t="shared" si="138"/>
        <v>1078.86904761905</v>
      </c>
      <c r="Q268" s="160" t="str">
        <f t="shared" si="139"/>
        <v>1+620.911766612256i</v>
      </c>
      <c r="R268" s="160">
        <f t="shared" si="147"/>
        <v>620.91257187912743</v>
      </c>
      <c r="S268" s="160">
        <f t="shared" si="148"/>
        <v>1.5691857934000313</v>
      </c>
      <c r="T268" s="160" t="str">
        <f t="shared" si="140"/>
        <v>1+0.000397383530631844i</v>
      </c>
      <c r="U268" s="160">
        <f t="shared" si="149"/>
        <v>1.000000078956832</v>
      </c>
      <c r="V268" s="160">
        <f t="shared" si="150"/>
        <v>3.9738350971441533E-4</v>
      </c>
      <c r="W268" s="98" t="str">
        <f t="shared" si="141"/>
        <v>1-0.287403664694175i</v>
      </c>
      <c r="X268" s="160">
        <f t="shared" si="151"/>
        <v>1.0404810745417918</v>
      </c>
      <c r="Y268" s="160">
        <f t="shared" si="152"/>
        <v>-0.27986083973717385</v>
      </c>
      <c r="Z268" s="98" t="str">
        <f t="shared" si="142"/>
        <v>0.996+0.113518755508198i</v>
      </c>
      <c r="AA268" s="160">
        <f t="shared" si="153"/>
        <v>1.0024482569450306</v>
      </c>
      <c r="AB268" s="160">
        <f t="shared" si="154"/>
        <v>0.11348494666242673</v>
      </c>
      <c r="AC268" s="171" t="str">
        <f t="shared" si="155"/>
        <v>-0.687891967968126-1.66713311723543i</v>
      </c>
      <c r="AD268" s="190">
        <f t="shared" si="156"/>
        <v>5.1222106934915761</v>
      </c>
      <c r="AE268" s="169">
        <f t="shared" si="157"/>
        <v>-112.42200828570599</v>
      </c>
      <c r="AF268" s="98" t="str">
        <f t="shared" si="143"/>
        <v>-9.95024875621891E-06</v>
      </c>
      <c r="AG268" s="98" t="str">
        <f t="shared" si="144"/>
        <v>0.0198890457081238i</v>
      </c>
      <c r="AH268" s="98">
        <f t="shared" si="158"/>
        <v>1.98890457081238E-2</v>
      </c>
      <c r="AI268" s="98">
        <f t="shared" si="159"/>
        <v>1.5707963267948966</v>
      </c>
      <c r="AJ268" s="98" t="str">
        <f t="shared" si="145"/>
        <v>1+0.198493272043878i</v>
      </c>
      <c r="AK268" s="98">
        <f t="shared" si="160"/>
        <v>1.0195094796257096</v>
      </c>
      <c r="AL268" s="98">
        <f t="shared" si="161"/>
        <v>0.19594636407095145</v>
      </c>
      <c r="AM268" s="98" t="str">
        <f t="shared" si="146"/>
        <v>1+198.691765315922i</v>
      </c>
      <c r="AN268" s="98">
        <f t="shared" si="162"/>
        <v>198.69428176059174</v>
      </c>
      <c r="AO268" s="98">
        <f t="shared" si="163"/>
        <v>1.56576344807893</v>
      </c>
      <c r="AP268" s="168" t="str">
        <f t="shared" si="164"/>
        <v>-0.0955395621653933+0.0194642481961003i</v>
      </c>
      <c r="AQ268" s="98">
        <f t="shared" si="165"/>
        <v>-20.219718144023172</v>
      </c>
      <c r="AR268" s="169">
        <f t="shared" si="166"/>
        <v>168.48473761857451</v>
      </c>
      <c r="AS268" s="168" t="str">
        <f t="shared" si="167"/>
        <v>0.0981703902065743+0.145887868095465i</v>
      </c>
      <c r="AT268" s="190">
        <f t="shared" si="168"/>
        <v>-15.097507450531591</v>
      </c>
      <c r="AU268" s="169">
        <f t="shared" si="169"/>
        <v>56.06272933286855</v>
      </c>
      <c r="AV268" s="225"/>
      <c r="AX268">
        <f t="shared" si="170"/>
        <v>0</v>
      </c>
      <c r="AY268">
        <f t="shared" si="171"/>
        <v>0</v>
      </c>
    </row>
    <row r="269" spans="14:51" x14ac:dyDescent="0.3">
      <c r="N269" s="170">
        <v>51</v>
      </c>
      <c r="O269" s="199">
        <f t="shared" si="172"/>
        <v>3235.9365692962833</v>
      </c>
      <c r="P269" s="189" t="str">
        <f t="shared" si="138"/>
        <v>1078.86904761905</v>
      </c>
      <c r="Q269" s="160" t="str">
        <f t="shared" si="139"/>
        <v>1+635.374659598984i</v>
      </c>
      <c r="R269" s="160">
        <f t="shared" si="147"/>
        <v>635.37544653576651</v>
      </c>
      <c r="S269" s="160">
        <f t="shared" si="148"/>
        <v>1.5692224535545967</v>
      </c>
      <c r="T269" s="160" t="str">
        <f t="shared" si="140"/>
        <v>1+0.00040663978214335i</v>
      </c>
      <c r="U269" s="160">
        <f t="shared" si="149"/>
        <v>1.0000000826779529</v>
      </c>
      <c r="V269" s="160">
        <f t="shared" si="150"/>
        <v>4.0663975972992148E-4</v>
      </c>
      <c r="W269" s="98" t="str">
        <f t="shared" si="141"/>
        <v>1-0.294098156037357i</v>
      </c>
      <c r="X269" s="160">
        <f t="shared" si="151"/>
        <v>1.0423500973207485</v>
      </c>
      <c r="Y269" s="160">
        <f t="shared" si="152"/>
        <v>-0.28603350243412112</v>
      </c>
      <c r="Z269" s="98" t="str">
        <f t="shared" si="142"/>
        <v>0.995811485807796+0.116162947003971i</v>
      </c>
      <c r="AA269" s="160">
        <f t="shared" si="153"/>
        <v>1.0025638860059631</v>
      </c>
      <c r="AB269" s="160">
        <f t="shared" si="154"/>
        <v>0.11612670691440193</v>
      </c>
      <c r="AC269" s="171" t="str">
        <f t="shared" si="155"/>
        <v>-0.687766215160922-1.62590543744971i</v>
      </c>
      <c r="AD269" s="190">
        <f t="shared" si="156"/>
        <v>4.936797924375119</v>
      </c>
      <c r="AE269" s="169">
        <f t="shared" si="157"/>
        <v>-112.92860764759546</v>
      </c>
      <c r="AF269" s="98" t="str">
        <f t="shared" si="143"/>
        <v>-9.95024875621891E-06</v>
      </c>
      <c r="AG269" s="98" t="str">
        <f t="shared" si="144"/>
        <v>0.0203523210962747i</v>
      </c>
      <c r="AH269" s="98">
        <f t="shared" si="158"/>
        <v>2.03523210962747E-2</v>
      </c>
      <c r="AI269" s="98">
        <f t="shared" si="159"/>
        <v>1.5707963267948966</v>
      </c>
      <c r="AJ269" s="98" t="str">
        <f t="shared" si="145"/>
        <v>1+0.203116774297378i</v>
      </c>
      <c r="AK269" s="98">
        <f t="shared" si="160"/>
        <v>1.0204197293275803</v>
      </c>
      <c r="AL269" s="98">
        <f t="shared" si="161"/>
        <v>0.2003906540528414</v>
      </c>
      <c r="AM269" s="98" t="str">
        <f t="shared" si="146"/>
        <v>1+203.319891071675i</v>
      </c>
      <c r="AN269" s="98">
        <f t="shared" si="162"/>
        <v>203.32235023577161</v>
      </c>
      <c r="AO269" s="98">
        <f t="shared" si="163"/>
        <v>1.5658780085160935</v>
      </c>
      <c r="AP269" s="168" t="str">
        <f t="shared" si="164"/>
        <v>-0.0953691889990409+0.0198599819863443i</v>
      </c>
      <c r="AQ269" s="98">
        <f t="shared" si="165"/>
        <v>-20.227474666990677</v>
      </c>
      <c r="AR269" s="169">
        <f t="shared" si="166"/>
        <v>168.23666238922854</v>
      </c>
      <c r="AS269" s="168" t="str">
        <f t="shared" si="167"/>
        <v>0.0978821588600875+0.141402258314798i</v>
      </c>
      <c r="AT269" s="190">
        <f t="shared" si="168"/>
        <v>-15.290676742615538</v>
      </c>
      <c r="AU269" s="169">
        <f t="shared" si="169"/>
        <v>55.308054741633171</v>
      </c>
      <c r="AV269" s="225"/>
      <c r="AX269">
        <f t="shared" si="170"/>
        <v>0</v>
      </c>
      <c r="AY269">
        <f t="shared" si="171"/>
        <v>0</v>
      </c>
    </row>
    <row r="270" spans="14:51" x14ac:dyDescent="0.3">
      <c r="N270" s="170">
        <v>52</v>
      </c>
      <c r="O270" s="199">
        <f t="shared" si="172"/>
        <v>3311.3112148259115</v>
      </c>
      <c r="P270" s="189" t="str">
        <f t="shared" si="138"/>
        <v>1078.86904761905</v>
      </c>
      <c r="Q270" s="160" t="str">
        <f t="shared" si="139"/>
        <v>1+650.174436640413i</v>
      </c>
      <c r="R270" s="160">
        <f t="shared" si="147"/>
        <v>650.17520566434894</v>
      </c>
      <c r="S270" s="160">
        <f t="shared" si="148"/>
        <v>1.5692582792262519</v>
      </c>
      <c r="T270" s="160" t="str">
        <f t="shared" si="140"/>
        <v>1+0.000416111639449864i</v>
      </c>
      <c r="U270" s="160">
        <f t="shared" si="149"/>
        <v>1.0000000865744445</v>
      </c>
      <c r="V270" s="160">
        <f t="shared" si="150"/>
        <v>4.1611161543344275E-4</v>
      </c>
      <c r="W270" s="98" t="str">
        <f t="shared" si="141"/>
        <v>1-0.30094858211572i</v>
      </c>
      <c r="X270" s="160">
        <f t="shared" si="151"/>
        <v>1.0443036192015531</v>
      </c>
      <c r="Y270" s="160">
        <f t="shared" si="152"/>
        <v>-0.29232682593428133</v>
      </c>
      <c r="Z270" s="98" t="str">
        <f t="shared" si="142"/>
        <v>0.995614087215427+0.118868729631845i</v>
      </c>
      <c r="AA270" s="160">
        <f t="shared" si="153"/>
        <v>1.0026849881922522</v>
      </c>
      <c r="AB270" s="160">
        <f t="shared" si="154"/>
        <v>0.11882988280608921</v>
      </c>
      <c r="AC270" s="171" t="str">
        <f>(IMDIV(IMPRODUCT(P270,T270,W270),IMPRODUCT(Q270,Z270)))</f>
        <v>-0.687622996182505-1.58554127675318i</v>
      </c>
      <c r="AD270" s="190">
        <f t="shared" si="156"/>
        <v>4.7520127523400193</v>
      </c>
      <c r="AE270" s="169">
        <f t="shared" si="157"/>
        <v>-113.44557905556846</v>
      </c>
      <c r="AF270" s="98" t="str">
        <f t="shared" si="143"/>
        <v>-9.95024875621891E-06</v>
      </c>
      <c r="AG270" s="98" t="str">
        <f t="shared" si="144"/>
        <v>0.0208263875544657i</v>
      </c>
      <c r="AH270" s="98">
        <f t="shared" si="158"/>
        <v>2.0826387554465701E-2</v>
      </c>
      <c r="AI270" s="98">
        <f t="shared" si="159"/>
        <v>1.5707963267948966</v>
      </c>
      <c r="AJ270" s="98" t="str">
        <f t="shared" si="145"/>
        <v>1+0.207847971753179i</v>
      </c>
      <c r="AK270" s="98">
        <f t="shared" si="160"/>
        <v>1.0213720083113254</v>
      </c>
      <c r="AL270" s="98">
        <f t="shared" si="161"/>
        <v>0.2049301723082228</v>
      </c>
      <c r="AM270" s="98" t="str">
        <f t="shared" si="146"/>
        <v>1+208.055819724932i</v>
      </c>
      <c r="AN270" s="98">
        <f t="shared" si="162"/>
        <v>208.05822291227378</v>
      </c>
      <c r="AO270" s="98">
        <f t="shared" si="163"/>
        <v>1.5659899613640842</v>
      </c>
      <c r="AP270" s="168" t="str">
        <f t="shared" si="164"/>
        <v>-0.0951914364536374+0.020263118223137i</v>
      </c>
      <c r="AQ270" s="98">
        <f t="shared" si="165"/>
        <v>-20.235581485754373</v>
      </c>
      <c r="AR270" s="169">
        <f t="shared" si="166"/>
        <v>167.98298157786698</v>
      </c>
      <c r="AS270" s="168" t="str">
        <f t="shared" si="167"/>
        <v>0.0975838310836799+0.136996565626076i</v>
      </c>
      <c r="AT270" s="190">
        <f t="shared" si="168"/>
        <v>-15.483568733414337</v>
      </c>
      <c r="AU270" s="169">
        <f t="shared" si="169"/>
        <v>54.537402522298606</v>
      </c>
      <c r="AV270" s="225"/>
      <c r="AX270">
        <f t="shared" si="170"/>
        <v>0</v>
      </c>
      <c r="AY270">
        <f t="shared" si="171"/>
        <v>0</v>
      </c>
    </row>
    <row r="271" spans="14:51" x14ac:dyDescent="0.3">
      <c r="N271" s="170">
        <v>53</v>
      </c>
      <c r="O271" s="199">
        <f t="shared" si="172"/>
        <v>3388.4415613920314</v>
      </c>
      <c r="P271" s="189" t="str">
        <f t="shared" si="138"/>
        <v>1078.86904761905</v>
      </c>
      <c r="Q271" s="160" t="str">
        <f t="shared" si="139"/>
        <v>1+665.318944774222i</v>
      </c>
      <c r="R271" s="160">
        <f t="shared" si="147"/>
        <v>665.31969629305604</v>
      </c>
      <c r="S271" s="160">
        <f t="shared" si="148"/>
        <v>1.5692932894098741</v>
      </c>
      <c r="T271" s="160" t="str">
        <f t="shared" si="140"/>
        <v>1+0.000425804124655502i</v>
      </c>
      <c r="U271" s="160">
        <f t="shared" si="149"/>
        <v>1.0000000906545721</v>
      </c>
      <c r="V271" s="160">
        <f t="shared" si="150"/>
        <v>4.2580409892144314E-4</v>
      </c>
      <c r="W271" s="98" t="str">
        <f t="shared" si="141"/>
        <v>1-0.307958575115845i</v>
      </c>
      <c r="X271" s="160">
        <f t="shared" si="151"/>
        <v>1.0463452986406454</v>
      </c>
      <c r="Y271" s="160">
        <f t="shared" si="152"/>
        <v>-0.29874215226769157</v>
      </c>
      <c r="Z271" s="98" t="str">
        <f t="shared" si="142"/>
        <v>0.995407385514012+0.121637538033583i</v>
      </c>
      <c r="AA271" s="160">
        <f t="shared" si="153"/>
        <v>1.0028118237210371</v>
      </c>
      <c r="AB271" s="160">
        <f t="shared" si="154"/>
        <v>0.12159589623261848</v>
      </c>
      <c r="AC271" s="171" t="str">
        <f t="shared" si="155"/>
        <v>-0.687462017460896-1.54601933885278i</v>
      </c>
      <c r="AD271" s="190">
        <f t="shared" si="156"/>
        <v>4.5678794740706632</v>
      </c>
      <c r="AE271" s="169">
        <f t="shared" si="157"/>
        <v>-113.9730816714533</v>
      </c>
      <c r="AF271" s="98" t="str">
        <f t="shared" si="143"/>
        <v>-9.95024875621891E-06</v>
      </c>
      <c r="AG271" s="98" t="str">
        <f t="shared" si="144"/>
        <v>0.0213114964390079i</v>
      </c>
      <c r="AH271" s="98">
        <f t="shared" si="158"/>
        <v>2.1311496439007899E-2</v>
      </c>
      <c r="AI271" s="98">
        <f t="shared" si="159"/>
        <v>1.5707963267948966</v>
      </c>
      <c r="AJ271" s="98" t="str">
        <f t="shared" si="145"/>
        <v>1+0.212689372954796i</v>
      </c>
      <c r="AK271" s="98">
        <f t="shared" si="160"/>
        <v>1.0223682161373682</v>
      </c>
      <c r="AL271" s="98">
        <f t="shared" si="161"/>
        <v>0.20956657702196302</v>
      </c>
      <c r="AM271" s="98" t="str">
        <f t="shared" si="146"/>
        <v>1+212.902062327751i</v>
      </c>
      <c r="AN271" s="98">
        <f t="shared" si="162"/>
        <v>212.90441081248076</v>
      </c>
      <c r="AO271" s="98">
        <f t="shared" si="163"/>
        <v>1.5660993659705524</v>
      </c>
      <c r="AP271" s="168" t="str">
        <f t="shared" si="164"/>
        <v>-0.0950060154859144+0.0206736656877135i</v>
      </c>
      <c r="AQ271" s="98">
        <f t="shared" si="165"/>
        <v>-20.244053762216176</v>
      </c>
      <c r="AR271" s="169">
        <f t="shared" si="166"/>
        <v>167.72360357786502</v>
      </c>
      <c r="AS271" s="168" t="str">
        <f t="shared" si="167"/>
        <v>0.0972749140350501+0.132668777326583i</v>
      </c>
      <c r="AT271" s="190">
        <f t="shared" si="168"/>
        <v>-15.676174288145502</v>
      </c>
      <c r="AU271" s="169">
        <f t="shared" si="169"/>
        <v>53.75052190641177</v>
      </c>
      <c r="AV271" s="225"/>
      <c r="AX271">
        <f t="shared" si="170"/>
        <v>0</v>
      </c>
      <c r="AY271">
        <f t="shared" si="171"/>
        <v>0</v>
      </c>
    </row>
    <row r="272" spans="14:51" x14ac:dyDescent="0.3">
      <c r="N272" s="170">
        <v>54</v>
      </c>
      <c r="O272" s="199">
        <f t="shared" si="172"/>
        <v>3467.3685045253224</v>
      </c>
      <c r="P272" s="189" t="str">
        <f t="shared" si="138"/>
        <v>1078.86904761905</v>
      </c>
      <c r="Q272" s="160" t="str">
        <f t="shared" si="139"/>
        <v>1+680.816213819087i</v>
      </c>
      <c r="R272" s="160">
        <f t="shared" si="147"/>
        <v>680.81694823128259</v>
      </c>
      <c r="S272" s="160">
        <f t="shared" si="148"/>
        <v>1.5693275026679825</v>
      </c>
      <c r="T272" s="160" t="str">
        <f t="shared" si="140"/>
        <v>1+0.000435722376844216i</v>
      </c>
      <c r="U272" s="160">
        <f t="shared" si="149"/>
        <v>1.0000000949269903</v>
      </c>
      <c r="V272" s="160">
        <f t="shared" si="150"/>
        <v>4.3572234926967523E-4</v>
      </c>
      <c r="W272" s="98" t="str">
        <f t="shared" si="141"/>
        <v>1-0.315131851828811i</v>
      </c>
      <c r="X272" s="160">
        <f t="shared" si="151"/>
        <v>1.0484789382896806</v>
      </c>
      <c r="Y272" s="160">
        <f t="shared" si="152"/>
        <v>-0.30528076989226155</v>
      </c>
      <c r="Z272" s="98" t="str">
        <f t="shared" si="142"/>
        <v>0.99519094226153+0.124470840268049i</v>
      </c>
      <c r="AA272" s="160">
        <f t="shared" si="153"/>
        <v>1.0029446652913738</v>
      </c>
      <c r="AB272" s="160">
        <f t="shared" si="154"/>
        <v>0.12442620157092181</v>
      </c>
      <c r="AC272" s="171" t="str">
        <f t="shared" si="155"/>
        <v>-0.687282948741062-1.50731878134148i</v>
      </c>
      <c r="AD272" s="190">
        <f t="shared" si="156"/>
        <v>4.384423087585211</v>
      </c>
      <c r="AE272" s="169">
        <f t="shared" si="157"/>
        <v>-114.51127341721698</v>
      </c>
      <c r="AF272" s="98" t="str">
        <f t="shared" si="143"/>
        <v>-9.95024875621891E-06</v>
      </c>
      <c r="AG272" s="98" t="str">
        <f t="shared" si="144"/>
        <v>0.021807904961053i</v>
      </c>
      <c r="AH272" s="98">
        <f t="shared" si="158"/>
        <v>2.1807904961053001E-2</v>
      </c>
      <c r="AI272" s="98">
        <f t="shared" si="159"/>
        <v>1.5707963267948966</v>
      </c>
      <c r="AJ272" s="98" t="str">
        <f t="shared" si="145"/>
        <v>1+0.217643544877231i</v>
      </c>
      <c r="AK272" s="98">
        <f t="shared" si="160"/>
        <v>1.0234103344342029</v>
      </c>
      <c r="AL272" s="98">
        <f t="shared" si="161"/>
        <v>0.2143015287824474</v>
      </c>
      <c r="AM272" s="98" t="str">
        <f t="shared" si="146"/>
        <v>1+217.861188422108i</v>
      </c>
      <c r="AN272" s="98">
        <f t="shared" si="162"/>
        <v>217.86348344936849</v>
      </c>
      <c r="AO272" s="98">
        <f t="shared" si="163"/>
        <v>1.5662062803327867</v>
      </c>
      <c r="AP272" s="168" t="str">
        <f t="shared" si="164"/>
        <v>-0.0948126285422137+0.0210916245555878i</v>
      </c>
      <c r="AQ272" s="98">
        <f t="shared" si="165"/>
        <v>-20.252907248536513</v>
      </c>
      <c r="AR272" s="169">
        <f t="shared" si="166"/>
        <v>167.45843656751657</v>
      </c>
      <c r="AS272" s="168" t="str">
        <f t="shared" si="167"/>
        <v>0.0969549047440243+0.128416941791728i</v>
      </c>
      <c r="AT272" s="190">
        <f t="shared" si="168"/>
        <v>-15.868484160951313</v>
      </c>
      <c r="AU272" s="169">
        <f t="shared" si="169"/>
        <v>52.947163150299531</v>
      </c>
      <c r="AV272" s="225"/>
      <c r="AX272">
        <f t="shared" si="170"/>
        <v>0</v>
      </c>
      <c r="AY272">
        <f t="shared" si="171"/>
        <v>0</v>
      </c>
    </row>
    <row r="273" spans="14:51" x14ac:dyDescent="0.3">
      <c r="N273" s="170">
        <v>55</v>
      </c>
      <c r="O273" s="199">
        <f t="shared" si="172"/>
        <v>3548.1338923357539</v>
      </c>
      <c r="P273" s="189" t="str">
        <f t="shared" si="138"/>
        <v>1078.86904761905</v>
      </c>
      <c r="Q273" s="160" t="str">
        <f t="shared" si="139"/>
        <v>1+696.674460632184i</v>
      </c>
      <c r="R273" s="160">
        <f t="shared" si="147"/>
        <v>696.67517832713452</v>
      </c>
      <c r="S273" s="160">
        <f t="shared" si="148"/>
        <v>1.569360937140579</v>
      </c>
      <c r="T273" s="160" t="str">
        <f t="shared" si="140"/>
        <v>1+0.000445871654804598i</v>
      </c>
      <c r="U273" s="160">
        <f t="shared" si="149"/>
        <v>1.0000000994007614</v>
      </c>
      <c r="V273" s="160">
        <f t="shared" si="150"/>
        <v>4.4587162525794544E-4</v>
      </c>
      <c r="W273" s="98" t="str">
        <f t="shared" si="141"/>
        <v>1-0.322472215620878i</v>
      </c>
      <c r="X273" s="160">
        <f t="shared" si="151"/>
        <v>1.0507084894714793</v>
      </c>
      <c r="Y273" s="160">
        <f t="shared" si="152"/>
        <v>-0.31194390847181391</v>
      </c>
      <c r="Z273" s="98" t="str">
        <f t="shared" si="142"/>
        <v>0.994964298352823+0.127370138589591i</v>
      </c>
      <c r="AA273" s="160">
        <f t="shared" si="153"/>
        <v>1.0030837986933381</v>
      </c>
      <c r="AB273" s="160">
        <f t="shared" si="154"/>
        <v>0.12732228638837045</v>
      </c>
      <c r="AC273" s="171" t="str">
        <f t="shared" si="155"/>
        <v>-0.687085422479852-1.46941920517763i</v>
      </c>
      <c r="AD273" s="190">
        <f t="shared" si="156"/>
        <v>4.201669291102295</v>
      </c>
      <c r="AE273" s="169">
        <f t="shared" si="157"/>
        <v>-115.06031071677866</v>
      </c>
      <c r="AF273" s="98" t="str">
        <f t="shared" si="143"/>
        <v>-9.95024875621891E-06</v>
      </c>
      <c r="AG273" s="98" t="str">
        <f t="shared" si="144"/>
        <v>0.0223158763229702i</v>
      </c>
      <c r="AH273" s="98">
        <f t="shared" si="158"/>
        <v>2.2315876322970201E-2</v>
      </c>
      <c r="AI273" s="98">
        <f t="shared" si="159"/>
        <v>1.5707963267948966</v>
      </c>
      <c r="AJ273" s="98" t="str">
        <f t="shared" si="145"/>
        <v>1+0.222713114288011i</v>
      </c>
      <c r="AK273" s="98">
        <f t="shared" si="160"/>
        <v>1.0245004301003806</v>
      </c>
      <c r="AL273" s="98">
        <f t="shared" si="161"/>
        <v>0.21913668847898565</v>
      </c>
      <c r="AM273" s="98" t="str">
        <f t="shared" si="146"/>
        <v>1+222.935827402299i</v>
      </c>
      <c r="AN273" s="98">
        <f t="shared" si="162"/>
        <v>222.93807018889268</v>
      </c>
      <c r="AO273" s="98">
        <f t="shared" si="163"/>
        <v>1.5663107611284144</v>
      </c>
      <c r="AP273" s="168" t="str">
        <f t="shared" si="164"/>
        <v>-0.0946109695749882+0.0215169857331603i</v>
      </c>
      <c r="AQ273" s="98">
        <f t="shared" si="165"/>
        <v>-20.262158304283247</v>
      </c>
      <c r="AR273" s="169">
        <f t="shared" si="166"/>
        <v>167.18738863226284</v>
      </c>
      <c r="AS273" s="168" t="str">
        <f t="shared" si="167"/>
        <v>0.096623290075498+0.124239168481003i</v>
      </c>
      <c r="AT273" s="190">
        <f t="shared" si="168"/>
        <v>-16.060489013180938</v>
      </c>
      <c r="AU273" s="169">
        <f t="shared" si="169"/>
        <v>52.12707791548425</v>
      </c>
      <c r="AV273" s="225"/>
      <c r="AX273">
        <f t="shared" si="170"/>
        <v>0</v>
      </c>
      <c r="AY273">
        <f t="shared" si="171"/>
        <v>0</v>
      </c>
    </row>
    <row r="274" spans="14:51" x14ac:dyDescent="0.3">
      <c r="N274" s="170">
        <v>56</v>
      </c>
      <c r="O274" s="199">
        <f t="shared" si="172"/>
        <v>3630.7805477010188</v>
      </c>
      <c r="P274" s="189" t="str">
        <f t="shared" si="138"/>
        <v>1078.86904761905</v>
      </c>
      <c r="Q274" s="160" t="str">
        <f t="shared" si="139"/>
        <v>1+712.902093465891i</v>
      </c>
      <c r="R274" s="160">
        <f t="shared" si="147"/>
        <v>712.90279482412598</v>
      </c>
      <c r="S274" s="160">
        <f t="shared" si="148"/>
        <v>1.5693936105547643</v>
      </c>
      <c r="T274" s="160" t="str">
        <f t="shared" si="140"/>
        <v>1+0.00045625733981817i</v>
      </c>
      <c r="U274" s="160">
        <f t="shared" si="149"/>
        <v>1.0000001040853748</v>
      </c>
      <c r="V274" s="160">
        <f t="shared" si="150"/>
        <v>4.5625730815836152E-4</v>
      </c>
      <c r="W274" s="98" t="str">
        <f t="shared" si="141"/>
        <v>1-0.329983558450093i</v>
      </c>
      <c r="X274" s="160">
        <f t="shared" si="151"/>
        <v>1.0530380566947171</v>
      </c>
      <c r="Y274" s="160">
        <f t="shared" si="152"/>
        <v>-0.31873273344765074</v>
      </c>
      <c r="Z274" s="98" t="str">
        <f t="shared" si="142"/>
        <v>0.994726973045774+0.130336970244557i</v>
      </c>
      <c r="AA274" s="160">
        <f t="shared" si="153"/>
        <v>1.0032295234478192</v>
      </c>
      <c r="AB274" s="160">
        <f t="shared" si="154"/>
        <v>0.13028567216421308</v>
      </c>
      <c r="AC274" s="171" t="str">
        <f t="shared" si="155"/>
        <v>-0.686869033171082-1.43230064443593i</v>
      </c>
      <c r="AD274" s="190">
        <f t="shared" si="156"/>
        <v>4.019644479620915</v>
      </c>
      <c r="AE274" s="169">
        <f t="shared" si="157"/>
        <v>-115.62034822670972</v>
      </c>
      <c r="AF274" s="98" t="str">
        <f t="shared" si="143"/>
        <v>-9.95024875621891E-06</v>
      </c>
      <c r="AG274" s="98" t="str">
        <f t="shared" si="144"/>
        <v>0.0228356798578994i</v>
      </c>
      <c r="AH274" s="98">
        <f t="shared" si="158"/>
        <v>2.2835679857899398E-2</v>
      </c>
      <c r="AI274" s="98">
        <f t="shared" si="159"/>
        <v>1.5707963267948966</v>
      </c>
      <c r="AJ274" s="98" t="str">
        <f t="shared" si="145"/>
        <v>1+0.227900769139945i</v>
      </c>
      <c r="AK274" s="98">
        <f t="shared" si="160"/>
        <v>1.0256406586005542</v>
      </c>
      <c r="AL274" s="98">
        <f t="shared" si="161"/>
        <v>0.22407371504285006</v>
      </c>
      <c r="AM274" s="98" t="str">
        <f t="shared" si="146"/>
        <v>1+228.128669909085i</v>
      </c>
      <c r="AN274" s="98">
        <f t="shared" si="162"/>
        <v>228.13086164411922</v>
      </c>
      <c r="AO274" s="98">
        <f t="shared" si="163"/>
        <v>1.5664128637454069</v>
      </c>
      <c r="AP274" s="168" t="str">
        <f t="shared" si="164"/>
        <v>-0.0944007240904155+0.0219497301662207i</v>
      </c>
      <c r="AQ274" s="98">
        <f t="shared" si="165"/>
        <v>-20.271823913515178</v>
      </c>
      <c r="AR274" s="169">
        <f t="shared" si="166"/>
        <v>166.91036789584032</v>
      </c>
      <c r="AS274" s="168" t="str">
        <f t="shared" si="167"/>
        <v>0.0962795467489065+0.120133628012282i</v>
      </c>
      <c r="AT274" s="190">
        <f t="shared" si="168"/>
        <v>-16.252179433894277</v>
      </c>
      <c r="AU274" s="169">
        <f t="shared" si="169"/>
        <v>51.290019669130508</v>
      </c>
      <c r="AV274" s="225"/>
      <c r="AX274">
        <f t="shared" si="170"/>
        <v>0</v>
      </c>
      <c r="AY274">
        <f t="shared" si="171"/>
        <v>0</v>
      </c>
    </row>
    <row r="275" spans="14:51" x14ac:dyDescent="0.3">
      <c r="N275" s="170">
        <v>57</v>
      </c>
      <c r="O275" s="199">
        <f t="shared" si="172"/>
        <v>3715.352290971724</v>
      </c>
      <c r="P275" s="189" t="str">
        <f t="shared" ref="P275:P338" si="173">COMPLEX(Adc,0)</f>
        <v>1078.86904761905</v>
      </c>
      <c r="Q275" s="160" t="str">
        <f t="shared" ref="Q275:Q338" si="174">IMSUM(COMPLEX(1,0),IMDIV(COMPLEX(0,2*PI()*O275),COMPLEX(wp_lf,0)))</f>
        <v>1+729.507716425925i</v>
      </c>
      <c r="R275" s="160">
        <f t="shared" si="147"/>
        <v>729.50840181931267</v>
      </c>
      <c r="S275" s="160">
        <f t="shared" si="148"/>
        <v>1.5694255402341357</v>
      </c>
      <c r="T275" s="160" t="str">
        <f t="shared" ref="T275:T338" si="175">IMSUM(COMPLEX(1,0),IMDIV(COMPLEX(0,2*PI()*O275),COMPLEX(wz_esr,0)))</f>
        <v>1+0.000466884938512592i</v>
      </c>
      <c r="U275" s="160">
        <f t="shared" si="149"/>
        <v>1.0000001089907669</v>
      </c>
      <c r="V275" s="160">
        <f t="shared" si="150"/>
        <v>4.6688490458849622E-4</v>
      </c>
      <c r="W275" s="98" t="str">
        <f t="shared" ref="W275:W338" si="176">IMSUB(COMPLEX(1,0),IMDIV(COMPLEX(0,2*PI()*O275),COMPLEX(wz_rhp,0)))</f>
        <v>1-0.337669862929847i</v>
      </c>
      <c r="X275" s="160">
        <f t="shared" si="151"/>
        <v>1.0554719021987566</v>
      </c>
      <c r="Y275" s="160">
        <f t="shared" si="152"/>
        <v>-0.32564834040903889</v>
      </c>
      <c r="Z275" s="98" t="str">
        <f t="shared" ref="Z275:Z338" si="177">IF(Dc_Mode_Loop="CCM",IMSUM(COMPLEX(1,0),IMDIV(COMPLEX(0,2*PI()*O275),COMPLEX(Q*(wsl/2),0)),IMDIV(IMPOWER(COMPLEX(0,2*PI()*O275),2),IMPOWER(COMPLEX(wsl/2,0),2))),COMPLEX(1,0))</f>
        <v>0.994478462941588+0.133372908286361i</v>
      </c>
      <c r="AA275" s="160">
        <f t="shared" si="153"/>
        <v>1.0033821534786362</v>
      </c>
      <c r="AB275" s="160">
        <f t="shared" si="154"/>
        <v>0.1333179150238121</v>
      </c>
      <c r="AC275" s="171" t="str">
        <f t="shared" si="155"/>
        <v>-0.68663333660026-1.39594355632735i</v>
      </c>
      <c r="AD275" s="190">
        <f t="shared" si="156"/>
        <v>3.838375739012974</v>
      </c>
      <c r="AE275" s="169">
        <f t="shared" si="157"/>
        <v>-116.19153855612947</v>
      </c>
      <c r="AF275" s="98" t="str">
        <f t="shared" ref="AF275:AF338" si="178">COMPLEX(Adc_ea,0)</f>
        <v>-9.95024875621891E-06</v>
      </c>
      <c r="AG275" s="98" t="str">
        <f t="shared" ref="AG275:AG338" si="179">COMPLEX(0,2*PI()*O275*wp0_ea)</f>
        <v>0.0233675911725552i</v>
      </c>
      <c r="AH275" s="98">
        <f t="shared" si="158"/>
        <v>2.3367591172555199E-2</v>
      </c>
      <c r="AI275" s="98">
        <f t="shared" si="159"/>
        <v>1.5707963267948966</v>
      </c>
      <c r="AJ275" s="98" t="str">
        <f t="shared" ref="AJ275:AJ338" si="180">IMSUM(COMPLEX(1,0),IMDIV(COMPLEX(0,2*PI()*O275),COMPLEX(wp1_ea,0)))</f>
        <v>1+0.2332092599963i</v>
      </c>
      <c r="AK275" s="98">
        <f t="shared" si="160"/>
        <v>1.0268332673555245</v>
      </c>
      <c r="AL275" s="98">
        <f t="shared" si="161"/>
        <v>0.229114263025404</v>
      </c>
      <c r="AM275" s="98" t="str">
        <f t="shared" ref="AM275:AM338" si="181">IMSUM(COMPLEX(1,0),IMDIV(COMPLEX(0,2*PI()*O275),COMPLEX(wz_ea,0)))</f>
        <v>1+233.442469256296i</v>
      </c>
      <c r="AN275" s="98">
        <f t="shared" si="162"/>
        <v>233.444611101813</v>
      </c>
      <c r="AO275" s="98">
        <f t="shared" si="163"/>
        <v>1.5665126423114031</v>
      </c>
      <c r="AP275" s="168" t="str">
        <f t="shared" si="164"/>
        <v>-0.0941815692302559+0.022389828120626i</v>
      </c>
      <c r="AQ275" s="98">
        <f t="shared" si="165"/>
        <v>-20.281921701735573</v>
      </c>
      <c r="AR275" s="169">
        <f t="shared" si="166"/>
        <v>166.62728266072421</v>
      </c>
      <c r="AS275" s="168" t="str">
        <f t="shared" si="167"/>
        <v>0.0959231414190838+0.116098552303402i</v>
      </c>
      <c r="AT275" s="190">
        <f t="shared" si="168"/>
        <v>-16.443545962722602</v>
      </c>
      <c r="AU275" s="169">
        <f t="shared" si="169"/>
        <v>50.43574410459469</v>
      </c>
      <c r="AV275" s="225"/>
      <c r="AX275">
        <f t="shared" si="170"/>
        <v>0</v>
      </c>
      <c r="AY275">
        <f t="shared" si="171"/>
        <v>0</v>
      </c>
    </row>
    <row r="276" spans="14:51" x14ac:dyDescent="0.3">
      <c r="N276" s="170">
        <v>58</v>
      </c>
      <c r="O276" s="199">
        <f t="shared" si="172"/>
        <v>3801.8939632056172</v>
      </c>
      <c r="P276" s="189" t="str">
        <f t="shared" si="173"/>
        <v>1078.86904761905</v>
      </c>
      <c r="Q276" s="160" t="str">
        <f t="shared" si="174"/>
        <v>1+746.500134033384i</v>
      </c>
      <c r="R276" s="160">
        <f t="shared" ref="R276:R339" si="182">IMABS(Q276)</f>
        <v>746.50080382532758</v>
      </c>
      <c r="S276" s="160">
        <f t="shared" ref="S276:S339" si="183">IMARGUMENT(Q276)</f>
        <v>1.5694567431079716</v>
      </c>
      <c r="T276" s="160" t="str">
        <f t="shared" si="175"/>
        <v>1+0.000477760085781366i</v>
      </c>
      <c r="U276" s="160">
        <f t="shared" ref="U276:U339" si="184">IMABS(T276)</f>
        <v>1.0000001141273434</v>
      </c>
      <c r="V276" s="160">
        <f t="shared" ref="V276:V339" si="185">IMARGUMENT(T276)</f>
        <v>4.7776004943104268E-4</v>
      </c>
      <c r="W276" s="98" t="str">
        <f t="shared" si="176"/>
        <v>1-0.345535204440515i</v>
      </c>
      <c r="X276" s="160">
        <f t="shared" ref="X276:X339" si="186">IMABS(W276)</f>
        <v>1.0580144505193436</v>
      </c>
      <c r="Y276" s="160">
        <f t="shared" ref="Y276:Y339" si="187">IMARGUMENT(W276)</f>
        <v>-0.33269174926986345</v>
      </c>
      <c r="Z276" s="98" t="str">
        <f t="shared" si="177"/>
        <v>0.994218240917016+0.136479562409537i</v>
      </c>
      <c r="AA276" s="160">
        <f t="shared" ref="AA276:AA339" si="188">IMABS(Z276)</f>
        <v>1.0035420178186982</v>
      </c>
      <c r="AB276" s="160">
        <f t="shared" ref="AB276:AB339" si="189">IMARGUMENT(Z276)</f>
        <v>0.13642060648565768</v>
      </c>
      <c r="AC276" s="171" t="str">
        <f t="shared" ref="AC276:AC339" si="190">(IMDIV(IMPRODUCT(P276,T276,W276),IMPRODUCT(Q276,Z276)))</f>
        <v>-0.686377849028278-1.36032881148506i</v>
      </c>
      <c r="AD276" s="190">
        <f t="shared" ref="AD276:AD339" si="191">20*LOG(IMABS(AC276))</f>
        <v>3.6578908374185355</v>
      </c>
      <c r="AE276" s="169">
        <f t="shared" ref="AE276:AE339" si="192">(180/PI())*IMARGUMENT(AC276)</f>
        <v>-116.77403197621314</v>
      </c>
      <c r="AF276" s="98" t="str">
        <f t="shared" si="178"/>
        <v>-9.95024875621891E-06</v>
      </c>
      <c r="AG276" s="98" t="str">
        <f t="shared" si="179"/>
        <v>0.0239118922933574i</v>
      </c>
      <c r="AH276" s="98">
        <f t="shared" ref="AH276:AH339" si="193">IMABS(AG276)</f>
        <v>2.3911892293357401E-2</v>
      </c>
      <c r="AI276" s="98">
        <f t="shared" ref="AI276:AI339" si="194">IMARGUMENT(AG276)</f>
        <v>1.5707963267948966</v>
      </c>
      <c r="AJ276" s="98" t="str">
        <f t="shared" si="180"/>
        <v>1+0.238641401489194i</v>
      </c>
      <c r="AK276" s="98">
        <f t="shared" ref="AK276:AK339" si="195">IMABS(AJ276)</f>
        <v>1.0280805992259201</v>
      </c>
      <c r="AL276" s="98">
        <f t="shared" ref="AL276:AL339" si="196">IMARGUMENT(AJ276)</f>
        <v>0.23425998000695009</v>
      </c>
      <c r="AM276" s="98" t="str">
        <f t="shared" si="181"/>
        <v>1+238.880042890683i</v>
      </c>
      <c r="AN276" s="98">
        <f t="shared" ref="AN276:AN339" si="197">IMABS(AM276)</f>
        <v>238.88213598227588</v>
      </c>
      <c r="AO276" s="98">
        <f t="shared" ref="AO276:AO339" si="198">IMARGUMENT(AM276)</f>
        <v>1.5666101497223679</v>
      </c>
      <c r="AP276" s="168" t="str">
        <f t="shared" ref="AP276:AP339" si="199">IMPRODUCT(AF276,IMDIV(AM276,IMPRODUCT(AG276,AJ276)))</f>
        <v>-0.0939531738912801+0.0228372384356695i</v>
      </c>
      <c r="AQ276" s="98">
        <f t="shared" ref="AQ276:AQ339" si="200">20*LOG(IMABS(AP276))</f>
        <v>-20.292469952641969</v>
      </c>
      <c r="AR276" s="169">
        <f t="shared" ref="AR276:AR339" si="201">(180/PI())*IMARGUMENT(AP276)</f>
        <v>166.33804155823239</v>
      </c>
      <c r="AS276" s="168" t="str">
        <f t="shared" ref="AS276:AS339" si="202">IMPRODUCT(AC276,AP276)</f>
        <v>0.0955535308236718+0.112132234779554i</v>
      </c>
      <c r="AT276" s="190">
        <f t="shared" ref="AT276:AT339" si="203">20*LOG(IMABS(AS276))</f>
        <v>-16.63457911522341</v>
      </c>
      <c r="AU276" s="169">
        <f t="shared" ref="AU276:AU339" si="204">(180/PI())*IMARGUMENT(AS276)</f>
        <v>49.564009582019388</v>
      </c>
      <c r="AV276" s="225"/>
      <c r="AX276">
        <f t="shared" ref="AX276:AX339" si="205">SUM((AT277&lt;0)*(AT276&gt;0))*O276</f>
        <v>0</v>
      </c>
      <c r="AY276">
        <f t="shared" ref="AY276:AY339" si="206">IF(AX276&gt;0,AU276,0)</f>
        <v>0</v>
      </c>
    </row>
    <row r="277" spans="14:51" x14ac:dyDescent="0.3">
      <c r="N277" s="170">
        <v>59</v>
      </c>
      <c r="O277" s="199">
        <f t="shared" si="172"/>
        <v>3890.451449942811</v>
      </c>
      <c r="P277" s="189" t="str">
        <f t="shared" si="173"/>
        <v>1078.86904761905</v>
      </c>
      <c r="Q277" s="160" t="str">
        <f t="shared" si="174"/>
        <v>1+763.888355893006i</v>
      </c>
      <c r="R277" s="160">
        <f t="shared" si="182"/>
        <v>763.88901043863677</v>
      </c>
      <c r="S277" s="160">
        <f t="shared" si="183"/>
        <v>1.5694872357202054</v>
      </c>
      <c r="T277" s="160" t="str">
        <f t="shared" si="175"/>
        <v>1+0.000488888547771524i</v>
      </c>
      <c r="U277" s="160">
        <f t="shared" si="184"/>
        <v>1.0000001195059989</v>
      </c>
      <c r="V277" s="160">
        <f t="shared" si="185"/>
        <v>4.8888850882145116E-4</v>
      </c>
      <c r="W277" s="98" t="str">
        <f t="shared" si="176"/>
        <v>1-0.353583753290277i</v>
      </c>
      <c r="X277" s="160">
        <f t="shared" si="186"/>
        <v>1.0606702930651162</v>
      </c>
      <c r="Y277" s="160">
        <f t="shared" si="187"/>
        <v>-0.33986389826058905</v>
      </c>
      <c r="Z277" s="98" t="str">
        <f t="shared" si="177"/>
        <v>0.993945755006255+0.139658579803223i</v>
      </c>
      <c r="AA277" s="160">
        <f t="shared" si="188"/>
        <v>1.0037094613520428</v>
      </c>
      <c r="AB277" s="160">
        <f t="shared" si="189"/>
        <v>0.13959537422110738</v>
      </c>
      <c r="AC277" s="171" t="str">
        <f t="shared" si="190"/>
        <v>-0.686102046303505-1.32543768451468i</v>
      </c>
      <c r="AD277" s="190">
        <f t="shared" si="191"/>
        <v>3.4782182137331685</v>
      </c>
      <c r="AE277" s="169">
        <f t="shared" si="192"/>
        <v>-117.3679761198282</v>
      </c>
      <c r="AF277" s="98" t="str">
        <f t="shared" si="178"/>
        <v>-9.95024875621891E-06</v>
      </c>
      <c r="AG277" s="98" t="str">
        <f t="shared" si="179"/>
        <v>0.0244688718159648i</v>
      </c>
      <c r="AH277" s="98">
        <f t="shared" si="193"/>
        <v>2.4468871815964799E-2</v>
      </c>
      <c r="AI277" s="98">
        <f t="shared" si="194"/>
        <v>1.5707963267948966</v>
      </c>
      <c r="AJ277" s="98" t="str">
        <f t="shared" si="180"/>
        <v>1+0.24420007381195i</v>
      </c>
      <c r="AK277" s="98">
        <f t="shared" si="195"/>
        <v>1.0293850960888067</v>
      </c>
      <c r="AL277" s="98">
        <f t="shared" si="196"/>
        <v>0.23951250383000286</v>
      </c>
      <c r="AM277" s="98" t="str">
        <f t="shared" si="181"/>
        <v>1+244.444273885762i</v>
      </c>
      <c r="AN277" s="98">
        <f t="shared" si="197"/>
        <v>244.44631933317675</v>
      </c>
      <c r="AO277" s="98">
        <f t="shared" si="198"/>
        <v>1.5667054376706</v>
      </c>
      <c r="AP277" s="168" t="str">
        <f t="shared" si="199"/>
        <v>-0.093715198885724+0.0232919077508852i</v>
      </c>
      <c r="AQ277" s="98">
        <f t="shared" si="200"/>
        <v>-20.303487624594307</v>
      </c>
      <c r="AR277" s="169">
        <f t="shared" si="201"/>
        <v>166.04255370865167</v>
      </c>
      <c r="AS277" s="168" t="str">
        <f t="shared" si="202"/>
        <v>0.095170162002498+0.108233030644732i</v>
      </c>
      <c r="AT277" s="190">
        <f t="shared" si="203"/>
        <v>-16.825269410861136</v>
      </c>
      <c r="AU277" s="169">
        <f t="shared" si="204"/>
        <v>48.674577588823482</v>
      </c>
      <c r="AV277" s="225"/>
      <c r="AX277">
        <f t="shared" si="205"/>
        <v>0</v>
      </c>
      <c r="AY277">
        <f t="shared" si="206"/>
        <v>0</v>
      </c>
    </row>
    <row r="278" spans="14:51" x14ac:dyDescent="0.3">
      <c r="N278" s="170">
        <v>60</v>
      </c>
      <c r="O278" s="199">
        <f t="shared" si="172"/>
        <v>3981.0717055349769</v>
      </c>
      <c r="P278" s="189" t="str">
        <f t="shared" si="173"/>
        <v>1078.86904761905</v>
      </c>
      <c r="Q278" s="160" t="str">
        <f t="shared" si="174"/>
        <v>1+781.681601470178i</v>
      </c>
      <c r="R278" s="160">
        <f t="shared" si="182"/>
        <v>781.68224111654354</v>
      </c>
      <c r="S278" s="160">
        <f t="shared" si="183"/>
        <v>1.5695170342381966</v>
      </c>
      <c r="T278" s="160" t="str">
        <f t="shared" si="175"/>
        <v>1+0.000500276224940914i</v>
      </c>
      <c r="U278" s="160">
        <f t="shared" si="184"/>
        <v>1.0000001251381427</v>
      </c>
      <c r="V278" s="160">
        <f t="shared" si="185"/>
        <v>5.0027618320515918E-4</v>
      </c>
      <c r="W278" s="98" t="str">
        <f t="shared" si="176"/>
        <v>1-0.361819776926267i</v>
      </c>
      <c r="X278" s="160">
        <f t="shared" si="186"/>
        <v>1.0634441926941789</v>
      </c>
      <c r="Y278" s="160">
        <f t="shared" si="187"/>
        <v>-0.34716563774677117</v>
      </c>
      <c r="Z278" s="98" t="str">
        <f t="shared" si="177"/>
        <v>0.993660427230156+0.14291164602452i</v>
      </c>
      <c r="AA278" s="160">
        <f t="shared" si="188"/>
        <v>1.0038848455936835</v>
      </c>
      <c r="AB278" s="160">
        <f t="shared" si="189"/>
        <v>0.14284388282675869</v>
      </c>
      <c r="AC278" s="171" t="str">
        <f t="shared" si="190"/>
        <v>-0.68580536290155-1.29125184480674i</v>
      </c>
      <c r="AD278" s="190">
        <f t="shared" si="191"/>
        <v>3.2993869629686707</v>
      </c>
      <c r="AE278" s="169">
        <f t="shared" si="192"/>
        <v>-117.97351567194207</v>
      </c>
      <c r="AF278" s="98" t="str">
        <f t="shared" si="178"/>
        <v>-9.95024875621891E-06</v>
      </c>
      <c r="AG278" s="98" t="str">
        <f t="shared" si="179"/>
        <v>0.0250388250582928i</v>
      </c>
      <c r="AH278" s="98">
        <f t="shared" si="193"/>
        <v>2.5038825058292798E-2</v>
      </c>
      <c r="AI278" s="98">
        <f t="shared" si="194"/>
        <v>1.5707963267948966</v>
      </c>
      <c r="AJ278" s="98" t="str">
        <f t="shared" si="180"/>
        <v>1+0.249888224246211i</v>
      </c>
      <c r="AK278" s="98">
        <f t="shared" si="195"/>
        <v>1.0307493025061549</v>
      </c>
      <c r="AL278" s="98">
        <f t="shared" si="196"/>
        <v>0.24487345965093371</v>
      </c>
      <c r="AM278" s="98" t="str">
        <f t="shared" si="181"/>
        <v>1+250.138112470457i</v>
      </c>
      <c r="AN278" s="98">
        <f t="shared" si="197"/>
        <v>250.14011135818058</v>
      </c>
      <c r="AO278" s="98">
        <f t="shared" si="198"/>
        <v>1.5667985566721059</v>
      </c>
      <c r="AP278" s="168" t="str">
        <f t="shared" si="199"/>
        <v>-0.0934672971463975+0.0237537697073125i</v>
      </c>
      <c r="AQ278" s="98">
        <f t="shared" si="200"/>
        <v>-20.314994366714934</v>
      </c>
      <c r="AR278" s="169">
        <f t="shared" si="201"/>
        <v>165.7407288917351</v>
      </c>
      <c r="AS278" s="168" t="str">
        <f t="shared" si="202"/>
        <v>0.0947724725945939+0.104399357214982i</v>
      </c>
      <c r="AT278" s="190">
        <f t="shared" si="203"/>
        <v>-17.015607403746277</v>
      </c>
      <c r="AU278" s="169">
        <f t="shared" si="204"/>
        <v>47.76721321979295</v>
      </c>
      <c r="AV278" s="225"/>
      <c r="AX278">
        <f t="shared" si="205"/>
        <v>0</v>
      </c>
      <c r="AY278">
        <f t="shared" si="206"/>
        <v>0</v>
      </c>
    </row>
    <row r="279" spans="14:51" x14ac:dyDescent="0.3">
      <c r="N279" s="170">
        <v>61</v>
      </c>
      <c r="O279" s="199">
        <f t="shared" si="172"/>
        <v>4073.8027780411317</v>
      </c>
      <c r="P279" s="189" t="str">
        <f t="shared" si="173"/>
        <v>1078.86904761905</v>
      </c>
      <c r="Q279" s="160" t="str">
        <f t="shared" si="174"/>
        <v>1+799.889304979231i</v>
      </c>
      <c r="R279" s="160">
        <f t="shared" si="182"/>
        <v>799.88993006547912</v>
      </c>
      <c r="S279" s="160">
        <f t="shared" si="183"/>
        <v>1.5695461544613023</v>
      </c>
      <c r="T279" s="160" t="str">
        <f t="shared" si="175"/>
        <v>1+0.000511929155186708i</v>
      </c>
      <c r="U279" s="160">
        <f t="shared" si="184"/>
        <v>1.0000001310357214</v>
      </c>
      <c r="V279" s="160">
        <f t="shared" si="185"/>
        <v>5.1192911046604142E-4</v>
      </c>
      <c r="W279" s="98" t="str">
        <f t="shared" si="176"/>
        <v>1-0.370247642197235i</v>
      </c>
      <c r="X279" s="160">
        <f t="shared" si="186"/>
        <v>1.0663410882792672</v>
      </c>
      <c r="Y279" s="160">
        <f t="shared" si="187"/>
        <v>-0.35459772388761091</v>
      </c>
      <c r="Z279" s="98" t="str">
        <f t="shared" si="177"/>
        <v>0.99336165237025+0.146240485892199i</v>
      </c>
      <c r="AA279" s="160">
        <f t="shared" si="188"/>
        <v>1.0040685495093151</v>
      </c>
      <c r="AB279" s="160">
        <f t="shared" si="189"/>
        <v>0.14616783460934815</v>
      </c>
      <c r="AC279" s="171" t="str">
        <f t="shared" si="190"/>
        <v>-0.685487190891898-1.25775334760956i</v>
      </c>
      <c r="AD279" s="190">
        <f t="shared" si="191"/>
        <v>3.1214268182647631</v>
      </c>
      <c r="AE279" s="169">
        <f t="shared" si="192"/>
        <v>-118.59079205156873</v>
      </c>
      <c r="AF279" s="98" t="str">
        <f t="shared" si="178"/>
        <v>-9.95024875621891E-06</v>
      </c>
      <c r="AG279" s="98" t="str">
        <f t="shared" si="179"/>
        <v>0.0256220542170948i</v>
      </c>
      <c r="AH279" s="98">
        <f t="shared" si="193"/>
        <v>2.5622054217094799E-2</v>
      </c>
      <c r="AI279" s="98">
        <f t="shared" si="194"/>
        <v>1.5707963267948966</v>
      </c>
      <c r="AJ279" s="98" t="str">
        <f t="shared" si="180"/>
        <v>1+0.255708868724629i</v>
      </c>
      <c r="AK279" s="98">
        <f t="shared" si="195"/>
        <v>1.0321758694836987</v>
      </c>
      <c r="AL279" s="98">
        <f t="shared" si="196"/>
        <v>0.25034445680420275</v>
      </c>
      <c r="AM279" s="98" t="str">
        <f t="shared" si="181"/>
        <v>1+255.964577593354i</v>
      </c>
      <c r="AN279" s="98">
        <f t="shared" si="197"/>
        <v>255.96653098118927</v>
      </c>
      <c r="AO279" s="98">
        <f t="shared" si="198"/>
        <v>1.5668895560933491</v>
      </c>
      <c r="AP279" s="168" t="str">
        <f t="shared" si="199"/>
        <v>-0.0932091139802161+0.0242227441245509i</v>
      </c>
      <c r="AQ279" s="98">
        <f t="shared" si="200"/>
        <v>-20.327010534526305</v>
      </c>
      <c r="AR279" s="169">
        <f t="shared" si="201"/>
        <v>165.43247772789996</v>
      </c>
      <c r="AS279" s="168" t="str">
        <f t="shared" si="202"/>
        <v>0.0943598912187648+0.100629694310706i</v>
      </c>
      <c r="AT279" s="190">
        <f t="shared" si="203"/>
        <v>-17.205583716261554</v>
      </c>
      <c r="AU279" s="169">
        <f t="shared" si="204"/>
        <v>46.84168567633116</v>
      </c>
      <c r="AV279" s="225"/>
      <c r="AX279">
        <f t="shared" si="205"/>
        <v>0</v>
      </c>
      <c r="AY279">
        <f t="shared" si="206"/>
        <v>0</v>
      </c>
    </row>
    <row r="280" spans="14:51" x14ac:dyDescent="0.3">
      <c r="N280" s="170">
        <v>62</v>
      </c>
      <c r="O280" s="199">
        <f t="shared" si="172"/>
        <v>4168.6938347033583</v>
      </c>
      <c r="P280" s="189" t="str">
        <f t="shared" si="173"/>
        <v>1078.86904761905</v>
      </c>
      <c r="Q280" s="160" t="str">
        <f t="shared" si="174"/>
        <v>1+818.521120385572i</v>
      </c>
      <c r="R280" s="160">
        <f t="shared" si="182"/>
        <v>818.52173124313072</v>
      </c>
      <c r="S280" s="160">
        <f t="shared" si="183"/>
        <v>1.5695746118292526</v>
      </c>
      <c r="T280" s="160" t="str">
        <f t="shared" si="175"/>
        <v>1+0.000523853517046766i</v>
      </c>
      <c r="U280" s="160">
        <f t="shared" si="184"/>
        <v>1.0000001372112444</v>
      </c>
      <c r="V280" s="160">
        <f t="shared" si="185"/>
        <v>5.238534691277087E-4</v>
      </c>
      <c r="W280" s="98" t="str">
        <f t="shared" si="176"/>
        <v>1-0.378871817668903i</v>
      </c>
      <c r="X280" s="160">
        <f t="shared" si="186"/>
        <v>1.069366099249335</v>
      </c>
      <c r="Y280" s="160">
        <f t="shared" si="187"/>
        <v>-0.36216081215038964</v>
      </c>
      <c r="Z280" s="98" t="str">
        <f t="shared" si="177"/>
        <v>0.993048796685002+0.14964686440122i</v>
      </c>
      <c r="AA280" s="160">
        <f t="shared" si="188"/>
        <v>1.0042609703770469</v>
      </c>
      <c r="AB280" s="160">
        <f t="shared" si="189"/>
        <v>0.14956897038300759</v>
      </c>
      <c r="AC280" s="171" t="str">
        <f t="shared" si="190"/>
        <v>-0.685146878830747-1.224924625362i</v>
      </c>
      <c r="AD280" s="190">
        <f t="shared" si="191"/>
        <v>2.9443681293329123</v>
      </c>
      <c r="AE280" s="169">
        <f t="shared" si="192"/>
        <v>-119.2199430861474</v>
      </c>
      <c r="AF280" s="98" t="str">
        <f t="shared" si="178"/>
        <v>-9.95024875621891E-06</v>
      </c>
      <c r="AG280" s="98" t="str">
        <f t="shared" si="179"/>
        <v>0.0262188685281906i</v>
      </c>
      <c r="AH280" s="98">
        <f t="shared" si="193"/>
        <v>2.6218868528190602E-2</v>
      </c>
      <c r="AI280" s="98">
        <f t="shared" si="194"/>
        <v>1.5707963267948966</v>
      </c>
      <c r="AJ280" s="98" t="str">
        <f t="shared" si="180"/>
        <v>1+0.261665093429953i</v>
      </c>
      <c r="AK280" s="98">
        <f t="shared" si="195"/>
        <v>1.033667558318295</v>
      </c>
      <c r="AL280" s="98">
        <f t="shared" si="196"/>
        <v>0.25592708547373061</v>
      </c>
      <c r="AM280" s="98" t="str">
        <f t="shared" si="181"/>
        <v>1+261.926758523383i</v>
      </c>
      <c r="AN280" s="98">
        <f t="shared" si="197"/>
        <v>261.92866744701047</v>
      </c>
      <c r="AO280" s="98">
        <f t="shared" si="198"/>
        <v>1.5669784841773953</v>
      </c>
      <c r="AP280" s="168" t="str">
        <f t="shared" si="199"/>
        <v>-0.0929402873740444+0.0246987361552569i</v>
      </c>
      <c r="AQ280" s="98">
        <f t="shared" si="200"/>
        <v>-20.339557205025585</v>
      </c>
      <c r="AR280" s="169">
        <f t="shared" si="201"/>
        <v>165.11771187044334</v>
      </c>
      <c r="AS280" s="168" t="str">
        <f t="shared" si="202"/>
        <v>0.0939318379438522+0.0969225847048496i</v>
      </c>
      <c r="AT280" s="190">
        <f t="shared" si="203"/>
        <v>-17.39518907569267</v>
      </c>
      <c r="AU280" s="169">
        <f t="shared" si="204"/>
        <v>45.897768784295963</v>
      </c>
      <c r="AV280" s="225"/>
      <c r="AX280">
        <f t="shared" si="205"/>
        <v>0</v>
      </c>
      <c r="AY280">
        <f t="shared" si="206"/>
        <v>0</v>
      </c>
    </row>
    <row r="281" spans="14:51" x14ac:dyDescent="0.3">
      <c r="N281" s="170">
        <v>63</v>
      </c>
      <c r="O281" s="199">
        <f t="shared" si="172"/>
        <v>4265.7951880159299</v>
      </c>
      <c r="P281" s="189" t="str">
        <f t="shared" si="173"/>
        <v>1078.86904761905</v>
      </c>
      <c r="Q281" s="160" t="str">
        <f t="shared" si="174"/>
        <v>1+837.586926524347i</v>
      </c>
      <c r="R281" s="160">
        <f t="shared" si="182"/>
        <v>837.58752347710015</v>
      </c>
      <c r="S281" s="160">
        <f t="shared" si="183"/>
        <v>1.5696024214303359</v>
      </c>
      <c r="T281" s="160" t="str">
        <f t="shared" si="175"/>
        <v>1+0.000536055632975582i</v>
      </c>
      <c r="U281" s="160">
        <f t="shared" si="184"/>
        <v>1.0000001436778105</v>
      </c>
      <c r="V281" s="160">
        <f t="shared" si="185"/>
        <v>5.3605558162938736E-4</v>
      </c>
      <c r="W281" s="98" t="str">
        <f t="shared" si="176"/>
        <v>1-0.38769687599326i</v>
      </c>
      <c r="X281" s="160">
        <f t="shared" si="186"/>
        <v>1.0725245300947355</v>
      </c>
      <c r="Y281" s="160">
        <f t="shared" si="187"/>
        <v>-0.36985545069916476</v>
      </c>
      <c r="Z281" s="98" t="str">
        <f t="shared" si="177"/>
        <v>0.99272119656556+0.153132587658557i</v>
      </c>
      <c r="AA281" s="160">
        <f t="shared" si="188"/>
        <v>1.0044625246934618</v>
      </c>
      <c r="AB281" s="160">
        <f t="shared" si="189"/>
        <v>0.15304907027869061</v>
      </c>
      <c r="AC281" s="171" t="str">
        <f t="shared" si="190"/>
        <v>-0.684783730579176-1.19274847928465i</v>
      </c>
      <c r="AD281" s="190">
        <f t="shared" si="191"/>
        <v>2.7682418371063959</v>
      </c>
      <c r="AE281" s="169">
        <f t="shared" si="192"/>
        <v>-119.86110267940195</v>
      </c>
      <c r="AF281" s="98" t="str">
        <f t="shared" si="178"/>
        <v>-9.95024875621891E-06</v>
      </c>
      <c r="AG281" s="98" t="str">
        <f t="shared" si="179"/>
        <v>0.0268295844304279i</v>
      </c>
      <c r="AH281" s="98">
        <f t="shared" si="193"/>
        <v>2.6829584430427902E-2</v>
      </c>
      <c r="AI281" s="98">
        <f t="shared" si="194"/>
        <v>1.5707963267948966</v>
      </c>
      <c r="AJ281" s="98" t="str">
        <f t="shared" si="180"/>
        <v>1+0.26776005643136i</v>
      </c>
      <c r="AK281" s="98">
        <f t="shared" si="195"/>
        <v>1.0352272445314241</v>
      </c>
      <c r="AL281" s="98">
        <f t="shared" si="196"/>
        <v>0.26162291316639114</v>
      </c>
      <c r="AM281" s="98" t="str">
        <f t="shared" si="181"/>
        <v>1+268.027816487791i</v>
      </c>
      <c r="AN281" s="98">
        <f t="shared" si="197"/>
        <v>268.0296819593176</v>
      </c>
      <c r="AO281" s="98">
        <f t="shared" si="198"/>
        <v>1.5670653880694627</v>
      </c>
      <c r="AP281" s="168" t="str">
        <f t="shared" si="199"/>
        <v>-0.092660448356856+0.0251816354191121i</v>
      </c>
      <c r="AQ281" s="98">
        <f t="shared" si="200"/>
        <v>-20.352656191086655</v>
      </c>
      <c r="AR281" s="169">
        <f t="shared" si="201"/>
        <v>164.79634420905887</v>
      </c>
      <c r="AS281" s="168" t="str">
        <f t="shared" si="202"/>
        <v>0.0934877248549934+0.0932766346230895i</v>
      </c>
      <c r="AT281" s="190">
        <f t="shared" si="203"/>
        <v>-17.584414353980257</v>
      </c>
      <c r="AU281" s="169">
        <f t="shared" si="204"/>
        <v>44.935241529656899</v>
      </c>
      <c r="AV281" s="225"/>
      <c r="AX281">
        <f t="shared" si="205"/>
        <v>0</v>
      </c>
      <c r="AY281">
        <f t="shared" si="206"/>
        <v>0</v>
      </c>
    </row>
    <row r="282" spans="14:51" x14ac:dyDescent="0.3">
      <c r="N282" s="170">
        <v>64</v>
      </c>
      <c r="O282" s="199">
        <f t="shared" si="172"/>
        <v>4365.1583224016631</v>
      </c>
      <c r="P282" s="189" t="str">
        <f t="shared" si="173"/>
        <v>1078.86904761905</v>
      </c>
      <c r="Q282" s="160" t="str">
        <f t="shared" si="174"/>
        <v>1+857.096832338338i</v>
      </c>
      <c r="R282" s="160">
        <f t="shared" si="182"/>
        <v>857.09741570279687</v>
      </c>
      <c r="S282" s="160">
        <f t="shared" si="183"/>
        <v>1.5696295980093991</v>
      </c>
      <c r="T282" s="160" t="str">
        <f t="shared" si="175"/>
        <v>1+0.000548541972696536i</v>
      </c>
      <c r="U282" s="160">
        <f t="shared" si="184"/>
        <v>1.0000001504491367</v>
      </c>
      <c r="V282" s="160">
        <f t="shared" si="185"/>
        <v>5.4854191767809762E-4</v>
      </c>
      <c r="W282" s="98" t="str">
        <f t="shared" si="176"/>
        <v>1-0.396727496333043i</v>
      </c>
      <c r="X282" s="160">
        <f t="shared" si="186"/>
        <v>1.0758218748225399</v>
      </c>
      <c r="Y282" s="160">
        <f t="shared" si="187"/>
        <v>-0.3776820736787091</v>
      </c>
      <c r="Z282" s="98" t="str">
        <f t="shared" si="177"/>
        <v>0.992378157128147+0.156699503840819i</v>
      </c>
      <c r="AA282" s="160">
        <f t="shared" si="188"/>
        <v>1.0046736491264296</v>
      </c>
      <c r="AB282" s="160">
        <f t="shared" si="189"/>
        <v>0.1566099545655158</v>
      </c>
      <c r="AC282" s="171" t="str">
        <f t="shared" si="190"/>
        <v>-0.684397004045901-1.1612080712295i</v>
      </c>
      <c r="AD282" s="190">
        <f t="shared" si="191"/>
        <v>2.5930794443787573</v>
      </c>
      <c r="AE282" s="169">
        <f t="shared" si="192"/>
        <v>-120.5144004738641</v>
      </c>
      <c r="AF282" s="98" t="str">
        <f t="shared" si="178"/>
        <v>-9.95024875621891E-06</v>
      </c>
      <c r="AG282" s="98" t="str">
        <f t="shared" si="179"/>
        <v>0.0274545257334617i</v>
      </c>
      <c r="AH282" s="98">
        <f t="shared" si="193"/>
        <v>2.7454525733461702E-2</v>
      </c>
      <c r="AI282" s="98">
        <f t="shared" si="194"/>
        <v>1.5707963267948966</v>
      </c>
      <c r="AJ282" s="98" t="str">
        <f t="shared" si="180"/>
        <v>1+0.273996989358909i</v>
      </c>
      <c r="AK282" s="98">
        <f t="shared" si="195"/>
        <v>1.0368579218859959</v>
      </c>
      <c r="AL282" s="98">
        <f t="shared" si="196"/>
        <v>0.2674334809831333</v>
      </c>
      <c r="AM282" s="98" t="str">
        <f t="shared" si="181"/>
        <v>1+274.270986348268i</v>
      </c>
      <c r="AN282" s="98">
        <f t="shared" si="197"/>
        <v>274.27280935676401</v>
      </c>
      <c r="AO282" s="98">
        <f t="shared" si="198"/>
        <v>1.5671503138418916</v>
      </c>
      <c r="AP282" s="168" t="str">
        <f t="shared" si="199"/>
        <v>-0.0923692214223099+0.0256713151186767i</v>
      </c>
      <c r="AQ282" s="98">
        <f t="shared" si="200"/>
        <v>-20.366330055071643</v>
      </c>
      <c r="AR282" s="169">
        <f t="shared" si="201"/>
        <v>164.46828908491713</v>
      </c>
      <c r="AS282" s="168" t="str">
        <f t="shared" si="202"/>
        <v>0.0930269567223646+0.0896905142916305i</v>
      </c>
      <c r="AT282" s="190">
        <f t="shared" si="203"/>
        <v>-17.773250610692884</v>
      </c>
      <c r="AU282" s="169">
        <f t="shared" si="204"/>
        <v>43.953888611052989</v>
      </c>
      <c r="AV282" s="225"/>
      <c r="AX282">
        <f t="shared" si="205"/>
        <v>0</v>
      </c>
      <c r="AY282">
        <f t="shared" si="206"/>
        <v>0</v>
      </c>
    </row>
    <row r="283" spans="14:51" x14ac:dyDescent="0.3">
      <c r="N283" s="170">
        <v>65</v>
      </c>
      <c r="O283" s="199">
        <f t="shared" si="172"/>
        <v>4466.8359215096343</v>
      </c>
      <c r="P283" s="189" t="str">
        <f t="shared" si="173"/>
        <v>1078.86904761905</v>
      </c>
      <c r="Q283" s="160" t="str">
        <f t="shared" si="174"/>
        <v>1+877.061182237853i</v>
      </c>
      <c r="R283" s="160">
        <f t="shared" si="182"/>
        <v>877.06175232332441</v>
      </c>
      <c r="S283" s="160">
        <f t="shared" si="183"/>
        <v>1.569656155975663</v>
      </c>
      <c r="T283" s="160" t="str">
        <f t="shared" si="175"/>
        <v>1+0.000561319156632226i</v>
      </c>
      <c r="U283" s="160">
        <f t="shared" si="184"/>
        <v>1.0000001575395854</v>
      </c>
      <c r="V283" s="160">
        <f t="shared" si="185"/>
        <v>5.6131909767890762E-4</v>
      </c>
      <c r="W283" s="98" t="str">
        <f t="shared" si="176"/>
        <v>1-0.405968466842691i</v>
      </c>
      <c r="X283" s="160">
        <f t="shared" si="186"/>
        <v>1.0792638213479617</v>
      </c>
      <c r="Y283" s="160">
        <f t="shared" si="187"/>
        <v>-0.3856409944174265</v>
      </c>
      <c r="Z283" s="98" t="str">
        <f t="shared" si="177"/>
        <v>0.992018950740124+0.160349504174181i</v>
      </c>
      <c r="AA283" s="160">
        <f t="shared" si="188"/>
        <v>1.0048948015172745</v>
      </c>
      <c r="AB283" s="160">
        <f t="shared" si="189"/>
        <v>0.16025348448373519</v>
      </c>
      <c r="AC283" s="171" t="str">
        <f t="shared" si="190"/>
        <v>-0.6839859098538-1.13028691578782i</v>
      </c>
      <c r="AD283" s="190">
        <f t="shared" si="191"/>
        <v>2.4189129822127859</v>
      </c>
      <c r="AE283" s="169">
        <f t="shared" si="192"/>
        <v>-121.17996150940694</v>
      </c>
      <c r="AF283" s="98" t="str">
        <f t="shared" si="178"/>
        <v>-9.95024875621891E-06</v>
      </c>
      <c r="AG283" s="98" t="str">
        <f t="shared" si="179"/>
        <v>0.0280940237894429i</v>
      </c>
      <c r="AH283" s="98">
        <f t="shared" si="193"/>
        <v>2.8094023789442899E-2</v>
      </c>
      <c r="AI283" s="98">
        <f t="shared" si="194"/>
        <v>1.5707963267948966</v>
      </c>
      <c r="AJ283" s="98" t="str">
        <f t="shared" si="180"/>
        <v>1+0.280379199116996i</v>
      </c>
      <c r="AK283" s="98">
        <f t="shared" si="195"/>
        <v>1.0385627064830933</v>
      </c>
      <c r="AL283" s="98">
        <f t="shared" si="196"/>
        <v>0.27336029968383324</v>
      </c>
      <c r="AM283" s="98" t="str">
        <f t="shared" si="181"/>
        <v>1+280.659578316113i</v>
      </c>
      <c r="AN283" s="98">
        <f t="shared" si="197"/>
        <v>280.66135982813586</v>
      </c>
      <c r="AO283" s="98">
        <f t="shared" si="198"/>
        <v>1.5672333065185475</v>
      </c>
      <c r="AP283" s="168" t="str">
        <f t="shared" si="199"/>
        <v>-0.0920662250158949+0.0261676311399799i</v>
      </c>
      <c r="AQ283" s="98">
        <f t="shared" si="200"/>
        <v>-20.380602121526699</v>
      </c>
      <c r="AR283" s="169">
        <f t="shared" si="201"/>
        <v>164.13346251753063</v>
      </c>
      <c r="AS283" s="168" t="str">
        <f t="shared" si="202"/>
        <v>0.0925489317789828+0.0861629585274455i</v>
      </c>
      <c r="AT283" s="190">
        <f t="shared" si="203"/>
        <v>-17.961689139313911</v>
      </c>
      <c r="AU283" s="169">
        <f t="shared" si="204"/>
        <v>42.953501008123695</v>
      </c>
      <c r="AV283" s="225"/>
      <c r="AX283">
        <f t="shared" si="205"/>
        <v>0</v>
      </c>
      <c r="AY283">
        <f t="shared" si="206"/>
        <v>0</v>
      </c>
    </row>
    <row r="284" spans="14:51" x14ac:dyDescent="0.3">
      <c r="N284" s="170">
        <v>66</v>
      </c>
      <c r="O284" s="199">
        <f t="shared" ref="O284:O318" si="207">10^(3+(N284/100))</f>
        <v>4570.8818961487532</v>
      </c>
      <c r="P284" s="189" t="str">
        <f t="shared" si="173"/>
        <v>1078.86904761905</v>
      </c>
      <c r="Q284" s="160" t="str">
        <f t="shared" si="174"/>
        <v>1+897.490561585469i</v>
      </c>
      <c r="R284" s="160">
        <f t="shared" si="182"/>
        <v>897.49111869421881</v>
      </c>
      <c r="S284" s="160">
        <f t="shared" si="183"/>
        <v>1.5696821094103632</v>
      </c>
      <c r="T284" s="160" t="str">
        <f t="shared" si="175"/>
        <v>1+0.0005743939594147i</v>
      </c>
      <c r="U284" s="160">
        <f t="shared" si="184"/>
        <v>1.0000001649641967</v>
      </c>
      <c r="V284" s="160">
        <f t="shared" si="185"/>
        <v>5.7439389624508192E-4</v>
      </c>
      <c r="W284" s="98" t="str">
        <f t="shared" si="176"/>
        <v>1-0.415424687207088i</v>
      </c>
      <c r="X284" s="160">
        <f t="shared" si="186"/>
        <v>1.0828562558073471</v>
      </c>
      <c r="Y284" s="160">
        <f t="shared" si="187"/>
        <v>-0.39373239857579234</v>
      </c>
      <c r="Z284" s="98" t="str">
        <f t="shared" si="177"/>
        <v>0.991642815476584+0.164084523937133i</v>
      </c>
      <c r="AA284" s="160">
        <f t="shared" si="188"/>
        <v>1.0051264619350153</v>
      </c>
      <c r="AB284" s="160">
        <f t="shared" si="189"/>
        <v>0.16398156308896183</v>
      </c>
      <c r="AC284" s="171" t="str">
        <f t="shared" si="190"/>
        <v>-0.683549609929459-1.09996887265694i</v>
      </c>
      <c r="AD284" s="190">
        <f t="shared" si="191"/>
        <v>2.2457749719116831</v>
      </c>
      <c r="AE284" s="169">
        <f t="shared" si="192"/>
        <v>-121.8579058792844</v>
      </c>
      <c r="AF284" s="98" t="str">
        <f t="shared" si="178"/>
        <v>-9.95024875621891E-06</v>
      </c>
      <c r="AG284" s="98" t="str">
        <f t="shared" si="179"/>
        <v>0.0287484176687058i</v>
      </c>
      <c r="AH284" s="98">
        <f t="shared" si="193"/>
        <v>2.8748417668705801E-2</v>
      </c>
      <c r="AI284" s="98">
        <f t="shared" si="194"/>
        <v>1.5707963267948966</v>
      </c>
      <c r="AJ284" s="98" t="str">
        <f t="shared" si="180"/>
        <v>1+0.286910069637712i</v>
      </c>
      <c r="AK284" s="98">
        <f t="shared" si="195"/>
        <v>1.0403448409347338</v>
      </c>
      <c r="AL284" s="98">
        <f t="shared" si="196"/>
        <v>0.27940484554269079</v>
      </c>
      <c r="AM284" s="98" t="str">
        <f t="shared" si="181"/>
        <v>1+287.19697970735i</v>
      </c>
      <c r="AN284" s="98">
        <f t="shared" si="197"/>
        <v>287.198720667457</v>
      </c>
      <c r="AO284" s="98">
        <f t="shared" si="198"/>
        <v>1.5673144100986705</v>
      </c>
      <c r="AP284" s="168" t="str">
        <f t="shared" si="199"/>
        <v>-0.091751072090836+0.0266704211411521i</v>
      </c>
      <c r="AQ284" s="98">
        <f t="shared" si="200"/>
        <v>-20.395496488827639</v>
      </c>
      <c r="AR284" s="169">
        <f t="shared" si="201"/>
        <v>163.79178244358928</v>
      </c>
      <c r="AS284" s="168" t="str">
        <f t="shared" si="202"/>
        <v>0.0920530426142195+0.0826927673651336i</v>
      </c>
      <c r="AT284" s="190">
        <f t="shared" si="203"/>
        <v>-18.149721516915957</v>
      </c>
      <c r="AU284" s="169">
        <f t="shared" si="204"/>
        <v>41.933876564304875</v>
      </c>
      <c r="AV284" s="225"/>
      <c r="AX284">
        <f t="shared" si="205"/>
        <v>0</v>
      </c>
      <c r="AY284">
        <f t="shared" si="206"/>
        <v>0</v>
      </c>
    </row>
    <row r="285" spans="14:51" x14ac:dyDescent="0.3">
      <c r="N285" s="170">
        <v>67</v>
      </c>
      <c r="O285" s="199">
        <f t="shared" si="207"/>
        <v>4677.3514128719844</v>
      </c>
      <c r="P285" s="189" t="str">
        <f t="shared" si="173"/>
        <v>1078.86904761905</v>
      </c>
      <c r="Q285" s="160" t="str">
        <f t="shared" si="174"/>
        <v>1+918.395802308528i</v>
      </c>
      <c r="R285" s="160">
        <f t="shared" si="182"/>
        <v>918.3963467359423</v>
      </c>
      <c r="S285" s="160">
        <f t="shared" si="183"/>
        <v>1.5697074720742143</v>
      </c>
      <c r="T285" s="160" t="str">
        <f t="shared" si="175"/>
        <v>1+0.000587773313477458i</v>
      </c>
      <c r="U285" s="160">
        <f t="shared" si="184"/>
        <v>1.0000001727387191</v>
      </c>
      <c r="V285" s="160">
        <f t="shared" si="185"/>
        <v>5.8777324578999327E-4</v>
      </c>
      <c r="W285" s="98" t="str">
        <f t="shared" si="176"/>
        <v>1-0.425101171239437i</v>
      </c>
      <c r="X285" s="160">
        <f t="shared" si="186"/>
        <v>1.0866052667777482</v>
      </c>
      <c r="Y285" s="160">
        <f t="shared" si="187"/>
        <v>-0.40195633726975644</v>
      </c>
      <c r="Z285" s="98" t="str">
        <f t="shared" si="177"/>
        <v>0.991248953504202+0.167906543486592i</v>
      </c>
      <c r="AA285" s="160">
        <f t="shared" si="188"/>
        <v>1.0053691337855915</v>
      </c>
      <c r="AB285" s="160">
        <f t="shared" si="189"/>
        <v>0.1677961361072538</v>
      </c>
      <c r="AC285" s="171" t="str">
        <f t="shared" si="190"/>
        <v>-0.683087216014987-1.07023813926631i</v>
      </c>
      <c r="AD285" s="190">
        <f t="shared" si="191"/>
        <v>2.0736983823485651</v>
      </c>
      <c r="AE285" s="169">
        <f t="shared" si="192"/>
        <v>-122.54834838535</v>
      </c>
      <c r="AF285" s="98" t="str">
        <f t="shared" si="178"/>
        <v>-9.95024875621891E-06</v>
      </c>
      <c r="AG285" s="98" t="str">
        <f t="shared" si="179"/>
        <v>0.0294180543395468i</v>
      </c>
      <c r="AH285" s="98">
        <f t="shared" si="193"/>
        <v>2.9418054339546799E-2</v>
      </c>
      <c r="AI285" s="98">
        <f t="shared" si="194"/>
        <v>1.5707963267948966</v>
      </c>
      <c r="AJ285" s="98" t="str">
        <f t="shared" si="180"/>
        <v>1+0.293593063675054i</v>
      </c>
      <c r="AK285" s="98">
        <f t="shared" si="195"/>
        <v>1.0422076986081537</v>
      </c>
      <c r="AL285" s="98">
        <f t="shared" si="196"/>
        <v>0.285568555991837</v>
      </c>
      <c r="AM285" s="98" t="str">
        <f t="shared" si="181"/>
        <v>1+293.886656738729i</v>
      </c>
      <c r="AN285" s="98">
        <f t="shared" si="197"/>
        <v>293.88835806997787</v>
      </c>
      <c r="AO285" s="98">
        <f t="shared" si="198"/>
        <v>1.5673936675801818</v>
      </c>
      <c r="AP285" s="168" t="str">
        <f t="shared" si="199"/>
        <v>-0.0914233707369581+0.0271795036329101i</v>
      </c>
      <c r="AQ285" s="98">
        <f t="shared" si="200"/>
        <v>-20.411038039632142</v>
      </c>
      <c r="AR285" s="169">
        <f t="shared" si="201"/>
        <v>163.44316896789792</v>
      </c>
      <c r="AS285" s="168" t="str">
        <f t="shared" si="202"/>
        <v>0.0915386771896824+0.0792788067137023i</v>
      </c>
      <c r="AT285" s="190">
        <f t="shared" si="203"/>
        <v>-18.337339657283575</v>
      </c>
      <c r="AU285" s="169">
        <f t="shared" si="204"/>
        <v>40.894820582547936</v>
      </c>
      <c r="AV285" s="225"/>
      <c r="AX285">
        <f t="shared" si="205"/>
        <v>0</v>
      </c>
      <c r="AY285">
        <f t="shared" si="206"/>
        <v>0</v>
      </c>
    </row>
    <row r="286" spans="14:51" x14ac:dyDescent="0.3">
      <c r="N286" s="170">
        <v>68</v>
      </c>
      <c r="O286" s="199">
        <f t="shared" si="207"/>
        <v>4786.3009232263848</v>
      </c>
      <c r="P286" s="189" t="str">
        <f t="shared" si="173"/>
        <v>1078.86904761905</v>
      </c>
      <c r="Q286" s="160" t="str">
        <f t="shared" si="174"/>
        <v>1+939.787988642378i</v>
      </c>
      <c r="R286" s="160">
        <f t="shared" si="182"/>
        <v>939.7885206771183</v>
      </c>
      <c r="S286" s="160">
        <f t="shared" si="183"/>
        <v>1.5697322574147059</v>
      </c>
      <c r="T286" s="160" t="str">
        <f t="shared" si="175"/>
        <v>1+0.000601464312731122i</v>
      </c>
      <c r="U286" s="160">
        <f t="shared" si="184"/>
        <v>1.0000001808796433</v>
      </c>
      <c r="V286" s="160">
        <f t="shared" si="185"/>
        <v>6.0146424020269759E-4</v>
      </c>
      <c r="W286" s="98" t="str">
        <f t="shared" si="176"/>
        <v>1-0.435003049539657i</v>
      </c>
      <c r="X286" s="160">
        <f t="shared" si="186"/>
        <v>1.0905171493877579</v>
      </c>
      <c r="Y286" s="160">
        <f t="shared" si="187"/>
        <v>-0.4103127202014839</v>
      </c>
      <c r="Z286" s="98" t="str">
        <f t="shared" si="177"/>
        <v>0.990836529388929+0.171817589307913i</v>
      </c>
      <c r="AA286" s="160">
        <f t="shared" si="188"/>
        <v>1.0056233449791629</v>
      </c>
      <c r="AB286" s="160">
        <f t="shared" si="189"/>
        <v>0.17169919280055521</v>
      </c>
      <c r="AC286" s="171" t="str">
        <f t="shared" si="190"/>
        <v>-0.682597788101442-1.04107924366479i</v>
      </c>
      <c r="AD286" s="190">
        <f t="shared" si="191"/>
        <v>1.9027165824685375</v>
      </c>
      <c r="AE286" s="169">
        <f t="shared" si="192"/>
        <v>-123.25139819426644</v>
      </c>
      <c r="AF286" s="98" t="str">
        <f t="shared" si="178"/>
        <v>-9.95024875621891E-06</v>
      </c>
      <c r="AG286" s="98" t="str">
        <f t="shared" si="179"/>
        <v>0.0301032888521927i</v>
      </c>
      <c r="AH286" s="98">
        <f t="shared" si="193"/>
        <v>3.0103288852192701E-2</v>
      </c>
      <c r="AI286" s="98">
        <f t="shared" si="194"/>
        <v>1.5707963267948966</v>
      </c>
      <c r="AJ286" s="98" t="str">
        <f t="shared" si="180"/>
        <v>1+0.30043172464092i</v>
      </c>
      <c r="AK286" s="98">
        <f t="shared" si="195"/>
        <v>1.0441547879365001</v>
      </c>
      <c r="AL286" s="98">
        <f t="shared" si="196"/>
        <v>0.29185282505172233</v>
      </c>
      <c r="AM286" s="98" t="str">
        <f t="shared" si="181"/>
        <v>1+300.732156365561i</v>
      </c>
      <c r="AN286" s="98">
        <f t="shared" si="197"/>
        <v>300.73381896999922</v>
      </c>
      <c r="AO286" s="98">
        <f t="shared" si="198"/>
        <v>1.5674711209824621</v>
      </c>
      <c r="AP286" s="168" t="str">
        <f t="shared" si="199"/>
        <v>-0.0910827248866394+0.0276946770552158i</v>
      </c>
      <c r="AQ286" s="98">
        <f t="shared" si="200"/>
        <v>-20.427252449988732</v>
      </c>
      <c r="AR286" s="169">
        <f t="shared" si="201"/>
        <v>163.08754462650151</v>
      </c>
      <c r="AS286" s="168" t="str">
        <f t="shared" si="202"/>
        <v>0.0910052199840569+0.0759200090358366i</v>
      </c>
      <c r="AT286" s="190">
        <f t="shared" si="203"/>
        <v>-18.524535867520193</v>
      </c>
      <c r="AU286" s="169">
        <f t="shared" si="204"/>
        <v>39.836146432235054</v>
      </c>
      <c r="AV286" s="225"/>
      <c r="AX286">
        <f t="shared" si="205"/>
        <v>0</v>
      </c>
      <c r="AY286">
        <f t="shared" si="206"/>
        <v>0</v>
      </c>
    </row>
    <row r="287" spans="14:51" x14ac:dyDescent="0.3">
      <c r="N287" s="170">
        <v>69</v>
      </c>
      <c r="O287" s="199">
        <f t="shared" si="207"/>
        <v>4897.7881936844633</v>
      </c>
      <c r="P287" s="189" t="str">
        <f t="shared" si="173"/>
        <v>1078.86904761905</v>
      </c>
      <c r="Q287" s="160" t="str">
        <f t="shared" si="174"/>
        <v>1+961.678463007372i</v>
      </c>
      <c r="R287" s="160">
        <f t="shared" si="182"/>
        <v>961.6789829315295</v>
      </c>
      <c r="S287" s="160">
        <f t="shared" si="183"/>
        <v>1.5697564785732314</v>
      </c>
      <c r="T287" s="160" t="str">
        <f t="shared" si="175"/>
        <v>1+0.000615474216324718i</v>
      </c>
      <c r="U287" s="160">
        <f t="shared" si="184"/>
        <v>1.0000001894042376</v>
      </c>
      <c r="V287" s="160">
        <f t="shared" si="185"/>
        <v>6.1547413860911179E-4</v>
      </c>
      <c r="W287" s="98" t="str">
        <f t="shared" si="176"/>
        <v>1-0.445135572214689i</v>
      </c>
      <c r="X287" s="160">
        <f t="shared" si="186"/>
        <v>1.0945984093040235</v>
      </c>
      <c r="Y287" s="160">
        <f t="shared" si="187"/>
        <v>-0.41880130883271155</v>
      </c>
      <c r="Z287" s="98" t="str">
        <f t="shared" si="177"/>
        <v>0.990404668323922+0.175819735089361i</v>
      </c>
      <c r="AA287" s="160">
        <f t="shared" si="188"/>
        <v>1.0058896491587488</v>
      </c>
      <c r="AB287" s="160">
        <f t="shared" si="189"/>
        <v>0.17569276684193885</v>
      </c>
      <c r="AC287" s="171" t="str">
        <f t="shared" si="190"/>
        <v>-0.682080332783258-1.01247703767033i</v>
      </c>
      <c r="AD287" s="190">
        <f t="shared" si="191"/>
        <v>1.7328632887848001</v>
      </c>
      <c r="AE287" s="169">
        <f t="shared" si="192"/>
        <v>-123.96715849671115</v>
      </c>
      <c r="AF287" s="98" t="str">
        <f t="shared" si="178"/>
        <v>-9.95024875621891E-06</v>
      </c>
      <c r="AG287" s="98" t="str">
        <f t="shared" si="179"/>
        <v>0.0308044845270521i</v>
      </c>
      <c r="AH287" s="98">
        <f t="shared" si="193"/>
        <v>3.08044845270521E-2</v>
      </c>
      <c r="AI287" s="98">
        <f t="shared" si="194"/>
        <v>1.5707963267948966</v>
      </c>
      <c r="AJ287" s="98" t="str">
        <f t="shared" si="180"/>
        <v>1+0.307429678483875i</v>
      </c>
      <c r="AK287" s="98">
        <f t="shared" si="195"/>
        <v>1.0461897567901812</v>
      </c>
      <c r="AL287" s="98">
        <f t="shared" si="196"/>
        <v>0.29825899854795512</v>
      </c>
      <c r="AM287" s="98" t="str">
        <f t="shared" si="181"/>
        <v>1+307.737108162359i</v>
      </c>
      <c r="AN287" s="98">
        <f t="shared" si="197"/>
        <v>307.73873292150188</v>
      </c>
      <c r="AO287" s="98">
        <f t="shared" si="198"/>
        <v>1.5675468113686113</v>
      </c>
      <c r="AP287" s="168" t="str">
        <f t="shared" si="199"/>
        <v>-0.090728735101927+0.0282157188550014i</v>
      </c>
      <c r="AQ287" s="98">
        <f t="shared" si="200"/>
        <v>-20.444166196941488</v>
      </c>
      <c r="AR287" s="169">
        <f t="shared" si="201"/>
        <v>162.72483466201479</v>
      </c>
      <c r="AS287" s="168" t="str">
        <f t="shared" si="202"/>
        <v>0.0904520532733771+0.0726153740412369i</v>
      </c>
      <c r="AT287" s="190">
        <f t="shared" si="203"/>
        <v>-18.711302908156693</v>
      </c>
      <c r="AU287" s="169">
        <f t="shared" si="204"/>
        <v>38.757676165303636</v>
      </c>
      <c r="AV287" s="225"/>
      <c r="AX287">
        <f t="shared" si="205"/>
        <v>0</v>
      </c>
      <c r="AY287">
        <f t="shared" si="206"/>
        <v>0</v>
      </c>
    </row>
    <row r="288" spans="14:51" x14ac:dyDescent="0.3">
      <c r="N288" s="170">
        <v>70</v>
      </c>
      <c r="O288" s="199">
        <f t="shared" si="207"/>
        <v>5011.8723362727324</v>
      </c>
      <c r="P288" s="189" t="str">
        <f t="shared" si="173"/>
        <v>1078.86904761905</v>
      </c>
      <c r="Q288" s="160" t="str">
        <f t="shared" si="174"/>
        <v>1+984.078832022772i</v>
      </c>
      <c r="R288" s="160">
        <f t="shared" si="182"/>
        <v>984.07934011201712</v>
      </c>
      <c r="S288" s="160">
        <f t="shared" si="183"/>
        <v>1.5697801483920564</v>
      </c>
      <c r="T288" s="160" t="str">
        <f t="shared" si="175"/>
        <v>1+0.000629810452494574i</v>
      </c>
      <c r="U288" s="160">
        <f t="shared" si="184"/>
        <v>1.0000001983305833</v>
      </c>
      <c r="V288" s="160">
        <f t="shared" si="185"/>
        <v>6.2981036922080255E-4</v>
      </c>
      <c r="W288" s="98" t="str">
        <f t="shared" si="176"/>
        <v>1-0.455504111662176i</v>
      </c>
      <c r="X288" s="160">
        <f t="shared" si="186"/>
        <v>1.0988557665777379</v>
      </c>
      <c r="Y288" s="160">
        <f t="shared" si="187"/>
        <v>-0.42742170963894138</v>
      </c>
      <c r="Z288" s="98" t="str">
        <f t="shared" si="177"/>
        <v>0.989952454273962+0.179915102821602i</v>
      </c>
      <c r="AA288" s="160">
        <f t="shared" si="188"/>
        <v>1.0061686269936805</v>
      </c>
      <c r="AB288" s="160">
        <f t="shared" si="189"/>
        <v>0.17977893719998816</v>
      </c>
      <c r="AC288" s="171" t="str">
        <f t="shared" si="190"/>
        <v>-0.681533801533155-0.984416690284685i</v>
      </c>
      <c r="AD288" s="190">
        <f t="shared" si="191"/>
        <v>1.5641725077133732</v>
      </c>
      <c r="AE288" s="169">
        <f t="shared" si="192"/>
        <v>-124.69572617171924</v>
      </c>
      <c r="AF288" s="98" t="str">
        <f t="shared" si="178"/>
        <v>-9.95024875621891E-06</v>
      </c>
      <c r="AG288" s="98" t="str">
        <f t="shared" si="179"/>
        <v>0.0315220131473534i</v>
      </c>
      <c r="AH288" s="98">
        <f t="shared" si="193"/>
        <v>3.1522013147353402E-2</v>
      </c>
      <c r="AI288" s="98">
        <f t="shared" si="194"/>
        <v>1.5707963267948966</v>
      </c>
      <c r="AJ288" s="98" t="str">
        <f t="shared" si="180"/>
        <v>1+0.314590635611675i</v>
      </c>
      <c r="AK288" s="98">
        <f t="shared" si="195"/>
        <v>1.0483163969024607</v>
      </c>
      <c r="AL288" s="98">
        <f t="shared" si="196"/>
        <v>0.30478836911543816</v>
      </c>
      <c r="AM288" s="98" t="str">
        <f t="shared" si="181"/>
        <v>1+314.905226247287i</v>
      </c>
      <c r="AN288" s="98">
        <f t="shared" si="197"/>
        <v>314.90681402258508</v>
      </c>
      <c r="AO288" s="98">
        <f t="shared" si="198"/>
        <v>1.5676207788672027</v>
      </c>
      <c r="AP288" s="168" t="str">
        <f t="shared" si="199"/>
        <v>-0.0903609994467087+0.0287423845704171i</v>
      </c>
      <c r="AQ288" s="98">
        <f t="shared" si="200"/>
        <v>-20.461806564464865</v>
      </c>
      <c r="AR288" s="169">
        <f t="shared" si="201"/>
        <v>162.35496731111155</v>
      </c>
      <c r="AS288" s="168" t="str">
        <f t="shared" si="202"/>
        <v>0.0898785585529503+0.069363969384741i</v>
      </c>
      <c r="AT288" s="190">
        <f t="shared" si="203"/>
        <v>-18.897634056751492</v>
      </c>
      <c r="AU288" s="169">
        <f t="shared" si="204"/>
        <v>37.659241139392343</v>
      </c>
      <c r="AV288" s="225"/>
      <c r="AX288">
        <f t="shared" si="205"/>
        <v>0</v>
      </c>
      <c r="AY288">
        <f t="shared" si="206"/>
        <v>0</v>
      </c>
    </row>
    <row r="289" spans="14:51" x14ac:dyDescent="0.3">
      <c r="N289" s="170">
        <v>71</v>
      </c>
      <c r="O289" s="199">
        <f t="shared" si="207"/>
        <v>5128.6138399136489</v>
      </c>
      <c r="P289" s="189" t="str">
        <f t="shared" si="173"/>
        <v>1078.86904761905</v>
      </c>
      <c r="Q289" s="160" t="str">
        <f t="shared" si="174"/>
        <v>1+1007.00097266073i</v>
      </c>
      <c r="R289" s="160">
        <f t="shared" si="182"/>
        <v>1007.0014691844576</v>
      </c>
      <c r="S289" s="160">
        <f t="shared" si="183"/>
        <v>1.5698032794211256</v>
      </c>
      <c r="T289" s="160" t="str">
        <f t="shared" si="175"/>
        <v>1+0.000644480622502866i</v>
      </c>
      <c r="U289" s="160">
        <f t="shared" si="184"/>
        <v>1.0000002076776149</v>
      </c>
      <c r="V289" s="160">
        <f t="shared" si="185"/>
        <v>6.4448053327341328E-4</v>
      </c>
      <c r="W289" s="98" t="str">
        <f t="shared" si="176"/>
        <v>1-0.466114165418973i</v>
      </c>
      <c r="X289" s="160">
        <f t="shared" si="186"/>
        <v>1.1032961593353916</v>
      </c>
      <c r="Y289" s="160">
        <f t="shared" si="187"/>
        <v>-0.43617336748549457</v>
      </c>
      <c r="Z289" s="98" t="str">
        <f t="shared" si="177"/>
        <v>0.989478928032419+0.184105863922816i</v>
      </c>
      <c r="AA289" s="160">
        <f t="shared" si="188"/>
        <v>1.0064608875415635</v>
      </c>
      <c r="AB289" s="160">
        <f t="shared" si="189"/>
        <v>0.18395982903159591</v>
      </c>
      <c r="AC289" s="171" t="str">
        <f t="shared" si="190"/>
        <v>-0.68095708889715-0.956883681375789i</v>
      </c>
      <c r="AD289" s="190">
        <f t="shared" si="191"/>
        <v>1.3966784726088353</v>
      </c>
      <c r="AE289" s="169">
        <f t="shared" si="192"/>
        <v>-125.43719145847761</v>
      </c>
      <c r="AF289" s="98" t="str">
        <f t="shared" si="178"/>
        <v>-9.95024875621891E-06</v>
      </c>
      <c r="AG289" s="98" t="str">
        <f t="shared" si="179"/>
        <v>0.0322562551562685i</v>
      </c>
      <c r="AH289" s="98">
        <f t="shared" si="193"/>
        <v>3.2256255156268503E-2</v>
      </c>
      <c r="AI289" s="98">
        <f t="shared" si="194"/>
        <v>1.5707963267948966</v>
      </c>
      <c r="AJ289" s="98" t="str">
        <f t="shared" si="180"/>
        <v>1+0.321918392858574i</v>
      </c>
      <c r="AK289" s="98">
        <f t="shared" si="195"/>
        <v>1.0505386483421955</v>
      </c>
      <c r="AL289" s="98">
        <f t="shared" si="196"/>
        <v>0.31144217099200305</v>
      </c>
      <c r="AM289" s="98" t="str">
        <f t="shared" si="181"/>
        <v>1+322.240311251433i</v>
      </c>
      <c r="AN289" s="98">
        <f t="shared" si="197"/>
        <v>322.2418628847289</v>
      </c>
      <c r="AO289" s="98">
        <f t="shared" si="198"/>
        <v>1.5676930626935441</v>
      </c>
      <c r="AP289" s="168" t="str">
        <f t="shared" si="199"/>
        <v>-0.0899791144476634+0.0292744069276837i</v>
      </c>
      <c r="AQ289" s="98">
        <f t="shared" si="200"/>
        <v>-20.480201647551979</v>
      </c>
      <c r="AR289" s="169">
        <f t="shared" si="201"/>
        <v>161.97787410404464</v>
      </c>
      <c r="AS289" s="168" t="str">
        <f t="shared" si="202"/>
        <v>0.0892841181068793+0.0661649313589475i</v>
      </c>
      <c r="AT289" s="190">
        <f t="shared" si="203"/>
        <v>-19.083523174943146</v>
      </c>
      <c r="AU289" s="169">
        <f t="shared" si="204"/>
        <v>36.540682645566967</v>
      </c>
      <c r="AV289" s="225"/>
      <c r="AX289">
        <f t="shared" si="205"/>
        <v>0</v>
      </c>
      <c r="AY289">
        <f t="shared" si="206"/>
        <v>0</v>
      </c>
    </row>
    <row r="290" spans="14:51" x14ac:dyDescent="0.3">
      <c r="N290" s="170">
        <v>72</v>
      </c>
      <c r="O290" s="199">
        <f t="shared" si="207"/>
        <v>5248.0746024977261</v>
      </c>
      <c r="P290" s="189" t="str">
        <f t="shared" si="173"/>
        <v>1078.86904761905</v>
      </c>
      <c r="Q290" s="160" t="str">
        <f t="shared" si="174"/>
        <v>1+1030.45703854363i</v>
      </c>
      <c r="R290" s="160">
        <f t="shared" si="182"/>
        <v>1030.4575237651031</v>
      </c>
      <c r="S290" s="160">
        <f t="shared" si="183"/>
        <v>1.5698258839247179</v>
      </c>
      <c r="T290" s="160" t="str">
        <f t="shared" si="175"/>
        <v>1+0.000659492504667922i</v>
      </c>
      <c r="U290" s="160">
        <f t="shared" si="184"/>
        <v>1.0000002174651583</v>
      </c>
      <c r="V290" s="160">
        <f t="shared" si="185"/>
        <v>6.5949240905684191E-4</v>
      </c>
      <c r="W290" s="98" t="str">
        <f t="shared" si="176"/>
        <v>1-0.476971359076028i</v>
      </c>
      <c r="X290" s="160">
        <f t="shared" si="186"/>
        <v>1.1079267472982288</v>
      </c>
      <c r="Y290" s="160">
        <f t="shared" si="187"/>
        <v>-0.44505555916921768</v>
      </c>
      <c r="Z290" s="98" t="str">
        <f t="shared" si="177"/>
        <v>0.988983085186647+0.188394240390012i</v>
      </c>
      <c r="AA290" s="160">
        <f t="shared" si="188"/>
        <v>1.0067670696826692</v>
      </c>
      <c r="AB290" s="160">
        <f t="shared" si="189"/>
        <v>0.18823761458231905</v>
      </c>
      <c r="AC290" s="171" t="str">
        <f t="shared" si="190"/>
        <v>-0.68034903060945-0.929863795631161i</v>
      </c>
      <c r="AD290" s="190">
        <f t="shared" si="191"/>
        <v>1.2304155753887294</v>
      </c>
      <c r="AE290" s="169">
        <f t="shared" si="192"/>
        <v>-126.19163763802858</v>
      </c>
      <c r="AF290" s="98" t="str">
        <f t="shared" si="178"/>
        <v>-9.95024875621891E-06</v>
      </c>
      <c r="AG290" s="98" t="str">
        <f t="shared" si="179"/>
        <v>0.0330075998586295i</v>
      </c>
      <c r="AH290" s="98">
        <f t="shared" si="193"/>
        <v>3.3007599858629499E-2</v>
      </c>
      <c r="AI290" s="98">
        <f t="shared" si="194"/>
        <v>1.5707963267948966</v>
      </c>
      <c r="AJ290" s="98" t="str">
        <f t="shared" si="180"/>
        <v>1+0.329416835498463i</v>
      </c>
      <c r="AK290" s="98">
        <f t="shared" si="195"/>
        <v>1.0528606040259183</v>
      </c>
      <c r="AL290" s="98">
        <f t="shared" si="196"/>
        <v>0.31822157460522216</v>
      </c>
      <c r="AM290" s="98" t="str">
        <f t="shared" si="181"/>
        <v>1+329.746252333961i</v>
      </c>
      <c r="AN290" s="98">
        <f t="shared" si="197"/>
        <v>329.7477686479354</v>
      </c>
      <c r="AO290" s="98">
        <f t="shared" si="198"/>
        <v>1.5677637011704535</v>
      </c>
      <c r="AP290" s="168" t="str">
        <f t="shared" si="199"/>
        <v>-0.0895826761474191+0.0298114949572396i</v>
      </c>
      <c r="AQ290" s="98">
        <f t="shared" si="200"/>
        <v>-20.499380354275178</v>
      </c>
      <c r="AR290" s="169">
        <f t="shared" si="201"/>
        <v>161.59349017598959</v>
      </c>
      <c r="AS290" s="168" t="str">
        <f t="shared" si="202"/>
        <v>0.0886681167306749+0.0630174655700597i</v>
      </c>
      <c r="AT290" s="190">
        <f t="shared" si="203"/>
        <v>-19.268964778886456</v>
      </c>
      <c r="AU290" s="169">
        <f t="shared" si="204"/>
        <v>35.401852537960998</v>
      </c>
      <c r="AV290" s="225"/>
      <c r="AX290">
        <f t="shared" si="205"/>
        <v>0</v>
      </c>
      <c r="AY290">
        <f t="shared" si="206"/>
        <v>0</v>
      </c>
    </row>
    <row r="291" spans="14:51" x14ac:dyDescent="0.3">
      <c r="N291" s="170">
        <v>73</v>
      </c>
      <c r="O291" s="199">
        <f t="shared" si="207"/>
        <v>5370.3179637025269</v>
      </c>
      <c r="P291" s="189" t="str">
        <f t="shared" si="173"/>
        <v>1078.86904761905</v>
      </c>
      <c r="Q291" s="160" t="str">
        <f t="shared" si="174"/>
        <v>1+1054.45946638807i</v>
      </c>
      <c r="R291" s="160">
        <f t="shared" si="182"/>
        <v>1054.4599405645592</v>
      </c>
      <c r="S291" s="160">
        <f t="shared" si="183"/>
        <v>1.5698479738879478</v>
      </c>
      <c r="T291" s="160" t="str">
        <f t="shared" si="175"/>
        <v>1+0.000674854058488366i</v>
      </c>
      <c r="U291" s="160">
        <f t="shared" si="184"/>
        <v>1.0000002277139741</v>
      </c>
      <c r="V291" s="160">
        <f t="shared" si="185"/>
        <v>6.7485395603924918E-4</v>
      </c>
      <c r="W291" s="98" t="str">
        <f t="shared" si="176"/>
        <v>1-0.488081449261126i</v>
      </c>
      <c r="X291" s="160">
        <f t="shared" si="186"/>
        <v>1.1127549151151124</v>
      </c>
      <c r="Y291" s="160">
        <f t="shared" si="187"/>
        <v>-0.45406738717213319</v>
      </c>
      <c r="Z291" s="98" t="str">
        <f t="shared" si="177"/>
        <v>0.988463873987493+0.192782505977154i</v>
      </c>
      <c r="AA291" s="160">
        <f t="shared" si="188"/>
        <v>1.0070878436309287</v>
      </c>
      <c r="AB291" s="160">
        <f t="shared" si="189"/>
        <v>0.19261451409332911</v>
      </c>
      <c r="AC291" s="171" t="str">
        <f t="shared" si="190"/>
        <v>-0.67970840162711-0.903343116786197i</v>
      </c>
      <c r="AD291" s="190">
        <f t="shared" si="191"/>
        <v>1.0654182926609752</v>
      </c>
      <c r="AE291" s="169">
        <f t="shared" si="192"/>
        <v>-126.9591407274809</v>
      </c>
      <c r="AF291" s="98" t="str">
        <f t="shared" si="178"/>
        <v>-9.95024875621891E-06</v>
      </c>
      <c r="AG291" s="98" t="str">
        <f t="shared" si="179"/>
        <v>0.0337764456273427i</v>
      </c>
      <c r="AH291" s="98">
        <f t="shared" si="193"/>
        <v>3.3776445627342701E-2</v>
      </c>
      <c r="AI291" s="98">
        <f t="shared" si="194"/>
        <v>1.5707963267948966</v>
      </c>
      <c r="AJ291" s="98" t="str">
        <f t="shared" si="180"/>
        <v>1+0.337089939304878i</v>
      </c>
      <c r="AK291" s="98">
        <f t="shared" si="195"/>
        <v>1.0552865142607322</v>
      </c>
      <c r="AL291" s="98">
        <f t="shared" si="196"/>
        <v>0.32512768095767181</v>
      </c>
      <c r="AM291" s="98" t="str">
        <f t="shared" si="181"/>
        <v>1+337.427029244183i</v>
      </c>
      <c r="AN291" s="98">
        <f t="shared" si="197"/>
        <v>337.42851104279072</v>
      </c>
      <c r="AO291" s="98">
        <f t="shared" si="198"/>
        <v>1.5678327317485652</v>
      </c>
      <c r="AP291" s="168" t="str">
        <f t="shared" si="199"/>
        <v>-0.0891712812530202+0.0303533331365226i</v>
      </c>
      <c r="AQ291" s="98">
        <f t="shared" si="200"/>
        <v>-20.519372405629571</v>
      </c>
      <c r="AR291" s="169">
        <f t="shared" si="201"/>
        <v>161.20175458990877</v>
      </c>
      <c r="AS291" s="168" t="str">
        <f t="shared" si="202"/>
        <v>0.0880299436119279+0.0599208475846409i</v>
      </c>
      <c r="AT291" s="190">
        <f t="shared" si="203"/>
        <v>-19.453954112968599</v>
      </c>
      <c r="AU291" s="169">
        <f t="shared" si="204"/>
        <v>34.242613862427874</v>
      </c>
      <c r="AV291" s="225"/>
      <c r="AX291">
        <f t="shared" si="205"/>
        <v>0</v>
      </c>
      <c r="AY291">
        <f t="shared" si="206"/>
        <v>0</v>
      </c>
    </row>
    <row r="292" spans="14:51" x14ac:dyDescent="0.3">
      <c r="N292" s="170">
        <v>74</v>
      </c>
      <c r="O292" s="199">
        <f t="shared" si="207"/>
        <v>5495.4087385762541</v>
      </c>
      <c r="P292" s="189" t="str">
        <f t="shared" si="173"/>
        <v>1078.86904761905</v>
      </c>
      <c r="Q292" s="160" t="str">
        <f t="shared" si="174"/>
        <v>1+1079.02098259902i</v>
      </c>
      <c r="R292" s="160">
        <f t="shared" si="182"/>
        <v>1079.021445981939</v>
      </c>
      <c r="S292" s="160">
        <f t="shared" si="183"/>
        <v>1.5698695610231199</v>
      </c>
      <c r="T292" s="160" t="str">
        <f t="shared" si="175"/>
        <v>1+0.000690573428863372i</v>
      </c>
      <c r="U292" s="160">
        <f t="shared" si="184"/>
        <v>1.0000002384458018</v>
      </c>
      <c r="V292" s="160">
        <f t="shared" si="185"/>
        <v>6.9057331908716694E-4</v>
      </c>
      <c r="W292" s="98" t="str">
        <f t="shared" si="176"/>
        <v>1-0.499450326691145i</v>
      </c>
      <c r="X292" s="160">
        <f t="shared" si="186"/>
        <v>1.1177882754940183</v>
      </c>
      <c r="Y292" s="160">
        <f t="shared" si="187"/>
        <v>-0.46320777367578325</v>
      </c>
      <c r="Z292" s="98" t="str">
        <f t="shared" si="177"/>
        <v>0.987920193118392+0.197272987400745i</v>
      </c>
      <c r="AA292" s="160">
        <f t="shared" si="188"/>
        <v>1.0074239125259512</v>
      </c>
      <c r="AB292" s="160">
        <f t="shared" si="189"/>
        <v>0.19709279671390001</v>
      </c>
      <c r="AC292" s="171" t="str">
        <f t="shared" si="190"/>
        <v>-0.679033914084667-0.877308022131724i</v>
      </c>
      <c r="AD292" s="190">
        <f t="shared" si="191"/>
        <v>0.90172110629944657</v>
      </c>
      <c r="AE292" s="169">
        <f t="shared" si="192"/>
        <v>-127.73976918946174</v>
      </c>
      <c r="AF292" s="98" t="str">
        <f t="shared" si="178"/>
        <v>-9.95024875621891E-06</v>
      </c>
      <c r="AG292" s="98" t="str">
        <f t="shared" si="179"/>
        <v>0.0345632001146118i</v>
      </c>
      <c r="AH292" s="98">
        <f t="shared" si="193"/>
        <v>3.4563200114611801E-2</v>
      </c>
      <c r="AI292" s="98">
        <f t="shared" si="194"/>
        <v>1.5707963267948966</v>
      </c>
      <c r="AJ292" s="98" t="str">
        <f t="shared" si="180"/>
        <v>1+0.344941772659027i</v>
      </c>
      <c r="AK292" s="98">
        <f t="shared" si="195"/>
        <v>1.0578207913087887</v>
      </c>
      <c r="AL292" s="98">
        <f t="shared" si="196"/>
        <v>0.3321615158177787</v>
      </c>
      <c r="AM292" s="98" t="str">
        <f t="shared" si="181"/>
        <v>1+345.286714431686i</v>
      </c>
      <c r="AN292" s="98">
        <f t="shared" si="197"/>
        <v>345.28816250058253</v>
      </c>
      <c r="AO292" s="98">
        <f t="shared" si="198"/>
        <v>1.5679001910261721</v>
      </c>
      <c r="AP292" s="168" t="str">
        <f t="shared" si="199"/>
        <v>-0.0887445283823803+0.0308995805673756i</v>
      </c>
      <c r="AQ292" s="98">
        <f t="shared" si="200"/>
        <v>-20.540208332964717</v>
      </c>
      <c r="AR292" s="169">
        <f t="shared" si="201"/>
        <v>160.80261067052851</v>
      </c>
      <c r="AS292" s="168" t="str">
        <f t="shared" si="202"/>
        <v>0.0873689943733496+0.0568744235339191i</v>
      </c>
      <c r="AT292" s="190">
        <f t="shared" si="203"/>
        <v>-19.638487226665276</v>
      </c>
      <c r="AU292" s="169">
        <f t="shared" si="204"/>
        <v>33.062841481066791</v>
      </c>
      <c r="AV292" s="225"/>
      <c r="AX292">
        <f t="shared" si="205"/>
        <v>0</v>
      </c>
      <c r="AY292">
        <f t="shared" si="206"/>
        <v>0</v>
      </c>
    </row>
    <row r="293" spans="14:51" x14ac:dyDescent="0.3">
      <c r="N293" s="170">
        <v>75</v>
      </c>
      <c r="O293" s="199">
        <f t="shared" si="207"/>
        <v>5623.4132519034993</v>
      </c>
      <c r="P293" s="189" t="str">
        <f t="shared" si="173"/>
        <v>1078.86904761905</v>
      </c>
      <c r="Q293" s="160" t="str">
        <f t="shared" si="174"/>
        <v>1+1104.15461001747i</v>
      </c>
      <c r="R293" s="160">
        <f t="shared" si="182"/>
        <v>1104.1550628525104</v>
      </c>
      <c r="S293" s="160">
        <f t="shared" si="183"/>
        <v>1.5698906567759385</v>
      </c>
      <c r="T293" s="160" t="str">
        <f t="shared" si="175"/>
        <v>1+0.00070665895041118i</v>
      </c>
      <c r="U293" s="160">
        <f t="shared" si="184"/>
        <v>1.0000002496834051</v>
      </c>
      <c r="V293" s="160">
        <f t="shared" si="185"/>
        <v>7.0665883278385867E-4</v>
      </c>
      <c r="W293" s="98" t="str">
        <f t="shared" si="176"/>
        <v>1-0.511084019295382i</v>
      </c>
      <c r="X293" s="160">
        <f t="shared" si="186"/>
        <v>1.1230346721179727</v>
      </c>
      <c r="Y293" s="160">
        <f t="shared" si="187"/>
        <v>-0.47247545488700887</v>
      </c>
      <c r="Z293" s="98" t="str">
        <f t="shared" si="177"/>
        <v>0.987350889359326+0.201868065573472i</v>
      </c>
      <c r="AA293" s="160">
        <f t="shared" si="188"/>
        <v>1.0077760141107883</v>
      </c>
      <c r="AB293" s="160">
        <f t="shared" si="189"/>
        <v>0.20167478141817638</v>
      </c>
      <c r="AC293" s="171" t="str">
        <f t="shared" si="190"/>
        <v>-0.678324215169127-0.85174517730609i</v>
      </c>
      <c r="AD293" s="190">
        <f t="shared" si="191"/>
        <v>0.73935841844851902</v>
      </c>
      <c r="AE293" s="169">
        <f t="shared" si="192"/>
        <v>-128.5335836596422</v>
      </c>
      <c r="AF293" s="98" t="str">
        <f t="shared" si="178"/>
        <v>-9.95024875621891E-06</v>
      </c>
      <c r="AG293" s="98" t="str">
        <f t="shared" si="179"/>
        <v>0.0353682804680796i</v>
      </c>
      <c r="AH293" s="98">
        <f t="shared" si="193"/>
        <v>3.5368280468079598E-2</v>
      </c>
      <c r="AI293" s="98">
        <f t="shared" si="194"/>
        <v>1.5707963267948966</v>
      </c>
      <c r="AJ293" s="98" t="str">
        <f t="shared" si="180"/>
        <v>1+0.352976498706883i</v>
      </c>
      <c r="AK293" s="98">
        <f t="shared" si="195"/>
        <v>1.0604680139633491</v>
      </c>
      <c r="AL293" s="98">
        <f t="shared" si="196"/>
        <v>0.33932402372519044</v>
      </c>
      <c r="AM293" s="98" t="str">
        <f t="shared" si="181"/>
        <v>1+353.32947520559i</v>
      </c>
      <c r="AN293" s="98">
        <f t="shared" si="197"/>
        <v>353.33089031254769</v>
      </c>
      <c r="AO293" s="98">
        <f t="shared" si="198"/>
        <v>1.567966114768619</v>
      </c>
      <c r="AP293" s="168" t="str">
        <f t="shared" si="199"/>
        <v>-0.0883020194108909+0.0314498701967092i</v>
      </c>
      <c r="AQ293" s="98">
        <f t="shared" si="200"/>
        <v>-20.561919472805087</v>
      </c>
      <c r="AR293" s="169">
        <f t="shared" si="201"/>
        <v>160.39600634891664</v>
      </c>
      <c r="AS293" s="168" t="str">
        <f t="shared" si="202"/>
        <v>0.0866846732816912+0.0538776106612614i</v>
      </c>
      <c r="AT293" s="190">
        <f t="shared" si="203"/>
        <v>-19.822561054356566</v>
      </c>
      <c r="AU293" s="169">
        <f t="shared" si="204"/>
        <v>31.862422689274442</v>
      </c>
      <c r="AV293" s="225"/>
      <c r="AX293">
        <f t="shared" si="205"/>
        <v>0</v>
      </c>
      <c r="AY293">
        <f t="shared" si="206"/>
        <v>0</v>
      </c>
    </row>
    <row r="294" spans="14:51" x14ac:dyDescent="0.3">
      <c r="N294" s="170">
        <v>76</v>
      </c>
      <c r="O294" s="199">
        <f t="shared" si="207"/>
        <v>5754.399373371567</v>
      </c>
      <c r="P294" s="189" t="str">
        <f t="shared" si="173"/>
        <v>1078.86904761905</v>
      </c>
      <c r="Q294" s="160" t="str">
        <f t="shared" si="174"/>
        <v>1+1129.87367482536i</v>
      </c>
      <c r="R294" s="160">
        <f t="shared" si="182"/>
        <v>1129.8741173526205</v>
      </c>
      <c r="S294" s="160">
        <f t="shared" si="183"/>
        <v>1.5699112723315758</v>
      </c>
      <c r="T294" s="160" t="str">
        <f t="shared" si="175"/>
        <v>1+0.000723119151888232i</v>
      </c>
      <c r="U294" s="160">
        <f t="shared" si="184"/>
        <v>1.0000002614506198</v>
      </c>
      <c r="V294" s="160">
        <f t="shared" si="185"/>
        <v>7.2311902584828807E-4</v>
      </c>
      <c r="W294" s="98" t="str">
        <f t="shared" si="176"/>
        <v>1-0.522988695411645i</v>
      </c>
      <c r="X294" s="160">
        <f t="shared" si="186"/>
        <v>1.1285021823321275</v>
      </c>
      <c r="Y294" s="160">
        <f t="shared" si="187"/>
        <v>-0.48186897572776194</v>
      </c>
      <c r="Z294" s="98" t="str">
        <f t="shared" si="177"/>
        <v>0.986754755140696+0.206570176866605i</v>
      </c>
      <c r="AA294" s="160">
        <f t="shared" si="188"/>
        <v>1.0081449225004684</v>
      </c>
      <c r="AB294" s="160">
        <f t="shared" si="189"/>
        <v>0.2063628379248903</v>
      </c>
      <c r="AC294" s="171" t="str">
        <f t="shared" si="190"/>
        <v>-0.677577884915899-0.826641531377131i</v>
      </c>
      <c r="AD294" s="190">
        <f t="shared" si="191"/>
        <v>0.57836446097079319</v>
      </c>
      <c r="AE294" s="169">
        <f t="shared" si="192"/>
        <v>-129.34063669527691</v>
      </c>
      <c r="AF294" s="98" t="str">
        <f t="shared" si="178"/>
        <v>-9.95024875621891E-06</v>
      </c>
      <c r="AG294" s="98" t="str">
        <f t="shared" si="179"/>
        <v>0.0361921135520061i</v>
      </c>
      <c r="AH294" s="98">
        <f t="shared" si="193"/>
        <v>3.6192113552006099E-2</v>
      </c>
      <c r="AI294" s="98">
        <f t="shared" si="194"/>
        <v>1.5707963267948966</v>
      </c>
      <c r="AJ294" s="98" t="str">
        <f t="shared" si="180"/>
        <v>1+0.361198377566549i</v>
      </c>
      <c r="AK294" s="98">
        <f t="shared" si="195"/>
        <v>1.0632329321257443</v>
      </c>
      <c r="AL294" s="98">
        <f t="shared" si="196"/>
        <v>0.34661606182181037</v>
      </c>
      <c r="AM294" s="98" t="str">
        <f t="shared" si="181"/>
        <v>1+361.559575944116i</v>
      </c>
      <c r="AN294" s="98">
        <f t="shared" si="197"/>
        <v>361.56095883943135</v>
      </c>
      <c r="AO294" s="98">
        <f t="shared" si="198"/>
        <v>1.5680305379272534</v>
      </c>
      <c r="AP294" s="168" t="str">
        <f t="shared" si="199"/>
        <v>-0.0878433609197607+0.0320038080896988i</v>
      </c>
      <c r="AQ294" s="98">
        <f t="shared" si="200"/>
        <v>-20.584537958855922</v>
      </c>
      <c r="AR294" s="169">
        <f t="shared" si="201"/>
        <v>159.98189451702447</v>
      </c>
      <c r="AS294" s="168" t="str">
        <f t="shared" si="202"/>
        <v>0.0859763956250838+0.0509298977973526i</v>
      </c>
      <c r="AT294" s="190">
        <f t="shared" si="203"/>
        <v>-20.006173497885129</v>
      </c>
      <c r="AU294" s="169">
        <f t="shared" si="204"/>
        <v>30.641257821747566</v>
      </c>
      <c r="AV294" s="225"/>
      <c r="AX294">
        <f t="shared" si="205"/>
        <v>0</v>
      </c>
      <c r="AY294">
        <f t="shared" si="206"/>
        <v>0</v>
      </c>
    </row>
    <row r="295" spans="14:51" x14ac:dyDescent="0.3">
      <c r="N295" s="170">
        <v>77</v>
      </c>
      <c r="O295" s="199">
        <f t="shared" si="207"/>
        <v>5888.4365535558973</v>
      </c>
      <c r="P295" s="189" t="str">
        <f t="shared" si="173"/>
        <v>1078.86904761905</v>
      </c>
      <c r="Q295" s="160" t="str">
        <f t="shared" si="174"/>
        <v>1+1156.1918136113i</v>
      </c>
      <c r="R295" s="160">
        <f t="shared" si="182"/>
        <v>1156.1922460654141</v>
      </c>
      <c r="S295" s="160">
        <f t="shared" si="183"/>
        <v>1.5699314186206024</v>
      </c>
      <c r="T295" s="160" t="str">
        <f t="shared" si="175"/>
        <v>1+0.000739962760711232i</v>
      </c>
      <c r="U295" s="160">
        <f t="shared" si="184"/>
        <v>1.0000002737724061</v>
      </c>
      <c r="V295" s="160">
        <f t="shared" si="185"/>
        <v>7.3996262565700097E-4</v>
      </c>
      <c r="W295" s="98" t="str">
        <f t="shared" si="176"/>
        <v>1-0.535170667056792i</v>
      </c>
      <c r="X295" s="160">
        <f t="shared" si="186"/>
        <v>1.1341991195896828</v>
      </c>
      <c r="Y295" s="160">
        <f t="shared" si="187"/>
        <v>-0.49138668494290771</v>
      </c>
      <c r="Z295" s="98" t="str">
        <f t="shared" si="177"/>
        <v>0.986130525981899+0.211381814401793i</v>
      </c>
      <c r="AA295" s="160">
        <f t="shared" si="188"/>
        <v>1.0085314500466165</v>
      </c>
      <c r="AB295" s="160">
        <f t="shared" si="189"/>
        <v>0.21115938761846939</v>
      </c>
      <c r="AC295" s="171" t="str">
        <f t="shared" si="190"/>
        <v>-0.676793433926841-0.801984312220699i</v>
      </c>
      <c r="AD295" s="190">
        <f t="shared" si="191"/>
        <v>0.41877319939805346</v>
      </c>
      <c r="AE295" s="169">
        <f t="shared" si="192"/>
        <v>-130.1609725477575</v>
      </c>
      <c r="AF295" s="98" t="str">
        <f t="shared" si="178"/>
        <v>-9.95024875621891E-06</v>
      </c>
      <c r="AG295" s="98" t="str">
        <f t="shared" si="179"/>
        <v>0.0370351361735972i</v>
      </c>
      <c r="AH295" s="98">
        <f t="shared" si="193"/>
        <v>3.7035136173597202E-2</v>
      </c>
      <c r="AI295" s="98">
        <f t="shared" si="194"/>
        <v>1.5707963267948966</v>
      </c>
      <c r="AJ295" s="98" t="str">
        <f t="shared" si="180"/>
        <v>1+0.369611768587029i</v>
      </c>
      <c r="AK295" s="98">
        <f t="shared" si="195"/>
        <v>1.0661204713718011</v>
      </c>
      <c r="AL295" s="98">
        <f t="shared" si="196"/>
        <v>0.35403839352177158</v>
      </c>
      <c r="AM295" s="98" t="str">
        <f t="shared" si="181"/>
        <v>1+369.981380355616i</v>
      </c>
      <c r="AN295" s="98">
        <f t="shared" si="197"/>
        <v>369.98273177250718</v>
      </c>
      <c r="AO295" s="98">
        <f t="shared" si="198"/>
        <v>1.5680934946579466</v>
      </c>
      <c r="AP295" s="168" t="str">
        <f t="shared" si="199"/>
        <v>-0.0873681657469701+0.0325609727654206i</v>
      </c>
      <c r="AQ295" s="98">
        <f t="shared" si="200"/>
        <v>-20.608096710988274</v>
      </c>
      <c r="AR295" s="169">
        <f t="shared" si="201"/>
        <v>159.56023339143115</v>
      </c>
      <c r="AS295" s="168" t="str">
        <f t="shared" si="202"/>
        <v>0.085243590260294+0.0480308457466605i</v>
      </c>
      <c r="AT295" s="190">
        <f t="shared" si="203"/>
        <v>-20.189323511590224</v>
      </c>
      <c r="AU295" s="169">
        <f t="shared" si="204"/>
        <v>29.399260843673677</v>
      </c>
      <c r="AV295" s="225"/>
      <c r="AX295">
        <f t="shared" si="205"/>
        <v>0</v>
      </c>
      <c r="AY295">
        <f t="shared" si="206"/>
        <v>0</v>
      </c>
    </row>
    <row r="296" spans="14:51" x14ac:dyDescent="0.3">
      <c r="N296" s="170">
        <v>78</v>
      </c>
      <c r="O296" s="199">
        <f t="shared" si="207"/>
        <v>6025.595860743585</v>
      </c>
      <c r="P296" s="189" t="str">
        <f t="shared" si="173"/>
        <v>1078.86904761905</v>
      </c>
      <c r="Q296" s="160" t="str">
        <f t="shared" si="174"/>
        <v>1+1183.12298060082i</v>
      </c>
      <c r="R296" s="160">
        <f t="shared" si="182"/>
        <v>1183.1234032110804</v>
      </c>
      <c r="S296" s="160">
        <f t="shared" si="183"/>
        <v>1.5699511063247815</v>
      </c>
      <c r="T296" s="160" t="str">
        <f t="shared" si="175"/>
        <v>1+0.000757198707584524i</v>
      </c>
      <c r="U296" s="160">
        <f t="shared" si="184"/>
        <v>1.0000002866749003</v>
      </c>
      <c r="V296" s="160">
        <f t="shared" si="185"/>
        <v>7.5719856287131038E-4</v>
      </c>
      <c r="W296" s="98" t="str">
        <f t="shared" si="176"/>
        <v>1-0.547636393273431i</v>
      </c>
      <c r="X296" s="160">
        <f t="shared" si="186"/>
        <v>1.1401340356456042</v>
      </c>
      <c r="Y296" s="160">
        <f t="shared" si="187"/>
        <v>-0.50102673068092995</v>
      </c>
      <c r="Z296" s="98" t="str">
        <f t="shared" si="177"/>
        <v>0.985476877809196+0.216305529372946i</v>
      </c>
      <c r="AA296" s="160">
        <f t="shared" si="188"/>
        <v>1.0089364493038555</v>
      </c>
      <c r="AB296" s="160">
        <f t="shared" si="189"/>
        <v>0.21606690446982021</v>
      </c>
      <c r="AC296" s="171" t="str">
        <f t="shared" si="190"/>
        <v>-0.675969301011722-0.777761022202591i</v>
      </c>
      <c r="AD296" s="190">
        <f t="shared" si="191"/>
        <v>0.26061823148438407</v>
      </c>
      <c r="AE296" s="169">
        <f t="shared" si="192"/>
        <v>-130.99462696223063</v>
      </c>
      <c r="AF296" s="98" t="str">
        <f t="shared" si="178"/>
        <v>-9.95024875621891E-06</v>
      </c>
      <c r="AG296" s="98" t="str">
        <f t="shared" si="179"/>
        <v>0.0378977953146055i</v>
      </c>
      <c r="AH296" s="98">
        <f t="shared" si="193"/>
        <v>3.7897795314605499E-2</v>
      </c>
      <c r="AI296" s="98">
        <f t="shared" si="194"/>
        <v>1.5707963267948966</v>
      </c>
      <c r="AJ296" s="98" t="str">
        <f t="shared" si="180"/>
        <v>1+0.378221132659602i</v>
      </c>
      <c r="AK296" s="98">
        <f t="shared" si="195"/>
        <v>1.0691357374956241</v>
      </c>
      <c r="AL296" s="98">
        <f t="shared" si="196"/>
        <v>0.36159168203602265</v>
      </c>
      <c r="AM296" s="98" t="str">
        <f t="shared" si="181"/>
        <v>1+378.599353792262i</v>
      </c>
      <c r="AN296" s="98">
        <f t="shared" si="197"/>
        <v>378.60067444725763</v>
      </c>
      <c r="AO296" s="98">
        <f t="shared" si="198"/>
        <v>1.5681550183391928</v>
      </c>
      <c r="AP296" s="168" t="str">
        <f t="shared" si="199"/>
        <v>-0.0868760546409289+0.0331209146054159i</v>
      </c>
      <c r="AQ296" s="98">
        <f t="shared" si="200"/>
        <v>-20.632629420996903</v>
      </c>
      <c r="AR296" s="169">
        <f t="shared" si="201"/>
        <v>159.13098688539552</v>
      </c>
      <c r="AS296" s="168" t="str">
        <f t="shared" si="202"/>
        <v>0.0844857023300779+0.0451800875677651i</v>
      </c>
      <c r="AT296" s="190">
        <f t="shared" si="203"/>
        <v>-20.372011189512516</v>
      </c>
      <c r="AU296" s="169">
        <f t="shared" si="204"/>
        <v>28.136359923164886</v>
      </c>
      <c r="AV296" s="225"/>
      <c r="AX296">
        <f t="shared" si="205"/>
        <v>0</v>
      </c>
      <c r="AY296">
        <f t="shared" si="206"/>
        <v>0</v>
      </c>
    </row>
    <row r="297" spans="14:51" x14ac:dyDescent="0.3">
      <c r="N297" s="170">
        <v>79</v>
      </c>
      <c r="O297" s="199">
        <f t="shared" si="207"/>
        <v>6165.9500186148289</v>
      </c>
      <c r="P297" s="189" t="str">
        <f t="shared" si="173"/>
        <v>1078.86904761905</v>
      </c>
      <c r="Q297" s="160" t="str">
        <f t="shared" si="174"/>
        <v>1+1210.68145505514i</v>
      </c>
      <c r="R297" s="160">
        <f t="shared" si="182"/>
        <v>1210.6818680456197</v>
      </c>
      <c r="S297" s="160">
        <f t="shared" si="183"/>
        <v>1.5699703458827337</v>
      </c>
      <c r="T297" s="160" t="str">
        <f t="shared" si="175"/>
        <v>1+0.000774836131235288i</v>
      </c>
      <c r="U297" s="160">
        <f t="shared" si="184"/>
        <v>1.00000030018547</v>
      </c>
      <c r="V297" s="160">
        <f t="shared" si="185"/>
        <v>7.7483597617228838E-4</v>
      </c>
      <c r="W297" s="98" t="str">
        <f t="shared" si="176"/>
        <v>1-0.56039248355461i</v>
      </c>
      <c r="X297" s="160">
        <f t="shared" si="186"/>
        <v>1.1463157224885752</v>
      </c>
      <c r="Y297" s="160">
        <f t="shared" si="187"/>
        <v>-0.51078705660298296</v>
      </c>
      <c r="Z297" s="98" t="str">
        <f t="shared" si="177"/>
        <v>0.984792424147177+0.221343932398915i</v>
      </c>
      <c r="AA297" s="160">
        <f t="shared" si="188"/>
        <v>1.0093608151040385</v>
      </c>
      <c r="AB297" s="160">
        <f t="shared" si="189"/>
        <v>0.22108791595488203</v>
      </c>
      <c r="AC297" s="171" t="str">
        <f t="shared" si="190"/>
        <v>-0.675103850754903-0.753959434171616i</v>
      </c>
      <c r="AD297" s="190">
        <f t="shared" si="191"/>
        <v>0.10393268050747911</v>
      </c>
      <c r="AE297" s="169">
        <f t="shared" si="192"/>
        <v>-131.84162700734382</v>
      </c>
      <c r="AF297" s="98" t="str">
        <f t="shared" si="178"/>
        <v>-9.95024875621891E-06</v>
      </c>
      <c r="AG297" s="98" t="str">
        <f t="shared" si="179"/>
        <v>0.0387805483683262i</v>
      </c>
      <c r="AH297" s="98">
        <f t="shared" si="193"/>
        <v>3.8780548368326201E-2</v>
      </c>
      <c r="AI297" s="98">
        <f t="shared" si="194"/>
        <v>1.5707963267948966</v>
      </c>
      <c r="AJ297" s="98" t="str">
        <f t="shared" si="180"/>
        <v>1+0.387031034583061i</v>
      </c>
      <c r="AK297" s="98">
        <f t="shared" si="195"/>
        <v>1.0722840210179552</v>
      </c>
      <c r="AL297" s="98">
        <f t="shared" si="196"/>
        <v>0.36927648376972955</v>
      </c>
      <c r="AM297" s="98" t="str">
        <f t="shared" si="181"/>
        <v>1+387.418065617644i</v>
      </c>
      <c r="AN297" s="98">
        <f t="shared" si="197"/>
        <v>387.41935621096314</v>
      </c>
      <c r="AO297" s="98">
        <f t="shared" si="198"/>
        <v>1.5682151415897985</v>
      </c>
      <c r="AP297" s="168" t="str">
        <f t="shared" si="199"/>
        <v>-0.0863666580160336+0.0336831553462413i</v>
      </c>
      <c r="AQ297" s="98">
        <f t="shared" si="200"/>
        <v>-20.658170534924167</v>
      </c>
      <c r="AR297" s="169">
        <f t="shared" si="201"/>
        <v>158.69412498816953</v>
      </c>
      <c r="AS297" s="168" t="str">
        <f t="shared" si="202"/>
        <v>0.0837021961494228+0.0423773287292391i</v>
      </c>
      <c r="AT297" s="190">
        <f t="shared" si="203"/>
        <v>-20.554237854416687</v>
      </c>
      <c r="AU297" s="169">
        <f t="shared" si="204"/>
        <v>26.85249798082577</v>
      </c>
      <c r="AV297" s="225"/>
      <c r="AX297">
        <f t="shared" si="205"/>
        <v>0</v>
      </c>
      <c r="AY297">
        <f t="shared" si="206"/>
        <v>0</v>
      </c>
    </row>
    <row r="298" spans="14:51" x14ac:dyDescent="0.3">
      <c r="N298" s="170">
        <v>80</v>
      </c>
      <c r="O298" s="199">
        <f t="shared" si="207"/>
        <v>6309.5734448019384</v>
      </c>
      <c r="P298" s="189" t="str">
        <f t="shared" si="173"/>
        <v>1078.86904761905</v>
      </c>
      <c r="Q298" s="160" t="str">
        <f t="shared" si="174"/>
        <v>1+1238.88184884219i</v>
      </c>
      <c r="R298" s="160">
        <f t="shared" si="182"/>
        <v>1238.8822524318616</v>
      </c>
      <c r="S298" s="160">
        <f t="shared" si="183"/>
        <v>1.5699891474954701</v>
      </c>
      <c r="T298" s="160" t="str">
        <f t="shared" si="175"/>
        <v>1+0.000792884383259i</v>
      </c>
      <c r="U298" s="160">
        <f t="shared" si="184"/>
        <v>1.0000003143327734</v>
      </c>
      <c r="V298" s="160">
        <f t="shared" si="185"/>
        <v>7.9288421710600526E-4</v>
      </c>
      <c r="W298" s="98" t="str">
        <f t="shared" si="176"/>
        <v>1-0.573445701348239i</v>
      </c>
      <c r="X298" s="160">
        <f t="shared" si="186"/>
        <v>1.1527532140032288</v>
      </c>
      <c r="Y298" s="160">
        <f t="shared" si="187"/>
        <v>-0.52066539857555882</v>
      </c>
      <c r="Z298" s="98" t="str">
        <f t="shared" si="177"/>
        <v>0.98407571317786+0.226499694907674i</v>
      </c>
      <c r="AA298" s="160">
        <f t="shared" si="188"/>
        <v>1.009805486744741</v>
      </c>
      <c r="AB298" s="160">
        <f t="shared" si="189"/>
        <v>0.22622500396880524</v>
      </c>
      <c r="AC298" s="171" t="str">
        <f t="shared" si="190"/>
        <v>-0.674195371009646-0.730567587772285i</v>
      </c>
      <c r="AD298" s="190">
        <f t="shared" si="191"/>
        <v>-5.1250916487122475E-2</v>
      </c>
      <c r="AE298" s="169">
        <f t="shared" si="192"/>
        <v>-132.70199093816905</v>
      </c>
      <c r="AF298" s="98" t="str">
        <f t="shared" si="178"/>
        <v>-9.95024875621891E-06</v>
      </c>
      <c r="AG298" s="98" t="str">
        <f t="shared" si="179"/>
        <v>0.039683863382113i</v>
      </c>
      <c r="AH298" s="98">
        <f t="shared" si="193"/>
        <v>3.9683863382113001E-2</v>
      </c>
      <c r="AI298" s="98">
        <f t="shared" si="194"/>
        <v>1.5707963267948966</v>
      </c>
      <c r="AJ298" s="98" t="str">
        <f t="shared" si="180"/>
        <v>1+0.396046145484016i</v>
      </c>
      <c r="AK298" s="98">
        <f t="shared" si="195"/>
        <v>1.0755708016456873</v>
      </c>
      <c r="AL298" s="98">
        <f t="shared" si="196"/>
        <v>0.37709324161323837</v>
      </c>
      <c r="AM298" s="98" t="str">
        <f t="shared" si="181"/>
        <v>1+396.4421916295i</v>
      </c>
      <c r="AN298" s="98">
        <f t="shared" si="197"/>
        <v>396.44345284542305</v>
      </c>
      <c r="AO298" s="98">
        <f t="shared" si="198"/>
        <v>1.5682738962861671</v>
      </c>
      <c r="AP298" s="168" t="str">
        <f t="shared" si="199"/>
        <v>-0.0858396178083148+0.034247187667539i</v>
      </c>
      <c r="AQ298" s="98">
        <f t="shared" si="200"/>
        <v>-20.68475523174698</v>
      </c>
      <c r="AR298" s="169">
        <f t="shared" si="201"/>
        <v>158.24962415038925</v>
      </c>
      <c r="AS298" s="168" t="str">
        <f t="shared" si="202"/>
        <v>0.0828925582578617+0.039622347121962i</v>
      </c>
      <c r="AT298" s="190">
        <f t="shared" si="203"/>
        <v>-20.736006148234107</v>
      </c>
      <c r="AU298" s="169">
        <f t="shared" si="204"/>
        <v>25.547633212220212</v>
      </c>
      <c r="AV298" s="225"/>
      <c r="AX298">
        <f t="shared" si="205"/>
        <v>0</v>
      </c>
      <c r="AY298">
        <f t="shared" si="206"/>
        <v>0</v>
      </c>
    </row>
    <row r="299" spans="14:51" x14ac:dyDescent="0.3">
      <c r="N299" s="170">
        <v>81</v>
      </c>
      <c r="O299" s="199">
        <f t="shared" si="207"/>
        <v>6456.5422903465615</v>
      </c>
      <c r="P299" s="189" t="str">
        <f t="shared" si="173"/>
        <v>1078.86904761905</v>
      </c>
      <c r="Q299" s="160" t="str">
        <f t="shared" si="174"/>
        <v>1+1267.73911418404i</v>
      </c>
      <c r="R299" s="160">
        <f t="shared" si="182"/>
        <v>1267.739508586892</v>
      </c>
      <c r="S299" s="160">
        <f t="shared" si="183"/>
        <v>1.5700075211318019</v>
      </c>
      <c r="T299" s="160" t="str">
        <f t="shared" si="175"/>
        <v>1+0.000811353033077784i</v>
      </c>
      <c r="U299" s="160">
        <f t="shared" si="184"/>
        <v>1.000000329146818</v>
      </c>
      <c r="V299" s="160">
        <f t="shared" si="185"/>
        <v>8.1135285504164566E-4</v>
      </c>
      <c r="W299" s="98" t="str">
        <f t="shared" si="176"/>
        <v>1-0.586802967643177i</v>
      </c>
      <c r="X299" s="160">
        <f t="shared" si="186"/>
        <v>1.1594557873566544</v>
      </c>
      <c r="Y299" s="160">
        <f t="shared" si="187"/>
        <v>-0.53065928200147128</v>
      </c>
      <c r="Z299" s="98" t="str">
        <f t="shared" si="177"/>
        <v>0.983325224661187+0.231775550552752i</v>
      </c>
      <c r="AA299" s="160">
        <f t="shared" si="188"/>
        <v>1.0102714502988814</v>
      </c>
      <c r="AB299" s="160">
        <f t="shared" si="189"/>
        <v>0.2314808057333913</v>
      </c>
      <c r="AC299" s="171" t="str">
        <f t="shared" si="190"/>
        <v>-0.673242070322933-0.707573786086394i</v>
      </c>
      <c r="AD299" s="190">
        <f t="shared" si="191"/>
        <v>-0.20490072525490288</v>
      </c>
      <c r="AE299" s="169">
        <f t="shared" si="192"/>
        <v>-133.57572809529668</v>
      </c>
      <c r="AF299" s="98" t="str">
        <f t="shared" si="178"/>
        <v>-9.95024875621891E-06</v>
      </c>
      <c r="AG299" s="98" t="str">
        <f t="shared" si="179"/>
        <v>0.0406082193055431i</v>
      </c>
      <c r="AH299" s="98">
        <f t="shared" si="193"/>
        <v>4.0608219305543099E-2</v>
      </c>
      <c r="AI299" s="98">
        <f t="shared" si="194"/>
        <v>1.5707963267948966</v>
      </c>
      <c r="AJ299" s="98" t="str">
        <f t="shared" si="180"/>
        <v>1+0.405271245293598i</v>
      </c>
      <c r="AK299" s="98">
        <f t="shared" si="195"/>
        <v>1.0790017526685596</v>
      </c>
      <c r="AL299" s="98">
        <f t="shared" si="196"/>
        <v>0.38504227815016606</v>
      </c>
      <c r="AM299" s="98" t="str">
        <f t="shared" si="181"/>
        <v>1+405.676516538892i</v>
      </c>
      <c r="AN299" s="98">
        <f t="shared" si="197"/>
        <v>405.67774904612389</v>
      </c>
      <c r="AO299" s="98">
        <f t="shared" si="198"/>
        <v>1.5683313135791925</v>
      </c>
      <c r="AP299" s="168" t="str">
        <f t="shared" si="199"/>
        <v>-0.0852945894282583+0.034812474887608i</v>
      </c>
      <c r="AQ299" s="98">
        <f t="shared" si="200"/>
        <v>-20.712419398227574</v>
      </c>
      <c r="AR299" s="169">
        <f t="shared" si="201"/>
        <v>157.79746767418928</v>
      </c>
      <c r="AS299" s="168" t="str">
        <f t="shared" si="202"/>
        <v>0.0820563006332875+0.0369149929080389i</v>
      </c>
      <c r="AT299" s="190">
        <f t="shared" si="203"/>
        <v>-20.917320123482476</v>
      </c>
      <c r="AU299" s="169">
        <f t="shared" si="204"/>
        <v>24.221739578892585</v>
      </c>
      <c r="AV299" s="225"/>
      <c r="AX299">
        <f t="shared" si="205"/>
        <v>0</v>
      </c>
      <c r="AY299">
        <f t="shared" si="206"/>
        <v>0</v>
      </c>
    </row>
    <row r="300" spans="14:51" x14ac:dyDescent="0.3">
      <c r="N300" s="170">
        <v>82</v>
      </c>
      <c r="O300" s="199">
        <f t="shared" si="207"/>
        <v>6606.9344800759654</v>
      </c>
      <c r="P300" s="189" t="str">
        <f t="shared" si="173"/>
        <v>1078.86904761905</v>
      </c>
      <c r="Q300" s="160" t="str">
        <f t="shared" si="174"/>
        <v>1+1297.26855158473i</v>
      </c>
      <c r="R300" s="160">
        <f t="shared" si="182"/>
        <v>1297.2689370098797</v>
      </c>
      <c r="S300" s="160">
        <f t="shared" si="183"/>
        <v>1.5700254765336239</v>
      </c>
      <c r="T300" s="160" t="str">
        <f t="shared" si="175"/>
        <v>1+0.00083025187301423i</v>
      </c>
      <c r="U300" s="160">
        <f t="shared" si="184"/>
        <v>1.0000003446590269</v>
      </c>
      <c r="V300" s="160">
        <f t="shared" si="185"/>
        <v>8.3025168224507419E-4</v>
      </c>
      <c r="W300" s="98" t="str">
        <f t="shared" si="176"/>
        <v>1-0.600471364638812i</v>
      </c>
      <c r="X300" s="160">
        <f t="shared" si="186"/>
        <v>1.1664329641051805</v>
      </c>
      <c r="Y300" s="160">
        <f t="shared" si="187"/>
        <v>-0.54076601984242378</v>
      </c>
      <c r="Z300" s="98" t="str">
        <f t="shared" si="177"/>
        <v>0.982539366710393+0.237174296662645i</v>
      </c>
      <c r="AA300" s="160">
        <f t="shared" si="188"/>
        <v>1.0107597410527789</v>
      </c>
      <c r="AB300" s="160">
        <f t="shared" si="189"/>
        <v>0.23685801469513393</v>
      </c>
      <c r="AC300" s="171" t="str">
        <f t="shared" si="190"/>
        <v>-0.672242075294274-0.684966592613429i</v>
      </c>
      <c r="AD300" s="190">
        <f t="shared" si="191"/>
        <v>-0.35698573544068274</v>
      </c>
      <c r="AE300" s="169">
        <f t="shared" si="192"/>
        <v>-134.46283884300362</v>
      </c>
      <c r="AF300" s="98" t="str">
        <f t="shared" si="178"/>
        <v>-9.95024875621891E-06</v>
      </c>
      <c r="AG300" s="98" t="str">
        <f t="shared" si="179"/>
        <v>0.0415541062443622i</v>
      </c>
      <c r="AH300" s="98">
        <f t="shared" si="193"/>
        <v>4.1554106244362198E-2</v>
      </c>
      <c r="AI300" s="98">
        <f t="shared" si="194"/>
        <v>1.5707963267948966</v>
      </c>
      <c r="AJ300" s="98" t="str">
        <f t="shared" si="180"/>
        <v>1+0.414711225281833i</v>
      </c>
      <c r="AK300" s="98">
        <f t="shared" si="195"/>
        <v>1.0825827452785117</v>
      </c>
      <c r="AL300" s="98">
        <f t="shared" si="196"/>
        <v>0.39312378880892013</v>
      </c>
      <c r="AM300" s="98" t="str">
        <f t="shared" si="181"/>
        <v>1+415.125936507115i</v>
      </c>
      <c r="AN300" s="98">
        <f t="shared" si="197"/>
        <v>415.12714095913947</v>
      </c>
      <c r="AO300" s="98">
        <f t="shared" si="198"/>
        <v>1.5683874239107689</v>
      </c>
      <c r="AP300" s="168" t="str">
        <f t="shared" si="199"/>
        <v>-0.0847312438066725+0.0353784507787752i</v>
      </c>
      <c r="AQ300" s="98">
        <f t="shared" si="200"/>
        <v>-20.741199599736468</v>
      </c>
      <c r="AR300" s="169">
        <f t="shared" si="201"/>
        <v>157.33764610653921</v>
      </c>
      <c r="AS300" s="168" t="str">
        <f t="shared" si="202"/>
        <v>0.0811929640607422+0.034255188185934i</v>
      </c>
      <c r="AT300" s="190">
        <f t="shared" si="203"/>
        <v>-21.098185335177149</v>
      </c>
      <c r="AU300" s="169">
        <f t="shared" si="204"/>
        <v>22.874807263535576</v>
      </c>
      <c r="AV300" s="225"/>
      <c r="AX300">
        <f t="shared" si="205"/>
        <v>0</v>
      </c>
      <c r="AY300">
        <f t="shared" si="206"/>
        <v>0</v>
      </c>
    </row>
    <row r="301" spans="14:51" x14ac:dyDescent="0.3">
      <c r="N301" s="170">
        <v>83</v>
      </c>
      <c r="O301" s="199">
        <f t="shared" si="207"/>
        <v>6760.8297539198229</v>
      </c>
      <c r="P301" s="189" t="str">
        <f t="shared" si="173"/>
        <v>1078.86904761905</v>
      </c>
      <c r="Q301" s="160" t="str">
        <f t="shared" si="174"/>
        <v>1+1327.48581794286i</v>
      </c>
      <c r="R301" s="160">
        <f t="shared" si="182"/>
        <v>1327.4861945946648</v>
      </c>
      <c r="S301" s="160">
        <f t="shared" si="183"/>
        <v>1.570043023221082</v>
      </c>
      <c r="T301" s="160" t="str">
        <f t="shared" si="175"/>
        <v>1+0.000849590923483432i</v>
      </c>
      <c r="U301" s="160">
        <f t="shared" si="184"/>
        <v>1.0000003609023036</v>
      </c>
      <c r="V301" s="160">
        <f t="shared" si="185"/>
        <v>8.4959071907060276E-4</v>
      </c>
      <c r="W301" s="98" t="str">
        <f t="shared" si="176"/>
        <v>1-0.614458139500158i</v>
      </c>
      <c r="X301" s="160">
        <f t="shared" si="186"/>
        <v>1.1736945110197949</v>
      </c>
      <c r="Y301" s="160">
        <f t="shared" si="187"/>
        <v>-0.55098271138452237</v>
      </c>
      <c r="Z301" s="98" t="str">
        <f t="shared" si="177"/>
        <v>0.981716472415405+0.242698795724001i</v>
      </c>
      <c r="AA301" s="160">
        <f t="shared" si="188"/>
        <v>1.0112714460804415</v>
      </c>
      <c r="AB301" s="160">
        <f t="shared" si="189"/>
        <v>0.24235938141095692</v>
      </c>
      <c r="AC301" s="171" t="str">
        <f t="shared" si="190"/>
        <v>-0.671193427872771-0.662734828600591i</v>
      </c>
      <c r="AD301" s="190">
        <f t="shared" si="191"/>
        <v>-0.50747588584077896</v>
      </c>
      <c r="AE301" s="169">
        <f t="shared" si="192"/>
        <v>-135.36331454926906</v>
      </c>
      <c r="AF301" s="98" t="str">
        <f t="shared" si="178"/>
        <v>-9.95024875621891E-06</v>
      </c>
      <c r="AG301" s="98" t="str">
        <f t="shared" si="179"/>
        <v>0.0425220257203458i</v>
      </c>
      <c r="AH301" s="98">
        <f t="shared" si="193"/>
        <v>4.2522025720345802E-2</v>
      </c>
      <c r="AI301" s="98">
        <f t="shared" si="194"/>
        <v>1.5707963267948966</v>
      </c>
      <c r="AJ301" s="98" t="str">
        <f t="shared" si="180"/>
        <v>1+0.424371090651065i</v>
      </c>
      <c r="AK301" s="98">
        <f t="shared" si="195"/>
        <v>1.0863198527967599</v>
      </c>
      <c r="AL301" s="98">
        <f t="shared" si="196"/>
        <v>0.40133783498689746</v>
      </c>
      <c r="AM301" s="98" t="str">
        <f t="shared" si="181"/>
        <v>1+424.795461741716i</v>
      </c>
      <c r="AN301" s="98">
        <f t="shared" si="197"/>
        <v>424.79663877714199</v>
      </c>
      <c r="AO301" s="98">
        <f t="shared" si="198"/>
        <v>1.5684422570299223</v>
      </c>
      <c r="AP301" s="168" t="str">
        <f t="shared" si="199"/>
        <v>-0.0841492695281518+0.0359445195151189i</v>
      </c>
      <c r="AQ301" s="98">
        <f t="shared" si="200"/>
        <v>-20.771133046865636</v>
      </c>
      <c r="AR301" s="169">
        <f t="shared" si="201"/>
        <v>156.87015763412055</v>
      </c>
      <c r="AS301" s="168" t="str">
        <f t="shared" si="202"/>
        <v>0.0803021216475728+0.0316429264510123i</v>
      </c>
      <c r="AT301" s="190">
        <f t="shared" si="203"/>
        <v>-21.278608932706415</v>
      </c>
      <c r="AU301" s="169">
        <f t="shared" si="204"/>
        <v>21.506843084851493</v>
      </c>
      <c r="AV301" s="225"/>
      <c r="AX301">
        <f t="shared" si="205"/>
        <v>0</v>
      </c>
      <c r="AY301">
        <f t="shared" si="206"/>
        <v>0</v>
      </c>
    </row>
    <row r="302" spans="14:51" x14ac:dyDescent="0.3">
      <c r="N302" s="170">
        <v>84</v>
      </c>
      <c r="O302" s="199">
        <f t="shared" si="207"/>
        <v>6918.3097091893687</v>
      </c>
      <c r="P302" s="189" t="str">
        <f t="shared" si="173"/>
        <v>1078.86904761905</v>
      </c>
      <c r="Q302" s="160" t="str">
        <f t="shared" si="174"/>
        <v>1+1358.40693485302i</v>
      </c>
      <c r="R302" s="160">
        <f t="shared" si="182"/>
        <v>1358.4073029311851</v>
      </c>
      <c r="S302" s="160">
        <f t="shared" si="183"/>
        <v>1.5700601704976187</v>
      </c>
      <c r="T302" s="160" t="str">
        <f t="shared" si="175"/>
        <v>1+0.00086938043830593i</v>
      </c>
      <c r="U302" s="160">
        <f t="shared" si="184"/>
        <v>1.0000003779111017</v>
      </c>
      <c r="V302" s="160">
        <f t="shared" si="185"/>
        <v>8.6938021927364167E-4</v>
      </c>
      <c r="W302" s="98" t="str">
        <f t="shared" si="176"/>
        <v>1-0.628770708200381i</v>
      </c>
      <c r="X302" s="160">
        <f t="shared" si="186"/>
        <v>1.1812504406309479</v>
      </c>
      <c r="Y302" s="160">
        <f t="shared" si="187"/>
        <v>-0.56130624179524979</v>
      </c>
      <c r="Z302" s="98" t="str">
        <f t="shared" si="177"/>
        <v>0.980854796307094+0.248351976899348i</v>
      </c>
      <c r="AA302" s="160">
        <f t="shared" si="188"/>
        <v>1.0118077069623681</v>
      </c>
      <c r="AB302" s="160">
        <f t="shared" si="189"/>
        <v>0.24798771441839096</v>
      </c>
      <c r="AC302" s="171" t="str">
        <f t="shared" si="190"/>
        <v>-0.670094082597624-0.640867570734207i</v>
      </c>
      <c r="AD302" s="190">
        <f t="shared" si="191"/>
        <v>-0.6563421934407393</v>
      </c>
      <c r="AE302" s="169">
        <f t="shared" si="192"/>
        <v>-136.27713761023435</v>
      </c>
      <c r="AF302" s="98" t="str">
        <f t="shared" si="178"/>
        <v>-9.95024875621891E-06</v>
      </c>
      <c r="AG302" s="98" t="str">
        <f t="shared" si="179"/>
        <v>0.0435124909372118i</v>
      </c>
      <c r="AH302" s="98">
        <f t="shared" si="193"/>
        <v>4.3512490937211802E-2</v>
      </c>
      <c r="AI302" s="98">
        <f t="shared" si="194"/>
        <v>1.5707963267948966</v>
      </c>
      <c r="AJ302" s="98" t="str">
        <f t="shared" si="180"/>
        <v>1+0.434255963189775i</v>
      </c>
      <c r="AK302" s="98">
        <f t="shared" si="195"/>
        <v>1.0902193547932817</v>
      </c>
      <c r="AL302" s="98">
        <f t="shared" si="196"/>
        <v>0.40968433717948483</v>
      </c>
      <c r="AM302" s="98" t="str">
        <f t="shared" si="181"/>
        <v>1+434.690219152965i</v>
      </c>
      <c r="AN302" s="98">
        <f t="shared" si="197"/>
        <v>434.69136939586548</v>
      </c>
      <c r="AO302" s="98">
        <f t="shared" si="198"/>
        <v>1.5684958420085786</v>
      </c>
      <c r="AP302" s="168" t="str">
        <f t="shared" si="199"/>
        <v>-0.0835483750452874+0.0365100557651876i</v>
      </c>
      <c r="AQ302" s="98">
        <f t="shared" si="200"/>
        <v>-20.802257557661758</v>
      </c>
      <c r="AR302" s="169">
        <f t="shared" si="201"/>
        <v>156.39500847791084</v>
      </c>
      <c r="AS302" s="168" t="str">
        <f t="shared" si="202"/>
        <v>0.0793833824741003+0.0290782718305023i</v>
      </c>
      <c r="AT302" s="190">
        <f t="shared" si="203"/>
        <v>-21.458599751102501</v>
      </c>
      <c r="AU302" s="169">
        <f t="shared" si="204"/>
        <v>20.117870867676476</v>
      </c>
      <c r="AV302" s="225"/>
      <c r="AX302">
        <f t="shared" si="205"/>
        <v>0</v>
      </c>
      <c r="AY302">
        <f t="shared" si="206"/>
        <v>0</v>
      </c>
    </row>
    <row r="303" spans="14:51" x14ac:dyDescent="0.3">
      <c r="N303" s="170">
        <v>85</v>
      </c>
      <c r="O303" s="199">
        <f t="shared" si="207"/>
        <v>7079.4578438413828</v>
      </c>
      <c r="P303" s="189" t="str">
        <f t="shared" si="173"/>
        <v>1078.86904761905</v>
      </c>
      <c r="Q303" s="160" t="str">
        <f t="shared" si="174"/>
        <v>1+1390.04829710067i</v>
      </c>
      <c r="R303" s="160">
        <f t="shared" si="182"/>
        <v>1390.0486568003555</v>
      </c>
      <c r="S303" s="160">
        <f t="shared" si="183"/>
        <v>1.5700769274549069</v>
      </c>
      <c r="T303" s="160" t="str">
        <f t="shared" si="175"/>
        <v>1+0.000889630910144428i</v>
      </c>
      <c r="U303" s="160">
        <f t="shared" si="184"/>
        <v>1.0000003957214998</v>
      </c>
      <c r="V303" s="160">
        <f t="shared" si="185"/>
        <v>8.8963067544710762E-4</v>
      </c>
      <c r="W303" s="98" t="str">
        <f t="shared" si="176"/>
        <v>1-0.643416659452857i</v>
      </c>
      <c r="X303" s="160">
        <f t="shared" si="186"/>
        <v>1.1891110114961823</v>
      </c>
      <c r="Y303" s="160">
        <f t="shared" si="187"/>
        <v>-0.57173328251703415</v>
      </c>
      <c r="Z303" s="98" t="str">
        <f t="shared" si="177"/>
        <v>0.979952510654909+0.254136837580175i</v>
      </c>
      <c r="AA303" s="160">
        <f t="shared" si="188"/>
        <v>1.0123697226577411</v>
      </c>
      <c r="AB303" s="160">
        <f t="shared" si="189"/>
        <v>0.25374588108659496</v>
      </c>
      <c r="AC303" s="171" t="str">
        <f t="shared" si="190"/>
        <v>-0.66894190378781-0.619354149204814i</v>
      </c>
      <c r="AD303" s="190">
        <f t="shared" si="191"/>
        <v>-0.80355688578470519</v>
      </c>
      <c r="AE303" s="169">
        <f t="shared" si="192"/>
        <v>-137.20428152148273</v>
      </c>
      <c r="AF303" s="98" t="str">
        <f t="shared" si="178"/>
        <v>-9.95024875621891E-06</v>
      </c>
      <c r="AG303" s="98" t="str">
        <f t="shared" si="179"/>
        <v>0.0445260270527287i</v>
      </c>
      <c r="AH303" s="98">
        <f t="shared" si="193"/>
        <v>4.4526027052728699E-2</v>
      </c>
      <c r="AI303" s="98">
        <f t="shared" si="194"/>
        <v>1.5707963267948966</v>
      </c>
      <c r="AJ303" s="98" t="str">
        <f t="shared" si="180"/>
        <v>1+0.444371083988226i</v>
      </c>
      <c r="AK303" s="98">
        <f t="shared" si="195"/>
        <v>1.0942877410831535</v>
      </c>
      <c r="AL303" s="98">
        <f t="shared" si="196"/>
        <v>0.41816306814895843</v>
      </c>
      <c r="AM303" s="98" t="str">
        <f t="shared" si="181"/>
        <v>1+444.815455072214i</v>
      </c>
      <c r="AN303" s="98">
        <f t="shared" si="197"/>
        <v>444.81657913245635</v>
      </c>
      <c r="AO303" s="98">
        <f t="shared" si="198"/>
        <v>1.5685482072569714</v>
      </c>
      <c r="AP303" s="168" t="str">
        <f t="shared" si="199"/>
        <v>-0.0829282909652627+0.0370744049423455i</v>
      </c>
      <c r="AQ303" s="98">
        <f t="shared" si="200"/>
        <v>-20.834611515325644</v>
      </c>
      <c r="AR303" s="169">
        <f t="shared" si="201"/>
        <v>155.91221328545925</v>
      </c>
      <c r="AS303" s="168" t="str">
        <f t="shared" si="202"/>
        <v>0.0784363953665134+0.0265613580718668i</v>
      </c>
      <c r="AT303" s="190">
        <f t="shared" si="203"/>
        <v>-21.638168401110352</v>
      </c>
      <c r="AU303" s="169">
        <f t="shared" si="204"/>
        <v>18.707931763976553</v>
      </c>
      <c r="AV303" s="225"/>
      <c r="AX303">
        <f t="shared" si="205"/>
        <v>0</v>
      </c>
      <c r="AY303">
        <f t="shared" si="206"/>
        <v>0</v>
      </c>
    </row>
    <row r="304" spans="14:51" x14ac:dyDescent="0.3">
      <c r="N304" s="170">
        <v>86</v>
      </c>
      <c r="O304" s="199">
        <f t="shared" si="207"/>
        <v>7244.3596007499036</v>
      </c>
      <c r="P304" s="189" t="str">
        <f t="shared" si="173"/>
        <v>1078.86904761905</v>
      </c>
      <c r="Q304" s="160" t="str">
        <f t="shared" si="174"/>
        <v>1+1422.42668135491i</v>
      </c>
      <c r="R304" s="160">
        <f t="shared" si="182"/>
        <v>1422.4270328668329</v>
      </c>
      <c r="S304" s="160">
        <f t="shared" si="183"/>
        <v>1.5700933029776691</v>
      </c>
      <c r="T304" s="160" t="str">
        <f t="shared" si="175"/>
        <v>1+0.000910353076067144i</v>
      </c>
      <c r="U304" s="160">
        <f t="shared" si="184"/>
        <v>1.0000004143712757</v>
      </c>
      <c r="V304" s="160">
        <f t="shared" si="185"/>
        <v>9.1035282458444002E-4</v>
      </c>
      <c r="W304" s="98" t="str">
        <f t="shared" si="176"/>
        <v>1-0.658403758734802i</v>
      </c>
      <c r="X304" s="160">
        <f t="shared" si="186"/>
        <v>1.1972867281967654</v>
      </c>
      <c r="Y304" s="160">
        <f t="shared" si="187"/>
        <v>-0.58226029253823219</v>
      </c>
      <c r="Z304" s="98" t="str">
        <f t="shared" si="177"/>
        <v>0.979007701590009+0.260056444976185i</v>
      </c>
      <c r="AA304" s="160">
        <f t="shared" si="188"/>
        <v>1.012958752539413</v>
      </c>
      <c r="AB304" s="160">
        <f t="shared" si="189"/>
        <v>0.25963680844425208</v>
      </c>
      <c r="AC304" s="171" t="str">
        <f t="shared" si="190"/>
        <v>-0.667734662688116-0.598184146159404i</v>
      </c>
      <c r="AD304" s="190">
        <f t="shared" si="191"/>
        <v>-0.94909353617933401</v>
      </c>
      <c r="AE304" s="169">
        <f t="shared" si="192"/>
        <v>-138.14471099825488</v>
      </c>
      <c r="AF304" s="98" t="str">
        <f t="shared" si="178"/>
        <v>-9.95024875621891E-06</v>
      </c>
      <c r="AG304" s="98" t="str">
        <f t="shared" si="179"/>
        <v>0.0455631714571605i</v>
      </c>
      <c r="AH304" s="98">
        <f t="shared" si="193"/>
        <v>4.5563171457160503E-2</v>
      </c>
      <c r="AI304" s="98">
        <f t="shared" si="194"/>
        <v>1.5707963267948966</v>
      </c>
      <c r="AJ304" s="98" t="str">
        <f t="shared" si="180"/>
        <v>1+0.454721816217355i</v>
      </c>
      <c r="AK304" s="98">
        <f t="shared" si="195"/>
        <v>1.0985317155840382</v>
      </c>
      <c r="AL304" s="98">
        <f t="shared" si="196"/>
        <v>0.42677364617125468</v>
      </c>
      <c r="AM304" s="98" t="str">
        <f t="shared" si="181"/>
        <v>1+455.176538033572i</v>
      </c>
      <c r="AN304" s="98">
        <f t="shared" si="197"/>
        <v>455.17763650714198</v>
      </c>
      <c r="AO304" s="98">
        <f t="shared" si="198"/>
        <v>1.5685993805386991</v>
      </c>
      <c r="AP304" s="168" t="str">
        <f t="shared" si="199"/>
        <v>-0.0822887723989106+0.0376368836251752i</v>
      </c>
      <c r="AQ304" s="98">
        <f t="shared" si="200"/>
        <v>-20.868233821241127</v>
      </c>
      <c r="AR304" s="169">
        <f t="shared" si="201"/>
        <v>155.42179551868037</v>
      </c>
      <c r="AS304" s="168" t="str">
        <f t="shared" si="202"/>
        <v>0.077460852776232+0.0240923872638596i</v>
      </c>
      <c r="AT304" s="190">
        <f t="shared" si="203"/>
        <v>-21.817327357420456</v>
      </c>
      <c r="AU304" s="169">
        <f t="shared" si="204"/>
        <v>17.277084520425497</v>
      </c>
      <c r="AV304" s="225"/>
      <c r="AX304">
        <f t="shared" si="205"/>
        <v>0</v>
      </c>
      <c r="AY304">
        <f t="shared" si="206"/>
        <v>0</v>
      </c>
    </row>
    <row r="305" spans="14:51" x14ac:dyDescent="0.3">
      <c r="N305" s="170">
        <v>87</v>
      </c>
      <c r="O305" s="199">
        <f t="shared" si="207"/>
        <v>7413.1024130091773</v>
      </c>
      <c r="P305" s="189" t="str">
        <f t="shared" si="173"/>
        <v>1078.86904761905</v>
      </c>
      <c r="Q305" s="160" t="str">
        <f t="shared" si="174"/>
        <v>1+1455.55925506365i</v>
      </c>
      <c r="R305" s="160">
        <f t="shared" si="182"/>
        <v>1455.5595985741868</v>
      </c>
      <c r="S305" s="160">
        <f t="shared" si="183"/>
        <v>1.5701093057483893</v>
      </c>
      <c r="T305" s="160" t="str">
        <f t="shared" si="175"/>
        <v>1+0.000931557923240736i</v>
      </c>
      <c r="U305" s="160">
        <f t="shared" si="184"/>
        <v>1.0000004338999882</v>
      </c>
      <c r="V305" s="160">
        <f t="shared" si="185"/>
        <v>9.3155765377217004E-4</v>
      </c>
      <c r="W305" s="98" t="str">
        <f t="shared" si="176"/>
        <v>1-0.67373995240463i</v>
      </c>
      <c r="X305" s="160">
        <f t="shared" si="186"/>
        <v>1.2057883410724259</v>
      </c>
      <c r="Y305" s="160">
        <f t="shared" si="187"/>
        <v>-0.59288352057740357</v>
      </c>
      <c r="Z305" s="98" t="str">
        <f t="shared" si="177"/>
        <v>0.978018365045695+0.266113937741576i</v>
      </c>
      <c r="AA305" s="160">
        <f t="shared" si="188"/>
        <v>1.0135761196017701</v>
      </c>
      <c r="AB305" s="160">
        <f t="shared" si="189"/>
        <v>0.26566348397995776</v>
      </c>
      <c r="AC305" s="171" t="str">
        <f t="shared" si="190"/>
        <v>-0.666470034579565-0.577347394555041i</v>
      </c>
      <c r="AD305" s="190">
        <f t="shared" si="191"/>
        <v>-1.0929272011921976</v>
      </c>
      <c r="AE305" s="169">
        <f t="shared" si="192"/>
        <v>-139.09838214640013</v>
      </c>
      <c r="AF305" s="98" t="str">
        <f t="shared" si="178"/>
        <v>-9.95024875621891E-06</v>
      </c>
      <c r="AG305" s="98" t="str">
        <f t="shared" si="179"/>
        <v>0.0466244740581988i</v>
      </c>
      <c r="AH305" s="98">
        <f t="shared" si="193"/>
        <v>4.6624474058198799E-2</v>
      </c>
      <c r="AI305" s="98">
        <f t="shared" si="194"/>
        <v>1.5707963267948966</v>
      </c>
      <c r="AJ305" s="98" t="str">
        <f t="shared" si="180"/>
        <v>1+0.465313647972396i</v>
      </c>
      <c r="AK305" s="98">
        <f t="shared" si="195"/>
        <v>1.1029582000191027</v>
      </c>
      <c r="AL305" s="98">
        <f t="shared" si="196"/>
        <v>0.43551552840145152</v>
      </c>
      <c r="AM305" s="98" t="str">
        <f t="shared" si="181"/>
        <v>1+465.778961620368i</v>
      </c>
      <c r="AN305" s="98">
        <f t="shared" si="197"/>
        <v>465.7800350896851</v>
      </c>
      <c r="AO305" s="98">
        <f t="shared" si="198"/>
        <v>1.56864938898544</v>
      </c>
      <c r="AP305" s="168" t="str">
        <f t="shared" si="199"/>
        <v>-0.0816296013606618+0.038196780160001i</v>
      </c>
      <c r="AQ305" s="98">
        <f t="shared" si="200"/>
        <v>-20.90316384321973</v>
      </c>
      <c r="AR305" s="169">
        <f t="shared" si="201"/>
        <v>154.923787834828</v>
      </c>
      <c r="AS305" s="168" t="str">
        <f t="shared" si="202"/>
        <v>0.0764564947473246+0.0216716282700808i</v>
      </c>
      <c r="AT305" s="190">
        <f t="shared" si="203"/>
        <v>-21.996091044411934</v>
      </c>
      <c r="AU305" s="169">
        <f t="shared" si="204"/>
        <v>15.825405688427887</v>
      </c>
      <c r="AV305" s="225"/>
      <c r="AX305">
        <f t="shared" si="205"/>
        <v>0</v>
      </c>
      <c r="AY305">
        <f t="shared" si="206"/>
        <v>0</v>
      </c>
    </row>
    <row r="306" spans="14:51" x14ac:dyDescent="0.3">
      <c r="N306" s="170">
        <v>88</v>
      </c>
      <c r="O306" s="199">
        <f t="shared" si="207"/>
        <v>7585.7757502918394</v>
      </c>
      <c r="P306" s="189" t="str">
        <f t="shared" si="173"/>
        <v>1078.86904761905</v>
      </c>
      <c r="Q306" s="160" t="str">
        <f t="shared" si="174"/>
        <v>1+1489.46358555603i</v>
      </c>
      <c r="R306" s="160">
        <f t="shared" si="182"/>
        <v>1489.4639212473141</v>
      </c>
      <c r="S306" s="160">
        <f t="shared" si="183"/>
        <v>1.5701249442519154</v>
      </c>
      <c r="T306" s="160" t="str">
        <f t="shared" si="175"/>
        <v>1+0.000953256694755858i</v>
      </c>
      <c r="U306" s="160">
        <f t="shared" si="184"/>
        <v>1.0000004543490599</v>
      </c>
      <c r="V306" s="160">
        <f t="shared" si="185"/>
        <v>9.5325640601509447E-4</v>
      </c>
      <c r="W306" s="98" t="str">
        <f t="shared" si="176"/>
        <v>1-0.689433371915227i</v>
      </c>
      <c r="X306" s="160">
        <f t="shared" si="186"/>
        <v>1.214626845706285</v>
      </c>
      <c r="Y306" s="160">
        <f t="shared" si="187"/>
        <v>-0.60359900821100143</v>
      </c>
      <c r="Z306" s="98" t="str">
        <f t="shared" si="177"/>
        <v>0.976982402506514+0.272312527639191i</v>
      </c>
      <c r="AA306" s="160">
        <f t="shared" si="188"/>
        <v>1.0142232138521803</v>
      </c>
      <c r="AB306" s="160">
        <f t="shared" si="189"/>
        <v>0.2718289564102378</v>
      </c>
      <c r="AC306" s="171" t="str">
        <f t="shared" si="190"/>
        <v>-0.665145595863555-0.556833977428855i</v>
      </c>
      <c r="AD306" s="190">
        <f t="shared" si="191"/>
        <v>-1.235034559863065</v>
      </c>
      <c r="AE306" s="169">
        <f t="shared" si="192"/>
        <v>-140.06524268551482</v>
      </c>
      <c r="AF306" s="98" t="str">
        <f t="shared" si="178"/>
        <v>-9.95024875621891E-06</v>
      </c>
      <c r="AG306" s="98" t="str">
        <f t="shared" si="179"/>
        <v>0.0477104975725307i</v>
      </c>
      <c r="AH306" s="98">
        <f t="shared" si="193"/>
        <v>4.7710497572530701E-2</v>
      </c>
      <c r="AI306" s="98">
        <f t="shared" si="194"/>
        <v>1.5707963267948966</v>
      </c>
      <c r="AJ306" s="98" t="str">
        <f t="shared" si="180"/>
        <v>1+0.476152195182746i</v>
      </c>
      <c r="AK306" s="98">
        <f t="shared" si="195"/>
        <v>1.1075743374497928</v>
      </c>
      <c r="AL306" s="98">
        <f t="shared" si="196"/>
        <v>0.44438800440153342</v>
      </c>
      <c r="AM306" s="98" t="str">
        <f t="shared" si="181"/>
        <v>1+476.628347377929i</v>
      </c>
      <c r="AN306" s="98">
        <f t="shared" si="197"/>
        <v>476.62939641215559</v>
      </c>
      <c r="AO306" s="98">
        <f t="shared" si="198"/>
        <v>1.5686982591113339</v>
      </c>
      <c r="AP306" s="168" t="str">
        <f t="shared" si="199"/>
        <v>-0.0809505892061432+0.0387533554570426i</v>
      </c>
      <c r="AQ306" s="98">
        <f t="shared" si="200"/>
        <v>-20.939441358870965</v>
      </c>
      <c r="AR306" s="169">
        <f t="shared" si="201"/>
        <v>154.4182324581501</v>
      </c>
      <c r="AS306" s="168" t="str">
        <f t="shared" si="202"/>
        <v>0.0754231129508852+0.0192994148556793i</v>
      </c>
      <c r="AT306" s="190">
        <f t="shared" si="203"/>
        <v>-22.174475918734036</v>
      </c>
      <c r="AU306" s="169">
        <f t="shared" si="204"/>
        <v>14.352989772635258</v>
      </c>
      <c r="AV306" s="225"/>
      <c r="AX306">
        <f t="shared" si="205"/>
        <v>0</v>
      </c>
      <c r="AY306">
        <f t="shared" si="206"/>
        <v>0</v>
      </c>
    </row>
    <row r="307" spans="14:51" x14ac:dyDescent="0.3">
      <c r="N307" s="170">
        <v>89</v>
      </c>
      <c r="O307" s="199">
        <f t="shared" si="207"/>
        <v>7762.4711662869322</v>
      </c>
      <c r="P307" s="189" t="str">
        <f t="shared" si="173"/>
        <v>1078.86904761905</v>
      </c>
      <c r="Q307" s="160" t="str">
        <f t="shared" si="174"/>
        <v>1+1524.15764935685i</v>
      </c>
      <c r="R307" s="160">
        <f t="shared" si="182"/>
        <v>1524.1579774068691</v>
      </c>
      <c r="S307" s="160">
        <f t="shared" si="183"/>
        <v>1.5701402267799587</v>
      </c>
      <c r="T307" s="160" t="str">
        <f t="shared" si="175"/>
        <v>1+0.000975460895588384i</v>
      </c>
      <c r="U307" s="160">
        <f t="shared" si="184"/>
        <v>1.0000004757618661</v>
      </c>
      <c r="V307" s="160">
        <f t="shared" si="185"/>
        <v>9.7546058619708961E-4</v>
      </c>
      <c r="W307" s="98" t="str">
        <f t="shared" si="176"/>
        <v>1-0.705492338125343i</v>
      </c>
      <c r="X307" s="160">
        <f t="shared" si="186"/>
        <v>1.2238134821751079</v>
      </c>
      <c r="Y307" s="160">
        <f t="shared" si="187"/>
        <v>-0.6144025939681359</v>
      </c>
      <c r="Z307" s="98" t="str">
        <f t="shared" si="177"/>
        <v>0.975897616557026+0.278655501243444i</v>
      </c>
      <c r="AA307" s="160">
        <f t="shared" si="188"/>
        <v>1.0149014958974685</v>
      </c>
      <c r="AB307" s="160">
        <f t="shared" si="189"/>
        <v>0.27813633640987673</v>
      </c>
      <c r="AC307" s="171" t="str">
        <f t="shared" si="190"/>
        <v>-0.663758821130563-0.536634227600529i</v>
      </c>
      <c r="AD307" s="190">
        <f t="shared" si="191"/>
        <v>-1.3753940540062706</v>
      </c>
      <c r="AE307" s="169">
        <f t="shared" si="192"/>
        <v>-141.0452322253162</v>
      </c>
      <c r="AF307" s="98" t="str">
        <f t="shared" si="178"/>
        <v>-9.95024875621891E-06</v>
      </c>
      <c r="AG307" s="98" t="str">
        <f t="shared" si="179"/>
        <v>0.0488218178241987i</v>
      </c>
      <c r="AH307" s="98">
        <f t="shared" si="193"/>
        <v>4.8821817824198699E-2</v>
      </c>
      <c r="AI307" s="98">
        <f t="shared" si="194"/>
        <v>1.5707963267948966</v>
      </c>
      <c r="AJ307" s="98" t="str">
        <f t="shared" si="180"/>
        <v>1+0.487243204589602i</v>
      </c>
      <c r="AK307" s="98">
        <f t="shared" si="195"/>
        <v>1.1123874956231505</v>
      </c>
      <c r="AL307" s="98">
        <f t="shared" si="196"/>
        <v>0.45339018987657626</v>
      </c>
      <c r="AM307" s="98" t="str">
        <f t="shared" si="181"/>
        <v>1+487.730447794192i</v>
      </c>
      <c r="AN307" s="98">
        <f t="shared" si="197"/>
        <v>487.73147294953509</v>
      </c>
      <c r="AO307" s="98">
        <f t="shared" si="198"/>
        <v>1.5687460168270337</v>
      </c>
      <c r="AP307" s="168" t="str">
        <f t="shared" si="199"/>
        <v>-0.0802515790924758+0.0393058439909214i</v>
      </c>
      <c r="AQ307" s="98">
        <f t="shared" si="200"/>
        <v>-20.977106494037674</v>
      </c>
      <c r="AR307" s="169">
        <f t="shared" si="201"/>
        <v>153.90518153958502</v>
      </c>
      <c r="AS307" s="168" t="str">
        <f t="shared" si="202"/>
        <v>0.0743605547625429+0.0169761434890577i</v>
      </c>
      <c r="AT307" s="190">
        <f t="shared" si="203"/>
        <v>-22.352500548043935</v>
      </c>
      <c r="AU307" s="169">
        <f t="shared" si="204"/>
        <v>12.859949314268835</v>
      </c>
      <c r="AV307" s="225"/>
      <c r="AX307">
        <f t="shared" si="205"/>
        <v>0</v>
      </c>
      <c r="AY307">
        <f t="shared" si="206"/>
        <v>0</v>
      </c>
    </row>
    <row r="308" spans="14:51" x14ac:dyDescent="0.3">
      <c r="N308" s="170">
        <v>90</v>
      </c>
      <c r="O308" s="199">
        <f t="shared" si="207"/>
        <v>7943.2823472428154</v>
      </c>
      <c r="P308" s="189" t="str">
        <f t="shared" si="173"/>
        <v>1078.86904761905</v>
      </c>
      <c r="Q308" s="160" t="str">
        <f t="shared" si="174"/>
        <v>1+1559.65984171797i</v>
      </c>
      <c r="R308" s="160">
        <f t="shared" si="182"/>
        <v>1559.6601623006607</v>
      </c>
      <c r="S308" s="160">
        <f t="shared" si="183"/>
        <v>1.5701551614354889</v>
      </c>
      <c r="T308" s="160" t="str">
        <f t="shared" si="175"/>
        <v>1+0.0009981822986995i</v>
      </c>
      <c r="U308" s="160">
        <f t="shared" si="184"/>
        <v>1.0000004981838266</v>
      </c>
      <c r="V308" s="160">
        <f t="shared" si="185"/>
        <v>9.9818196718076419E-4</v>
      </c>
      <c r="W308" s="98" t="str">
        <f t="shared" si="176"/>
        <v>1-0.721925365711427i</v>
      </c>
      <c r="X308" s="160">
        <f t="shared" si="186"/>
        <v>1.2333597340831173</v>
      </c>
      <c r="Y308" s="160">
        <f t="shared" si="187"/>
        <v>-0.62528991840900083</v>
      </c>
      <c r="Z308" s="98" t="str">
        <f t="shared" si="177"/>
        <v>0.974761706220792+0.285146221682896i</v>
      </c>
      <c r="AA308" s="160">
        <f t="shared" si="188"/>
        <v>1.0156125007376096</v>
      </c>
      <c r="AB308" s="160">
        <f t="shared" si="189"/>
        <v>0.28458879729864078</v>
      </c>
      <c r="AC308" s="171" t="str">
        <f t="shared" si="190"/>
        <v>-0.662307080225593-0.516738727824055i</v>
      </c>
      <c r="AD308" s="190">
        <f t="shared" si="191"/>
        <v>-1.5139860289531555</v>
      </c>
      <c r="AE308" s="169">
        <f t="shared" si="192"/>
        <v>-142.03828259586209</v>
      </c>
      <c r="AF308" s="98" t="str">
        <f t="shared" si="178"/>
        <v>-9.95024875621891E-06</v>
      </c>
      <c r="AG308" s="98" t="str">
        <f t="shared" si="179"/>
        <v>0.04995902404991i</v>
      </c>
      <c r="AH308" s="98">
        <f t="shared" si="193"/>
        <v>4.9959024049909997E-2</v>
      </c>
      <c r="AI308" s="98">
        <f t="shared" si="194"/>
        <v>1.5707963267948966</v>
      </c>
      <c r="AJ308" s="98" t="str">
        <f t="shared" si="180"/>
        <v>1+0.498592556792957i</v>
      </c>
      <c r="AK308" s="98">
        <f t="shared" si="195"/>
        <v>1.1174052701188313</v>
      </c>
      <c r="AL308" s="98">
        <f t="shared" si="196"/>
        <v>0.46252102066788758</v>
      </c>
      <c r="AM308" s="98" t="str">
        <f t="shared" si="181"/>
        <v>1+499.09114934975i</v>
      </c>
      <c r="AN308" s="98">
        <f t="shared" si="197"/>
        <v>499.09215116975594</v>
      </c>
      <c r="AO308" s="98">
        <f t="shared" si="198"/>
        <v>1.568792687453441</v>
      </c>
      <c r="AP308" s="168" t="str">
        <f t="shared" si="199"/>
        <v>-0.0795324484446223+0.0398534550152549i</v>
      </c>
      <c r="AQ308" s="98">
        <f t="shared" si="200"/>
        <v>-21.016199656267137</v>
      </c>
      <c r="AR308" s="169">
        <f t="shared" si="201"/>
        <v>153.38469750171512</v>
      </c>
      <c r="AS308" s="168" t="str">
        <f t="shared" si="202"/>
        <v>0.0732687273565263+0.0147022708019509i</v>
      </c>
      <c r="AT308" s="190">
        <f t="shared" si="203"/>
        <v>-22.5301856852203</v>
      </c>
      <c r="AU308" s="169">
        <f t="shared" si="204"/>
        <v>11.346414905853059</v>
      </c>
      <c r="AV308" s="225"/>
      <c r="AX308">
        <f t="shared" si="205"/>
        <v>0</v>
      </c>
      <c r="AY308">
        <f t="shared" si="206"/>
        <v>0</v>
      </c>
    </row>
    <row r="309" spans="14:51" x14ac:dyDescent="0.3">
      <c r="N309" s="170">
        <v>91</v>
      </c>
      <c r="O309" s="199">
        <f t="shared" si="207"/>
        <v>8128.3051616410066</v>
      </c>
      <c r="P309" s="189" t="str">
        <f t="shared" si="173"/>
        <v>1078.86904761905</v>
      </c>
      <c r="Q309" s="160" t="str">
        <f t="shared" si="174"/>
        <v>1+1595.98898637171i</v>
      </c>
      <c r="R309" s="160">
        <f t="shared" si="182"/>
        <v>1595.9892996570493</v>
      </c>
      <c r="S309" s="160">
        <f t="shared" si="183"/>
        <v>1.5701697561370316</v>
      </c>
      <c r="T309" s="160" t="str">
        <f t="shared" si="175"/>
        <v>1+0.0010214329512779i</v>
      </c>
      <c r="U309" s="160">
        <f t="shared" si="184"/>
        <v>1.000000521662501</v>
      </c>
      <c r="V309" s="160">
        <f t="shared" si="185"/>
        <v>1.0214325960491845E-3</v>
      </c>
      <c r="W309" s="98" t="str">
        <f t="shared" si="176"/>
        <v>1-0.738741167682226i</v>
      </c>
      <c r="X309" s="160">
        <f t="shared" si="186"/>
        <v>1.2432773274006483</v>
      </c>
      <c r="Y309" s="160">
        <f t="shared" si="187"/>
        <v>-0.63625643019579547</v>
      </c>
      <c r="Z309" s="98" t="str">
        <f t="shared" si="177"/>
        <v>0.973572262079696+0.291788130423443i</v>
      </c>
      <c r="AA309" s="160">
        <f t="shared" si="188"/>
        <v>1.0163578417796484</v>
      </c>
      <c r="AB309" s="160">
        <f t="shared" si="189"/>
        <v>0.29118957567795112</v>
      </c>
      <c r="AC309" s="171" t="str">
        <f t="shared" si="190"/>
        <v>-0.66078763532455-0.497138311406527i</v>
      </c>
      <c r="AD309" s="190">
        <f t="shared" si="191"/>
        <v>-1.6507928740543052</v>
      </c>
      <c r="AE309" s="169">
        <f t="shared" si="192"/>
        <v>-143.0443182317579</v>
      </c>
      <c r="AF309" s="98" t="str">
        <f t="shared" si="178"/>
        <v>-9.95024875621891E-06</v>
      </c>
      <c r="AG309" s="98" t="str">
        <f t="shared" si="179"/>
        <v>0.0511227192114587i</v>
      </c>
      <c r="AH309" s="98">
        <f t="shared" si="193"/>
        <v>5.1122719211458702E-2</v>
      </c>
      <c r="AI309" s="98">
        <f t="shared" si="194"/>
        <v>1.5707963267948966</v>
      </c>
      <c r="AJ309" s="98" t="str">
        <f t="shared" si="180"/>
        <v>1+0.510206269369578i</v>
      </c>
      <c r="AK309" s="98">
        <f t="shared" si="195"/>
        <v>1.122635487281612</v>
      </c>
      <c r="AL309" s="98">
        <f t="shared" si="196"/>
        <v>0.47177924705375224</v>
      </c>
      <c r="AM309" s="98" t="str">
        <f t="shared" si="181"/>
        <v>1+510.716475638948i</v>
      </c>
      <c r="AN309" s="98">
        <f t="shared" si="197"/>
        <v>510.71745465479069</v>
      </c>
      <c r="AO309" s="98">
        <f t="shared" si="198"/>
        <v>1.5688382957351257</v>
      </c>
      <c r="AP309" s="168" t="str">
        <f t="shared" si="199"/>
        <v>-0.0787931114094705+0.0403953739998275i</v>
      </c>
      <c r="AQ309" s="98">
        <f t="shared" si="200"/>
        <v>-21.056761463323785</v>
      </c>
      <c r="AR309" s="169">
        <f t="shared" si="201"/>
        <v>152.8568533660798</v>
      </c>
      <c r="AS309" s="168" t="str">
        <f t="shared" si="202"/>
        <v>0.0721476017870372+0.0124783106931737i</v>
      </c>
      <c r="AT309" s="190">
        <f t="shared" si="203"/>
        <v>-22.707554337378092</v>
      </c>
      <c r="AU309" s="169">
        <f t="shared" si="204"/>
        <v>9.8125351343219371</v>
      </c>
      <c r="AV309" s="225"/>
      <c r="AX309">
        <f t="shared" si="205"/>
        <v>0</v>
      </c>
      <c r="AY309">
        <f t="shared" si="206"/>
        <v>0</v>
      </c>
    </row>
    <row r="310" spans="14:51" x14ac:dyDescent="0.3">
      <c r="N310" s="170">
        <v>92</v>
      </c>
      <c r="O310" s="199">
        <f t="shared" si="207"/>
        <v>8317.6377110267094</v>
      </c>
      <c r="P310" s="189" t="str">
        <f t="shared" si="173"/>
        <v>1078.86904761905</v>
      </c>
      <c r="Q310" s="160" t="str">
        <f t="shared" si="174"/>
        <v>1+1633.16434551143i</v>
      </c>
      <c r="R310" s="160">
        <f t="shared" si="182"/>
        <v>1633.1646516655255</v>
      </c>
      <c r="S310" s="160">
        <f t="shared" si="183"/>
        <v>1.5701840186228657</v>
      </c>
      <c r="T310" s="160" t="str">
        <f t="shared" si="175"/>
        <v>1+0.00104522518112732i</v>
      </c>
      <c r="U310" s="160">
        <f t="shared" si="184"/>
        <v>1.0000005462476904</v>
      </c>
      <c r="V310" s="160">
        <f t="shared" si="185"/>
        <v>1.0452248004929048E-3</v>
      </c>
      <c r="W310" s="98" t="str">
        <f t="shared" si="176"/>
        <v>1-0.755948659998522i</v>
      </c>
      <c r="X310" s="160">
        <f t="shared" si="186"/>
        <v>1.2535782291319362</v>
      </c>
      <c r="Y310" s="160">
        <f t="shared" si="187"/>
        <v>-0.64729739315672519</v>
      </c>
      <c r="Z310" s="98" t="str">
        <f t="shared" si="177"/>
        <v>0.972326761163242+0.298584749093012i</v>
      </c>
      <c r="AA310" s="160">
        <f t="shared" si="188"/>
        <v>1.0171392150856919</v>
      </c>
      <c r="AB310" s="160">
        <f t="shared" si="189"/>
        <v>0.29794197201033462</v>
      </c>
      <c r="AC310" s="171" t="str">
        <f t="shared" si="190"/>
        <v>-0.659197638037312-0.477824063312572i</v>
      </c>
      <c r="AD310" s="190">
        <f t="shared" si="191"/>
        <v>-1.7857991622444116</v>
      </c>
      <c r="AE310" s="169">
        <f t="shared" si="192"/>
        <v>-144.06325660996842</v>
      </c>
      <c r="AF310" s="98" t="str">
        <f t="shared" si="178"/>
        <v>-9.95024875621891E-06</v>
      </c>
      <c r="AG310" s="98" t="str">
        <f t="shared" si="179"/>
        <v>0.0523135203154222i</v>
      </c>
      <c r="AH310" s="98">
        <f t="shared" si="193"/>
        <v>5.2313520315422198E-2</v>
      </c>
      <c r="AI310" s="98">
        <f t="shared" si="194"/>
        <v>1.5707963267948966</v>
      </c>
      <c r="AJ310" s="98" t="str">
        <f t="shared" si="180"/>
        <v>1+0.522090500063595i</v>
      </c>
      <c r="AK310" s="98">
        <f t="shared" si="195"/>
        <v>1.1280862069259843</v>
      </c>
      <c r="AL310" s="98">
        <f t="shared" si="196"/>
        <v>0.48116342841021031</v>
      </c>
      <c r="AM310" s="98" t="str">
        <f t="shared" si="181"/>
        <v>1+522.612590563659i</v>
      </c>
      <c r="AN310" s="98">
        <f t="shared" si="197"/>
        <v>522.61354729442155</v>
      </c>
      <c r="AO310" s="98">
        <f t="shared" si="198"/>
        <v>1.5688828658534431</v>
      </c>
      <c r="AP310" s="168" t="str">
        <f t="shared" si="199"/>
        <v>-0.0780335212777224+0.040930764297351i</v>
      </c>
      <c r="AQ310" s="98">
        <f t="shared" si="200"/>
        <v>-21.098832666788002</v>
      </c>
      <c r="AR310" s="169">
        <f t="shared" si="201"/>
        <v>152.32173305984139</v>
      </c>
      <c r="AS310" s="168" t="str">
        <f t="shared" si="202"/>
        <v>0.0709972170250583+0.0103048310636336i</v>
      </c>
      <c r="AT310" s="190">
        <f t="shared" si="203"/>
        <v>-22.884631829032422</v>
      </c>
      <c r="AU310" s="169">
        <f t="shared" si="204"/>
        <v>8.2584764498729477</v>
      </c>
      <c r="AV310" s="225"/>
      <c r="AX310">
        <f t="shared" si="205"/>
        <v>0</v>
      </c>
      <c r="AY310">
        <f t="shared" si="206"/>
        <v>0</v>
      </c>
    </row>
    <row r="311" spans="14:51" x14ac:dyDescent="0.3">
      <c r="N311" s="170">
        <v>93</v>
      </c>
      <c r="O311" s="199">
        <f t="shared" si="207"/>
        <v>8511.3803820237772</v>
      </c>
      <c r="P311" s="189" t="str">
        <f t="shared" si="173"/>
        <v>1078.86904761905</v>
      </c>
      <c r="Q311" s="160" t="str">
        <f t="shared" si="174"/>
        <v>1+1671.20563000464i</v>
      </c>
      <c r="R311" s="160">
        <f t="shared" si="182"/>
        <v>1671.2059291898188</v>
      </c>
      <c r="S311" s="160">
        <f t="shared" si="183"/>
        <v>1.5701979564551269</v>
      </c>
      <c r="T311" s="160" t="str">
        <f t="shared" si="175"/>
        <v>1+0.00106957160320297i</v>
      </c>
      <c r="U311" s="160">
        <f t="shared" si="184"/>
        <v>1.0000005719915437</v>
      </c>
      <c r="V311" s="160">
        <f t="shared" si="185"/>
        <v>1.0695711953458585E-3</v>
      </c>
      <c r="W311" s="98" t="str">
        <f t="shared" si="176"/>
        <v>1-0.773556966300515i</v>
      </c>
      <c r="X311" s="160">
        <f t="shared" si="186"/>
        <v>1.2642746458392875</v>
      </c>
      <c r="Y311" s="160">
        <f t="shared" si="187"/>
        <v>-0.658407894335026</v>
      </c>
      <c r="Z311" s="98" t="str">
        <f t="shared" si="177"/>
        <v>0.971022561597+0.305539681348787i</v>
      </c>
      <c r="AA311" s="160">
        <f t="shared" si="188"/>
        <v>1.0179584038697838</v>
      </c>
      <c r="AB311" s="160">
        <f t="shared" si="189"/>
        <v>0.30484935113386158</v>
      </c>
      <c r="AC311" s="171" t="str">
        <f t="shared" si="190"/>
        <v>-0.657534126555581-0.458787321773767i</v>
      </c>
      <c r="AD311" s="190">
        <f t="shared" si="191"/>
        <v>-1.9189917879596821</v>
      </c>
      <c r="AE311" s="169">
        <f t="shared" si="192"/>
        <v>-145.09500874032773</v>
      </c>
      <c r="AF311" s="98" t="str">
        <f t="shared" si="178"/>
        <v>-9.95024875621891E-06</v>
      </c>
      <c r="AG311" s="98" t="str">
        <f t="shared" si="179"/>
        <v>0.0535320587403085i</v>
      </c>
      <c r="AH311" s="98">
        <f t="shared" si="193"/>
        <v>5.3532058740308502E-2</v>
      </c>
      <c r="AI311" s="98">
        <f t="shared" si="194"/>
        <v>1.5707963267948966</v>
      </c>
      <c r="AJ311" s="98" t="str">
        <f t="shared" si="180"/>
        <v>1+0.534251550051433i</v>
      </c>
      <c r="AK311" s="98">
        <f t="shared" si="195"/>
        <v>1.1337657248004804</v>
      </c>
      <c r="AL311" s="98">
        <f t="shared" si="196"/>
        <v>0.49067192828577516</v>
      </c>
      <c r="AM311" s="98" t="str">
        <f t="shared" si="181"/>
        <v>1+534.785801601484i</v>
      </c>
      <c r="AN311" s="98">
        <f t="shared" si="197"/>
        <v>534.78673655443413</v>
      </c>
      <c r="AO311" s="98">
        <f t="shared" si="198"/>
        <v>1.568926421439351</v>
      </c>
      <c r="AP311" s="168" t="str">
        <f t="shared" si="199"/>
        <v>-0.0772536728521483+0.0414587690450889i</v>
      </c>
      <c r="AQ311" s="98">
        <f t="shared" si="200"/>
        <v>-21.142454070827593</v>
      </c>
      <c r="AR311" s="169">
        <f t="shared" si="201"/>
        <v>151.77943169871759</v>
      </c>
      <c r="AS311" s="168" t="str">
        <f t="shared" si="202"/>
        <v>0.0698176839162814+0.00818245017289181i</v>
      </c>
      <c r="AT311" s="190">
        <f t="shared" si="203"/>
        <v>-23.06144585878728</v>
      </c>
      <c r="AU311" s="169">
        <f t="shared" si="204"/>
        <v>6.684422958389872</v>
      </c>
      <c r="AV311" s="225"/>
      <c r="AX311">
        <f t="shared" si="205"/>
        <v>0</v>
      </c>
      <c r="AY311">
        <f t="shared" si="206"/>
        <v>0</v>
      </c>
    </row>
    <row r="312" spans="14:51" x14ac:dyDescent="0.3">
      <c r="N312" s="170">
        <v>94</v>
      </c>
      <c r="O312" s="199">
        <f t="shared" si="207"/>
        <v>8709.6358995608189</v>
      </c>
      <c r="P312" s="189" t="str">
        <f t="shared" si="173"/>
        <v>1078.86904761905</v>
      </c>
      <c r="Q312" s="160" t="str">
        <f t="shared" si="174"/>
        <v>1+1710.13300984389i</v>
      </c>
      <c r="R312" s="160">
        <f t="shared" si="182"/>
        <v>1710.1333022187837</v>
      </c>
      <c r="S312" s="160">
        <f t="shared" si="183"/>
        <v>1.5702115770238165</v>
      </c>
      <c r="T312" s="160" t="str">
        <f t="shared" si="175"/>
        <v>1+0.00109448512630009i</v>
      </c>
      <c r="U312" s="160">
        <f t="shared" si="184"/>
        <v>1.0000005989486664</v>
      </c>
      <c r="V312" s="160">
        <f t="shared" si="185"/>
        <v>1.0944846892733354E-3</v>
      </c>
      <c r="W312" s="98" t="str">
        <f t="shared" si="176"/>
        <v>1-0.791575422745276i</v>
      </c>
      <c r="X312" s="160">
        <f t="shared" si="186"/>
        <v>1.2753790220535863</v>
      </c>
      <c r="Y312" s="160">
        <f t="shared" si="187"/>
        <v>-0.66958285300585163</v>
      </c>
      <c r="Z312" s="98" t="str">
        <f t="shared" si="177"/>
        <v>0.969656896998833+0.312656614787908i</v>
      </c>
      <c r="AA312" s="160">
        <f t="shared" si="188"/>
        <v>1.0188172832593878</v>
      </c>
      <c r="AB312" s="160">
        <f t="shared" si="189"/>
        <v>0.31191514270293025</v>
      </c>
      <c r="AC312" s="171" t="str">
        <f t="shared" si="190"/>
        <v>-0.655794022865765-0.440019680423188i</v>
      </c>
      <c r="AD312" s="190">
        <f t="shared" si="191"/>
        <v>-2.0503601026950351</v>
      </c>
      <c r="AE312" s="169">
        <f t="shared" si="192"/>
        <v>-146.13947970727128</v>
      </c>
      <c r="AF312" s="98" t="str">
        <f t="shared" si="178"/>
        <v>-9.95024875621891E-06</v>
      </c>
      <c r="AG312" s="98" t="str">
        <f t="shared" si="179"/>
        <v>0.0547789805713194i</v>
      </c>
      <c r="AH312" s="98">
        <f t="shared" si="193"/>
        <v>5.4778980571319399E-2</v>
      </c>
      <c r="AI312" s="98">
        <f t="shared" si="194"/>
        <v>1.5707963267948966</v>
      </c>
      <c r="AJ312" s="98" t="str">
        <f t="shared" si="180"/>
        <v>1+0.546695867282761i</v>
      </c>
      <c r="AK312" s="98">
        <f t="shared" si="195"/>
        <v>1.139682574800567</v>
      </c>
      <c r="AL312" s="98">
        <f t="shared" si="196"/>
        <v>0.50030290994492155</v>
      </c>
      <c r="AM312" s="98" t="str">
        <f t="shared" si="181"/>
        <v>1+547.242563150044i</v>
      </c>
      <c r="AN312" s="98">
        <f t="shared" si="197"/>
        <v>547.24347682090286</v>
      </c>
      <c r="AO312" s="98">
        <f t="shared" si="198"/>
        <v>1.5689689855859363</v>
      </c>
      <c r="AP312" s="168" t="str">
        <f t="shared" si="199"/>
        <v>-0.076453604739391+0.0419785133046386i</v>
      </c>
      <c r="AQ312" s="98">
        <f t="shared" si="200"/>
        <v>-21.187666446272036</v>
      </c>
      <c r="AR312" s="169">
        <f t="shared" si="201"/>
        <v>151.23005584303857</v>
      </c>
      <c r="AS312" s="168" t="str">
        <f t="shared" si="202"/>
        <v>0.068609189023582+0.00611183261065457i</v>
      </c>
      <c r="AT312" s="190">
        <f t="shared" si="203"/>
        <v>-23.238026548967067</v>
      </c>
      <c r="AU312" s="169">
        <f t="shared" si="204"/>
        <v>5.0905761357672601</v>
      </c>
      <c r="AV312" s="225"/>
      <c r="AX312">
        <f t="shared" si="205"/>
        <v>0</v>
      </c>
      <c r="AY312">
        <f t="shared" si="206"/>
        <v>0</v>
      </c>
    </row>
    <row r="313" spans="14:51" x14ac:dyDescent="0.3">
      <c r="N313" s="170">
        <v>95</v>
      </c>
      <c r="O313" s="199">
        <f t="shared" si="207"/>
        <v>8912.5093813374679</v>
      </c>
      <c r="P313" s="189" t="str">
        <f t="shared" si="173"/>
        <v>1078.86904761905</v>
      </c>
      <c r="Q313" s="160" t="str">
        <f t="shared" si="174"/>
        <v>1+1749.96712484124i</v>
      </c>
      <c r="R313" s="160">
        <f t="shared" si="182"/>
        <v>1749.9674105608699</v>
      </c>
      <c r="S313" s="160">
        <f t="shared" si="183"/>
        <v>1.5702248875507205</v>
      </c>
      <c r="T313" s="160" t="str">
        <f t="shared" si="175"/>
        <v>1+0.0011199789598984i</v>
      </c>
      <c r="U313" s="160">
        <f t="shared" si="184"/>
        <v>1.0000006271762387</v>
      </c>
      <c r="V313" s="160">
        <f t="shared" si="185"/>
        <v>1.1199784916158112E-3</v>
      </c>
      <c r="W313" s="98" t="str">
        <f t="shared" si="176"/>
        <v>1-0.810013582956916i</v>
      </c>
      <c r="X313" s="160">
        <f t="shared" si="186"/>
        <v>1.2869040386037727</v>
      </c>
      <c r="Y313" s="160">
        <f t="shared" si="187"/>
        <v>-0.68081703063473265</v>
      </c>
      <c r="Z313" s="98" t="str">
        <f t="shared" si="177"/>
        <v>0.968226870611029+0.319939322902689i</v>
      </c>
      <c r="AA313" s="160">
        <f t="shared" si="188"/>
        <v>1.019717825338293</v>
      </c>
      <c r="AB313" s="160">
        <f t="shared" si="189"/>
        <v>0.31914284154598077</v>
      </c>
      <c r="AC313" s="171" t="str">
        <f t="shared" si="190"/>
        <v>-0.653974130049751-0.421512990975926i</v>
      </c>
      <c r="AD313" s="190">
        <f t="shared" si="191"/>
        <v>-2.1798960474930813</v>
      </c>
      <c r="AE313" s="169">
        <f t="shared" si="192"/>
        <v>-147.19656926074174</v>
      </c>
      <c r="AF313" s="98" t="str">
        <f t="shared" si="178"/>
        <v>-9.95024875621891E-06</v>
      </c>
      <c r="AG313" s="98" t="str">
        <f t="shared" si="179"/>
        <v>0.0560549469429147i</v>
      </c>
      <c r="AH313" s="98">
        <f t="shared" si="193"/>
        <v>5.6054946942914699E-2</v>
      </c>
      <c r="AI313" s="98">
        <f t="shared" si="194"/>
        <v>1.5707963267948966</v>
      </c>
      <c r="AJ313" s="98" t="str">
        <f t="shared" si="180"/>
        <v>1+0.559430049899299i</v>
      </c>
      <c r="AK313" s="98">
        <f t="shared" si="195"/>
        <v>1.1458455309204343</v>
      </c>
      <c r="AL313" s="98">
        <f t="shared" si="196"/>
        <v>0.51005433243578202</v>
      </c>
      <c r="AM313" s="98" t="str">
        <f t="shared" si="181"/>
        <v>1+559.989479949198i</v>
      </c>
      <c r="AN313" s="98">
        <f t="shared" si="197"/>
        <v>559.99037282240238</v>
      </c>
      <c r="AO313" s="98">
        <f t="shared" si="198"/>
        <v>1.5690105808606558</v>
      </c>
      <c r="AP313" s="168" t="str">
        <f t="shared" si="199"/>
        <v>-0.0756334015412822+0.0424891064409356i</v>
      </c>
      <c r="AQ313" s="98">
        <f t="shared" si="200"/>
        <v>-21.234510440168268</v>
      </c>
      <c r="AR313" s="169">
        <f t="shared" si="201"/>
        <v>150.6737237237524</v>
      </c>
      <c r="AS313" s="168" t="str">
        <f t="shared" si="202"/>
        <v>0.0673719983154768+0.00409368488004694i</v>
      </c>
      <c r="AT313" s="190">
        <f t="shared" si="203"/>
        <v>-23.414406487661346</v>
      </c>
      <c r="AU313" s="169">
        <f t="shared" si="204"/>
        <v>3.4771544630106588</v>
      </c>
      <c r="AV313" s="225"/>
      <c r="AX313">
        <f t="shared" si="205"/>
        <v>0</v>
      </c>
      <c r="AY313">
        <f t="shared" si="206"/>
        <v>0</v>
      </c>
    </row>
    <row r="314" spans="14:51" x14ac:dyDescent="0.3">
      <c r="N314" s="170">
        <v>96</v>
      </c>
      <c r="O314" s="199">
        <f t="shared" si="207"/>
        <v>9120.1083935591087</v>
      </c>
      <c r="P314" s="189" t="str">
        <f t="shared" si="173"/>
        <v>1078.86904761905</v>
      </c>
      <c r="Q314" s="160" t="str">
        <f t="shared" si="174"/>
        <v>1+1790.72909557174i</v>
      </c>
      <c r="R314" s="160">
        <f t="shared" si="182"/>
        <v>1790.7293747875979</v>
      </c>
      <c r="S314" s="160">
        <f t="shared" si="183"/>
        <v>1.5702378950932372</v>
      </c>
      <c r="T314" s="160" t="str">
        <f t="shared" si="175"/>
        <v>1+0.00114606662116592i</v>
      </c>
      <c r="U314" s="160">
        <f t="shared" si="184"/>
        <v>1.0000006567341344</v>
      </c>
      <c r="V314" s="160">
        <f t="shared" si="185"/>
        <v>1.1460661193921037E-3</v>
      </c>
      <c r="W314" s="98" t="str">
        <f t="shared" si="176"/>
        <v>1-0.828881223092038i</v>
      </c>
      <c r="X314" s="160">
        <f t="shared" si="186"/>
        <v>1.2988626109002264</v>
      </c>
      <c r="Y314" s="160">
        <f t="shared" si="187"/>
        <v>-0.69210504174191856</v>
      </c>
      <c r="Z314" s="98" t="str">
        <f t="shared" si="177"/>
        <v>0.966729449155893+0.327391667081371i</v>
      </c>
      <c r="AA314" s="160">
        <f t="shared" si="188"/>
        <v>1.020662104488834</v>
      </c>
      <c r="AB314" s="160">
        <f t="shared" si="189"/>
        <v>0.32653600792977139</v>
      </c>
      <c r="AC314" s="171" t="str">
        <f t="shared" si="190"/>
        <v>-0.652071129699107-0.403259366477035i</v>
      </c>
      <c r="AD314" s="190">
        <f t="shared" si="191"/>
        <v>-2.307594281671919</v>
      </c>
      <c r="AE314" s="169">
        <f t="shared" si="192"/>
        <v>-148.2661724536284</v>
      </c>
      <c r="AF314" s="98" t="str">
        <f t="shared" si="178"/>
        <v>-9.95024875621891E-06</v>
      </c>
      <c r="AG314" s="98" t="str">
        <f t="shared" si="179"/>
        <v>0.0573606343893541i</v>
      </c>
      <c r="AH314" s="98">
        <f t="shared" si="193"/>
        <v>5.7360634389354098E-2</v>
      </c>
      <c r="AI314" s="98">
        <f t="shared" si="194"/>
        <v>1.5707963267948966</v>
      </c>
      <c r="AJ314" s="98" t="str">
        <f t="shared" si="180"/>
        <v>1+0.572460849733225i</v>
      </c>
      <c r="AK314" s="98">
        <f t="shared" si="195"/>
        <v>1.1522636089355969</v>
      </c>
      <c r="AL314" s="98">
        <f t="shared" si="196"/>
        <v>0.51992394723734747</v>
      </c>
      <c r="AM314" s="98" t="str">
        <f t="shared" si="181"/>
        <v>1+573.033310582958i</v>
      </c>
      <c r="AN314" s="98">
        <f t="shared" si="197"/>
        <v>573.03418313191833</v>
      </c>
      <c r="AO314" s="98">
        <f t="shared" si="198"/>
        <v>1.5690512293172985</v>
      </c>
      <c r="AP314" s="168" t="str">
        <f t="shared" si="199"/>
        <v>-0.0747931959206496+0.0429896447390776i</v>
      </c>
      <c r="AQ314" s="98">
        <f t="shared" si="200"/>
        <v>-21.283026481044935</v>
      </c>
      <c r="AR314" s="169">
        <f t="shared" si="201"/>
        <v>150.11056543521218</v>
      </c>
      <c r="AS314" s="168" t="str">
        <f t="shared" si="202"/>
        <v>0.0661064606603379+0.00212875059338032i</v>
      </c>
      <c r="AT314" s="190">
        <f t="shared" si="203"/>
        <v>-23.590620762716846</v>
      </c>
      <c r="AU314" s="169">
        <f t="shared" si="204"/>
        <v>1.8443929815837918</v>
      </c>
      <c r="AV314" s="225"/>
      <c r="AX314">
        <f t="shared" si="205"/>
        <v>0</v>
      </c>
      <c r="AY314">
        <f t="shared" si="206"/>
        <v>0</v>
      </c>
    </row>
    <row r="315" spans="14:51" x14ac:dyDescent="0.3">
      <c r="N315" s="170">
        <v>97</v>
      </c>
      <c r="O315" s="199">
        <f t="shared" si="207"/>
        <v>9332.5430079699217</v>
      </c>
      <c r="P315" s="189" t="str">
        <f t="shared" si="173"/>
        <v>1078.86904761905</v>
      </c>
      <c r="Q315" s="160" t="str">
        <f t="shared" si="174"/>
        <v>1+1832.44053457182i</v>
      </c>
      <c r="R315" s="160">
        <f t="shared" si="182"/>
        <v>1832.4408074319501</v>
      </c>
      <c r="S315" s="160">
        <f t="shared" si="183"/>
        <v>1.5702506065481201</v>
      </c>
      <c r="T315" s="160" t="str">
        <f t="shared" si="175"/>
        <v>1+0.00117276194212596i</v>
      </c>
      <c r="U315" s="160">
        <f t="shared" si="184"/>
        <v>1.00000068768505</v>
      </c>
      <c r="V315" s="160">
        <f t="shared" si="185"/>
        <v>1.1727614044656489E-3</v>
      </c>
      <c r="W315" s="98" t="str">
        <f t="shared" si="176"/>
        <v>1-0.848188347023183i</v>
      </c>
      <c r="X315" s="160">
        <f t="shared" si="186"/>
        <v>1.3112678872091392</v>
      </c>
      <c r="Y315" s="160">
        <f t="shared" si="187"/>
        <v>-0.7034413656277041</v>
      </c>
      <c r="Z315" s="98" t="str">
        <f t="shared" si="177"/>
        <v>0.965161456401757+0.335017598655481i</v>
      </c>
      <c r="AA315" s="160">
        <f t="shared" si="188"/>
        <v>1.0216523030524847</v>
      </c>
      <c r="AB315" s="160">
        <f t="shared" si="189"/>
        <v>0.33409826771888829</v>
      </c>
      <c r="AC315" s="171" t="str">
        <f t="shared" si="190"/>
        <v>-0.650081579471321-0.385251185138724i</v>
      </c>
      <c r="AD315" s="190">
        <f t="shared" si="191"/>
        <v>-2.4334523071231082</v>
      </c>
      <c r="AE315" s="169">
        <f t="shared" si="192"/>
        <v>-149.34818032252386</v>
      </c>
      <c r="AF315" s="98" t="str">
        <f t="shared" si="178"/>
        <v>-9.95024875621891E-06</v>
      </c>
      <c r="AG315" s="98" t="str">
        <f t="shared" si="179"/>
        <v>0.0586967352034045i</v>
      </c>
      <c r="AH315" s="98">
        <f t="shared" si="193"/>
        <v>5.8696735203404501E-2</v>
      </c>
      <c r="AI315" s="98">
        <f t="shared" si="194"/>
        <v>1.5707963267948966</v>
      </c>
      <c r="AJ315" s="98" t="str">
        <f t="shared" si="180"/>
        <v>1+0.585795175887095i</v>
      </c>
      <c r="AK315" s="98">
        <f t="shared" si="195"/>
        <v>1.1589460678101429</v>
      </c>
      <c r="AL315" s="98">
        <f t="shared" si="196"/>
        <v>0.52990929554093391</v>
      </c>
      <c r="AM315" s="98" t="str">
        <f t="shared" si="181"/>
        <v>1+586.380971062982i</v>
      </c>
      <c r="AN315" s="98">
        <f t="shared" si="197"/>
        <v>586.38182375033216</v>
      </c>
      <c r="AO315" s="98">
        <f t="shared" si="198"/>
        <v>1.5690909525076764</v>
      </c>
      <c r="AP315" s="168" t="str">
        <f t="shared" si="199"/>
        <v>-0.0739331705158349+0.0434792142548909i</v>
      </c>
      <c r="AQ315" s="98">
        <f t="shared" si="200"/>
        <v>-21.333254680163822</v>
      </c>
      <c r="AR315" s="169">
        <f t="shared" si="201"/>
        <v>149.540723091606</v>
      </c>
      <c r="AS315" s="168" t="str">
        <f t="shared" si="202"/>
        <v>0.0648130110848537+0.000217805285297308i</v>
      </c>
      <c r="AT315" s="190">
        <f t="shared" si="203"/>
        <v>-23.766706987286931</v>
      </c>
      <c r="AU315" s="169">
        <f t="shared" si="204"/>
        <v>0.19254276908211185</v>
      </c>
      <c r="AV315" s="225"/>
      <c r="AX315">
        <f t="shared" si="205"/>
        <v>0</v>
      </c>
      <c r="AY315">
        <f t="shared" si="206"/>
        <v>0</v>
      </c>
    </row>
    <row r="316" spans="14:51" x14ac:dyDescent="0.3">
      <c r="N316" s="170">
        <v>98</v>
      </c>
      <c r="O316" s="199">
        <f t="shared" si="207"/>
        <v>9549.9258602143691</v>
      </c>
      <c r="P316" s="189" t="str">
        <f t="shared" si="173"/>
        <v>1078.86904761905</v>
      </c>
      <c r="Q316" s="160" t="str">
        <f t="shared" si="174"/>
        <v>1+1875.12355779854i</v>
      </c>
      <c r="R316" s="160">
        <f t="shared" si="182"/>
        <v>1875.123824447616</v>
      </c>
      <c r="S316" s="160">
        <f t="shared" si="183"/>
        <v>1.5702630286551347</v>
      </c>
      <c r="T316" s="160" t="str">
        <f t="shared" si="175"/>
        <v>1+0.00120007907699107i</v>
      </c>
      <c r="U316" s="160">
        <f t="shared" si="184"/>
        <v>1.0000007200946361</v>
      </c>
      <c r="V316" s="160">
        <f t="shared" si="185"/>
        <v>1.2000785008776894E-3</v>
      </c>
      <c r="W316" s="98" t="str">
        <f t="shared" si="176"/>
        <v>1-0.867945191643019i</v>
      </c>
      <c r="X316" s="160">
        <f t="shared" si="186"/>
        <v>1.3241332469567544</v>
      </c>
      <c r="Y316" s="160">
        <f t="shared" si="187"/>
        <v>-0.7148203589047728</v>
      </c>
      <c r="Z316" s="98" t="str">
        <f t="shared" si="177"/>
        <v>0.963519566425764+0.34282116099488i</v>
      </c>
      <c r="AA316" s="160">
        <f t="shared" si="188"/>
        <v>1.0226907173291295</v>
      </c>
      <c r="AB316" s="160">
        <f t="shared" si="189"/>
        <v>0.34183331241808007</v>
      </c>
      <c r="AC316" s="171" t="str">
        <f t="shared" si="190"/>
        <v>-0.648001910820063-0.367481094789236i</v>
      </c>
      <c r="AD316" s="190">
        <f t="shared" si="191"/>
        <v>-2.5574705875418009</v>
      </c>
      <c r="AE316" s="169">
        <f t="shared" si="192"/>
        <v>-150.44248060798802</v>
      </c>
      <c r="AF316" s="98" t="str">
        <f t="shared" si="178"/>
        <v>-9.95024875621891E-06</v>
      </c>
      <c r="AG316" s="98" t="str">
        <f t="shared" si="179"/>
        <v>0.0600639578034029i</v>
      </c>
      <c r="AH316" s="98">
        <f t="shared" si="193"/>
        <v>6.0063957803402901E-2</v>
      </c>
      <c r="AI316" s="98">
        <f t="shared" si="194"/>
        <v>1.5707963267948966</v>
      </c>
      <c r="AJ316" s="98" t="str">
        <f t="shared" si="180"/>
        <v>1+0.599440098397136i</v>
      </c>
      <c r="AK316" s="98">
        <f t="shared" si="195"/>
        <v>1.1659024108244944</v>
      </c>
      <c r="AL316" s="98">
        <f t="shared" si="196"/>
        <v>0.54000770621933025</v>
      </c>
      <c r="AM316" s="98" t="str">
        <f t="shared" si="181"/>
        <v>1+600.039538495533i</v>
      </c>
      <c r="AN316" s="98">
        <f t="shared" si="197"/>
        <v>600.04037177337682</v>
      </c>
      <c r="AO316" s="98">
        <f t="shared" si="198"/>
        <v>1.5691297714930494</v>
      </c>
      <c r="AP316" s="168" t="str">
        <f t="shared" si="199"/>
        <v>-0.0730535596776899+0.043956893892281i</v>
      </c>
      <c r="AQ316" s="98">
        <f t="shared" si="200"/>
        <v>-21.385234729089756</v>
      </c>
      <c r="AR316" s="169">
        <f t="shared" si="201"/>
        <v>148.96435094397094</v>
      </c>
      <c r="AS316" s="168" t="str">
        <f t="shared" si="202"/>
        <v>0.0634921737544203-0.00163834914730457i</v>
      </c>
      <c r="AT316" s="190">
        <f t="shared" si="203"/>
        <v>-23.942705316631553</v>
      </c>
      <c r="AU316" s="169">
        <f t="shared" si="204"/>
        <v>-1.478129664017084</v>
      </c>
      <c r="AV316" s="225"/>
      <c r="AX316">
        <f t="shared" si="205"/>
        <v>0</v>
      </c>
      <c r="AY316">
        <f t="shared" si="206"/>
        <v>0</v>
      </c>
    </row>
    <row r="317" spans="14:51" x14ac:dyDescent="0.3">
      <c r="N317" s="170">
        <v>99</v>
      </c>
      <c r="O317" s="199">
        <f t="shared" si="207"/>
        <v>9772.3722095581161</v>
      </c>
      <c r="P317" s="189" t="str">
        <f t="shared" si="173"/>
        <v>1078.86904761905</v>
      </c>
      <c r="Q317" s="160" t="str">
        <f t="shared" si="174"/>
        <v>1+1918.8007963558i</v>
      </c>
      <c r="R317" s="160">
        <f t="shared" si="182"/>
        <v>1918.801056935203</v>
      </c>
      <c r="S317" s="160">
        <f t="shared" si="183"/>
        <v>1.570275168000631</v>
      </c>
      <c r="T317" s="160" t="str">
        <f t="shared" si="175"/>
        <v>1+0.00122803250966771i</v>
      </c>
      <c r="U317" s="160">
        <f t="shared" si="184"/>
        <v>1.000000754031638</v>
      </c>
      <c r="V317" s="160">
        <f t="shared" si="185"/>
        <v>1.2280318923511258E-3</v>
      </c>
      <c r="W317" s="98" t="str">
        <f t="shared" si="176"/>
        <v>1-0.888162232292078i</v>
      </c>
      <c r="X317" s="160">
        <f t="shared" si="186"/>
        <v>1.3374722991038159</v>
      </c>
      <c r="Y317" s="160">
        <f t="shared" si="187"/>
        <v>-0.72623626877486869</v>
      </c>
      <c r="Z317" s="98" t="str">
        <f t="shared" si="177"/>
        <v>0.961800296559142+0.350806491651613i</v>
      </c>
      <c r="AA317" s="160">
        <f t="shared" si="188"/>
        <v>1.0237797639366422</v>
      </c>
      <c r="AB317" s="160">
        <f t="shared" si="189"/>
        <v>0.34974489908384787</v>
      </c>
      <c r="AC317" s="171" t="str">
        <f t="shared" si="190"/>
        <v>-0.64582842693481-0.349942017955698i</v>
      </c>
      <c r="AD317" s="190">
        <f t="shared" si="191"/>
        <v>-2.6796526619975363</v>
      </c>
      <c r="AE317" s="169">
        <f t="shared" si="192"/>
        <v>-151.5489585099551</v>
      </c>
      <c r="AF317" s="98" t="str">
        <f t="shared" si="178"/>
        <v>-9.95024875621891E-06</v>
      </c>
      <c r="AG317" s="98" t="str">
        <f t="shared" si="179"/>
        <v>0.0614630271088691i</v>
      </c>
      <c r="AH317" s="98">
        <f t="shared" si="193"/>
        <v>6.1463027108869098E-2</v>
      </c>
      <c r="AI317" s="98">
        <f t="shared" si="194"/>
        <v>1.5707963267948966</v>
      </c>
      <c r="AJ317" s="98" t="str">
        <f t="shared" si="180"/>
        <v>1+0.613402851981875i</v>
      </c>
      <c r="AK317" s="98">
        <f t="shared" si="195"/>
        <v>1.1731423864218264</v>
      </c>
      <c r="AL317" s="98">
        <f t="shared" si="196"/>
        <v>0.55021629453512377</v>
      </c>
      <c r="AM317" s="98" t="str">
        <f t="shared" si="181"/>
        <v>1+614.016254833857i</v>
      </c>
      <c r="AN317" s="98">
        <f t="shared" si="197"/>
        <v>614.01706914400677</v>
      </c>
      <c r="AO317" s="98">
        <f t="shared" si="198"/>
        <v>1.5691677068552892</v>
      </c>
      <c r="AP317" s="168" t="str">
        <f t="shared" si="199"/>
        <v>-0.0721546510026892+0.0444217586973778i</v>
      </c>
      <c r="AQ317" s="98">
        <f t="shared" si="200"/>
        <v>-21.439005793962806</v>
      </c>
      <c r="AR317" s="169">
        <f t="shared" si="201"/>
        <v>148.38161545484004</v>
      </c>
      <c r="AS317" s="168" t="str">
        <f t="shared" si="202"/>
        <v>0.0621445646327984-0.00343889036443503i</v>
      </c>
      <c r="AT317" s="190">
        <f t="shared" si="203"/>
        <v>-24.118658455960347</v>
      </c>
      <c r="AU317" s="169">
        <f t="shared" si="204"/>
        <v>-3.1673430551150412</v>
      </c>
      <c r="AV317" s="225"/>
      <c r="AX317">
        <f t="shared" si="205"/>
        <v>0</v>
      </c>
      <c r="AY317">
        <f t="shared" si="206"/>
        <v>0</v>
      </c>
    </row>
    <row r="318" spans="14:51" x14ac:dyDescent="0.3">
      <c r="N318" s="170">
        <v>100</v>
      </c>
      <c r="O318" s="199">
        <f t="shared" si="207"/>
        <v>10000</v>
      </c>
      <c r="P318" s="189" t="str">
        <f t="shared" si="173"/>
        <v>1078.86904761905</v>
      </c>
      <c r="Q318" s="160" t="str">
        <f t="shared" si="174"/>
        <v>1+1963.49540849362i</v>
      </c>
      <c r="R318" s="160">
        <f t="shared" si="182"/>
        <v>1963.4956631415128</v>
      </c>
      <c r="S318" s="160">
        <f t="shared" si="183"/>
        <v>1.5702870310210366</v>
      </c>
      <c r="T318" s="160" t="str">
        <f t="shared" si="175"/>
        <v>1+0.00125663706143592i</v>
      </c>
      <c r="U318" s="160">
        <f t="shared" si="184"/>
        <v>1.0000007895680403</v>
      </c>
      <c r="V318" s="160">
        <f t="shared" si="185"/>
        <v>1.2566363999693109E-3</v>
      </c>
      <c r="W318" s="98" t="str">
        <f t="shared" si="176"/>
        <v>1-0.908850188312914i</v>
      </c>
      <c r="X318" s="160">
        <f t="shared" si="186"/>
        <v>1.3512988806316755</v>
      </c>
      <c r="Y318" s="160">
        <f t="shared" si="187"/>
        <v>-0.73768324697889687</v>
      </c>
      <c r="Z318" s="98" t="str">
        <f t="shared" si="177"/>
        <v>0.96+0.358977824553692i</v>
      </c>
      <c r="AA318" s="160">
        <f t="shared" si="188"/>
        <v>1.0249219865537578</v>
      </c>
      <c r="AB318" s="160">
        <f t="shared" si="189"/>
        <v>0.35783685009047078</v>
      </c>
      <c r="AC318" s="171" t="str">
        <f t="shared" si="190"/>
        <v>-0.64355730092942-0.33262715760355i</v>
      </c>
      <c r="AD318" s="190">
        <f t="shared" si="191"/>
        <v>-2.8000052522998429</v>
      </c>
      <c r="AE318" s="169">
        <f t="shared" si="192"/>
        <v>-152.66749747337033</v>
      </c>
      <c r="AF318" s="98" t="str">
        <f t="shared" si="178"/>
        <v>-9.95024875621891E-06</v>
      </c>
      <c r="AG318" s="98" t="str">
        <f t="shared" si="179"/>
        <v>0.0628946849248677i</v>
      </c>
      <c r="AH318" s="98">
        <f t="shared" si="193"/>
        <v>6.2894684924867703E-2</v>
      </c>
      <c r="AI318" s="98">
        <f t="shared" si="194"/>
        <v>1.5707963267948966</v>
      </c>
      <c r="AJ318" s="98" t="str">
        <f t="shared" si="180"/>
        <v>1+0.627690839878081i</v>
      </c>
      <c r="AK318" s="98">
        <f t="shared" si="195"/>
        <v>1.1806759887737408</v>
      </c>
      <c r="AL318" s="98">
        <f t="shared" si="196"/>
        <v>0.56053196163699348</v>
      </c>
      <c r="AM318" s="98" t="str">
        <f t="shared" si="181"/>
        <v>1+628.318530717959i</v>
      </c>
      <c r="AN318" s="98">
        <f t="shared" si="197"/>
        <v>628.31932649217049</v>
      </c>
      <c r="AO318" s="98">
        <f t="shared" si="198"/>
        <v>1.5692047787077896</v>
      </c>
      <c r="AP318" s="168" t="str">
        <f t="shared" si="199"/>
        <v>-0.0712367866360324+0.0448728833563189i</v>
      </c>
      <c r="AQ318" s="98">
        <f t="shared" si="200"/>
        <v>-21.494606406910069</v>
      </c>
      <c r="AR318" s="169">
        <f t="shared" si="201"/>
        <v>147.79269532772796</v>
      </c>
      <c r="AS318" s="168" t="str">
        <f t="shared" si="202"/>
        <v>0.060770893778658-0.00518298184215927i</v>
      </c>
      <c r="AT318" s="190">
        <f t="shared" si="203"/>
        <v>-24.29461165920991</v>
      </c>
      <c r="AU318" s="169">
        <f t="shared" si="204"/>
        <v>-4.8748021456423709</v>
      </c>
      <c r="AV318" s="225"/>
      <c r="AX318">
        <f t="shared" si="205"/>
        <v>0</v>
      </c>
      <c r="AY318">
        <f t="shared" si="206"/>
        <v>0</v>
      </c>
    </row>
    <row r="319" spans="14:51" x14ac:dyDescent="0.3">
      <c r="N319" s="170">
        <v>1</v>
      </c>
      <c r="O319" s="199">
        <f>10^(4+(N319/100))</f>
        <v>10232.929922807549</v>
      </c>
      <c r="P319" s="189" t="str">
        <f t="shared" si="173"/>
        <v>1078.86904761905</v>
      </c>
      <c r="Q319" s="160" t="str">
        <f t="shared" si="174"/>
        <v>1+2009.23109188696i</v>
      </c>
      <c r="R319" s="160">
        <f t="shared" si="182"/>
        <v>2009.2313407383594</v>
      </c>
      <c r="S319" s="160">
        <f t="shared" si="183"/>
        <v>1.5702986240062684</v>
      </c>
      <c r="T319" s="160" t="str">
        <f t="shared" si="175"/>
        <v>1+0.00128590789880765i</v>
      </c>
      <c r="U319" s="160">
        <f t="shared" si="184"/>
        <v>1.0000008267792204</v>
      </c>
      <c r="V319" s="160">
        <f t="shared" si="185"/>
        <v>1.2859071900334401E-3</v>
      </c>
      <c r="W319" s="98" t="str">
        <f t="shared" si="176"/>
        <v>1-0.930020028733648i</v>
      </c>
      <c r="X319" s="160">
        <f t="shared" si="186"/>
        <v>1.3656270551822469</v>
      </c>
      <c r="Y319" s="160">
        <f t="shared" si="187"/>
        <v>-0.74915536434198216</v>
      </c>
      <c r="Z319" s="98" t="str">
        <f t="shared" si="177"/>
        <v>0.958114858077964+0.367339492249983i</v>
      </c>
      <c r="AA319" s="160">
        <f t="shared" si="188"/>
        <v>1.0261200630707075</v>
      </c>
      <c r="AB319" s="160">
        <f t="shared" si="189"/>
        <v>0.36611305273430628</v>
      </c>
      <c r="AC319" s="171" t="str">
        <f t="shared" si="190"/>
        <v>-0.641184574323176-0.315530003554685i</v>
      </c>
      <c r="AD319" s="190">
        <f t="shared" si="191"/>
        <v>-2.9185383636759155</v>
      </c>
      <c r="AE319" s="169">
        <f t="shared" si="192"/>
        <v>-153.79797999863266</v>
      </c>
      <c r="AF319" s="98" t="str">
        <f t="shared" si="178"/>
        <v>-9.95024875621891E-06</v>
      </c>
      <c r="AG319" s="98" t="str">
        <f t="shared" si="179"/>
        <v>0.0643596903353231i</v>
      </c>
      <c r="AH319" s="98">
        <f t="shared" si="193"/>
        <v>6.43596903353231E-2</v>
      </c>
      <c r="AI319" s="98">
        <f t="shared" si="194"/>
        <v>1.5707963267948966</v>
      </c>
      <c r="AJ319" s="98" t="str">
        <f t="shared" si="180"/>
        <v>1+0.642311637766061i</v>
      </c>
      <c r="AK319" s="98">
        <f t="shared" si="195"/>
        <v>1.1885134580684056</v>
      </c>
      <c r="AL319" s="98">
        <f t="shared" si="196"/>
        <v>0.57095139488935365</v>
      </c>
      <c r="AM319" s="98" t="str">
        <f t="shared" si="181"/>
        <v>1+642.953949403827i</v>
      </c>
      <c r="AN319" s="98">
        <f t="shared" si="197"/>
        <v>642.95472706402813</v>
      </c>
      <c r="AO319" s="98">
        <f t="shared" si="198"/>
        <v>1.56924100670613</v>
      </c>
      <c r="AP319" s="168" t="str">
        <f t="shared" si="199"/>
        <v>-0.0703003643192405+0.0453093458802789i</v>
      </c>
      <c r="AQ319" s="98">
        <f t="shared" si="200"/>
        <v>-21.552074355085754</v>
      </c>
      <c r="AR319" s="169">
        <f t="shared" si="201"/>
        <v>147.19778148885456</v>
      </c>
      <c r="AS319" s="168" t="str">
        <f t="shared" si="202"/>
        <v>0.0593719672374613-0.00686977944756257i</v>
      </c>
      <c r="AT319" s="190">
        <f t="shared" si="203"/>
        <v>-24.470612718761664</v>
      </c>
      <c r="AU319" s="169">
        <f t="shared" si="204"/>
        <v>-6.6001985097780924</v>
      </c>
      <c r="AV319" s="225"/>
      <c r="AX319">
        <f t="shared" si="205"/>
        <v>0</v>
      </c>
      <c r="AY319">
        <f t="shared" si="206"/>
        <v>0</v>
      </c>
    </row>
    <row r="320" spans="14:51" x14ac:dyDescent="0.3">
      <c r="N320" s="170">
        <v>2</v>
      </c>
      <c r="O320" s="199">
        <f t="shared" ref="O320:O383" si="208">10^(4+(N320/100))</f>
        <v>10471.285480509003</v>
      </c>
      <c r="P320" s="189" t="str">
        <f t="shared" si="173"/>
        <v>1078.86904761905</v>
      </c>
      <c r="Q320" s="160" t="str">
        <f t="shared" si="174"/>
        <v>1+2056.03209620053i</v>
      </c>
      <c r="R320" s="160">
        <f t="shared" si="182"/>
        <v>2056.0323393873805</v>
      </c>
      <c r="S320" s="160">
        <f t="shared" si="183"/>
        <v>1.5703099531030682</v>
      </c>
      <c r="T320" s="160" t="str">
        <f t="shared" si="175"/>
        <v>1+0.00131586054156834i</v>
      </c>
      <c r="U320" s="160">
        <f t="shared" si="184"/>
        <v>1.0000008657441077</v>
      </c>
      <c r="V320" s="160">
        <f t="shared" si="185"/>
        <v>1.3158597821031266E-3</v>
      </c>
      <c r="W320" s="98" t="str">
        <f t="shared" si="176"/>
        <v>1-0.951682978083888i</v>
      </c>
      <c r="X320" s="160">
        <f t="shared" si="186"/>
        <v>1.3804711118942758</v>
      </c>
      <c r="Y320" s="160">
        <f t="shared" si="187"/>
        <v>-0.76064662582817821</v>
      </c>
      <c r="Z320" s="98" t="str">
        <f t="shared" si="177"/>
        <v>0.956140872154272+0.375895928207378i</v>
      </c>
      <c r="AA320" s="160">
        <f t="shared" si="188"/>
        <v>1.0273768131736369</v>
      </c>
      <c r="AB320" s="160">
        <f t="shared" si="189"/>
        <v>0.37457745865872533</v>
      </c>
      <c r="AC320" s="171" t="str">
        <f t="shared" si="190"/>
        <v>-0.638706155862578-0.298644339605964i</v>
      </c>
      <c r="AD320" s="190">
        <f t="shared" si="191"/>
        <v>-3.0352653783416619</v>
      </c>
      <c r="AE320" s="169">
        <f t="shared" si="192"/>
        <v>-154.94028847094876</v>
      </c>
      <c r="AF320" s="98" t="str">
        <f t="shared" si="178"/>
        <v>-9.95024875621891E-06</v>
      </c>
      <c r="AG320" s="98" t="str">
        <f t="shared" si="179"/>
        <v>0.0658588201054955i</v>
      </c>
      <c r="AH320" s="98">
        <f t="shared" si="193"/>
        <v>6.58588201054955E-2</v>
      </c>
      <c r="AI320" s="98">
        <f t="shared" si="194"/>
        <v>1.5707963267948966</v>
      </c>
      <c r="AJ320" s="98" t="str">
        <f t="shared" si="180"/>
        <v>1+0.657272997786385i</v>
      </c>
      <c r="AK320" s="98">
        <f t="shared" si="195"/>
        <v>1.1966652805271412</v>
      </c>
      <c r="AL320" s="98">
        <f t="shared" si="196"/>
        <v>0.58147106907653556</v>
      </c>
      <c r="AM320" s="98" t="str">
        <f t="shared" si="181"/>
        <v>1+657.930270784171i</v>
      </c>
      <c r="AN320" s="98">
        <f t="shared" si="197"/>
        <v>657.93103074268549</v>
      </c>
      <c r="AO320" s="98">
        <f t="shared" si="198"/>
        <v>1.5692764100584937</v>
      </c>
      <c r="AP320" s="168" t="str">
        <f t="shared" si="199"/>
        <v>-0.0693458381577971+0.045730231458075i</v>
      </c>
      <c r="AQ320" s="98">
        <f t="shared" si="200"/>
        <v>-21.611446567879405</v>
      </c>
      <c r="AR320" s="169">
        <f t="shared" si="201"/>
        <v>146.5970770187474</v>
      </c>
      <c r="AS320" s="168" t="str">
        <f t="shared" si="202"/>
        <v>0.0579486884886597-0.00849843830023564i</v>
      </c>
      <c r="AT320" s="190">
        <f t="shared" si="203"/>
        <v>-24.646711946221075</v>
      </c>
      <c r="AU320" s="169">
        <f t="shared" si="204"/>
        <v>-8.343211452201361</v>
      </c>
      <c r="AV320" s="225"/>
      <c r="AX320">
        <f t="shared" si="205"/>
        <v>0</v>
      </c>
      <c r="AY320">
        <f t="shared" si="206"/>
        <v>0</v>
      </c>
    </row>
    <row r="321" spans="14:51" x14ac:dyDescent="0.3">
      <c r="N321" s="170">
        <v>3</v>
      </c>
      <c r="O321" s="199">
        <f t="shared" si="208"/>
        <v>10715.193052376071</v>
      </c>
      <c r="P321" s="189" t="str">
        <f t="shared" si="173"/>
        <v>1078.86904761905</v>
      </c>
      <c r="Q321" s="160" t="str">
        <f t="shared" si="174"/>
        <v>1+2103.92323594632i</v>
      </c>
      <c r="R321" s="160">
        <f t="shared" si="182"/>
        <v>2103.9234735975629</v>
      </c>
      <c r="S321" s="160">
        <f t="shared" si="183"/>
        <v>1.5703210243182613</v>
      </c>
      <c r="T321" s="160" t="str">
        <f t="shared" si="175"/>
        <v>1+0.00134651087100564i</v>
      </c>
      <c r="U321" s="160">
        <f t="shared" si="184"/>
        <v>1.0000009065453519</v>
      </c>
      <c r="V321" s="160">
        <f t="shared" si="185"/>
        <v>1.3465100572240421E-3</v>
      </c>
      <c r="W321" s="98" t="str">
        <f t="shared" si="176"/>
        <v>1-0.973850522346121i</v>
      </c>
      <c r="X321" s="160">
        <f t="shared" si="186"/>
        <v>1.3958455644783245</v>
      </c>
      <c r="Y321" s="160">
        <f t="shared" si="187"/>
        <v>-0.77215098601362164</v>
      </c>
      <c r="Z321" s="98" t="str">
        <f t="shared" si="177"/>
        <v>0.954073855140125+0.384651669161479i</v>
      </c>
      <c r="AA321" s="160">
        <f t="shared" si="188"/>
        <v>1.0286952063904313</v>
      </c>
      <c r="AB321" s="160">
        <f t="shared" si="189"/>
        <v>0.3832340830805091</v>
      </c>
      <c r="AC321" s="171" t="str">
        <f t="shared" si="190"/>
        <v>-0.636117820737009-0.281964251368933i</v>
      </c>
      <c r="AD321" s="190">
        <f t="shared" si="191"/>
        <v>-3.1502031416207825</v>
      </c>
      <c r="AE321" s="169">
        <f t="shared" si="192"/>
        <v>-156.09430600227037</v>
      </c>
      <c r="AF321" s="98" t="str">
        <f t="shared" si="178"/>
        <v>-9.95024875621891E-06</v>
      </c>
      <c r="AG321" s="98" t="str">
        <f t="shared" si="179"/>
        <v>0.0673928690938324i</v>
      </c>
      <c r="AH321" s="98">
        <f t="shared" si="193"/>
        <v>6.7392869093832394E-2</v>
      </c>
      <c r="AI321" s="98">
        <f t="shared" si="194"/>
        <v>1.5707963267948966</v>
      </c>
      <c r="AJ321" s="98" t="str">
        <f t="shared" si="180"/>
        <v>1+0.672582852650171i</v>
      </c>
      <c r="AK321" s="98">
        <f t="shared" si="195"/>
        <v>1.2051421881583275</v>
      </c>
      <c r="AL321" s="98">
        <f t="shared" si="196"/>
        <v>0.59208724851776662</v>
      </c>
      <c r="AM321" s="98" t="str">
        <f t="shared" si="181"/>
        <v>1+673.255435502821i</v>
      </c>
      <c r="AN321" s="98">
        <f t="shared" si="197"/>
        <v>673.25617816258716</v>
      </c>
      <c r="AO321" s="98">
        <f t="shared" si="198"/>
        <v>1.5693110075358521</v>
      </c>
      <c r="AP321" s="168" t="str">
        <f t="shared" si="199"/>
        <v>-0.0683737190858773+0.0461346364534411i</v>
      </c>
      <c r="AQ321" s="98">
        <f t="shared" si="200"/>
        <v>-21.672759002879136</v>
      </c>
      <c r="AR321" s="169">
        <f t="shared" si="201"/>
        <v>145.99079703164574</v>
      </c>
      <c r="AS321" s="168" t="str">
        <f t="shared" si="202"/>
        <v>0.0565020594103651-0.010068119885898i</v>
      </c>
      <c r="AT321" s="190">
        <f t="shared" si="203"/>
        <v>-24.822962144499922</v>
      </c>
      <c r="AU321" s="169">
        <f t="shared" si="204"/>
        <v>-10.103508970624645</v>
      </c>
      <c r="AV321" s="225"/>
      <c r="AX321">
        <f t="shared" si="205"/>
        <v>0</v>
      </c>
      <c r="AY321">
        <f t="shared" si="206"/>
        <v>0</v>
      </c>
    </row>
    <row r="322" spans="14:51" x14ac:dyDescent="0.3">
      <c r="N322" s="170">
        <v>4</v>
      </c>
      <c r="O322" s="199">
        <f t="shared" si="208"/>
        <v>10964.781961431856</v>
      </c>
      <c r="P322" s="189" t="str">
        <f t="shared" si="173"/>
        <v>1078.86904761905</v>
      </c>
      <c r="Q322" s="160" t="str">
        <f t="shared" si="174"/>
        <v>1+2152.92990364051i</v>
      </c>
      <c r="R322" s="160">
        <f t="shared" si="182"/>
        <v>2152.9301358821504</v>
      </c>
      <c r="S322" s="160">
        <f t="shared" si="183"/>
        <v>1.5703318435219418</v>
      </c>
      <c r="T322" s="160" t="str">
        <f t="shared" si="175"/>
        <v>1+0.00137787513832993i</v>
      </c>
      <c r="U322" s="160">
        <f t="shared" si="184"/>
        <v>1.0000009492694979</v>
      </c>
      <c r="V322" s="160">
        <f t="shared" si="185"/>
        <v>1.3778742663472822E-3</v>
      </c>
      <c r="W322" s="98" t="str">
        <f t="shared" si="176"/>
        <v>1-0.996534415045738i</v>
      </c>
      <c r="X322" s="160">
        <f t="shared" si="186"/>
        <v>1.4117651505723434</v>
      </c>
      <c r="Y322" s="160">
        <f t="shared" si="187"/>
        <v>-0.78366236488200747</v>
      </c>
      <c r="Z322" s="98" t="str">
        <f t="shared" si="177"/>
        <v>0.951909422615303+0.393611357522037i</v>
      </c>
      <c r="AA322" s="160">
        <f t="shared" si="188"/>
        <v>1.0300783706272743</v>
      </c>
      <c r="AB322" s="160">
        <f t="shared" si="189"/>
        <v>0.39208700379683975</v>
      </c>
      <c r="AC322" s="171" t="str">
        <f t="shared" si="190"/>
        <v>-0.633415210246778-0.265484134850269i</v>
      </c>
      <c r="AD322" s="190">
        <f t="shared" si="191"/>
        <v>-3.2633720403435902</v>
      </c>
      <c r="AE322" s="169">
        <f t="shared" si="192"/>
        <v>-157.25991727911278</v>
      </c>
      <c r="AF322" s="98" t="str">
        <f t="shared" si="178"/>
        <v>-9.95024875621891E-06</v>
      </c>
      <c r="AG322" s="98" t="str">
        <f t="shared" si="179"/>
        <v>0.0689626506734129i</v>
      </c>
      <c r="AH322" s="98">
        <f t="shared" si="193"/>
        <v>6.8962650673412895E-2</v>
      </c>
      <c r="AI322" s="98">
        <f t="shared" si="194"/>
        <v>1.5707963267948966</v>
      </c>
      <c r="AJ322" s="98" t="str">
        <f t="shared" si="180"/>
        <v>1+0.688249319845119i</v>
      </c>
      <c r="AK322" s="98">
        <f t="shared" si="195"/>
        <v>1.2139551582604973</v>
      </c>
      <c r="AL322" s="98">
        <f t="shared" si="196"/>
        <v>0.60279599012353013</v>
      </c>
      <c r="AM322" s="98" t="str">
        <f t="shared" si="181"/>
        <v>1+688.937569164964i</v>
      </c>
      <c r="AN322" s="98">
        <f t="shared" si="197"/>
        <v>688.93829491974793</v>
      </c>
      <c r="AO322" s="98">
        <f t="shared" si="198"/>
        <v>1.5693448174819136</v>
      </c>
      <c r="AP322" s="168" t="str">
        <f t="shared" si="199"/>
        <v>-0.0673845750071406+0.0465216725209057i</v>
      </c>
      <c r="AQ322" s="98">
        <f t="shared" si="200"/>
        <v>-21.736046531221788</v>
      </c>
      <c r="AR322" s="169">
        <f t="shared" si="201"/>
        <v>145.37916850095419</v>
      </c>
      <c r="AS322" s="168" t="str">
        <f t="shared" si="202"/>
        <v>0.0550331807265379-0.0115779993828375i</v>
      </c>
      <c r="AT322" s="190">
        <f t="shared" si="203"/>
        <v>-24.999418571565378</v>
      </c>
      <c r="AU322" s="169">
        <f t="shared" si="204"/>
        <v>-11.880748778158635</v>
      </c>
      <c r="AV322" s="225"/>
      <c r="AX322">
        <f t="shared" si="205"/>
        <v>0</v>
      </c>
      <c r="AY322">
        <f t="shared" si="206"/>
        <v>0</v>
      </c>
    </row>
    <row r="323" spans="14:51" x14ac:dyDescent="0.3">
      <c r="N323" s="170">
        <v>5</v>
      </c>
      <c r="O323" s="199">
        <f t="shared" si="208"/>
        <v>11220.184543019639</v>
      </c>
      <c r="P323" s="189" t="str">
        <f t="shared" si="173"/>
        <v>1078.86904761905</v>
      </c>
      <c r="Q323" s="160" t="str">
        <f t="shared" si="174"/>
        <v>1+2203.07808326702i</v>
      </c>
      <c r="R323" s="160">
        <f t="shared" si="182"/>
        <v>2203.0783102221958</v>
      </c>
      <c r="S323" s="160">
        <f t="shared" si="183"/>
        <v>1.5703424164505846</v>
      </c>
      <c r="T323" s="160" t="str">
        <f t="shared" si="175"/>
        <v>1+0.00140996997329089i</v>
      </c>
      <c r="U323" s="160">
        <f t="shared" si="184"/>
        <v>1.0000009940071688</v>
      </c>
      <c r="V323" s="160">
        <f t="shared" si="185"/>
        <v>1.4099690389446993E-3</v>
      </c>
      <c r="W323" s="98" t="str">
        <f t="shared" si="176"/>
        <v>1-1.0197466834829i</v>
      </c>
      <c r="X323" s="160">
        <f t="shared" si="186"/>
        <v>1.4282448314187501</v>
      </c>
      <c r="Y323" s="160">
        <f t="shared" si="187"/>
        <v>-0.79517466384242586</v>
      </c>
      <c r="Z323" s="98" t="str">
        <f t="shared" si="177"/>
        <v>0.949642983528233+0.402779743834415i</v>
      </c>
      <c r="AA323" s="160">
        <f t="shared" si="188"/>
        <v>1.0315296012270907</v>
      </c>
      <c r="AB323" s="160">
        <f t="shared" si="189"/>
        <v>0.4011403599502133</v>
      </c>
      <c r="AC323" s="171" t="str">
        <f t="shared" si="190"/>
        <v>-0.630593831987617-0.249198705790738i</v>
      </c>
      <c r="AD323" s="190">
        <f t="shared" si="191"/>
        <v>-3.3747960733402218</v>
      </c>
      <c r="AE323" s="169">
        <f t="shared" si="192"/>
        <v>-158.43700940922898</v>
      </c>
      <c r="AF323" s="98" t="str">
        <f t="shared" si="178"/>
        <v>-9.95024875621891E-06</v>
      </c>
      <c r="AG323" s="98" t="str">
        <f t="shared" si="179"/>
        <v>0.0705689971632091i</v>
      </c>
      <c r="AH323" s="98">
        <f t="shared" si="193"/>
        <v>7.0568997163209093E-2</v>
      </c>
      <c r="AI323" s="98">
        <f t="shared" si="194"/>
        <v>1.5707963267948966</v>
      </c>
      <c r="AJ323" s="98" t="str">
        <f t="shared" si="180"/>
        <v>1+0.704280705939506i</v>
      </c>
      <c r="AK323" s="98">
        <f t="shared" si="195"/>
        <v>1.2231154126895176</v>
      </c>
      <c r="AL323" s="98">
        <f t="shared" si="196"/>
        <v>0.61359314741747595</v>
      </c>
      <c r="AM323" s="98" t="str">
        <f t="shared" si="181"/>
        <v>1+704.984986645445i</v>
      </c>
      <c r="AN323" s="98">
        <f t="shared" si="197"/>
        <v>704.98569588004989</v>
      </c>
      <c r="AO323" s="98">
        <f t="shared" si="198"/>
        <v>1.5693778578228501</v>
      </c>
      <c r="AP323" s="168" t="str">
        <f t="shared" si="199"/>
        <v>-0.0663790305929557+0.0468904708112111i</v>
      </c>
      <c r="AQ323" s="98">
        <f t="shared" si="200"/>
        <v>-21.801342823001409</v>
      </c>
      <c r="AR323" s="169">
        <f t="shared" si="201"/>
        <v>144.7624300293615</v>
      </c>
      <c r="AS323" s="168" t="str">
        <f t="shared" si="202"/>
        <v>0.0535432519053074-0.0130272731571367i</v>
      </c>
      <c r="AT323" s="190">
        <f t="shared" si="203"/>
        <v>-25.17613889634163</v>
      </c>
      <c r="AU323" s="169">
        <f t="shared" si="204"/>
        <v>-13.674579379867447</v>
      </c>
      <c r="AV323" s="225"/>
      <c r="AX323">
        <f t="shared" si="205"/>
        <v>0</v>
      </c>
      <c r="AY323">
        <f t="shared" si="206"/>
        <v>0</v>
      </c>
    </row>
    <row r="324" spans="14:51" x14ac:dyDescent="0.3">
      <c r="N324" s="170">
        <v>6</v>
      </c>
      <c r="O324" s="199">
        <f t="shared" si="208"/>
        <v>11481.536214968832</v>
      </c>
      <c r="P324" s="189" t="str">
        <f t="shared" si="173"/>
        <v>1078.86904761905</v>
      </c>
      <c r="Q324" s="160" t="str">
        <f t="shared" si="174"/>
        <v>1+2254.39436405445i</v>
      </c>
      <c r="R324" s="160">
        <f t="shared" si="182"/>
        <v>2254.3945858434959</v>
      </c>
      <c r="S324" s="160">
        <f t="shared" si="183"/>
        <v>1.570352748710087</v>
      </c>
      <c r="T324" s="160" t="str">
        <f t="shared" si="175"/>
        <v>1+0.00144281239299485i</v>
      </c>
      <c r="U324" s="160">
        <f t="shared" si="184"/>
        <v>1.0000010408532589</v>
      </c>
      <c r="V324" s="160">
        <f t="shared" si="185"/>
        <v>1.4428113918249252E-3</v>
      </c>
      <c r="W324" s="98" t="str">
        <f t="shared" si="176"/>
        <v>1-1.0434996351096i</v>
      </c>
      <c r="X324" s="160">
        <f t="shared" si="186"/>
        <v>1.4452997919026584</v>
      </c>
      <c r="Y324" s="160">
        <f t="shared" si="187"/>
        <v>-0.80668178186698436</v>
      </c>
      <c r="Z324" s="98" t="str">
        <f t="shared" si="177"/>
        <v>0.947269730457744+0.412161689298394i</v>
      </c>
      <c r="AA324" s="160">
        <f t="shared" si="188"/>
        <v>1.0330523705828243</v>
      </c>
      <c r="AB324" s="160">
        <f t="shared" si="189"/>
        <v>0.4103983505267304</v>
      </c>
      <c r="AC324" s="171" t="str">
        <f t="shared" si="190"/>
        <v>-0.627649060621887-0.233103009778238i</v>
      </c>
      <c r="AD324" s="190">
        <f t="shared" si="191"/>
        <v>-3.4845029139253452</v>
      </c>
      <c r="AE324" s="169">
        <f t="shared" si="192"/>
        <v>-159.62547275985438</v>
      </c>
      <c r="AF324" s="98" t="str">
        <f t="shared" si="178"/>
        <v>-9.95024875621891E-06</v>
      </c>
      <c r="AG324" s="98" t="str">
        <f t="shared" si="179"/>
        <v>0.0722127602693922i</v>
      </c>
      <c r="AH324" s="98">
        <f t="shared" si="193"/>
        <v>7.2212760269392204E-2</v>
      </c>
      <c r="AI324" s="98">
        <f t="shared" si="194"/>
        <v>1.5707963267948966</v>
      </c>
      <c r="AJ324" s="98" t="str">
        <f t="shared" si="180"/>
        <v>1+0.720685510986439i</v>
      </c>
      <c r="AK324" s="98">
        <f t="shared" si="195"/>
        <v>1.2326344169078618</v>
      </c>
      <c r="AL324" s="98">
        <f t="shared" si="196"/>
        <v>0.62447437554100849</v>
      </c>
      <c r="AM324" s="98" t="str">
        <f t="shared" si="181"/>
        <v>1+721.406196497425i</v>
      </c>
      <c r="AN324" s="98">
        <f t="shared" si="197"/>
        <v>721.40688958789497</v>
      </c>
      <c r="AO324" s="98">
        <f t="shared" si="198"/>
        <v>1.5694101460767989</v>
      </c>
      <c r="AP324" s="168" t="str">
        <f t="shared" si="199"/>
        <v>-0.0653577667222523+0.0472401862344361i</v>
      </c>
      <c r="AQ324" s="98">
        <f t="shared" si="200"/>
        <v>-21.868680233442536</v>
      </c>
      <c r="AR324" s="169">
        <f t="shared" si="201"/>
        <v>144.14083156264323</v>
      </c>
      <c r="AS324" s="168" t="str">
        <f t="shared" si="202"/>
        <v>0.0520335704812976-0.0144151663783058i</v>
      </c>
      <c r="AT324" s="190">
        <f t="shared" si="203"/>
        <v>-25.353183147367886</v>
      </c>
      <c r="AU324" s="169">
        <f t="shared" si="204"/>
        <v>-15.48464119721111</v>
      </c>
      <c r="AV324" s="225"/>
      <c r="AX324">
        <f t="shared" si="205"/>
        <v>0</v>
      </c>
      <c r="AY324">
        <f t="shared" si="206"/>
        <v>0</v>
      </c>
    </row>
    <row r="325" spans="14:51" x14ac:dyDescent="0.3">
      <c r="N325" s="170">
        <v>7</v>
      </c>
      <c r="O325" s="199">
        <f t="shared" si="208"/>
        <v>11748.975549395318</v>
      </c>
      <c r="P325" s="189" t="str">
        <f t="shared" si="173"/>
        <v>1078.86904761905</v>
      </c>
      <c r="Q325" s="160" t="str">
        <f t="shared" si="174"/>
        <v>1+2306.90595457415i</v>
      </c>
      <c r="R325" s="160">
        <f t="shared" si="182"/>
        <v>2306.9061713146616</v>
      </c>
      <c r="S325" s="160">
        <f t="shared" si="183"/>
        <v>1.5703628457787409</v>
      </c>
      <c r="T325" s="160" t="str">
        <f t="shared" si="175"/>
        <v>1+0.00147641981092746i</v>
      </c>
      <c r="U325" s="160">
        <f t="shared" si="184"/>
        <v>1.0000010899071352</v>
      </c>
      <c r="V325" s="160">
        <f t="shared" si="185"/>
        <v>1.4764187381546209E-3</v>
      </c>
      <c r="W325" s="98" t="str">
        <f t="shared" si="176"/>
        <v>1-1.06780586405518i</v>
      </c>
      <c r="X325" s="160">
        <f t="shared" si="186"/>
        <v>1.4629454409890446</v>
      </c>
      <c r="Y325" s="160">
        <f t="shared" si="187"/>
        <v>-0.81817763164412216</v>
      </c>
      <c r="Z325" s="98" t="str">
        <f t="shared" si="177"/>
        <v>0.944784629415884+0.421762168345645i</v>
      </c>
      <c r="AA325" s="160">
        <f t="shared" si="188"/>
        <v>1.034650338340509</v>
      </c>
      <c r="AB325" s="160">
        <f t="shared" si="189"/>
        <v>0.41986523256113911</v>
      </c>
      <c r="AC325" s="171" t="str">
        <f t="shared" si="190"/>
        <v>-0.624576139313026-0.217192433147586i</v>
      </c>
      <c r="AD325" s="190">
        <f t="shared" si="191"/>
        <v>-3.5925239643585574</v>
      </c>
      <c r="AE325" s="169">
        <f t="shared" si="192"/>
        <v>-160.82520178003469</v>
      </c>
      <c r="AF325" s="98" t="str">
        <f t="shared" si="178"/>
        <v>-9.95024875621891E-06</v>
      </c>
      <c r="AG325" s="98" t="str">
        <f t="shared" si="179"/>
        <v>0.0738948115369192i</v>
      </c>
      <c r="AH325" s="98">
        <f t="shared" si="193"/>
        <v>7.3894811536919194E-2</v>
      </c>
      <c r="AI325" s="98">
        <f t="shared" si="194"/>
        <v>1.5707963267948966</v>
      </c>
      <c r="AJ325" s="98" t="str">
        <f t="shared" si="180"/>
        <v>1+0.737472433030698i</v>
      </c>
      <c r="AK325" s="98">
        <f t="shared" si="195"/>
        <v>1.2425238788370296</v>
      </c>
      <c r="AL325" s="98">
        <f t="shared" si="196"/>
        <v>0.63543513724999101</v>
      </c>
      <c r="AM325" s="98" t="str">
        <f t="shared" si="181"/>
        <v>1+738.209905463729i</v>
      </c>
      <c r="AN325" s="98">
        <f t="shared" si="197"/>
        <v>738.21058277754844</v>
      </c>
      <c r="AO325" s="98">
        <f t="shared" si="198"/>
        <v>1.5694416993631501</v>
      </c>
      <c r="AP325" s="168" t="str">
        <f t="shared" si="199"/>
        <v>-0.0643215195504472+0.0475700017464978i</v>
      </c>
      <c r="AQ325" s="98">
        <f t="shared" si="200"/>
        <v>-21.938089690573335</v>
      </c>
      <c r="AR325" s="169">
        <f t="shared" si="201"/>
        <v>143.5146340466076</v>
      </c>
      <c r="AS325" s="168" t="str">
        <f t="shared" si="202"/>
        <v>0.0505055307797224-0.0157409407030299i</v>
      </c>
      <c r="AT325" s="190">
        <f t="shared" si="203"/>
        <v>-25.530613654931891</v>
      </c>
      <c r="AU325" s="169">
        <f t="shared" si="204"/>
        <v>-17.310567733427149</v>
      </c>
      <c r="AV325" s="225"/>
      <c r="AX325">
        <f t="shared" si="205"/>
        <v>0</v>
      </c>
      <c r="AY325">
        <f t="shared" si="206"/>
        <v>0</v>
      </c>
    </row>
    <row r="326" spans="14:51" x14ac:dyDescent="0.3">
      <c r="N326" s="170">
        <v>8</v>
      </c>
      <c r="O326" s="199">
        <f t="shared" si="208"/>
        <v>12022.644346174151</v>
      </c>
      <c r="P326" s="189" t="str">
        <f t="shared" si="173"/>
        <v>1078.86904761905</v>
      </c>
      <c r="Q326" s="160" t="str">
        <f t="shared" si="174"/>
        <v>1+2360.64069716647i</v>
      </c>
      <c r="R326" s="160">
        <f t="shared" si="182"/>
        <v>2360.6409089733656</v>
      </c>
      <c r="S326" s="160">
        <f t="shared" si="183"/>
        <v>1.5703727130101373</v>
      </c>
      <c r="T326" s="160" t="str">
        <f t="shared" si="175"/>
        <v>1+0.00151081004618654i</v>
      </c>
      <c r="U326" s="160">
        <f t="shared" si="184"/>
        <v>1.0000011412728467</v>
      </c>
      <c r="V326" s="160">
        <f t="shared" si="185"/>
        <v>1.5108088966898038E-3</v>
      </c>
      <c r="W326" s="98" t="str">
        <f t="shared" si="176"/>
        <v>1-1.09267825780396i</v>
      </c>
      <c r="X326" s="160">
        <f t="shared" si="186"/>
        <v>1.4811974125947889</v>
      </c>
      <c r="Y326" s="160">
        <f t="shared" si="187"/>
        <v>-0.8296561556434866</v>
      </c>
      <c r="Z326" s="98" t="str">
        <f t="shared" si="177"/>
        <v>0.942182409170163+0.431586271277233i</v>
      </c>
      <c r="AA326" s="160">
        <f t="shared" si="188"/>
        <v>1.0363273622290776</v>
      </c>
      <c r="AB326" s="160">
        <f t="shared" si="189"/>
        <v>0.42954531901987375</v>
      </c>
      <c r="AC326" s="171" t="str">
        <f t="shared" si="190"/>
        <v>-0.621370181906805-0.201462714676237i</v>
      </c>
      <c r="AD326" s="190">
        <f t="shared" si="191"/>
        <v>-3.6988944023456982</v>
      </c>
      <c r="AE326" s="169">
        <f t="shared" si="192"/>
        <v>-162.03609579941835</v>
      </c>
      <c r="AF326" s="98" t="str">
        <f t="shared" si="178"/>
        <v>-9.95024875621891E-06</v>
      </c>
      <c r="AG326" s="98" t="str">
        <f t="shared" si="179"/>
        <v>0.0756160428116365i</v>
      </c>
      <c r="AH326" s="98">
        <f t="shared" si="193"/>
        <v>7.5616042811636502E-2</v>
      </c>
      <c r="AI326" s="98">
        <f t="shared" si="194"/>
        <v>1.5707963267948966</v>
      </c>
      <c r="AJ326" s="98" t="str">
        <f t="shared" si="180"/>
        <v>1+0.75465037272055i</v>
      </c>
      <c r="AK326" s="98">
        <f t="shared" si="195"/>
        <v>1.2527957475371894</v>
      </c>
      <c r="AL326" s="98">
        <f t="shared" si="196"/>
        <v>0.64647070990478761</v>
      </c>
      <c r="AM326" s="98" t="str">
        <f t="shared" si="181"/>
        <v>1+755.405023093271i</v>
      </c>
      <c r="AN326" s="98">
        <f t="shared" si="197"/>
        <v>755.40568498955929</v>
      </c>
      <c r="AO326" s="98">
        <f t="shared" si="198"/>
        <v>1.5694725344116225</v>
      </c>
      <c r="AP326" s="168" t="str">
        <f t="shared" si="199"/>
        <v>-0.063271079198542+0.0478791326225835i</v>
      </c>
      <c r="AQ326" s="98">
        <f t="shared" si="200"/>
        <v>-22.009600585155027</v>
      </c>
      <c r="AR326" s="169">
        <f t="shared" si="201"/>
        <v>142.8841090271163</v>
      </c>
      <c r="AS326" s="168" t="str">
        <f t="shared" si="202"/>
        <v>0.0489606220255272-0.0170039019714013i</v>
      </c>
      <c r="AT326" s="190">
        <f t="shared" si="203"/>
        <v>-25.708494987500721</v>
      </c>
      <c r="AU326" s="169">
        <f t="shared" si="204"/>
        <v>-19.151986772302067</v>
      </c>
      <c r="AV326" s="225"/>
      <c r="AX326">
        <f t="shared" si="205"/>
        <v>0</v>
      </c>
      <c r="AY326">
        <f t="shared" si="206"/>
        <v>0</v>
      </c>
    </row>
    <row r="327" spans="14:51" x14ac:dyDescent="0.3">
      <c r="N327" s="170">
        <v>9</v>
      </c>
      <c r="O327" s="199">
        <f t="shared" si="208"/>
        <v>12302.687708123816</v>
      </c>
      <c r="P327" s="189" t="str">
        <f t="shared" si="173"/>
        <v>1078.86904761905</v>
      </c>
      <c r="Q327" s="160" t="str">
        <f t="shared" si="174"/>
        <v>1+2415.6270827032i</v>
      </c>
      <c r="R327" s="160">
        <f t="shared" si="182"/>
        <v>2415.6272896887822</v>
      </c>
      <c r="S327" s="160">
        <f t="shared" si="183"/>
        <v>1.5703823556360053</v>
      </c>
      <c r="T327" s="160" t="str">
        <f t="shared" si="175"/>
        <v>1+0.00154600133293005i</v>
      </c>
      <c r="U327" s="160">
        <f t="shared" si="184"/>
        <v>1.0000011950593466</v>
      </c>
      <c r="V327" s="160">
        <f t="shared" si="185"/>
        <v>1.5460001012221852E-3</v>
      </c>
      <c r="W327" s="98" t="str">
        <f t="shared" si="176"/>
        <v>1-1.11813000402833i</v>
      </c>
      <c r="X327" s="160">
        <f t="shared" si="186"/>
        <v>1.5000715669288558</v>
      </c>
      <c r="Y327" s="160">
        <f t="shared" si="187"/>
        <v>-0.84111134198911708</v>
      </c>
      <c r="Z327" s="98" t="str">
        <f t="shared" si="177"/>
        <v>0.939457550062551+0.441639206962573i</v>
      </c>
      <c r="AA327" s="160">
        <f t="shared" si="188"/>
        <v>1.0380875095559434</v>
      </c>
      <c r="AB327" s="160">
        <f t="shared" si="189"/>
        <v>0.43944297633108648</v>
      </c>
      <c r="AC327" s="171" t="str">
        <f t="shared" si="190"/>
        <v>-0.618026175949758-0.185909958080552i</v>
      </c>
      <c r="AD327" s="190">
        <f t="shared" si="191"/>
        <v>-3.8036532197333894</v>
      </c>
      <c r="AE327" s="169">
        <f t="shared" si="192"/>
        <v>-163.25805979582836</v>
      </c>
      <c r="AF327" s="98" t="str">
        <f t="shared" si="178"/>
        <v>-9.95024875621891E-06</v>
      </c>
      <c r="AG327" s="98" t="str">
        <f t="shared" si="179"/>
        <v>0.077377366713149i</v>
      </c>
      <c r="AH327" s="98">
        <f t="shared" si="193"/>
        <v>7.7377366713149001E-2</v>
      </c>
      <c r="AI327" s="98">
        <f t="shared" si="194"/>
        <v>1.5707963267948966</v>
      </c>
      <c r="AJ327" s="98" t="str">
        <f t="shared" si="180"/>
        <v>1+0.772228438026998i</v>
      </c>
      <c r="AK327" s="98">
        <f t="shared" si="195"/>
        <v>1.2634622117410625</v>
      </c>
      <c r="AL327" s="98">
        <f t="shared" si="196"/>
        <v>0.65757619344622453</v>
      </c>
      <c r="AM327" s="98" t="str">
        <f t="shared" si="181"/>
        <v>1+773.000666465025i</v>
      </c>
      <c r="AN327" s="98">
        <f t="shared" si="197"/>
        <v>773.00131329472708</v>
      </c>
      <c r="AO327" s="98">
        <f t="shared" si="198"/>
        <v>1.5695026675711321</v>
      </c>
      <c r="AP327" s="168" t="str">
        <f t="shared" si="199"/>
        <v>-0.0622072880574766+0.0481668306793622i</v>
      </c>
      <c r="AQ327" s="98">
        <f t="shared" si="200"/>
        <v>-22.083240663638488</v>
      </c>
      <c r="AR327" s="169">
        <f t="shared" si="201"/>
        <v>142.24953819360326</v>
      </c>
      <c r="AS327" s="168" t="str">
        <f t="shared" si="202"/>
        <v>0.0474004258268406-0.0182034078573154i</v>
      </c>
      <c r="AT327" s="190">
        <f t="shared" si="203"/>
        <v>-25.886893883371872</v>
      </c>
      <c r="AU327" s="169">
        <f t="shared" si="204"/>
        <v>-21.008521602225084</v>
      </c>
      <c r="AV327" s="225"/>
      <c r="AX327">
        <f t="shared" si="205"/>
        <v>0</v>
      </c>
      <c r="AY327">
        <f t="shared" si="206"/>
        <v>0</v>
      </c>
    </row>
    <row r="328" spans="14:51" x14ac:dyDescent="0.3">
      <c r="N328" s="170">
        <v>10</v>
      </c>
      <c r="O328" s="199">
        <f t="shared" si="208"/>
        <v>12589.254117941671</v>
      </c>
      <c r="P328" s="189" t="str">
        <f t="shared" si="173"/>
        <v>1078.86904761905</v>
      </c>
      <c r="Q328" s="160" t="str">
        <f t="shared" si="174"/>
        <v>1+2471.89426569379i</v>
      </c>
      <c r="R328" s="160">
        <f t="shared" si="182"/>
        <v>2471.8944679678061</v>
      </c>
      <c r="S328" s="160">
        <f t="shared" si="183"/>
        <v>1.5703917787689856</v>
      </c>
      <c r="T328" s="160" t="str">
        <f t="shared" si="175"/>
        <v>1+0.00158201233004402i</v>
      </c>
      <c r="U328" s="160">
        <f t="shared" si="184"/>
        <v>1.0000012513807233</v>
      </c>
      <c r="V328" s="160">
        <f t="shared" si="185"/>
        <v>1.5820110102453535E-3</v>
      </c>
      <c r="W328" s="98" t="str">
        <f t="shared" si="176"/>
        <v>1-1.14417459758104i</v>
      </c>
      <c r="X328" s="160">
        <f t="shared" si="186"/>
        <v>1.5195839923313665</v>
      </c>
      <c r="Y328" s="160">
        <f t="shared" si="187"/>
        <v>-0.85253724004011655</v>
      </c>
      <c r="Z328" s="98" t="str">
        <f t="shared" si="177"/>
        <v>0.936604272301555+0.45192630560123i</v>
      </c>
      <c r="AA328" s="160">
        <f t="shared" si="188"/>
        <v>1.0399350694095768</v>
      </c>
      <c r="AB328" s="160">
        <f t="shared" si="189"/>
        <v>0.44956262152819954</v>
      </c>
      <c r="AC328" s="171" t="str">
        <f t="shared" si="190"/>
        <v>-0.614538986642983-0.170530645312316i</v>
      </c>
      <c r="AD328" s="190">
        <f t="shared" si="191"/>
        <v>-3.90684325362108</v>
      </c>
      <c r="AE328" s="169">
        <f t="shared" si="192"/>
        <v>-164.49100512390791</v>
      </c>
      <c r="AF328" s="98" t="str">
        <f t="shared" si="178"/>
        <v>-9.95024875621891E-06</v>
      </c>
      <c r="AG328" s="98" t="str">
        <f t="shared" si="179"/>
        <v>0.0791797171187034i</v>
      </c>
      <c r="AH328" s="98">
        <f t="shared" si="193"/>
        <v>7.9179717118703405E-2</v>
      </c>
      <c r="AI328" s="98">
        <f t="shared" si="194"/>
        <v>1.5707963267948966</v>
      </c>
      <c r="AJ328" s="98" t="str">
        <f t="shared" si="180"/>
        <v>1+0.790215949072939i</v>
      </c>
      <c r="AK328" s="98">
        <f t="shared" si="195"/>
        <v>1.2745356982718239</v>
      </c>
      <c r="AL328" s="98">
        <f t="shared" si="196"/>
        <v>0.66874651934102602</v>
      </c>
      <c r="AM328" s="98" t="str">
        <f t="shared" si="181"/>
        <v>1+791.006165022012i</v>
      </c>
      <c r="AN328" s="98">
        <f t="shared" si="197"/>
        <v>791.0067971280846</v>
      </c>
      <c r="AO328" s="98">
        <f t="shared" si="198"/>
        <v>1.56953211481846</v>
      </c>
      <c r="AP328" s="168" t="str">
        <f t="shared" si="199"/>
        <v>-0.0611310387071199+0.048432388406601i</v>
      </c>
      <c r="AQ328" s="98">
        <f t="shared" si="200"/>
        <v>-22.159035924924222</v>
      </c>
      <c r="AR328" s="169">
        <f t="shared" si="201"/>
        <v>141.61121286703559</v>
      </c>
      <c r="AS328" s="168" t="str">
        <f t="shared" si="202"/>
        <v>0.0458266130285008-0.0193388754127546i</v>
      </c>
      <c r="AT328" s="190">
        <f t="shared" si="203"/>
        <v>-26.065879178545302</v>
      </c>
      <c r="AU328" s="169">
        <f t="shared" si="204"/>
        <v>-22.879792256872349</v>
      </c>
      <c r="AV328" s="225"/>
      <c r="AX328">
        <f t="shared" si="205"/>
        <v>0</v>
      </c>
      <c r="AY328">
        <f t="shared" si="206"/>
        <v>0</v>
      </c>
    </row>
    <row r="329" spans="14:51" x14ac:dyDescent="0.3">
      <c r="N329" s="170">
        <v>11</v>
      </c>
      <c r="O329" s="199">
        <f t="shared" si="208"/>
        <v>12882.49551693136</v>
      </c>
      <c r="P329" s="189" t="str">
        <f t="shared" si="173"/>
        <v>1078.86904761905</v>
      </c>
      <c r="Q329" s="160" t="str">
        <f t="shared" si="174"/>
        <v>1+2529.47207974344i</v>
      </c>
      <c r="R329" s="160">
        <f t="shared" si="182"/>
        <v>2529.4722774131378</v>
      </c>
      <c r="S329" s="160">
        <f t="shared" si="183"/>
        <v>1.5704009874053415</v>
      </c>
      <c r="T329" s="160" t="str">
        <f t="shared" si="175"/>
        <v>1+0.0016188621310358i</v>
      </c>
      <c r="U329" s="160">
        <f t="shared" si="184"/>
        <v>1.0000013103564411</v>
      </c>
      <c r="V329" s="160">
        <f t="shared" si="185"/>
        <v>1.6188607168461501E-3</v>
      </c>
      <c r="W329" s="98" t="str">
        <f t="shared" si="176"/>
        <v>1-1.17082584765033i</v>
      </c>
      <c r="X329" s="160">
        <f t="shared" si="186"/>
        <v>1.5397510076392591</v>
      </c>
      <c r="Y329" s="160">
        <f t="shared" si="187"/>
        <v>-0.86392797558138157</v>
      </c>
      <c r="Z329" s="98" t="str">
        <f t="shared" si="177"/>
        <v>0.933616523702497+0.46245302154907i</v>
      </c>
      <c r="AA329" s="160">
        <f t="shared" si="188"/>
        <v>1.0418745656124828</v>
      </c>
      <c r="AB329" s="160">
        <f t="shared" si="189"/>
        <v>0.45990871897111785</v>
      </c>
      <c r="AC329" s="171" t="str">
        <f t="shared" si="190"/>
        <v>-0.610903361836947-0.155321650648485i</v>
      </c>
      <c r="AD329" s="190">
        <f t="shared" si="191"/>
        <v>-4.0085112101928564</v>
      </c>
      <c r="AE329" s="169">
        <f t="shared" si="192"/>
        <v>-165.73485019721596</v>
      </c>
      <c r="AF329" s="98" t="str">
        <f t="shared" si="178"/>
        <v>-9.95024875621891E-06</v>
      </c>
      <c r="AG329" s="98" t="str">
        <f t="shared" si="179"/>
        <v>0.0810240496583418i</v>
      </c>
      <c r="AH329" s="98">
        <f t="shared" si="193"/>
        <v>8.1024049658341799E-2</v>
      </c>
      <c r="AI329" s="98">
        <f t="shared" si="194"/>
        <v>1.5707963267948966</v>
      </c>
      <c r="AJ329" s="98" t="str">
        <f t="shared" si="180"/>
        <v>1+0.808622443074825i</v>
      </c>
      <c r="AK329" s="98">
        <f t="shared" si="195"/>
        <v>1.2860288703774494</v>
      </c>
      <c r="AL329" s="98">
        <f t="shared" si="196"/>
        <v>0.67997646047109872</v>
      </c>
      <c r="AM329" s="98" t="str">
        <f t="shared" si="181"/>
        <v>1+809.4310655179i</v>
      </c>
      <c r="AN329" s="98">
        <f t="shared" si="197"/>
        <v>809.43168323549276</v>
      </c>
      <c r="AO329" s="98">
        <f t="shared" si="198"/>
        <v>1.5695608917667221</v>
      </c>
      <c r="AP329" s="168" t="str">
        <f t="shared" si="199"/>
        <v>-0.0600432714538041+0.048675142968132i</v>
      </c>
      <c r="AQ329" s="98">
        <f t="shared" si="200"/>
        <v>-22.237010521698522</v>
      </c>
      <c r="AR329" s="169">
        <f t="shared" si="201"/>
        <v>140.96943343378476</v>
      </c>
      <c r="AS329" s="168" t="str">
        <f t="shared" si="202"/>
        <v>0.0442409399381786-0.020409788444586i</v>
      </c>
      <c r="AT329" s="190">
        <f t="shared" si="203"/>
        <v>-26.245521731891372</v>
      </c>
      <c r="AU329" s="169">
        <f t="shared" si="204"/>
        <v>-24.765416763431237</v>
      </c>
      <c r="AV329" s="225"/>
      <c r="AX329">
        <f t="shared" si="205"/>
        <v>0</v>
      </c>
      <c r="AY329">
        <f t="shared" si="206"/>
        <v>0</v>
      </c>
    </row>
    <row r="330" spans="14:51" x14ac:dyDescent="0.3">
      <c r="N330" s="170">
        <v>12</v>
      </c>
      <c r="O330" s="199">
        <f t="shared" si="208"/>
        <v>13182.567385564091</v>
      </c>
      <c r="P330" s="189" t="str">
        <f t="shared" si="173"/>
        <v>1078.86904761905</v>
      </c>
      <c r="Q330" s="160" t="str">
        <f t="shared" si="174"/>
        <v>1+2588.39105337128i</v>
      </c>
      <c r="R330" s="160">
        <f t="shared" si="182"/>
        <v>2588.3912465414664</v>
      </c>
      <c r="S330" s="160">
        <f t="shared" si="183"/>
        <v>1.5704099864276075</v>
      </c>
      <c r="T330" s="160" t="str">
        <f t="shared" si="175"/>
        <v>1+0.00165657027415762i</v>
      </c>
      <c r="U330" s="160">
        <f t="shared" si="184"/>
        <v>1.0000013721115952</v>
      </c>
      <c r="V330" s="160">
        <f t="shared" si="185"/>
        <v>1.656568758826221E-3</v>
      </c>
      <c r="W330" s="98" t="str">
        <f t="shared" si="176"/>
        <v>1-1.19809788508176i</v>
      </c>
      <c r="X330" s="160">
        <f t="shared" si="186"/>
        <v>1.5605891651031625</v>
      </c>
      <c r="Y330" s="160">
        <f t="shared" si="187"/>
        <v>-0.87527776553161651</v>
      </c>
      <c r="Z330" s="98" t="str">
        <f t="shared" si="177"/>
        <v>0.930487966850025+0.473224936210224i</v>
      </c>
      <c r="AA330" s="160">
        <f t="shared" si="188"/>
        <v>1.043910770470285</v>
      </c>
      <c r="AB330" s="160">
        <f t="shared" si="189"/>
        <v>0.47048577660653856</v>
      </c>
      <c r="AC330" s="171" t="str">
        <f t="shared" si="190"/>
        <v>-0.607113938181122-0.140280255560093i</v>
      </c>
      <c r="AD330" s="190">
        <f t="shared" si="191"/>
        <v>-4.1087076816316506</v>
      </c>
      <c r="AE330" s="169">
        <f t="shared" si="192"/>
        <v>-166.98952111623711</v>
      </c>
      <c r="AF330" s="98" t="str">
        <f t="shared" si="178"/>
        <v>-9.95024875621891E-06</v>
      </c>
      <c r="AG330" s="98" t="str">
        <f t="shared" si="179"/>
        <v>0.082911342221589i</v>
      </c>
      <c r="AH330" s="98">
        <f t="shared" si="193"/>
        <v>8.2911342221588996E-2</v>
      </c>
      <c r="AI330" s="98">
        <f t="shared" si="194"/>
        <v>1.5707963267948966</v>
      </c>
      <c r="AJ330" s="98" t="str">
        <f t="shared" si="180"/>
        <v>1+0.827457679399412i</v>
      </c>
      <c r="AK330" s="98">
        <f t="shared" si="195"/>
        <v>1.2979546260162795</v>
      </c>
      <c r="AL330" s="98">
        <f t="shared" si="196"/>
        <v>0.6912606419316818</v>
      </c>
      <c r="AM330" s="98" t="str">
        <f t="shared" si="181"/>
        <v>1+828.285137078811i</v>
      </c>
      <c r="AN330" s="98">
        <f t="shared" si="197"/>
        <v>828.28574073544485</v>
      </c>
      <c r="AO330" s="98">
        <f t="shared" si="198"/>
        <v>1.5695890136736466</v>
      </c>
      <c r="AP330" s="168" t="str">
        <f t="shared" si="199"/>
        <v>-0.0589449714949906+0.0488944800320014i</v>
      </c>
      <c r="AQ330" s="98">
        <f t="shared" si="200"/>
        <v>-22.317186667106441</v>
      </c>
      <c r="AR330" s="169">
        <f t="shared" si="201"/>
        <v>140.32450872741225</v>
      </c>
      <c r="AS330" s="168" t="str">
        <f t="shared" si="202"/>
        <v>0.0426452439346647-0.0214157046622469i</v>
      </c>
      <c r="AT330" s="190">
        <f t="shared" si="203"/>
        <v>-26.425894348738094</v>
      </c>
      <c r="AU330" s="169">
        <f t="shared" si="204"/>
        <v>-26.665012388824849</v>
      </c>
      <c r="AV330" s="225"/>
      <c r="AX330">
        <f t="shared" si="205"/>
        <v>0</v>
      </c>
      <c r="AY330">
        <f t="shared" si="206"/>
        <v>0</v>
      </c>
    </row>
    <row r="331" spans="14:51" x14ac:dyDescent="0.3">
      <c r="N331" s="170">
        <v>13</v>
      </c>
      <c r="O331" s="199">
        <f t="shared" si="208"/>
        <v>13489.628825916556</v>
      </c>
      <c r="P331" s="189" t="str">
        <f t="shared" si="173"/>
        <v>1078.86904761905</v>
      </c>
      <c r="Q331" s="160" t="str">
        <f t="shared" si="174"/>
        <v>1+2648.68242619703i</v>
      </c>
      <c r="R331" s="160">
        <f t="shared" si="182"/>
        <v>2648.682614970126</v>
      </c>
      <c r="S331" s="160">
        <f t="shared" si="183"/>
        <v>1.5704187806071785</v>
      </c>
      <c r="T331" s="160" t="str">
        <f t="shared" si="175"/>
        <v>1+0.0016951567527661i</v>
      </c>
      <c r="U331" s="160">
        <f t="shared" si="184"/>
        <v>1.0000014367771761</v>
      </c>
      <c r="V331" s="160">
        <f t="shared" si="185"/>
        <v>1.6951551290593783E-3</v>
      </c>
      <c r="W331" s="98" t="str">
        <f t="shared" si="176"/>
        <v>1-1.22600516987056i</v>
      </c>
      <c r="X331" s="160">
        <f t="shared" si="186"/>
        <v>1.5821152538767018</v>
      </c>
      <c r="Y331" s="160">
        <f t="shared" si="187"/>
        <v>-0.88658093208142541</v>
      </c>
      <c r="Z331" s="98" t="str">
        <f t="shared" si="177"/>
        <v>0.9272119656556+0.484247760996429i</v>
      </c>
      <c r="AA331" s="160">
        <f t="shared" si="188"/>
        <v>1.0460487193649137</v>
      </c>
      <c r="AB331" s="160">
        <f t="shared" si="189"/>
        <v>0.48129834172620267</v>
      </c>
      <c r="AC331" s="171" t="str">
        <f t="shared" si="190"/>
        <v>-0.603165248550159-0.125404164337309i</v>
      </c>
      <c r="AD331" s="190">
        <f t="shared" si="191"/>
        <v>-4.207487156538809</v>
      </c>
      <c r="AE331" s="169">
        <f t="shared" si="192"/>
        <v>-168.25495223495454</v>
      </c>
      <c r="AF331" s="98" t="str">
        <f t="shared" si="178"/>
        <v>-9.95024875621891E-06</v>
      </c>
      <c r="AG331" s="98" t="str">
        <f t="shared" si="179"/>
        <v>0.0848425954759434i</v>
      </c>
      <c r="AH331" s="98">
        <f t="shared" si="193"/>
        <v>8.4842595475943403E-2</v>
      </c>
      <c r="AI331" s="98">
        <f t="shared" si="194"/>
        <v>1.5707963267948966</v>
      </c>
      <c r="AJ331" s="98" t="str">
        <f t="shared" si="180"/>
        <v>1+0.846731644738313i</v>
      </c>
      <c r="AK331" s="98">
        <f t="shared" si="195"/>
        <v>1.310326096130749</v>
      </c>
      <c r="AL331" s="98">
        <f t="shared" si="196"/>
        <v>0.70259355269416113</v>
      </c>
      <c r="AM331" s="98" t="str">
        <f t="shared" si="181"/>
        <v>1+847.578376383051i</v>
      </c>
      <c r="AN331" s="98">
        <f t="shared" si="197"/>
        <v>847.57896629879212</v>
      </c>
      <c r="AO331" s="98">
        <f t="shared" si="198"/>
        <v>1.5696164954496625</v>
      </c>
      <c r="AP331" s="168" t="str">
        <f t="shared" si="199"/>
        <v>-0.0578371657244221+0.0490898373901396i</v>
      </c>
      <c r="AQ331" s="98">
        <f t="shared" si="200"/>
        <v>-22.3995845474997</v>
      </c>
      <c r="AR331" s="169">
        <f t="shared" si="201"/>
        <v>139.676755360903</v>
      </c>
      <c r="AS331" s="168" t="str">
        <f t="shared" si="202"/>
        <v>0.0410414384749726-0.0223562625354008i</v>
      </c>
      <c r="AT331" s="190">
        <f t="shared" si="203"/>
        <v>-26.607071704038518</v>
      </c>
      <c r="AU331" s="169">
        <f t="shared" si="204"/>
        <v>-28.578196874051535</v>
      </c>
      <c r="AV331" s="225"/>
      <c r="AX331">
        <f t="shared" si="205"/>
        <v>0</v>
      </c>
      <c r="AY331">
        <f t="shared" si="206"/>
        <v>0</v>
      </c>
    </row>
    <row r="332" spans="14:51" x14ac:dyDescent="0.3">
      <c r="N332" s="170">
        <v>14</v>
      </c>
      <c r="O332" s="199">
        <f t="shared" si="208"/>
        <v>13803.842646028841</v>
      </c>
      <c r="P332" s="189" t="str">
        <f t="shared" si="173"/>
        <v>1078.86904761905</v>
      </c>
      <c r="Q332" s="160" t="str">
        <f t="shared" si="174"/>
        <v>1+2710.37816550461i</v>
      </c>
      <c r="R332" s="160">
        <f t="shared" si="182"/>
        <v>2710.3783499807064</v>
      </c>
      <c r="S332" s="160">
        <f t="shared" si="183"/>
        <v>1.5704273746068396</v>
      </c>
      <c r="T332" s="160" t="str">
        <f t="shared" si="175"/>
        <v>1+0.00173464202592295i</v>
      </c>
      <c r="U332" s="160">
        <f t="shared" si="184"/>
        <v>1.0000015044903474</v>
      </c>
      <c r="V332" s="160">
        <f t="shared" si="185"/>
        <v>1.734640286089993E-3</v>
      </c>
      <c r="W332" s="98" t="str">
        <f t="shared" si="176"/>
        <v>1-1.25456249882851i</v>
      </c>
      <c r="X332" s="160">
        <f t="shared" si="186"/>
        <v>1.6043463040961061</v>
      </c>
      <c r="Y332" s="160">
        <f t="shared" si="187"/>
        <v>-0.89783191618087677</v>
      </c>
      <c r="Z332" s="98" t="str">
        <f t="shared" si="177"/>
        <v>0.92378157128147+0.495527340355291i</v>
      </c>
      <c r="AA332" s="160">
        <f t="shared" si="188"/>
        <v>1.0482937262422447</v>
      </c>
      <c r="AB332" s="160">
        <f t="shared" si="189"/>
        <v>0.4923509961791156</v>
      </c>
      <c r="AC332" s="171" t="str">
        <f t="shared" si="190"/>
        <v>-0.599051730876684-0.110691520437581i</v>
      </c>
      <c r="AD332" s="190">
        <f t="shared" si="191"/>
        <v>-4.3049080243248223</v>
      </c>
      <c r="AE332" s="169">
        <f t="shared" si="192"/>
        <v>-169.53108665884869</v>
      </c>
      <c r="AF332" s="98" t="str">
        <f t="shared" si="178"/>
        <v>-9.95024875621891E-06</v>
      </c>
      <c r="AG332" s="98" t="str">
        <f t="shared" si="179"/>
        <v>0.0868188333974436i</v>
      </c>
      <c r="AH332" s="98">
        <f t="shared" si="193"/>
        <v>8.6818833397443604E-2</v>
      </c>
      <c r="AI332" s="98">
        <f t="shared" si="194"/>
        <v>1.5707963267948966</v>
      </c>
      <c r="AJ332" s="98" t="str">
        <f t="shared" si="180"/>
        <v>1+0.866454558403071i</v>
      </c>
      <c r="AK332" s="98">
        <f t="shared" si="195"/>
        <v>1.323156642948015</v>
      </c>
      <c r="AL332" s="98">
        <f t="shared" si="196"/>
        <v>0.71396955808022244</v>
      </c>
      <c r="AM332" s="98" t="str">
        <f t="shared" si="181"/>
        <v>1+867.321012961474i</v>
      </c>
      <c r="AN332" s="98">
        <f t="shared" si="197"/>
        <v>867.32158944910248</v>
      </c>
      <c r="AO332" s="98">
        <f t="shared" si="198"/>
        <v>1.5696433516658055</v>
      </c>
      <c r="AP332" s="168" t="str">
        <f t="shared" si="199"/>
        <v>-0.0567209191958703+0.0492607083290171i</v>
      </c>
      <c r="AQ332" s="98">
        <f t="shared" si="200"/>
        <v>-22.484222241966375</v>
      </c>
      <c r="AR332" s="169">
        <f t="shared" si="201"/>
        <v>139.02649701240233</v>
      </c>
      <c r="AS332" s="168" t="str">
        <f t="shared" si="202"/>
        <v>0.0394315075239738-0.0232311878023011i</v>
      </c>
      <c r="AT332" s="190">
        <f t="shared" si="203"/>
        <v>-26.789130266291188</v>
      </c>
      <c r="AU332" s="169">
        <f t="shared" si="204"/>
        <v>-30.504589646446291</v>
      </c>
      <c r="AV332" s="225"/>
      <c r="AX332">
        <f t="shared" si="205"/>
        <v>0</v>
      </c>
      <c r="AY332">
        <f t="shared" si="206"/>
        <v>0</v>
      </c>
    </row>
    <row r="333" spans="14:51" x14ac:dyDescent="0.3">
      <c r="N333" s="170">
        <v>15</v>
      </c>
      <c r="O333" s="199">
        <f t="shared" si="208"/>
        <v>14125.375446227561</v>
      </c>
      <c r="P333" s="189" t="str">
        <f t="shared" si="173"/>
        <v>1078.86904761905</v>
      </c>
      <c r="Q333" s="160" t="str">
        <f t="shared" si="174"/>
        <v>1+2773.51098319163i</v>
      </c>
      <c r="R333" s="160">
        <f t="shared" si="182"/>
        <v>2773.5111634685381</v>
      </c>
      <c r="S333" s="160">
        <f t="shared" si="183"/>
        <v>1.5704357729832379</v>
      </c>
      <c r="T333" s="160" t="str">
        <f t="shared" si="175"/>
        <v>1+0.00177504702924265i</v>
      </c>
      <c r="U333" s="160">
        <f t="shared" si="184"/>
        <v>1.0000015753947371</v>
      </c>
      <c r="V333" s="160">
        <f t="shared" si="185"/>
        <v>1.7750451649782074E-3</v>
      </c>
      <c r="W333" s="98" t="str">
        <f t="shared" si="176"/>
        <v>1-1.28378501342945i</v>
      </c>
      <c r="X333" s="160">
        <f t="shared" si="186"/>
        <v>1.6272995915645199</v>
      </c>
      <c r="Y333" s="160">
        <f t="shared" si="187"/>
        <v>-0.90902529030329393</v>
      </c>
      <c r="Z333" s="98" t="str">
        <f t="shared" si="177"/>
        <v>0.920189507401244+0.50706965486909i</v>
      </c>
      <c r="AA333" s="160">
        <f t="shared" si="188"/>
        <v>1.0506514000468481</v>
      </c>
      <c r="AB333" s="160">
        <f t="shared" si="189"/>
        <v>0.50364835099103222</v>
      </c>
      <c r="AC333" s="171" t="str">
        <f t="shared" si="190"/>
        <v>-0.594767738528701-0.0961409235120487i</v>
      </c>
      <c r="AD333" s="190">
        <f t="shared" si="191"/>
        <v>-4.4010325740742653</v>
      </c>
      <c r="AE333" s="169">
        <f t="shared" si="192"/>
        <v>-170.81787666744893</v>
      </c>
      <c r="AF333" s="98" t="str">
        <f t="shared" si="178"/>
        <v>-9.95024875621891E-06</v>
      </c>
      <c r="AG333" s="98" t="str">
        <f t="shared" si="179"/>
        <v>0.0888411038135944i</v>
      </c>
      <c r="AH333" s="98">
        <f t="shared" si="193"/>
        <v>8.8841103813594405E-2</v>
      </c>
      <c r="AI333" s="98">
        <f t="shared" si="194"/>
        <v>1.5707963267948966</v>
      </c>
      <c r="AJ333" s="98" t="str">
        <f t="shared" si="180"/>
        <v>1+0.886636877743579i</v>
      </c>
      <c r="AK333" s="98">
        <f t="shared" si="195"/>
        <v>1.3364598583477478</v>
      </c>
      <c r="AL333" s="98">
        <f t="shared" si="196"/>
        <v>0.72538291298531243</v>
      </c>
      <c r="AM333" s="98" t="str">
        <f t="shared" si="181"/>
        <v>1+887.523514621323i</v>
      </c>
      <c r="AN333" s="98">
        <f t="shared" si="197"/>
        <v>887.52407798649926</v>
      </c>
      <c r="AO333" s="98">
        <f t="shared" si="198"/>
        <v>1.5696695965614413</v>
      </c>
      <c r="AP333" s="168" t="str">
        <f t="shared" si="199"/>
        <v>-0.0555973312682401+0.0494066447145233i</v>
      </c>
      <c r="AQ333" s="98">
        <f t="shared" si="200"/>
        <v>-22.571115649307622</v>
      </c>
      <c r="AR333" s="169">
        <f t="shared" si="201"/>
        <v>138.37406366800937</v>
      </c>
      <c r="AS333" s="168" t="str">
        <f t="shared" si="202"/>
        <v>0.0378174994371282-0.0240402995722141i</v>
      </c>
      <c r="AT333" s="190">
        <f t="shared" si="203"/>
        <v>-26.972148223381886</v>
      </c>
      <c r="AU333" s="169">
        <f t="shared" si="204"/>
        <v>-32.443812999439501</v>
      </c>
      <c r="AV333" s="225"/>
      <c r="AX333">
        <f t="shared" si="205"/>
        <v>0</v>
      </c>
      <c r="AY333">
        <f t="shared" si="206"/>
        <v>0</v>
      </c>
    </row>
    <row r="334" spans="14:51" x14ac:dyDescent="0.3">
      <c r="N334" s="170">
        <v>16</v>
      </c>
      <c r="O334" s="199">
        <f t="shared" si="208"/>
        <v>14454.397707459291</v>
      </c>
      <c r="P334" s="189" t="str">
        <f t="shared" si="173"/>
        <v>1078.86904761905</v>
      </c>
      <c r="Q334" s="160" t="str">
        <f t="shared" si="174"/>
        <v>1+2838.1143531137i</v>
      </c>
      <c r="R334" s="160">
        <f t="shared" si="182"/>
        <v>2838.1145292870042</v>
      </c>
      <c r="S334" s="160">
        <f t="shared" si="183"/>
        <v>1.5704439801892991</v>
      </c>
      <c r="T334" s="160" t="str">
        <f t="shared" si="175"/>
        <v>1+0.00181639318599277i</v>
      </c>
      <c r="U334" s="160">
        <f t="shared" si="184"/>
        <v>1.0000016496407425</v>
      </c>
      <c r="V334" s="160">
        <f t="shared" si="185"/>
        <v>1.8163911883976075E-3</v>
      </c>
      <c r="W334" s="98" t="str">
        <f t="shared" si="176"/>
        <v>1-1.31368820783741i</v>
      </c>
      <c r="X334" s="160">
        <f t="shared" si="186"/>
        <v>1.6509926430517692</v>
      </c>
      <c r="Y334" s="160">
        <f t="shared" si="187"/>
        <v>-0.92015577041998697</v>
      </c>
      <c r="Z334" s="98" t="str">
        <f t="shared" si="177"/>
        <v>0.916428154765838+0.51888082442576i</v>
      </c>
      <c r="AA334" s="160">
        <f t="shared" si="188"/>
        <v>1.0531276621589025</v>
      </c>
      <c r="AB334" s="160">
        <f t="shared" si="189"/>
        <v>0.5151950403416512</v>
      </c>
      <c r="AC334" s="171" t="str">
        <f t="shared" si="190"/>
        <v>-0.590307552377481-0.0817514470520842i</v>
      </c>
      <c r="AD334" s="190">
        <f t="shared" si="191"/>
        <v>-4.4959269884096251</v>
      </c>
      <c r="AE334" s="169">
        <f t="shared" si="192"/>
        <v>-172.11528405485626</v>
      </c>
      <c r="AF334" s="98" t="str">
        <f t="shared" si="178"/>
        <v>-9.95024875621891E-06</v>
      </c>
      <c r="AG334" s="98" t="str">
        <f t="shared" si="179"/>
        <v>0.0909104789589382i</v>
      </c>
      <c r="AH334" s="98">
        <f t="shared" si="193"/>
        <v>9.0910478958938196E-2</v>
      </c>
      <c r="AI334" s="98">
        <f t="shared" si="194"/>
        <v>1.5707963267948966</v>
      </c>
      <c r="AJ334" s="98" t="str">
        <f t="shared" si="180"/>
        <v>1+0.907289303692692i</v>
      </c>
      <c r="AK334" s="98">
        <f t="shared" si="195"/>
        <v>1.3502495623384478</v>
      </c>
      <c r="AL334" s="98">
        <f t="shared" si="196"/>
        <v>0.73682777578108383</v>
      </c>
      <c r="AM334" s="98" t="str">
        <f t="shared" si="181"/>
        <v>1+908.196592996385i</v>
      </c>
      <c r="AN334" s="98">
        <f t="shared" si="197"/>
        <v>908.19714353781217</v>
      </c>
      <c r="AO334" s="98">
        <f t="shared" si="198"/>
        <v>1.5696952440518168</v>
      </c>
      <c r="AP334" s="168" t="str">
        <f t="shared" si="199"/>
        <v>-0.0544675314592576+0.0495272597566893i</v>
      </c>
      <c r="AQ334" s="98">
        <f t="shared" si="200"/>
        <v>-22.660278423076562</v>
      </c>
      <c r="AR334" s="169">
        <f t="shared" si="201"/>
        <v>137.71979082565892</v>
      </c>
      <c r="AS334" s="168" t="str">
        <f t="shared" si="202"/>
        <v>0.0362015203333916-0.0247835159687857i</v>
      </c>
      <c r="AT334" s="190">
        <f t="shared" si="203"/>
        <v>-27.156205411486198</v>
      </c>
      <c r="AU334" s="169">
        <f t="shared" si="204"/>
        <v>-34.395493229197307</v>
      </c>
      <c r="AV334" s="225"/>
      <c r="AX334">
        <f t="shared" si="205"/>
        <v>0</v>
      </c>
      <c r="AY334">
        <f t="shared" si="206"/>
        <v>0</v>
      </c>
    </row>
    <row r="335" spans="14:51" x14ac:dyDescent="0.3">
      <c r="N335" s="170">
        <v>17</v>
      </c>
      <c r="O335" s="199">
        <f t="shared" si="208"/>
        <v>14791.083881682089</v>
      </c>
      <c r="P335" s="189" t="str">
        <f t="shared" si="173"/>
        <v>1078.86904761905</v>
      </c>
      <c r="Q335" s="160" t="str">
        <f t="shared" si="174"/>
        <v>1+2904.22252883268i</v>
      </c>
      <c r="R335" s="160">
        <f t="shared" si="182"/>
        <v>2904.222700995791</v>
      </c>
      <c r="S335" s="160">
        <f t="shared" si="183"/>
        <v>1.5704520005765878</v>
      </c>
      <c r="T335" s="160" t="str">
        <f t="shared" si="175"/>
        <v>1+0.00185870241845291i</v>
      </c>
      <c r="U335" s="160">
        <f t="shared" si="184"/>
        <v>1.0000017273858481</v>
      </c>
      <c r="V335" s="160">
        <f t="shared" si="185"/>
        <v>1.858700277991329E-3</v>
      </c>
      <c r="W335" s="98" t="str">
        <f t="shared" si="176"/>
        <v>1-1.34428793712189i</v>
      </c>
      <c r="X335" s="160">
        <f t="shared" si="186"/>
        <v>1.6754432422172427</v>
      </c>
      <c r="Y335" s="160">
        <f t="shared" si="187"/>
        <v>-0.93121822712939506</v>
      </c>
      <c r="Z335" s="98" t="str">
        <f t="shared" si="177"/>
        <v>0.912489535042018+0.530967111463741i</v>
      </c>
      <c r="AA335" s="160">
        <f t="shared" si="188"/>
        <v>1.0557287648905598</v>
      </c>
      <c r="AB335" s="160">
        <f t="shared" si="189"/>
        <v>0.52699571484724417</v>
      </c>
      <c r="AC335" s="171" t="str">
        <f t="shared" si="190"/>
        <v>-0.585665394709383-0.0675226565823663i</v>
      </c>
      <c r="AD335" s="190">
        <f t="shared" si="191"/>
        <v>-4.5896613328861848</v>
      </c>
      <c r="AE335" s="169">
        <f t="shared" si="192"/>
        <v>-173.42328038200282</v>
      </c>
      <c r="AF335" s="98" t="str">
        <f t="shared" si="178"/>
        <v>-9.95024875621891E-06</v>
      </c>
      <c r="AG335" s="98" t="str">
        <f t="shared" si="179"/>
        <v>0.0930280560435684i</v>
      </c>
      <c r="AH335" s="98">
        <f t="shared" si="193"/>
        <v>9.3028056043568397E-2</v>
      </c>
      <c r="AI335" s="98">
        <f t="shared" si="194"/>
        <v>1.5707963267948966</v>
      </c>
      <c r="AJ335" s="98" t="str">
        <f t="shared" si="180"/>
        <v>1+0.928422786440017i</v>
      </c>
      <c r="AK335" s="98">
        <f t="shared" si="195"/>
        <v>1.3645398016844525</v>
      </c>
      <c r="AL335" s="98">
        <f t="shared" si="196"/>
        <v>0.74829822281891012</v>
      </c>
      <c r="AM335" s="98" t="str">
        <f t="shared" si="181"/>
        <v>1+929.351209226457i</v>
      </c>
      <c r="AN335" s="98">
        <f t="shared" si="197"/>
        <v>929.35174723603848</v>
      </c>
      <c r="AO335" s="98">
        <f t="shared" si="198"/>
        <v>1.5697203077354354</v>
      </c>
      <c r="AP335" s="168" t="str">
        <f t="shared" si="199"/>
        <v>-0.0533326750391333+0.0496222304228792i</v>
      </c>
      <c r="AQ335" s="98">
        <f t="shared" si="200"/>
        <v>-22.751721915235375</v>
      </c>
      <c r="AR335" s="169">
        <f t="shared" si="201"/>
        <v>137.06401866455363</v>
      </c>
      <c r="AS335" s="168" t="str">
        <f t="shared" si="202"/>
        <v>0.0345857270013964-0.0254608592656892i</v>
      </c>
      <c r="AT335" s="190">
        <f t="shared" si="203"/>
        <v>-27.341383248121552</v>
      </c>
      <c r="AU335" s="169">
        <f t="shared" si="204"/>
        <v>-36.359261717449186</v>
      </c>
      <c r="AV335" s="225"/>
      <c r="AX335">
        <f t="shared" si="205"/>
        <v>0</v>
      </c>
      <c r="AY335">
        <f t="shared" si="206"/>
        <v>0</v>
      </c>
    </row>
    <row r="336" spans="14:51" x14ac:dyDescent="0.3">
      <c r="N336" s="170">
        <v>18</v>
      </c>
      <c r="O336" s="199">
        <f t="shared" si="208"/>
        <v>15135.612484362096</v>
      </c>
      <c r="P336" s="189" t="str">
        <f t="shared" si="173"/>
        <v>1078.86904761905</v>
      </c>
      <c r="Q336" s="160" t="str">
        <f t="shared" si="174"/>
        <v>1+2971.87056177837i</v>
      </c>
      <c r="R336" s="160">
        <f t="shared" si="182"/>
        <v>2971.8707300225697</v>
      </c>
      <c r="S336" s="160">
        <f t="shared" si="183"/>
        <v>1.5704598383976158</v>
      </c>
      <c r="T336" s="160" t="str">
        <f t="shared" si="175"/>
        <v>1+0.00190199715953816i</v>
      </c>
      <c r="U336" s="160">
        <f t="shared" si="184"/>
        <v>1.0000018087949616</v>
      </c>
      <c r="V336" s="160">
        <f t="shared" si="185"/>
        <v>1.9019948659924778E-3</v>
      </c>
      <c r="W336" s="98" t="str">
        <f t="shared" si="176"/>
        <v>1-1.37560042566438i</v>
      </c>
      <c r="X336" s="160">
        <f t="shared" si="186"/>
        <v>1.7006694361597796</v>
      </c>
      <c r="Y336" s="160">
        <f t="shared" si="187"/>
        <v>-0.94220769589286046</v>
      </c>
      <c r="Z336" s="98" t="str">
        <f t="shared" si="177"/>
        <v>0.908365293889289+0.5433349242924i</v>
      </c>
      <c r="AA336" s="160">
        <f t="shared" si="188"/>
        <v>1.0584613111013563</v>
      </c>
      <c r="AB336" s="160">
        <f t="shared" si="189"/>
        <v>0.53905503409367816</v>
      </c>
      <c r="AC336" s="171" t="str">
        <f t="shared" si="190"/>
        <v>-0.580835445141719-0.0534546283096764i</v>
      </c>
      <c r="AD336" s="190">
        <f t="shared" si="191"/>
        <v>-4.6823095414466485</v>
      </c>
      <c r="AE336" s="169">
        <f t="shared" si="192"/>
        <v>-174.74184713475879</v>
      </c>
      <c r="AF336" s="98" t="str">
        <f t="shared" si="178"/>
        <v>-9.95024875621891E-06</v>
      </c>
      <c r="AG336" s="98" t="str">
        <f t="shared" si="179"/>
        <v>0.0951949578348848i</v>
      </c>
      <c r="AH336" s="98">
        <f t="shared" si="193"/>
        <v>9.5194957834884797E-2</v>
      </c>
      <c r="AI336" s="98">
        <f t="shared" si="194"/>
        <v>1.5707963267948966</v>
      </c>
      <c r="AJ336" s="98" t="str">
        <f t="shared" si="180"/>
        <v>1+0.95004853123784i</v>
      </c>
      <c r="AK336" s="98">
        <f t="shared" si="195"/>
        <v>1.3793448487260818</v>
      </c>
      <c r="AL336" s="98">
        <f t="shared" si="196"/>
        <v>0.75978826344962891</v>
      </c>
      <c r="AM336" s="98" t="str">
        <f t="shared" si="181"/>
        <v>1+950.998579769078i</v>
      </c>
      <c r="AN336" s="98">
        <f t="shared" si="197"/>
        <v>950.99910553207314</v>
      </c>
      <c r="AO336" s="98">
        <f t="shared" si="198"/>
        <v>1.5697448009012682</v>
      </c>
      <c r="AP336" s="168" t="str">
        <f t="shared" si="199"/>
        <v>-0.0521939383993956+0.0496912994716236i</v>
      </c>
      <c r="AQ336" s="98">
        <f t="shared" si="200"/>
        <v>-22.845455128919397</v>
      </c>
      <c r="AR336" s="169">
        <f t="shared" si="201"/>
        <v>136.40709118500874</v>
      </c>
      <c r="AS336" s="168" t="str">
        <f t="shared" si="202"/>
        <v>0.0329723193873929-0.0260724604711131i</v>
      </c>
      <c r="AT336" s="190">
        <f t="shared" si="203"/>
        <v>-27.527764670366039</v>
      </c>
      <c r="AU336" s="169">
        <f t="shared" si="204"/>
        <v>-38.33475594974999</v>
      </c>
      <c r="AV336" s="225"/>
      <c r="AX336">
        <f t="shared" si="205"/>
        <v>0</v>
      </c>
      <c r="AY336">
        <f t="shared" si="206"/>
        <v>0</v>
      </c>
    </row>
    <row r="337" spans="14:51" x14ac:dyDescent="0.3">
      <c r="N337" s="170">
        <v>19</v>
      </c>
      <c r="O337" s="199">
        <f t="shared" si="208"/>
        <v>15488.166189124853</v>
      </c>
      <c r="P337" s="189" t="str">
        <f t="shared" si="173"/>
        <v>1078.86904761905</v>
      </c>
      <c r="Q337" s="160" t="str">
        <f t="shared" si="174"/>
        <v>1+3041.09431983328i</v>
      </c>
      <c r="R337" s="160">
        <f t="shared" si="182"/>
        <v>3041.0944842477752</v>
      </c>
      <c r="S337" s="160">
        <f t="shared" si="183"/>
        <v>1.5704674978080957</v>
      </c>
      <c r="T337" s="160" t="str">
        <f t="shared" si="175"/>
        <v>1+0.0019463003646933i</v>
      </c>
      <c r="U337" s="160">
        <f t="shared" si="184"/>
        <v>1.0000018940407611</v>
      </c>
      <c r="V337" s="160">
        <f t="shared" si="185"/>
        <v>1.9462979071150756E-3</v>
      </c>
      <c r="W337" s="98" t="str">
        <f t="shared" si="176"/>
        <v>1-1.40764227576078i</v>
      </c>
      <c r="X337" s="160">
        <f t="shared" si="186"/>
        <v>1.7266895425955957</v>
      </c>
      <c r="Y337" s="160">
        <f t="shared" si="187"/>
        <v>-0.95311938633865845</v>
      </c>
      <c r="Z337" s="98" t="str">
        <f t="shared" si="177"/>
        <v>0.90404668323922+0.555990820489808i</v>
      </c>
      <c r="AA337" s="160">
        <f t="shared" si="188"/>
        <v>1.0613322749943885</v>
      </c>
      <c r="AB337" s="160">
        <f t="shared" si="189"/>
        <v>0.55137765836227515</v>
      </c>
      <c r="AC337" s="171" t="str">
        <f t="shared" si="190"/>
        <v>-0.575811858708794-0.0395479681169711i</v>
      </c>
      <c r="AD337" s="190">
        <f t="shared" si="191"/>
        <v>-4.7739493984432082</v>
      </c>
      <c r="AE337" s="169">
        <f t="shared" si="192"/>
        <v>-176.07097578239055</v>
      </c>
      <c r="AF337" s="98" t="str">
        <f t="shared" si="178"/>
        <v>-9.95024875621891E-06</v>
      </c>
      <c r="AG337" s="98" t="str">
        <f t="shared" si="179"/>
        <v>0.0974123332528996i</v>
      </c>
      <c r="AH337" s="98">
        <f t="shared" si="193"/>
        <v>9.7412333252899594E-2</v>
      </c>
      <c r="AI337" s="98">
        <f t="shared" si="194"/>
        <v>1.5707963267948966</v>
      </c>
      <c r="AJ337" s="98" t="str">
        <f t="shared" si="180"/>
        <v>1+0.972178004342307i</v>
      </c>
      <c r="AK337" s="98">
        <f t="shared" si="195"/>
        <v>1.3946792004353512</v>
      </c>
      <c r="AL337" s="98">
        <f t="shared" si="196"/>
        <v>0.7712918554687298</v>
      </c>
      <c r="AM337" s="98" t="str">
        <f t="shared" si="181"/>
        <v>1+973.150182346649i</v>
      </c>
      <c r="AN337" s="98">
        <f t="shared" si="197"/>
        <v>973.1506961418238</v>
      </c>
      <c r="AO337" s="98">
        <f t="shared" si="198"/>
        <v>1.569768736535798</v>
      </c>
      <c r="AP337" s="168" t="str">
        <f t="shared" si="199"/>
        <v>-0.0510525142354239+0.0497342770833386i</v>
      </c>
      <c r="AQ337" s="98">
        <f t="shared" si="200"/>
        <v>-22.941484680722702</v>
      </c>
      <c r="AR337" s="169">
        <f t="shared" si="201"/>
        <v>135.7493553239124</v>
      </c>
      <c r="AS337" s="168" t="str">
        <f t="shared" si="202"/>
        <v>0.0313635327180691-0.0266185633236216i</v>
      </c>
      <c r="AT337" s="190">
        <f t="shared" si="203"/>
        <v>-27.71543407916591</v>
      </c>
      <c r="AU337" s="169">
        <f t="shared" si="204"/>
        <v>-40.321620458478122</v>
      </c>
      <c r="AV337" s="225"/>
      <c r="AX337">
        <f t="shared" si="205"/>
        <v>0</v>
      </c>
      <c r="AY337">
        <f t="shared" si="206"/>
        <v>0</v>
      </c>
    </row>
    <row r="338" spans="14:51" x14ac:dyDescent="0.3">
      <c r="N338" s="170">
        <v>20</v>
      </c>
      <c r="O338" s="199">
        <f t="shared" si="208"/>
        <v>15848.931924611146</v>
      </c>
      <c r="P338" s="189" t="str">
        <f t="shared" si="173"/>
        <v>1078.86904761905</v>
      </c>
      <c r="Q338" s="160" t="str">
        <f t="shared" si="174"/>
        <v>1+3111.93050635019i</v>
      </c>
      <c r="R338" s="160">
        <f t="shared" si="182"/>
        <v>3111.9306670221545</v>
      </c>
      <c r="S338" s="160">
        <f t="shared" si="183"/>
        <v>1.5704749828691442</v>
      </c>
      <c r="T338" s="160" t="str">
        <f t="shared" si="175"/>
        <v>1+0.00199163552406412i</v>
      </c>
      <c r="U338" s="160">
        <f t="shared" si="184"/>
        <v>1.0000019833040636</v>
      </c>
      <c r="V338" s="160">
        <f t="shared" si="185"/>
        <v>1.9916328907218905E-3</v>
      </c>
      <c r="W338" s="98" t="str">
        <f t="shared" si="176"/>
        <v>1-1.44043047642414i</v>
      </c>
      <c r="X338" s="160">
        <f t="shared" si="186"/>
        <v>1.7535221576619653</v>
      </c>
      <c r="Y338" s="160">
        <f t="shared" si="187"/>
        <v>-0.96394869060507749</v>
      </c>
      <c r="Z338" s="98" t="str">
        <f t="shared" si="177"/>
        <v>0.899524542739617+0.568941510379646i</v>
      </c>
      <c r="AA338" s="160">
        <f t="shared" si="188"/>
        <v>1.064349024157015</v>
      </c>
      <c r="AB338" s="160">
        <f t="shared" si="189"/>
        <v>0.56396823948851693</v>
      </c>
      <c r="AC338" s="171" t="str">
        <f t="shared" si="190"/>
        <v>-0.570588786289024-0.0258038307706281i</v>
      </c>
      <c r="AD338" s="190">
        <f t="shared" si="191"/>
        <v>-4.8646625176985818</v>
      </c>
      <c r="AE338" s="169">
        <f t="shared" si="192"/>
        <v>-177.4106677312526</v>
      </c>
      <c r="AF338" s="98" t="str">
        <f t="shared" si="178"/>
        <v>-9.95024875621891E-06</v>
      </c>
      <c r="AG338" s="98" t="str">
        <f t="shared" si="179"/>
        <v>0.0996813579794095i</v>
      </c>
      <c r="AH338" s="98">
        <f t="shared" si="193"/>
        <v>9.9681357979409496E-2</v>
      </c>
      <c r="AI338" s="98">
        <f t="shared" si="194"/>
        <v>1.5707963267948966</v>
      </c>
      <c r="AJ338" s="98" t="str">
        <f t="shared" si="180"/>
        <v>1+0.994822939092969i</v>
      </c>
      <c r="AK338" s="98">
        <f t="shared" si="195"/>
        <v>1.4105575777491586</v>
      </c>
      <c r="AL338" s="98">
        <f t="shared" si="196"/>
        <v>0.78280292089116932</v>
      </c>
      <c r="AM338" s="98" t="str">
        <f t="shared" si="181"/>
        <v>1+995.817762032062i</v>
      </c>
      <c r="AN338" s="98">
        <f t="shared" si="197"/>
        <v>995.81826413183683</v>
      </c>
      <c r="AO338" s="98">
        <f t="shared" si="198"/>
        <v>1.5697921273299056</v>
      </c>
      <c r="AP338" s="168" t="str">
        <f t="shared" si="199"/>
        <v>-0.049909606584008+0.0497510420686811i</v>
      </c>
      <c r="AQ338" s="98">
        <f t="shared" si="200"/>
        <v>-23.039814772839371</v>
      </c>
      <c r="AR338" s="169">
        <f t="shared" si="201"/>
        <v>135.09116005128951</v>
      </c>
      <c r="AS338" s="168" t="str">
        <f t="shared" si="202"/>
        <v>0.0297616293151344-0.0270995276684606i</v>
      </c>
      <c r="AT338" s="190">
        <f t="shared" si="203"/>
        <v>-27.904477290537951</v>
      </c>
      <c r="AU338" s="169">
        <f t="shared" si="204"/>
        <v>-42.319507679963195</v>
      </c>
      <c r="AV338" s="225"/>
      <c r="AX338">
        <f t="shared" si="205"/>
        <v>0</v>
      </c>
      <c r="AY338">
        <f t="shared" si="206"/>
        <v>0</v>
      </c>
    </row>
    <row r="339" spans="14:51" x14ac:dyDescent="0.3">
      <c r="N339" s="170">
        <v>21</v>
      </c>
      <c r="O339" s="199">
        <f t="shared" si="208"/>
        <v>16218.100973589309</v>
      </c>
      <c r="P339" s="189" t="str">
        <f t="shared" ref="P339:P402" si="209">COMPLEX(Adc,0)</f>
        <v>1078.86904761905</v>
      </c>
      <c r="Q339" s="160" t="str">
        <f t="shared" ref="Q339:Q402" si="210">IMSUM(COMPLEX(1,0),IMDIV(COMPLEX(0,2*PI()*O339),COMPLEX(wp_lf,0)))</f>
        <v>1+3184.41667961284i</v>
      </c>
      <c r="R339" s="160">
        <f t="shared" si="182"/>
        <v>3184.4168366274648</v>
      </c>
      <c r="S339" s="160">
        <f t="shared" si="183"/>
        <v>1.5704822975494368</v>
      </c>
      <c r="T339" s="160" t="str">
        <f t="shared" ref="T339:T402" si="211">IMSUM(COMPLEX(1,0),IMDIV(COMPLEX(0,2*PI()*O339),COMPLEX(wz_esr,0)))</f>
        <v>1+0.00203802667495222i</v>
      </c>
      <c r="U339" s="160">
        <f t="shared" si="184"/>
        <v>1.0000020767742075</v>
      </c>
      <c r="V339" s="160">
        <f t="shared" si="185"/>
        <v>2.0380238532755005E-3</v>
      </c>
      <c r="W339" s="98" t="str">
        <f t="shared" ref="W339:W402" si="212">IMSUB(COMPLEX(1,0),IMDIV(COMPLEX(0,2*PI()*O339),COMPLEX(wz_rhp,0)))</f>
        <v>1-1.47398241239244i</v>
      </c>
      <c r="X339" s="160">
        <f t="shared" si="186"/>
        <v>1.7811861643416831</v>
      </c>
      <c r="Y339" s="160">
        <f t="shared" si="187"/>
        <v>-0.97469119070269949</v>
      </c>
      <c r="Z339" s="98" t="str">
        <f t="shared" ref="Z339:Z402" si="213">IF(Dc_Mode_Loop="CCM",IMSUM(COMPLEX(1,0),IMDIV(COMPLEX(0,2*PI()*O339),COMPLEX(Q*(wsl/2),0)),IMDIV(IMPOWER(COMPLEX(0,2*PI()*O339),2),IMPOWER(COMPLEX(wsl/2,0),2))),COMPLEX(1,0))</f>
        <v>0.894789280324185+0.582193860589118i</v>
      </c>
      <c r="AA339" s="160">
        <f t="shared" si="188"/>
        <v>1.06751934291175</v>
      </c>
      <c r="AB339" s="160">
        <f t="shared" si="189"/>
        <v>0.5768314107915381</v>
      </c>
      <c r="AC339" s="171" t="str">
        <f t="shared" si="190"/>
        <v>-0.565160397547185-0.0122239391842498i</v>
      </c>
      <c r="AD339" s="190">
        <f t="shared" si="191"/>
        <v>-4.9545343190280891</v>
      </c>
      <c r="AE339" s="169">
        <f t="shared" si="192"/>
        <v>-178.76093416902958</v>
      </c>
      <c r="AF339" s="98" t="str">
        <f t="shared" ref="AF339:AF402" si="214">COMPLEX(Adc_ea,0)</f>
        <v>-9.95024875621891E-06</v>
      </c>
      <c r="AG339" s="98" t="str">
        <f t="shared" ref="AG339:AG402" si="215">COMPLEX(0,2*PI()*O339*wp0_ea)</f>
        <v>0.102003235081359i</v>
      </c>
      <c r="AH339" s="98">
        <f t="shared" si="193"/>
        <v>0.102003235081359</v>
      </c>
      <c r="AI339" s="98">
        <f t="shared" si="194"/>
        <v>1.5707963267948966</v>
      </c>
      <c r="AJ339" s="98" t="str">
        <f t="shared" ref="AJ339:AJ402" si="216">IMSUM(COMPLEX(1,0),IMDIV(COMPLEX(0,2*PI()*O339),COMPLEX(wp1_ea,0)))</f>
        <v>1+1.01799534213398i</v>
      </c>
      <c r="AK339" s="98">
        <f t="shared" si="195"/>
        <v>1.4269949252209972</v>
      </c>
      <c r="AL339" s="98">
        <f t="shared" si="196"/>
        <v>0.79431536195614294</v>
      </c>
      <c r="AM339" s="98" t="str">
        <f t="shared" ref="AM339:AM402" si="217">IMSUM(COMPLEX(1,0),IMDIV(COMPLEX(0,2*PI()*O339),COMPLEX(wz_ea,0)))</f>
        <v>1+1019.01333747611i</v>
      </c>
      <c r="AN339" s="98">
        <f t="shared" si="197"/>
        <v>1019.013828146704</v>
      </c>
      <c r="AO339" s="98">
        <f t="shared" si="198"/>
        <v>1.569814985685597</v>
      </c>
      <c r="AP339" s="168" t="str">
        <f t="shared" si="199"/>
        <v>-0.0487664257594665+0.0497415426401627i</v>
      </c>
      <c r="AQ339" s="98">
        <f t="shared" si="200"/>
        <v>-23.140447175308708</v>
      </c>
      <c r="AR339" s="169">
        <f t="shared" si="201"/>
        <v>134.43285545368104</v>
      </c>
      <c r="AS339" s="168" t="str">
        <f t="shared" si="202"/>
        <v>0.0281688901613395-0.0275158321904077i</v>
      </c>
      <c r="AT339" s="190">
        <f t="shared" si="203"/>
        <v>-28.094981494336789</v>
      </c>
      <c r="AU339" s="169">
        <f t="shared" si="204"/>
        <v>-44.328078715348582</v>
      </c>
      <c r="AV339" s="225"/>
      <c r="AX339">
        <f t="shared" si="205"/>
        <v>0</v>
      </c>
      <c r="AY339">
        <f t="shared" si="206"/>
        <v>0</v>
      </c>
    </row>
    <row r="340" spans="14:51" x14ac:dyDescent="0.3">
      <c r="N340" s="170">
        <v>22</v>
      </c>
      <c r="O340" s="199">
        <f t="shared" si="208"/>
        <v>16595.869074375616</v>
      </c>
      <c r="P340" s="189" t="str">
        <f t="shared" si="209"/>
        <v>1078.86904761905</v>
      </c>
      <c r="Q340" s="160" t="str">
        <f t="shared" si="210"/>
        <v>1+3258.59127274978i</v>
      </c>
      <c r="R340" s="160">
        <f t="shared" ref="R340:R403" si="218">IMABS(Q340)</f>
        <v>3258.5914261903145</v>
      </c>
      <c r="S340" s="160">
        <f t="shared" ref="S340:S403" si="219">IMARGUMENT(Q340)</f>
        <v>1.5704894457273106</v>
      </c>
      <c r="T340" s="160" t="str">
        <f t="shared" si="211"/>
        <v>1+0.00208549841455986i</v>
      </c>
      <c r="U340" s="160">
        <f t="shared" ref="U340:U403" si="220">IMABS(T340)</f>
        <v>1.0000021746494541</v>
      </c>
      <c r="V340" s="160">
        <f t="shared" ref="V340:V403" si="221">IMARGUMENT(T340)</f>
        <v>2.0854953910791367E-3</v>
      </c>
      <c r="W340" s="98" t="str">
        <f t="shared" si="212"/>
        <v>1-1.50831587334627i</v>
      </c>
      <c r="X340" s="160">
        <f t="shared" ref="X340:X403" si="222">IMABS(W340)</f>
        <v>1.8097007415007382</v>
      </c>
      <c r="Y340" s="160">
        <f t="shared" ref="Y340:Y403" si="223">IMARGUMENT(W340)</f>
        <v>-0.98534266488512146</v>
      </c>
      <c r="Z340" s="98" t="str">
        <f t="shared" si="213"/>
        <v>0.889830851866473+0.595754897689725i</v>
      </c>
      <c r="AA340" s="160">
        <f t="shared" ref="AA340:AA403" si="224">IMABS(Z340)</f>
        <v>1.070851457044677</v>
      </c>
      <c r="AB340" s="160">
        <f t="shared" ref="AB340:AB403" si="225">IMARGUMENT(Z340)</f>
        <v>0.58997177601053685</v>
      </c>
      <c r="AC340" s="171" t="str">
        <f t="shared" ref="AC340:AC403" si="226">(IMDIV(IMPRODUCT(P340,T340,W340),IMPRODUCT(Q340,Z340)))</f>
        <v>-0.559520906567215+0.00118939644416356i</v>
      </c>
      <c r="AD340" s="190">
        <f t="shared" ref="AD340:AD403" si="227">20*LOG(IMABS(AC340))</f>
        <v>-5.043654002576333</v>
      </c>
      <c r="AE340" s="169">
        <f t="shared" ref="AE340:AE403" si="228">(180/PI())*IMARGUMENT(AC340)</f>
        <v>179.87820420475572</v>
      </c>
      <c r="AF340" s="98" t="str">
        <f t="shared" si="214"/>
        <v>-9.95024875621891E-06</v>
      </c>
      <c r="AG340" s="98" t="str">
        <f t="shared" si="215"/>
        <v>0.104379195648721i</v>
      </c>
      <c r="AH340" s="98">
        <f t="shared" ref="AH340:AH403" si="229">IMABS(AG340)</f>
        <v>0.104379195648721</v>
      </c>
      <c r="AI340" s="98">
        <f t="shared" ref="AI340:AI403" si="230">IMARGUMENT(AG340)</f>
        <v>1.5707963267948966</v>
      </c>
      <c r="AJ340" s="98" t="str">
        <f t="shared" si="216"/>
        <v>1+1.04170749978015i</v>
      </c>
      <c r="AK340" s="98">
        <f t="shared" ref="AK340:AK403" si="231">IMABS(AJ340)</f>
        <v>1.4440064110308553</v>
      </c>
      <c r="AL340" s="98">
        <f t="shared" ref="AL340:AL403" si="232">IMARGUMENT(AJ340)</f>
        <v>0.80582307725932212</v>
      </c>
      <c r="AM340" s="98" t="str">
        <f t="shared" si="217"/>
        <v>1+1042.74920727993i</v>
      </c>
      <c r="AN340" s="98">
        <f t="shared" ref="AN340:AN403" si="233">IMABS(AM340)</f>
        <v>1042.749686781503</v>
      </c>
      <c r="AO340" s="98">
        <f t="shared" ref="AO340:AO403" si="234">IMARGUMENT(AM340)</f>
        <v>1.5698373237225796</v>
      </c>
      <c r="AP340" s="168" t="str">
        <f t="shared" ref="AP340:AP403" si="235">IMPRODUCT(AF340,IMDIV(AM340,IMPRODUCT(AG340,AJ340)))</f>
        <v>-0.0476241832334125+0.0497057967377856i</v>
      </c>
      <c r="AQ340" s="98">
        <f t="shared" ref="AQ340:AQ403" si="236">20*LOG(IMABS(AP340))</f>
        <v>-23.24338121852341</v>
      </c>
      <c r="AR340" s="169">
        <f t="shared" ref="AR340:AR403" si="237">(180/PI())*IMARGUMENT(AP340)</f>
        <v>133.77479181021261</v>
      </c>
      <c r="AS340" s="168" t="str">
        <f t="shared" ref="AS340:AS403" si="238">IMPRODUCT(AC340,AP340)</f>
        <v>0.0265876062793879-0.0278680764865655i</v>
      </c>
      <c r="AT340" s="190">
        <f t="shared" ref="AT340:AT403" si="239">20*LOG(IMABS(AS340))</f>
        <v>-28.28703522109975</v>
      </c>
      <c r="AU340" s="169">
        <f t="shared" ref="AU340:AU403" si="240">(180/PI())*IMARGUMENT(AS340)</f>
        <v>-46.34700398503162</v>
      </c>
      <c r="AV340" s="225"/>
      <c r="AX340">
        <f t="shared" ref="AX340:AX403" si="241">SUM((AT341&lt;0)*(AT340&gt;0))*O340</f>
        <v>0</v>
      </c>
      <c r="AY340">
        <f t="shared" ref="AY340:AY403" si="242">IF(AX340&gt;0,AU340,0)</f>
        <v>0</v>
      </c>
    </row>
    <row r="341" spans="14:51" x14ac:dyDescent="0.3">
      <c r="N341" s="170">
        <v>23</v>
      </c>
      <c r="O341" s="199">
        <f t="shared" si="208"/>
        <v>16982.436524617482</v>
      </c>
      <c r="P341" s="189" t="str">
        <f t="shared" si="209"/>
        <v>1078.86904761905</v>
      </c>
      <c r="Q341" s="160" t="str">
        <f t="shared" si="210"/>
        <v>1+3334.49361411209i</v>
      </c>
      <c r="R341" s="160">
        <f t="shared" si="218"/>
        <v>3334.4937640598919</v>
      </c>
      <c r="S341" s="160">
        <f t="shared" si="219"/>
        <v>1.5704964311928211</v>
      </c>
      <c r="T341" s="160" t="str">
        <f t="shared" si="211"/>
        <v>1+0.00213407591303174i</v>
      </c>
      <c r="U341" s="160">
        <f t="shared" si="220"/>
        <v>1.0000022771374086</v>
      </c>
      <c r="V341" s="160">
        <f t="shared" si="221"/>
        <v>2.1340726733141747E-3</v>
      </c>
      <c r="W341" s="98" t="str">
        <f t="shared" si="212"/>
        <v>1-1.54344906334108i</v>
      </c>
      <c r="X341" s="160">
        <f t="shared" si="222"/>
        <v>1.8390853735290424</v>
      </c>
      <c r="Y341" s="160">
        <f t="shared" si="223"/>
        <v>-0.99589909302606749</v>
      </c>
      <c r="Z341" s="98" t="str">
        <f t="shared" si="213"/>
        <v>0.884638739874934+0.609631811922837i</v>
      </c>
      <c r="AA341" s="160">
        <f t="shared" si="224"/>
        <v>1.0743540599801504</v>
      </c>
      <c r="AB341" s="160">
        <f t="shared" si="225"/>
        <v>0.60339389718297853</v>
      </c>
      <c r="AC341" s="171" t="str">
        <f t="shared" si="226"/>
        <v>-0.553664600349618+0.0144332598343464i</v>
      </c>
      <c r="AD341" s="190">
        <f t="shared" si="227"/>
        <v>-5.1321145212438548</v>
      </c>
      <c r="AE341" s="169">
        <f t="shared" si="228"/>
        <v>178.50671756581275</v>
      </c>
      <c r="AF341" s="98" t="str">
        <f t="shared" si="214"/>
        <v>-9.95024875621891E-06</v>
      </c>
      <c r="AG341" s="98" t="str">
        <f t="shared" si="215"/>
        <v>0.106810499447238i</v>
      </c>
      <c r="AH341" s="98">
        <f t="shared" si="229"/>
        <v>0.106810499447238</v>
      </c>
      <c r="AI341" s="98">
        <f t="shared" si="230"/>
        <v>1.5707963267948966</v>
      </c>
      <c r="AJ341" s="98" t="str">
        <f t="shared" si="216"/>
        <v>1+1.06597198453134i</v>
      </c>
      <c r="AK341" s="98">
        <f t="shared" si="231"/>
        <v>1.4616074273913919</v>
      </c>
      <c r="AL341" s="98">
        <f t="shared" si="232"/>
        <v>0.81731997790863964</v>
      </c>
      <c r="AM341" s="98" t="str">
        <f t="shared" si="217"/>
        <v>1+1067.03795651587i</v>
      </c>
      <c r="AN341" s="98">
        <f t="shared" si="233"/>
        <v>1067.0384251026594</v>
      </c>
      <c r="AO341" s="98">
        <f t="shared" si="234"/>
        <v>1.5698591532846866</v>
      </c>
      <c r="AP341" s="168" t="str">
        <f t="shared" si="235"/>
        <v>-0.0464840865041061+0.0496438919047876i</v>
      </c>
      <c r="AQ341" s="98">
        <f t="shared" si="236"/>
        <v>-23.348613796068832</v>
      </c>
      <c r="AR341" s="169">
        <f t="shared" si="237"/>
        <v>133.1173186673027</v>
      </c>
      <c r="AS341" s="168" t="str">
        <f t="shared" si="238"/>
        <v>0.025020069985863-0.0281569824699399i</v>
      </c>
      <c r="AT341" s="190">
        <f t="shared" si="239"/>
        <v>-28.480728317312675</v>
      </c>
      <c r="AU341" s="169">
        <f t="shared" si="240"/>
        <v>-48.375963766884531</v>
      </c>
      <c r="AV341" s="225"/>
      <c r="AX341">
        <f t="shared" si="241"/>
        <v>0</v>
      </c>
      <c r="AY341">
        <f t="shared" si="242"/>
        <v>0</v>
      </c>
    </row>
    <row r="342" spans="14:51" x14ac:dyDescent="0.3">
      <c r="N342" s="170">
        <v>24</v>
      </c>
      <c r="O342" s="199">
        <f t="shared" si="208"/>
        <v>17378.008287493791</v>
      </c>
      <c r="P342" s="189" t="str">
        <f t="shared" si="209"/>
        <v>1078.86904761905</v>
      </c>
      <c r="Q342" s="160" t="str">
        <f t="shared" si="210"/>
        <v>1+3412.16394812581i</v>
      </c>
      <c r="R342" s="160">
        <f t="shared" si="218"/>
        <v>3412.1640946603839</v>
      </c>
      <c r="S342" s="160">
        <f t="shared" si="219"/>
        <v>1.5705032576497522</v>
      </c>
      <c r="T342" s="160" t="str">
        <f t="shared" si="211"/>
        <v>1+0.00218378492680052i</v>
      </c>
      <c r="U342" s="160">
        <f t="shared" si="220"/>
        <v>1.0000023844554604</v>
      </c>
      <c r="V342" s="160">
        <f t="shared" si="221"/>
        <v>2.183781455381052E-3</v>
      </c>
      <c r="W342" s="98" t="str">
        <f t="shared" si="212"/>
        <v>1-1.57940061045921i</v>
      </c>
      <c r="X342" s="160">
        <f t="shared" si="222"/>
        <v>1.8693598605723099</v>
      </c>
      <c r="Y342" s="160">
        <f t="shared" si="223"/>
        <v>-1.0063566610093684</v>
      </c>
      <c r="Z342" s="98" t="str">
        <f t="shared" si="213"/>
        <v>0.879201931183919+0.623831961012054i</v>
      </c>
      <c r="AA342" s="160">
        <f t="shared" si="224"/>
        <v>1.0780363404717288</v>
      </c>
      <c r="AB342" s="160">
        <f t="shared" si="225"/>
        <v>0.61710228139875134</v>
      </c>
      <c r="AC342" s="171" t="str">
        <f t="shared" si="226"/>
        <v>-0.547585870343667+0.0275041104098053i</v>
      </c>
      <c r="AD342" s="190">
        <f t="shared" si="227"/>
        <v>-5.2200125513786801</v>
      </c>
      <c r="AE342" s="169">
        <f t="shared" si="228"/>
        <v>177.12456747313715</v>
      </c>
      <c r="AF342" s="98" t="str">
        <f t="shared" si="214"/>
        <v>-9.95024875621891E-06</v>
      </c>
      <c r="AG342" s="98" t="str">
        <f t="shared" si="215"/>
        <v>0.109298435586366i</v>
      </c>
      <c r="AH342" s="98">
        <f t="shared" si="229"/>
        <v>0.109298435586366</v>
      </c>
      <c r="AI342" s="98">
        <f t="shared" si="230"/>
        <v>1.5707963267948966</v>
      </c>
      <c r="AJ342" s="98" t="str">
        <f t="shared" si="216"/>
        <v>1+1.09080166173852i</v>
      </c>
      <c r="AK342" s="98">
        <f t="shared" si="231"/>
        <v>1.4798135913862653</v>
      </c>
      <c r="AL342" s="98">
        <f t="shared" si="232"/>
        <v>0.82880000359930683</v>
      </c>
      <c r="AM342" s="98" t="str">
        <f t="shared" si="217"/>
        <v>1+1091.89246340026i</v>
      </c>
      <c r="AN342" s="98">
        <f t="shared" si="233"/>
        <v>1091.8929213207164</v>
      </c>
      <c r="AO342" s="98">
        <f t="shared" si="234"/>
        <v>1.5698804859461579</v>
      </c>
      <c r="AP342" s="168" t="str">
        <f t="shared" si="235"/>
        <v>-0.045347334001522+0.0495559847149803i</v>
      </c>
      <c r="AQ342" s="98">
        <f t="shared" si="236"/>
        <v>-23.456139377866293</v>
      </c>
      <c r="AR342" s="169">
        <f t="shared" si="237"/>
        <v>132.46078391799381</v>
      </c>
      <c r="AS342" s="168" t="str">
        <f t="shared" si="238"/>
        <v>0.0234685660819209-0.0283833951020581i</v>
      </c>
      <c r="AT342" s="190">
        <f t="shared" si="239"/>
        <v>-28.676151929244988</v>
      </c>
      <c r="AU342" s="169">
        <f t="shared" si="240"/>
        <v>-50.414648608869086</v>
      </c>
      <c r="AV342" s="225"/>
      <c r="AX342">
        <f t="shared" si="241"/>
        <v>0</v>
      </c>
      <c r="AY342">
        <f t="shared" si="242"/>
        <v>0</v>
      </c>
    </row>
    <row r="343" spans="14:51" x14ac:dyDescent="0.3">
      <c r="N343" s="170">
        <v>25</v>
      </c>
      <c r="O343" s="199">
        <f t="shared" si="208"/>
        <v>17782.794100389234</v>
      </c>
      <c r="P343" s="189" t="str">
        <f t="shared" si="209"/>
        <v>1078.86904761905</v>
      </c>
      <c r="Q343" s="160" t="str">
        <f t="shared" si="210"/>
        <v>1+3491.64345663016i</v>
      </c>
      <c r="R343" s="160">
        <f t="shared" si="218"/>
        <v>3491.6435998291995</v>
      </c>
      <c r="S343" s="160">
        <f t="shared" si="219"/>
        <v>1.5705099287175786</v>
      </c>
      <c r="T343" s="160" t="str">
        <f t="shared" si="211"/>
        <v>1+0.0022346518122433i</v>
      </c>
      <c r="U343" s="160">
        <f t="shared" si="220"/>
        <v>1.0000024968312438</v>
      </c>
      <c r="V343" s="160">
        <f t="shared" si="221"/>
        <v>2.2346480925508252E-3</v>
      </c>
      <c r="W343" s="98" t="str">
        <f t="shared" si="212"/>
        <v>1-1.61618957668685i</v>
      </c>
      <c r="X343" s="160">
        <f t="shared" si="222"/>
        <v>1.9005443293412598</v>
      </c>
      <c r="Y343" s="160">
        <f t="shared" si="223"/>
        <v>-1.0167117641461108</v>
      </c>
      <c r="Z343" s="98" t="str">
        <f t="shared" si="213"/>
        <v>0.873508893593265+0.638362874064392i</v>
      </c>
      <c r="AA343" s="160">
        <f t="shared" si="224"/>
        <v>1.0819080118800677</v>
      </c>
      <c r="AB343" s="160">
        <f t="shared" si="225"/>
        <v>0.63110136636444625</v>
      </c>
      <c r="AC343" s="171" t="str">
        <f t="shared" si="226"/>
        <v>-0.541279247176774+0.0403977659469026i</v>
      </c>
      <c r="AD343" s="190">
        <f t="shared" si="227"/>
        <v>-5.3074484617996962</v>
      </c>
      <c r="AE343" s="169">
        <f t="shared" si="228"/>
        <v>175.73170750099641</v>
      </c>
      <c r="AF343" s="98" t="str">
        <f t="shared" si="214"/>
        <v>-9.95024875621891E-06</v>
      </c>
      <c r="AG343" s="98" t="str">
        <f t="shared" si="215"/>
        <v>0.111844323202778i</v>
      </c>
      <c r="AH343" s="98">
        <f t="shared" si="229"/>
        <v>0.111844323202778</v>
      </c>
      <c r="AI343" s="98">
        <f t="shared" si="230"/>
        <v>1.5707963267948966</v>
      </c>
      <c r="AJ343" s="98" t="str">
        <f t="shared" si="216"/>
        <v>1+1.11620969642522i</v>
      </c>
      <c r="AK343" s="98">
        <f t="shared" si="231"/>
        <v>1.4986407462743303</v>
      </c>
      <c r="AL343" s="98">
        <f t="shared" si="232"/>
        <v>0.84025713850486938</v>
      </c>
      <c r="AM343" s="98" t="str">
        <f t="shared" si="217"/>
        <v>1+1117.32590612165i</v>
      </c>
      <c r="AN343" s="98">
        <f t="shared" si="233"/>
        <v>1117.3263536185684</v>
      </c>
      <c r="AO343" s="98">
        <f t="shared" si="234"/>
        <v>1.5699013330177753</v>
      </c>
      <c r="AP343" s="168" t="str">
        <f t="shared" si="235"/>
        <v>-0.0442151100736745+0.0494422997585323i</v>
      </c>
      <c r="AQ343" s="98">
        <f t="shared" si="236"/>
        <v>-23.565950033504031</v>
      </c>
      <c r="AR343" s="169">
        <f t="shared" si="237"/>
        <v>131.80553289181194</v>
      </c>
      <c r="AS343" s="168" t="str">
        <f t="shared" si="238"/>
        <v>0.0219353630409949-0.0285482824600596i</v>
      </c>
      <c r="AT343" s="190">
        <f t="shared" si="239"/>
        <v>-28.873398495303732</v>
      </c>
      <c r="AU343" s="169">
        <f t="shared" si="240"/>
        <v>-52.462759607191686</v>
      </c>
      <c r="AV343" s="225"/>
      <c r="AX343">
        <f t="shared" si="241"/>
        <v>0</v>
      </c>
      <c r="AY343">
        <f t="shared" si="242"/>
        <v>0</v>
      </c>
    </row>
    <row r="344" spans="14:51" x14ac:dyDescent="0.3">
      <c r="N344" s="170">
        <v>26</v>
      </c>
      <c r="O344" s="199">
        <f t="shared" si="208"/>
        <v>18197.008586099837</v>
      </c>
      <c r="P344" s="189" t="str">
        <f t="shared" si="209"/>
        <v>1078.86904761905</v>
      </c>
      <c r="Q344" s="160" t="str">
        <f t="shared" si="210"/>
        <v>1+3572.97428071259i</v>
      </c>
      <c r="R344" s="160">
        <f t="shared" si="218"/>
        <v>3572.9744206520218</v>
      </c>
      <c r="S344" s="160">
        <f t="shared" si="219"/>
        <v>1.5705164479333868</v>
      </c>
      <c r="T344" s="160" t="str">
        <f t="shared" si="211"/>
        <v>1+0.00228670353965606i</v>
      </c>
      <c r="U344" s="160">
        <f t="shared" si="220"/>
        <v>1.0000026145031213</v>
      </c>
      <c r="V344" s="160">
        <f t="shared" si="221"/>
        <v>2.2866995539343265E-3</v>
      </c>
      <c r="W344" s="98" t="str">
        <f t="shared" si="212"/>
        <v>1-1.65383546802085i</v>
      </c>
      <c r="X344" s="160">
        <f t="shared" si="222"/>
        <v>1.9326592444825195</v>
      </c>
      <c r="Y344" s="160">
        <f t="shared" si="223"/>
        <v>-1.026961009640464</v>
      </c>
      <c r="Z344" s="98" t="str">
        <f t="shared" si="213"/>
        <v>0.867547551406964+0.653232255562295i</v>
      </c>
      <c r="AA344" s="160">
        <f t="shared" si="224"/>
        <v>1.0859793431088929</v>
      </c>
      <c r="AB344" s="160">
        <f t="shared" si="225"/>
        <v>0.64539550471270457</v>
      </c>
      <c r="AC344" s="171" t="str">
        <f t="shared" si="226"/>
        <v>-0.534739438731648+0.0531093864027806i</v>
      </c>
      <c r="AD344" s="190">
        <f t="shared" si="227"/>
        <v>-5.3945262810933237</v>
      </c>
      <c r="AE344" s="169">
        <f t="shared" si="228"/>
        <v>174.32808399734824</v>
      </c>
      <c r="AF344" s="98" t="str">
        <f t="shared" si="214"/>
        <v>-9.95024875621891E-06</v>
      </c>
      <c r="AG344" s="98" t="str">
        <f t="shared" si="215"/>
        <v>0.114449512159786i</v>
      </c>
      <c r="AH344" s="98">
        <f t="shared" si="229"/>
        <v>0.11444951215978599</v>
      </c>
      <c r="AI344" s="98">
        <f t="shared" si="230"/>
        <v>1.5707963267948966</v>
      </c>
      <c r="AJ344" s="98" t="str">
        <f t="shared" si="216"/>
        <v>1+1.14220956026776i</v>
      </c>
      <c r="AK344" s="98">
        <f t="shared" si="231"/>
        <v>1.5181049632904404</v>
      </c>
      <c r="AL344" s="98">
        <f t="shared" si="232"/>
        <v>0.85168542688310522</v>
      </c>
      <c r="AM344" s="98" t="str">
        <f t="shared" si="217"/>
        <v>1+1143.35176982803i</v>
      </c>
      <c r="AN344" s="98">
        <f t="shared" si="233"/>
        <v>1143.352207138679</v>
      </c>
      <c r="AO344" s="98">
        <f t="shared" si="234"/>
        <v>1.5699217055528594</v>
      </c>
      <c r="AP344" s="168" t="str">
        <f t="shared" si="235"/>
        <v>-0.043088580098529+0.0493031281982798i</v>
      </c>
      <c r="AQ344" s="98">
        <f t="shared" si="236"/>
        <v>-23.67803546554638</v>
      </c>
      <c r="AR344" s="169">
        <f t="shared" si="237"/>
        <v>131.15190746095897</v>
      </c>
      <c r="AS344" s="168" t="str">
        <f t="shared" si="238"/>
        <v>0.0204227042512828-0.0286527351504626i</v>
      </c>
      <c r="AT344" s="190">
        <f t="shared" si="239"/>
        <v>-29.072561746639693</v>
      </c>
      <c r="AU344" s="169">
        <f t="shared" si="240"/>
        <v>-54.520008541692775</v>
      </c>
      <c r="AV344" s="225"/>
      <c r="AX344">
        <f t="shared" si="241"/>
        <v>0</v>
      </c>
      <c r="AY344">
        <f t="shared" si="242"/>
        <v>0</v>
      </c>
    </row>
    <row r="345" spans="14:51" x14ac:dyDescent="0.3">
      <c r="N345" s="170">
        <v>27</v>
      </c>
      <c r="O345" s="199">
        <f t="shared" si="208"/>
        <v>18620.871366628675</v>
      </c>
      <c r="P345" s="189" t="str">
        <f t="shared" si="209"/>
        <v>1078.86904761905</v>
      </c>
      <c r="Q345" s="160" t="str">
        <f t="shared" si="210"/>
        <v>1+3656.19954305256i</v>
      </c>
      <c r="R345" s="160">
        <f t="shared" si="218"/>
        <v>3656.1996798065807</v>
      </c>
      <c r="S345" s="160">
        <f t="shared" si="219"/>
        <v>1.5705228187537492</v>
      </c>
      <c r="T345" s="160" t="str">
        <f t="shared" si="211"/>
        <v>1+0.00233996770755364i</v>
      </c>
      <c r="U345" s="160">
        <f t="shared" si="220"/>
        <v>1.0000027377206886</v>
      </c>
      <c r="V345" s="160">
        <f t="shared" si="221"/>
        <v>2.3399634367764887E-3</v>
      </c>
      <c r="W345" s="98" t="str">
        <f t="shared" si="212"/>
        <v>1-1.6923582448111i</v>
      </c>
      <c r="X345" s="160">
        <f t="shared" si="222"/>
        <v>1.965725420494965</v>
      </c>
      <c r="Y345" s="160">
        <f t="shared" si="223"/>
        <v>-1.0371012181325441</v>
      </c>
      <c r="Z345" s="98" t="str">
        <f t="shared" si="213"/>
        <v>0.861305259818988+0.668447989448647i</v>
      </c>
      <c r="AA345" s="160">
        <f t="shared" si="224"/>
        <v>1.0902611912701439</v>
      </c>
      <c r="AB345" s="160">
        <f t="shared" si="225"/>
        <v>0.65998894699360922</v>
      </c>
      <c r="AC345" s="171" t="str">
        <f t="shared" si="226"/>
        <v>-0.527961371705227+0.0656334592772111i</v>
      </c>
      <c r="AD345" s="190">
        <f t="shared" si="227"/>
        <v>-5.4813536629871695</v>
      </c>
      <c r="AE345" s="169">
        <f t="shared" si="228"/>
        <v>172.91363697067425</v>
      </c>
      <c r="AF345" s="98" t="str">
        <f t="shared" si="214"/>
        <v>-9.95024875621891E-06</v>
      </c>
      <c r="AG345" s="98" t="str">
        <f t="shared" si="215"/>
        <v>0.11711538376306i</v>
      </c>
      <c r="AH345" s="98">
        <f t="shared" si="229"/>
        <v>0.11711538376305999</v>
      </c>
      <c r="AI345" s="98">
        <f t="shared" si="230"/>
        <v>1.5707963267948966</v>
      </c>
      <c r="AJ345" s="98" t="str">
        <f t="shared" si="216"/>
        <v>1+1.16881503873808i</v>
      </c>
      <c r="AK345" s="98">
        <f t="shared" si="231"/>
        <v>1.5382225439708974</v>
      </c>
      <c r="AL345" s="98">
        <f t="shared" si="232"/>
        <v>0.86307898829912799</v>
      </c>
      <c r="AM345" s="98" t="str">
        <f t="shared" si="217"/>
        <v>1+1169.98385377682i</v>
      </c>
      <c r="AN345" s="98">
        <f t="shared" si="233"/>
        <v>1169.984281133067</v>
      </c>
      <c r="AO345" s="98">
        <f t="shared" si="234"/>
        <v>1.5699416143531302</v>
      </c>
      <c r="AP345" s="168" t="str">
        <f t="shared" si="235"/>
        <v>-0.0419688857638927+0.0491388259136602i</v>
      </c>
      <c r="AQ345" s="98">
        <f t="shared" si="236"/>
        <v>-23.792383052525583</v>
      </c>
      <c r="AR345" s="169">
        <f t="shared" si="237"/>
        <v>130.50024516842853</v>
      </c>
      <c r="AS345" s="168" t="str">
        <f t="shared" si="238"/>
        <v>0.0189327993673106-0.0286979650880548i</v>
      </c>
      <c r="AT345" s="190">
        <f t="shared" si="239"/>
        <v>-29.273736715512744</v>
      </c>
      <c r="AU345" s="169">
        <f t="shared" si="240"/>
        <v>-56.586117860897218</v>
      </c>
      <c r="AV345" s="225"/>
      <c r="AX345">
        <f t="shared" si="241"/>
        <v>0</v>
      </c>
      <c r="AY345">
        <f t="shared" si="242"/>
        <v>0</v>
      </c>
    </row>
    <row r="346" spans="14:51" x14ac:dyDescent="0.3">
      <c r="N346" s="170">
        <v>28</v>
      </c>
      <c r="O346" s="199">
        <f t="shared" si="208"/>
        <v>19054.607179632505</v>
      </c>
      <c r="P346" s="189" t="str">
        <f t="shared" si="209"/>
        <v>1078.86904761905</v>
      </c>
      <c r="Q346" s="160" t="str">
        <f t="shared" si="210"/>
        <v>1+3741.36337078581i</v>
      </c>
      <c r="R346" s="160">
        <f t="shared" si="218"/>
        <v>3741.3635044269299</v>
      </c>
      <c r="S346" s="160">
        <f t="shared" si="219"/>
        <v>1.5705290445565567</v>
      </c>
      <c r="T346" s="160" t="str">
        <f t="shared" si="211"/>
        <v>1+0.00239447255730292i</v>
      </c>
      <c r="U346" s="160">
        <f t="shared" si="220"/>
        <v>1.0000028667453047</v>
      </c>
      <c r="V346" s="160">
        <f t="shared" si="221"/>
        <v>2.3944679810834622E-3</v>
      </c>
      <c r="W346" s="98" t="str">
        <f t="shared" si="212"/>
        <v>1-1.73177833234376i</v>
      </c>
      <c r="X346" s="160">
        <f t="shared" si="222"/>
        <v>1.9997640341738661</v>
      </c>
      <c r="Y346" s="160">
        <f t="shared" si="223"/>
        <v>-1.0471294243524623</v>
      </c>
      <c r="Z346" s="98" t="str">
        <f t="shared" si="213"/>
        <v>0.854768778091957+0.684018143306965i</v>
      </c>
      <c r="AA346" s="160">
        <f t="shared" si="224"/>
        <v>1.0947650361488188</v>
      </c>
      <c r="AB346" s="160">
        <f t="shared" si="225"/>
        <v>0.67488582328813485</v>
      </c>
      <c r="AC346" s="171" t="str">
        <f t="shared" si="226"/>
        <v>-0.520940236760918+0.0779637869040973i</v>
      </c>
      <c r="AD346" s="190">
        <f t="shared" si="227"/>
        <v>-5.5680418494578472</v>
      </c>
      <c r="AE346" s="169">
        <f t="shared" si="228"/>
        <v>171.4883011067094</v>
      </c>
      <c r="AF346" s="98" t="str">
        <f t="shared" si="214"/>
        <v>-9.95024875621891E-06</v>
      </c>
      <c r="AG346" s="98" t="str">
        <f t="shared" si="215"/>
        <v>0.119843351493011i</v>
      </c>
      <c r="AH346" s="98">
        <f t="shared" si="229"/>
        <v>0.11984335149301099</v>
      </c>
      <c r="AI346" s="98">
        <f t="shared" si="230"/>
        <v>1.5707963267948966</v>
      </c>
      <c r="AJ346" s="98" t="str">
        <f t="shared" si="216"/>
        <v>1+1.19604023841305i</v>
      </c>
      <c r="AK346" s="98">
        <f t="shared" si="231"/>
        <v>1.5590100230284425</v>
      </c>
      <c r="AL346" s="98">
        <f t="shared" si="232"/>
        <v>0.8744320323725473</v>
      </c>
      <c r="AM346" s="98" t="str">
        <f t="shared" si="217"/>
        <v>1+1197.23627865146i</v>
      </c>
      <c r="AN346" s="98">
        <f t="shared" si="233"/>
        <v>1197.2366962798944</v>
      </c>
      <c r="AO346" s="98">
        <f t="shared" si="234"/>
        <v>1.5699610699744342</v>
      </c>
      <c r="AP346" s="168" t="str">
        <f t="shared" si="235"/>
        <v>-0.0408571405551473+0.048949811254047i</v>
      </c>
      <c r="AQ346" s="98">
        <f t="shared" si="236"/>
        <v>-23.908977901236806</v>
      </c>
      <c r="AR346" s="169">
        <f t="shared" si="237"/>
        <v>129.85087838338404</v>
      </c>
      <c r="AS346" s="168" t="str">
        <f t="shared" si="238"/>
        <v>0.0174678158205662-0.0286853036638378i</v>
      </c>
      <c r="AT346" s="190">
        <f t="shared" si="239"/>
        <v>-29.477019750694652</v>
      </c>
      <c r="AU346" s="169">
        <f t="shared" si="240"/>
        <v>-58.660820509906678</v>
      </c>
      <c r="AV346" s="225"/>
      <c r="AX346">
        <f t="shared" si="241"/>
        <v>0</v>
      </c>
      <c r="AY346">
        <f t="shared" si="242"/>
        <v>0</v>
      </c>
    </row>
    <row r="347" spans="14:51" x14ac:dyDescent="0.3">
      <c r="N347" s="170">
        <v>29</v>
      </c>
      <c r="O347" s="199">
        <f t="shared" si="208"/>
        <v>19498.445997580486</v>
      </c>
      <c r="P347" s="189" t="str">
        <f t="shared" si="209"/>
        <v>1078.86904761905</v>
      </c>
      <c r="Q347" s="160" t="str">
        <f t="shared" si="210"/>
        <v>1+3828.510918901i</v>
      </c>
      <c r="R347" s="160">
        <f t="shared" si="218"/>
        <v>3828.5110495000772</v>
      </c>
      <c r="S347" s="160">
        <f t="shared" si="219"/>
        <v>1.5705351286428104</v>
      </c>
      <c r="T347" s="160" t="str">
        <f t="shared" si="211"/>
        <v>1+0.00245024698809664i</v>
      </c>
      <c r="U347" s="160">
        <f t="shared" si="220"/>
        <v>1.0000030018506458</v>
      </c>
      <c r="V347" s="160">
        <f t="shared" si="221"/>
        <v>2.4502420845899414E-3</v>
      </c>
      <c r="W347" s="98" t="str">
        <f t="shared" si="212"/>
        <v>1-1.77211663167101i</v>
      </c>
      <c r="X347" s="160">
        <f t="shared" si="222"/>
        <v>2.0347966375647975</v>
      </c>
      <c r="Y347" s="160">
        <f t="shared" si="223"/>
        <v>-1.0570428769250011</v>
      </c>
      <c r="Z347" s="98" t="str">
        <f t="shared" si="213"/>
        <v>0.847924241471776+0.699950972638906i</v>
      </c>
      <c r="AA347" s="160">
        <f t="shared" si="224"/>
        <v>1.099503016536852</v>
      </c>
      <c r="AB347" s="160">
        <f t="shared" si="225"/>
        <v>0.69009012338811715</v>
      </c>
      <c r="AC347" s="171" t="str">
        <f t="shared" si="226"/>
        <v>-0.513671537357208+0.0900934761104715i</v>
      </c>
      <c r="AD347" s="190">
        <f t="shared" si="227"/>
        <v>-5.6547056310679524</v>
      </c>
      <c r="AE347" s="169">
        <f t="shared" si="228"/>
        <v>170.05200691599316</v>
      </c>
      <c r="AF347" s="98" t="str">
        <f t="shared" si="214"/>
        <v>-9.95024875621891E-06</v>
      </c>
      <c r="AG347" s="98" t="str">
        <f t="shared" si="215"/>
        <v>0.122634861754237i</v>
      </c>
      <c r="AH347" s="98">
        <f t="shared" si="229"/>
        <v>0.122634861754237</v>
      </c>
      <c r="AI347" s="98">
        <f t="shared" si="230"/>
        <v>1.5707963267948966</v>
      </c>
      <c r="AJ347" s="98" t="str">
        <f t="shared" si="216"/>
        <v>1+1.22389959445387i</v>
      </c>
      <c r="AK347" s="98">
        <f t="shared" si="231"/>
        <v>1.5804841717981069</v>
      </c>
      <c r="AL347" s="98">
        <f t="shared" si="232"/>
        <v>0.88573887296094167</v>
      </c>
      <c r="AM347" s="98" t="str">
        <f t="shared" si="217"/>
        <v>1+1225.12349404832i</v>
      </c>
      <c r="AN347" s="98">
        <f t="shared" si="233"/>
        <v>1225.1239021703739</v>
      </c>
      <c r="AO347" s="98">
        <f t="shared" si="234"/>
        <v>1.5699800827323402</v>
      </c>
      <c r="AP347" s="168" t="str">
        <f t="shared" si="235"/>
        <v>-0.0397544254875857+0.0487365624275267i</v>
      </c>
      <c r="AQ347" s="98">
        <f t="shared" si="236"/>
        <v>-24.027802907880556</v>
      </c>
      <c r="AR347" s="169">
        <f t="shared" si="237"/>
        <v>129.20413348882681</v>
      </c>
      <c r="AS347" s="168" t="str">
        <f t="shared" si="238"/>
        <v>0.0160298705341898-0.0286161993306045i</v>
      </c>
      <c r="AT347" s="190">
        <f t="shared" si="239"/>
        <v>-29.682508538948515</v>
      </c>
      <c r="AU347" s="169">
        <f t="shared" si="240"/>
        <v>-60.743859595180105</v>
      </c>
      <c r="AV347" s="225"/>
      <c r="AX347">
        <f t="shared" si="241"/>
        <v>0</v>
      </c>
      <c r="AY347">
        <f t="shared" si="242"/>
        <v>0</v>
      </c>
    </row>
    <row r="348" spans="14:51" x14ac:dyDescent="0.3">
      <c r="N348" s="170">
        <v>30</v>
      </c>
      <c r="O348" s="199">
        <f t="shared" si="208"/>
        <v>19952.623149688792</v>
      </c>
      <c r="P348" s="189" t="str">
        <f t="shared" si="209"/>
        <v>1078.86904761905</v>
      </c>
      <c r="Q348" s="160" t="str">
        <f t="shared" si="210"/>
        <v>1+3917.68839418175i</v>
      </c>
      <c r="R348" s="160">
        <f t="shared" si="218"/>
        <v>3917.6885218080292</v>
      </c>
      <c r="S348" s="160">
        <f t="shared" si="219"/>
        <v>1.5705410742383719</v>
      </c>
      <c r="T348" s="160" t="str">
        <f t="shared" si="211"/>
        <v>1+0.00250732057227632i</v>
      </c>
      <c r="U348" s="160">
        <f t="shared" si="220"/>
        <v>1.0000031433232859</v>
      </c>
      <c r="V348" s="160">
        <f t="shared" si="221"/>
        <v>2.5073153180751209E-3</v>
      </c>
      <c r="W348" s="98" t="str">
        <f t="shared" si="212"/>
        <v>1-1.81339453069313i</v>
      </c>
      <c r="X348" s="160">
        <f t="shared" si="222"/>
        <v>2.0708451714089486</v>
      </c>
      <c r="Y348" s="160">
        <f t="shared" si="223"/>
        <v>-1.0668390373688224</v>
      </c>
      <c r="Z348" s="98" t="str">
        <f t="shared" si="213"/>
        <v>0.840757131778601+0.716254925241491i</v>
      </c>
      <c r="AA348" s="160">
        <f t="shared" si="224"/>
        <v>1.1044879685036291</v>
      </c>
      <c r="AB348" s="160">
        <f t="shared" si="225"/>
        <v>0.7056056754935397</v>
      </c>
      <c r="AC348" s="171" t="str">
        <f t="shared" si="226"/>
        <v>-0.506151142299473+0.102014930723749i</v>
      </c>
      <c r="AD348" s="190">
        <f t="shared" si="227"/>
        <v>-5.7414633038646725</v>
      </c>
      <c r="AE348" s="169">
        <f t="shared" si="228"/>
        <v>168.60468201254258</v>
      </c>
      <c r="AF348" s="98" t="str">
        <f t="shared" si="214"/>
        <v>-9.95024875621891E-06</v>
      </c>
      <c r="AG348" s="98" t="str">
        <f t="shared" si="215"/>
        <v>0.12549139464243i</v>
      </c>
      <c r="AH348" s="98">
        <f t="shared" si="229"/>
        <v>0.12549139464243</v>
      </c>
      <c r="AI348" s="98">
        <f t="shared" si="230"/>
        <v>1.5707963267948966</v>
      </c>
      <c r="AJ348" s="98" t="str">
        <f t="shared" si="216"/>
        <v>1+1.2524078782599i</v>
      </c>
      <c r="AK348" s="98">
        <f t="shared" si="231"/>
        <v>1.6026620022723022</v>
      </c>
      <c r="AL348" s="98">
        <f t="shared" si="232"/>
        <v>0.89699394169865976</v>
      </c>
      <c r="AM348" s="98" t="str">
        <f t="shared" si="217"/>
        <v>1+1253.66028613816i</v>
      </c>
      <c r="AN348" s="98">
        <f t="shared" si="233"/>
        <v>1253.6606849702248</v>
      </c>
      <c r="AO348" s="98">
        <f t="shared" si="234"/>
        <v>1.5699986627076095</v>
      </c>
      <c r="AP348" s="168" t="str">
        <f t="shared" si="235"/>
        <v>-0.0386617851165011+0.0484996145549676i</v>
      </c>
      <c r="AQ348" s="98">
        <f t="shared" si="236"/>
        <v>-24.148838827526209</v>
      </c>
      <c r="AR348" s="169">
        <f t="shared" si="237"/>
        <v>128.56033010619214</v>
      </c>
      <c r="AS348" s="168" t="str">
        <f t="shared" si="238"/>
        <v>0.0146210218811002-0.0284922146383973i</v>
      </c>
      <c r="AT348" s="190">
        <f t="shared" si="239"/>
        <v>-29.890302131390889</v>
      </c>
      <c r="AU348" s="169">
        <f t="shared" si="240"/>
        <v>-62.834987881265313</v>
      </c>
      <c r="AV348" s="225"/>
      <c r="AX348">
        <f t="shared" si="241"/>
        <v>0</v>
      </c>
      <c r="AY348">
        <f t="shared" si="242"/>
        <v>0</v>
      </c>
    </row>
    <row r="349" spans="14:51" x14ac:dyDescent="0.3">
      <c r="N349" s="170">
        <v>31</v>
      </c>
      <c r="O349" s="199">
        <f t="shared" si="208"/>
        <v>20417.379446695286</v>
      </c>
      <c r="P349" s="189" t="str">
        <f t="shared" si="209"/>
        <v>1078.86904761905</v>
      </c>
      <c r="Q349" s="160" t="str">
        <f t="shared" si="210"/>
        <v>1+4008.94307970581i</v>
      </c>
      <c r="R349" s="160">
        <f t="shared" si="218"/>
        <v>4008.9432044269602</v>
      </c>
      <c r="S349" s="160">
        <f t="shared" si="219"/>
        <v>1.5705468844956727</v>
      </c>
      <c r="T349" s="160" t="str">
        <f t="shared" si="211"/>
        <v>1+0.00256572357101172i</v>
      </c>
      <c r="U349" s="160">
        <f t="shared" si="220"/>
        <v>1.0000032914633046</v>
      </c>
      <c r="V349" s="160">
        <f t="shared" si="221"/>
        <v>2.5657179410347023E-3</v>
      </c>
      <c r="W349" s="98" t="str">
        <f t="shared" si="212"/>
        <v>1-1.85563391549852i</v>
      </c>
      <c r="X349" s="160">
        <f t="shared" si="222"/>
        <v>2.1079319790610818</v>
      </c>
      <c r="Y349" s="160">
        <f t="shared" si="223"/>
        <v>-1.0765155783377451</v>
      </c>
      <c r="Z349" s="98" t="str">
        <f t="shared" si="213"/>
        <v>0.833252246611867+0.732938645686191i</v>
      </c>
      <c r="AA349" s="160">
        <f t="shared" si="224"/>
        <v>1.1097334656682349</v>
      </c>
      <c r="AB349" s="160">
        <f t="shared" si="225"/>
        <v>0.72143612338558638</v>
      </c>
      <c r="AC349" s="171" t="str">
        <f t="shared" si="226"/>
        <v>-0.498375342018221+0.113719847450384i</v>
      </c>
      <c r="AD349" s="190">
        <f t="shared" si="227"/>
        <v>-5.8284366219939407</v>
      </c>
      <c r="AE349" s="169">
        <f t="shared" si="228"/>
        <v>167.14625252330885</v>
      </c>
      <c r="AF349" s="98" t="str">
        <f t="shared" si="214"/>
        <v>-9.95024875621891E-06</v>
      </c>
      <c r="AG349" s="98" t="str">
        <f t="shared" si="215"/>
        <v>0.128414464729137i</v>
      </c>
      <c r="AH349" s="98">
        <f t="shared" si="229"/>
        <v>0.12841446472913701</v>
      </c>
      <c r="AI349" s="98">
        <f t="shared" si="230"/>
        <v>1.5707963267948966</v>
      </c>
      <c r="AJ349" s="98" t="str">
        <f t="shared" si="216"/>
        <v>1+1.28158020530056i</v>
      </c>
      <c r="AK349" s="98">
        <f t="shared" si="231"/>
        <v>1.6255607717394711</v>
      </c>
      <c r="AL349" s="98">
        <f t="shared" si="232"/>
        <v>0.90819180081694328</v>
      </c>
      <c r="AM349" s="98" t="str">
        <f t="shared" si="217"/>
        <v>1+1282.86178550586i</v>
      </c>
      <c r="AN349" s="98">
        <f t="shared" si="233"/>
        <v>1282.8621752594015</v>
      </c>
      <c r="AO349" s="98">
        <f t="shared" si="234"/>
        <v>1.570016819751539</v>
      </c>
      <c r="AP349" s="168" t="str">
        <f t="shared" si="235"/>
        <v>-0.0375802238541916+0.0482395564224719i</v>
      </c>
      <c r="AQ349" s="98">
        <f t="shared" si="236"/>
        <v>-24.272064351306057</v>
      </c>
      <c r="AR349" s="169">
        <f t="shared" si="237"/>
        <v>127.91978036111811</v>
      </c>
      <c r="AS349" s="168" t="str">
        <f t="shared" si="238"/>
        <v>0.0132432619190163-0.0283150227547067i</v>
      </c>
      <c r="AT349" s="190">
        <f t="shared" si="239"/>
        <v>-30.100500973299987</v>
      </c>
      <c r="AU349" s="169">
        <f t="shared" si="240"/>
        <v>-64.933967115573139</v>
      </c>
      <c r="AV349" s="225"/>
      <c r="AX349">
        <f t="shared" si="241"/>
        <v>0</v>
      </c>
      <c r="AY349">
        <f t="shared" si="242"/>
        <v>0</v>
      </c>
    </row>
    <row r="350" spans="14:51" x14ac:dyDescent="0.3">
      <c r="N350" s="170">
        <v>32</v>
      </c>
      <c r="O350" s="199">
        <f t="shared" si="208"/>
        <v>20892.961308540423</v>
      </c>
      <c r="P350" s="189" t="str">
        <f t="shared" si="209"/>
        <v>1078.86904761905</v>
      </c>
      <c r="Q350" s="160" t="str">
        <f t="shared" si="210"/>
        <v>1+4102.32335991541i</v>
      </c>
      <c r="R350" s="160">
        <f t="shared" si="218"/>
        <v>4102.3234817975608</v>
      </c>
      <c r="S350" s="160">
        <f t="shared" si="219"/>
        <v>1.5705525624953867</v>
      </c>
      <c r="T350" s="160" t="str">
        <f t="shared" si="211"/>
        <v>1+0.00262548695034586i</v>
      </c>
      <c r="U350" s="160">
        <f t="shared" si="220"/>
        <v>1.0000034465849237</v>
      </c>
      <c r="V350" s="160">
        <f t="shared" si="221"/>
        <v>2.6254809177179207E-3</v>
      </c>
      <c r="W350" s="98" t="str">
        <f t="shared" si="212"/>
        <v>1-1.89885718196814i</v>
      </c>
      <c r="X350" s="160">
        <f t="shared" si="222"/>
        <v>2.1460798208622123</v>
      </c>
      <c r="Y350" s="160">
        <f t="shared" si="223"/>
        <v>-1.0860703811547638</v>
      </c>
      <c r="Z350" s="98" t="str">
        <f t="shared" si="213"/>
        <v>0.825393667103932+0.75001097990243i</v>
      </c>
      <c r="AA350" s="160">
        <f t="shared" si="224"/>
        <v>1.1152538615353367</v>
      </c>
      <c r="AB350" s="160">
        <f t="shared" si="225"/>
        <v>0.73758490204433924</v>
      </c>
      <c r="AC350" s="171" t="str">
        <f t="shared" si="226"/>
        <v>-0.490340908523922+0.125199215690808i</v>
      </c>
      <c r="AD350" s="190">
        <f t="shared" si="227"/>
        <v>-5.9157507450108131</v>
      </c>
      <c r="AE350" s="169">
        <f t="shared" si="228"/>
        <v>165.67664462729184</v>
      </c>
      <c r="AF350" s="98" t="str">
        <f t="shared" si="214"/>
        <v>-9.95024875621891E-06</v>
      </c>
      <c r="AG350" s="98" t="str">
        <f t="shared" si="215"/>
        <v>0.13140562186481i</v>
      </c>
      <c r="AH350" s="98">
        <f t="shared" si="229"/>
        <v>0.13140562186481</v>
      </c>
      <c r="AI350" s="98">
        <f t="shared" si="230"/>
        <v>1.5707963267948966</v>
      </c>
      <c r="AJ350" s="98" t="str">
        <f t="shared" si="216"/>
        <v>1+1.3114320431298i</v>
      </c>
      <c r="AK350" s="98">
        <f t="shared" si="231"/>
        <v>1.6491979880377012</v>
      </c>
      <c r="AL350" s="98">
        <f t="shared" si="232"/>
        <v>0.91932715517967523</v>
      </c>
      <c r="AM350" s="98" t="str">
        <f t="shared" si="217"/>
        <v>1+1312.74347517293i</v>
      </c>
      <c r="AN350" s="98">
        <f t="shared" si="233"/>
        <v>1312.7438560546002</v>
      </c>
      <c r="AO350" s="98">
        <f t="shared" si="234"/>
        <v>1.5700345634911861</v>
      </c>
      <c r="AP350" s="168" t="str">
        <f t="shared" si="235"/>
        <v>-0.0365107026186651+0.047957026967978i</v>
      </c>
      <c r="AQ350" s="98">
        <f t="shared" si="236"/>
        <v>-24.397456190697348</v>
      </c>
      <c r="AR350" s="169">
        <f t="shared" si="237"/>
        <v>127.28278819414551</v>
      </c>
      <c r="AS350" s="168" t="str">
        <f t="shared" si="238"/>
        <v>0.0118985089296292-0.0280864035057618i</v>
      </c>
      <c r="AT350" s="190">
        <f t="shared" si="239"/>
        <v>-30.313206935708152</v>
      </c>
      <c r="AU350" s="169">
        <f t="shared" si="240"/>
        <v>-67.040567178562682</v>
      </c>
      <c r="AV350" s="225"/>
      <c r="AX350">
        <f t="shared" si="241"/>
        <v>0</v>
      </c>
      <c r="AY350">
        <f t="shared" si="242"/>
        <v>0</v>
      </c>
    </row>
    <row r="351" spans="14:51" x14ac:dyDescent="0.3">
      <c r="N351" s="170">
        <v>33</v>
      </c>
      <c r="O351" s="199">
        <f t="shared" si="208"/>
        <v>21379.620895022348</v>
      </c>
      <c r="P351" s="189" t="str">
        <f t="shared" si="209"/>
        <v>1078.86904761905</v>
      </c>
      <c r="Q351" s="160" t="str">
        <f t="shared" si="210"/>
        <v>1+4197.87874627106i</v>
      </c>
      <c r="R351" s="160">
        <f t="shared" si="218"/>
        <v>4197.8788653788342</v>
      </c>
      <c r="S351" s="160">
        <f t="shared" si="219"/>
        <v>1.5705581112480629</v>
      </c>
      <c r="T351" s="160" t="str">
        <f t="shared" si="211"/>
        <v>1+0.00268664239761348i</v>
      </c>
      <c r="U351" s="160">
        <f t="shared" si="220"/>
        <v>1.0000036090171738</v>
      </c>
      <c r="V351" s="160">
        <f t="shared" si="221"/>
        <v>2.6866359335374415E-3</v>
      </c>
      <c r="W351" s="98" t="str">
        <f t="shared" si="212"/>
        <v>1-1.94308724764997i</v>
      </c>
      <c r="X351" s="160">
        <f t="shared" si="222"/>
        <v>2.1853118889485632</v>
      </c>
      <c r="Y351" s="160">
        <f t="shared" si="223"/>
        <v>-1.0955015326914603</v>
      </c>
      <c r="Z351" s="98" t="str">
        <f t="shared" si="213"/>
        <v>0.817164724154049+0.767480979867777i</v>
      </c>
      <c r="AA351" s="160">
        <f t="shared" si="224"/>
        <v>1.1210643339525908</v>
      </c>
      <c r="AB351" s="160">
        <f t="shared" si="225"/>
        <v>0.75405521169196721</v>
      </c>
      <c r="AC351" s="171" t="str">
        <f t="shared" si="226"/>
        <v>-0.482045158926662+0.136443321894109i</v>
      </c>
      <c r="AD351" s="190">
        <f t="shared" si="227"/>
        <v>-6.0035341786826759</v>
      </c>
      <c r="AE351" s="169">
        <f t="shared" si="228"/>
        <v>164.19578622240053</v>
      </c>
      <c r="AF351" s="98" t="str">
        <f t="shared" si="214"/>
        <v>-9.95024875621891E-06</v>
      </c>
      <c r="AG351" s="98" t="str">
        <f t="shared" si="215"/>
        <v>0.134466452000555i</v>
      </c>
      <c r="AH351" s="98">
        <f t="shared" si="229"/>
        <v>0.13446645200055499</v>
      </c>
      <c r="AI351" s="98">
        <f t="shared" si="230"/>
        <v>1.5707963267948966</v>
      </c>
      <c r="AJ351" s="98" t="str">
        <f t="shared" si="216"/>
        <v>1+1.34197921958715i</v>
      </c>
      <c r="AK351" s="98">
        <f t="shared" si="231"/>
        <v>1.6735914154308202</v>
      </c>
      <c r="AL351" s="98">
        <f t="shared" si="232"/>
        <v>0.93039486347736311</v>
      </c>
      <c r="AM351" s="98" t="str">
        <f t="shared" si="217"/>
        <v>1+1343.32119880674i</v>
      </c>
      <c r="AN351" s="98">
        <f t="shared" si="233"/>
        <v>1343.3215710184875</v>
      </c>
      <c r="AO351" s="98">
        <f t="shared" si="234"/>
        <v>1.5700519033344718</v>
      </c>
      <c r="AP351" s="168" t="str">
        <f t="shared" si="235"/>
        <v>-0.0354541358342858+0.0476527115398246i</v>
      </c>
      <c r="AQ351" s="98">
        <f t="shared" si="236"/>
        <v>-24.524989168202019</v>
      </c>
      <c r="AR351" s="169">
        <f t="shared" si="237"/>
        <v>126.64964871964376</v>
      </c>
      <c r="AS351" s="168" t="str">
        <f t="shared" si="238"/>
        <v>0.0105886002830903-0.0278082389756161i</v>
      </c>
      <c r="AT351" s="190">
        <f t="shared" si="239"/>
        <v>-30.52852334688469</v>
      </c>
      <c r="AU351" s="169">
        <f t="shared" si="240"/>
        <v>-69.154565057955836</v>
      </c>
      <c r="AV351" s="225"/>
      <c r="AX351">
        <f t="shared" si="241"/>
        <v>0</v>
      </c>
      <c r="AY351">
        <f t="shared" si="242"/>
        <v>0</v>
      </c>
    </row>
    <row r="352" spans="14:51" x14ac:dyDescent="0.3">
      <c r="N352" s="170">
        <v>34</v>
      </c>
      <c r="O352" s="199">
        <f t="shared" si="208"/>
        <v>21877.61623949555</v>
      </c>
      <c r="P352" s="189" t="str">
        <f t="shared" si="209"/>
        <v>1078.86904761905</v>
      </c>
      <c r="Q352" s="160" t="str">
        <f t="shared" si="210"/>
        <v>1+4295.6599035035i</v>
      </c>
      <c r="R352" s="160">
        <f t="shared" si="218"/>
        <v>4295.6600199000495</v>
      </c>
      <c r="S352" s="160">
        <f t="shared" si="219"/>
        <v>1.5705635336957222</v>
      </c>
      <c r="T352" s="160" t="str">
        <f t="shared" si="211"/>
        <v>1+0.00274922233824224i</v>
      </c>
      <c r="U352" s="160">
        <f t="shared" si="220"/>
        <v>1.0000037791045917</v>
      </c>
      <c r="V352" s="160">
        <f t="shared" si="221"/>
        <v>2.7492154118613885E-3</v>
      </c>
      <c r="W352" s="98" t="str">
        <f t="shared" si="212"/>
        <v>1-1.98834756391032i</v>
      </c>
      <c r="X352" s="160">
        <f t="shared" si="222"/>
        <v>2.2256518224799011</v>
      </c>
      <c r="Y352" s="160">
        <f t="shared" si="223"/>
        <v>-1.104807321647254</v>
      </c>
      <c r="Z352" s="98" t="str">
        <f t="shared" si="213"/>
        <v>0.808547963070944+0.785357908407463i</v>
      </c>
      <c r="AA352" s="160">
        <f t="shared" si="224"/>
        <v>1.1271809317426895</v>
      </c>
      <c r="AB352" s="160">
        <f t="shared" si="225"/>
        <v>0.77084999025744982</v>
      </c>
      <c r="AC352" s="171" t="str">
        <f t="shared" si="226"/>
        <v>-0.473486022336094+0.147441759091206i</v>
      </c>
      <c r="AD352" s="190">
        <f t="shared" si="227"/>
        <v>-6.091918707909155</v>
      </c>
      <c r="AE352" s="169">
        <f t="shared" si="228"/>
        <v>162.70360871716187</v>
      </c>
      <c r="AF352" s="98" t="str">
        <f t="shared" si="214"/>
        <v>-9.95024875621891E-06</v>
      </c>
      <c r="AG352" s="98" t="str">
        <f t="shared" si="215"/>
        <v>0.137598578029024i</v>
      </c>
      <c r="AH352" s="98">
        <f t="shared" si="229"/>
        <v>0.137598578029024</v>
      </c>
      <c r="AI352" s="98">
        <f t="shared" si="230"/>
        <v>1.5707963267948966</v>
      </c>
      <c r="AJ352" s="98" t="str">
        <f t="shared" si="216"/>
        <v>1+1.37323793118993i</v>
      </c>
      <c r="AK352" s="98">
        <f t="shared" si="231"/>
        <v>1.6987590811115032</v>
      </c>
      <c r="AL352" s="98">
        <f t="shared" si="232"/>
        <v>0.94138994853109259</v>
      </c>
      <c r="AM352" s="98" t="str">
        <f t="shared" si="217"/>
        <v>1+1374.61116912112i</v>
      </c>
      <c r="AN352" s="98">
        <f t="shared" si="233"/>
        <v>1374.6115328602957</v>
      </c>
      <c r="AO352" s="98">
        <f t="shared" si="234"/>
        <v>1.5700688484751686</v>
      </c>
      <c r="AP352" s="168" t="str">
        <f t="shared" si="235"/>
        <v>-0.0344113887998531+0.0473273379665111i</v>
      </c>
      <c r="AQ352" s="98">
        <f t="shared" si="236"/>
        <v>-24.654636313699626</v>
      </c>
      <c r="AR352" s="169">
        <f t="shared" si="237"/>
        <v>126.02064763572284</v>
      </c>
      <c r="AS352" s="168" t="str">
        <f t="shared" si="238"/>
        <v>0.00931528564301684-0.0274825086989411i</v>
      </c>
      <c r="AT352" s="190">
        <f t="shared" si="239"/>
        <v>-30.746555021608785</v>
      </c>
      <c r="AU352" s="169">
        <f t="shared" si="240"/>
        <v>-71.275743647115291</v>
      </c>
      <c r="AV352" s="225"/>
      <c r="AX352">
        <f t="shared" si="241"/>
        <v>0</v>
      </c>
      <c r="AY352">
        <f t="shared" si="242"/>
        <v>0</v>
      </c>
    </row>
    <row r="353" spans="14:51" x14ac:dyDescent="0.3">
      <c r="N353" s="170">
        <v>35</v>
      </c>
      <c r="O353" s="199">
        <f t="shared" si="208"/>
        <v>22387.211385683382</v>
      </c>
      <c r="P353" s="189" t="str">
        <f t="shared" si="209"/>
        <v>1078.86904761905</v>
      </c>
      <c r="Q353" s="160" t="str">
        <f t="shared" si="210"/>
        <v>1+4395.71867647653i</v>
      </c>
      <c r="R353" s="160">
        <f t="shared" si="218"/>
        <v>4395.7187902235719</v>
      </c>
      <c r="S353" s="160">
        <f t="shared" si="219"/>
        <v>1.5705688327134169</v>
      </c>
      <c r="T353" s="160" t="str">
        <f t="shared" si="211"/>
        <v>1+0.00281325995294498i</v>
      </c>
      <c r="U353" s="160">
        <f t="shared" si="220"/>
        <v>1.0000039572079515</v>
      </c>
      <c r="V353" s="160">
        <f t="shared" si="221"/>
        <v>2.813252531195768E-3</v>
      </c>
      <c r="W353" s="98" t="str">
        <f t="shared" si="212"/>
        <v>1-2.03466212836793i</v>
      </c>
      <c r="X353" s="160">
        <f t="shared" si="222"/>
        <v>2.2671237232702399</v>
      </c>
      <c r="Y353" s="160">
        <f t="shared" si="223"/>
        <v>-1.1139862342835587</v>
      </c>
      <c r="Z353" s="98" t="str">
        <f t="shared" si="213"/>
        <v>0.799525106549092+0.803651244105623i</v>
      </c>
      <c r="AA353" s="160">
        <f t="shared" si="224"/>
        <v>1.1336206235574813</v>
      </c>
      <c r="AB353" s="160">
        <f t="shared" si="225"/>
        <v>0.78797188427617537</v>
      </c>
      <c r="AC353" s="171" t="str">
        <f t="shared" si="226"/>
        <v>-0.464662109874628+0.158183442274289i</v>
      </c>
      <c r="AD353" s="190">
        <f t="shared" si="227"/>
        <v>-6.1810393202025038</v>
      </c>
      <c r="AE353" s="169">
        <f t="shared" si="228"/>
        <v>161.20004894335969</v>
      </c>
      <c r="AF353" s="98" t="str">
        <f t="shared" si="214"/>
        <v>-9.95024875621891E-06</v>
      </c>
      <c r="AG353" s="98" t="str">
        <f t="shared" si="215"/>
        <v>0.140803660644897i</v>
      </c>
      <c r="AH353" s="98">
        <f t="shared" si="229"/>
        <v>0.14080366064489699</v>
      </c>
      <c r="AI353" s="98">
        <f t="shared" si="230"/>
        <v>1.5707963267948966</v>
      </c>
      <c r="AJ353" s="98" t="str">
        <f t="shared" si="216"/>
        <v>1+1.40522475172077i</v>
      </c>
      <c r="AK353" s="98">
        <f t="shared" si="231"/>
        <v>1.7247192823322584</v>
      </c>
      <c r="AL353" s="98">
        <f t="shared" si="232"/>
        <v>0.95230760666718961</v>
      </c>
      <c r="AM353" s="98" t="str">
        <f t="shared" si="217"/>
        <v>1+1406.62997647249i</v>
      </c>
      <c r="AN353" s="98">
        <f t="shared" si="233"/>
        <v>1406.6303319319536</v>
      </c>
      <c r="AO353" s="98">
        <f t="shared" si="234"/>
        <v>1.5700854078977755</v>
      </c>
      <c r="AP353" s="168" t="str">
        <f t="shared" si="235"/>
        <v>-0.0333832754348568+0.0469816724776655i</v>
      </c>
      <c r="AQ353" s="98">
        <f t="shared" si="236"/>
        <v>-24.786368965721501</v>
      </c>
      <c r="AR353" s="169">
        <f t="shared" si="237"/>
        <v>125.39606068738433</v>
      </c>
      <c r="AS353" s="168" t="str">
        <f t="shared" si="238"/>
        <v>0.00808022052176605-0.0271112844815872i</v>
      </c>
      <c r="AT353" s="190">
        <f t="shared" si="239"/>
        <v>-30.967408285923987</v>
      </c>
      <c r="AU353" s="169">
        <f t="shared" si="240"/>
        <v>-73.403890369255976</v>
      </c>
      <c r="AV353" s="225"/>
      <c r="AX353">
        <f t="shared" si="241"/>
        <v>0</v>
      </c>
      <c r="AY353">
        <f t="shared" si="242"/>
        <v>0</v>
      </c>
    </row>
    <row r="354" spans="14:51" x14ac:dyDescent="0.3">
      <c r="N354" s="170">
        <v>36</v>
      </c>
      <c r="O354" s="199">
        <f t="shared" si="208"/>
        <v>22908.676527677751</v>
      </c>
      <c r="P354" s="189" t="str">
        <f t="shared" si="209"/>
        <v>1078.86904761905</v>
      </c>
      <c r="Q354" s="160" t="str">
        <f t="shared" si="210"/>
        <v>1+4498.10811767609i</v>
      </c>
      <c r="R354" s="160">
        <f t="shared" si="218"/>
        <v>4498.108228833933</v>
      </c>
      <c r="S354" s="160">
        <f t="shared" si="219"/>
        <v>1.5705740111107547</v>
      </c>
      <c r="T354" s="160" t="str">
        <f t="shared" si="211"/>
        <v>1+0.0028787891953127i</v>
      </c>
      <c r="U354" s="160">
        <f t="shared" si="220"/>
        <v>1.0000041437050304</v>
      </c>
      <c r="V354" s="160">
        <f t="shared" si="221"/>
        <v>2.8787812427669207E-3</v>
      </c>
      <c r="W354" s="98" t="str">
        <f t="shared" si="212"/>
        <v>1-2.08205549761796i</v>
      </c>
      <c r="X354" s="160">
        <f t="shared" si="222"/>
        <v>2.3097521718057052</v>
      </c>
      <c r="Y354" s="160">
        <f t="shared" si="223"/>
        <v>-1.1230369496683972</v>
      </c>
      <c r="Z354" s="98" t="str">
        <f t="shared" si="213"/>
        <v>0.790077015900089+0.822370686330999i</v>
      </c>
      <c r="AA354" s="160">
        <f t="shared" si="224"/>
        <v>1.1404013489952158</v>
      </c>
      <c r="AB354" s="160">
        <f t="shared" si="225"/>
        <v>0.80542321825855723</v>
      </c>
      <c r="AC354" s="171" t="str">
        <f t="shared" si="226"/>
        <v>-0.455572787442628+0.168656630311937i</v>
      </c>
      <c r="AD354" s="190">
        <f t="shared" si="227"/>
        <v>-6.2710341180137261</v>
      </c>
      <c r="AE354" s="169">
        <f t="shared" si="228"/>
        <v>159.68505118446845</v>
      </c>
      <c r="AF354" s="98" t="str">
        <f t="shared" si="214"/>
        <v>-9.95024875621891E-06</v>
      </c>
      <c r="AG354" s="98" t="str">
        <f t="shared" si="215"/>
        <v>0.1440833992254i</v>
      </c>
      <c r="AH354" s="98">
        <f t="shared" si="229"/>
        <v>0.14408339922540001</v>
      </c>
      <c r="AI354" s="98">
        <f t="shared" si="230"/>
        <v>1.5707963267948966</v>
      </c>
      <c r="AJ354" s="98" t="str">
        <f t="shared" si="216"/>
        <v>1+1.43795664101533i</v>
      </c>
      <c r="AK354" s="98">
        <f t="shared" si="231"/>
        <v>1.7514905941626095</v>
      </c>
      <c r="AL354" s="98">
        <f t="shared" si="232"/>
        <v>0.96314321613287202</v>
      </c>
      <c r="AM354" s="98" t="str">
        <f t="shared" si="217"/>
        <v>1+1439.39459765635i</v>
      </c>
      <c r="AN354" s="98">
        <f t="shared" si="233"/>
        <v>1439.3949450245702</v>
      </c>
      <c r="AO354" s="98">
        <f t="shared" si="234"/>
        <v>1.5701015903822813</v>
      </c>
      <c r="AP354" s="168" t="str">
        <f t="shared" si="235"/>
        <v>-0.032370556409903+0.046616515516405i</v>
      </c>
      <c r="AQ354" s="98">
        <f t="shared" si="236"/>
        <v>-24.92015687687751</v>
      </c>
      <c r="AR354" s="169">
        <f t="shared" si="237"/>
        <v>124.77615318461304</v>
      </c>
      <c r="AS354" s="168" t="str">
        <f t="shared" si="238"/>
        <v>0.00688496019084735-0.0266967248800879i</v>
      </c>
      <c r="AT354" s="190">
        <f t="shared" si="239"/>
        <v>-31.191190994891222</v>
      </c>
      <c r="AU354" s="169">
        <f t="shared" si="240"/>
        <v>-75.538795630918528</v>
      </c>
      <c r="AV354" s="225"/>
      <c r="AX354">
        <f t="shared" si="241"/>
        <v>0</v>
      </c>
      <c r="AY354">
        <f t="shared" si="242"/>
        <v>0</v>
      </c>
    </row>
    <row r="355" spans="14:51" x14ac:dyDescent="0.3">
      <c r="N355" s="170">
        <v>37</v>
      </c>
      <c r="O355" s="199">
        <f t="shared" si="208"/>
        <v>23442.288153199243</v>
      </c>
      <c r="P355" s="189" t="str">
        <f t="shared" si="209"/>
        <v>1078.86904761905</v>
      </c>
      <c r="Q355" s="160" t="str">
        <f t="shared" si="210"/>
        <v>1+4602.88251533913i</v>
      </c>
      <c r="R355" s="160">
        <f t="shared" si="218"/>
        <v>4602.8826239667114</v>
      </c>
      <c r="S355" s="160">
        <f t="shared" si="219"/>
        <v>1.5705790716333898</v>
      </c>
      <c r="T355" s="160" t="str">
        <f t="shared" si="211"/>
        <v>1+0.00294584480981704i</v>
      </c>
      <c r="U355" s="160">
        <f t="shared" si="220"/>
        <v>1.0000043389914084</v>
      </c>
      <c r="V355" s="160">
        <f t="shared" si="221"/>
        <v>2.9458362885127079E-3</v>
      </c>
      <c r="W355" s="98" t="str">
        <f t="shared" si="212"/>
        <v>1-2.13055280025208i</v>
      </c>
      <c r="X355" s="160">
        <f t="shared" si="222"/>
        <v>2.3535622436345247</v>
      </c>
      <c r="Y355" s="160">
        <f t="shared" si="223"/>
        <v>-1.1319583344864859</v>
      </c>
      <c r="Z355" s="98" t="str">
        <f t="shared" si="213"/>
        <v>0.780183650456948+0.841526160379627i</v>
      </c>
      <c r="AA355" s="160">
        <f t="shared" si="224"/>
        <v>1.1475420720146199</v>
      </c>
      <c r="AB355" s="160">
        <f t="shared" si="225"/>
        <v>0.82320596258518086</v>
      </c>
      <c r="AC355" s="171" t="str">
        <f t="shared" si="226"/>
        <v>-0.44621825077016+0.178848955100737i</v>
      </c>
      <c r="AD355" s="190">
        <f t="shared" si="227"/>
        <v>-6.3620442180326053</v>
      </c>
      <c r="AE355" s="169">
        <f t="shared" si="228"/>
        <v>158.15856931343117</v>
      </c>
      <c r="AF355" s="98" t="str">
        <f t="shared" si="214"/>
        <v>-9.95024875621891E-06</v>
      </c>
      <c r="AG355" s="98" t="str">
        <f t="shared" si="215"/>
        <v>0.147439532731342i</v>
      </c>
      <c r="AH355" s="98">
        <f t="shared" si="229"/>
        <v>0.147439532731342</v>
      </c>
      <c r="AI355" s="98">
        <f t="shared" si="230"/>
        <v>1.5707963267948966</v>
      </c>
      <c r="AJ355" s="98" t="str">
        <f t="shared" si="216"/>
        <v>1+1.47145095395457i</v>
      </c>
      <c r="AK355" s="98">
        <f t="shared" si="231"/>
        <v>1.7790918778674174</v>
      </c>
      <c r="AL355" s="98">
        <f t="shared" si="232"/>
        <v>0.9738923445322164</v>
      </c>
      <c r="AM355" s="98" t="str">
        <f t="shared" si="217"/>
        <v>1+1472.92240490852i</v>
      </c>
      <c r="AN355" s="98">
        <f t="shared" si="233"/>
        <v>1472.9227443696761</v>
      </c>
      <c r="AO355" s="98">
        <f t="shared" si="234"/>
        <v>1.5701174045088193</v>
      </c>
      <c r="AP355" s="168" t="str">
        <f t="shared" si="235"/>
        <v>-0.0313739376627089+0.04623269748283i</v>
      </c>
      <c r="AQ355" s="98">
        <f t="shared" si="236"/>
        <v>-25.05596832266043</v>
      </c>
      <c r="AR355" s="169">
        <f t="shared" si="237"/>
        <v>124.16117957659372</v>
      </c>
      <c r="AS355" s="168" t="str">
        <f t="shared" si="238"/>
        <v>0.00573095394733339-0.0262410693675455i</v>
      </c>
      <c r="AT355" s="190">
        <f t="shared" si="239"/>
        <v>-31.418012540693042</v>
      </c>
      <c r="AU355" s="169">
        <f t="shared" si="240"/>
        <v>-77.680251109975089</v>
      </c>
      <c r="AV355" s="225"/>
      <c r="AX355">
        <f t="shared" si="241"/>
        <v>0</v>
      </c>
      <c r="AY355">
        <f t="shared" si="242"/>
        <v>0</v>
      </c>
    </row>
    <row r="356" spans="14:51" x14ac:dyDescent="0.3">
      <c r="N356" s="170">
        <v>38</v>
      </c>
      <c r="O356" s="199">
        <f t="shared" si="208"/>
        <v>23988.329190194923</v>
      </c>
      <c r="P356" s="189" t="str">
        <f t="shared" si="209"/>
        <v>1078.86904761905</v>
      </c>
      <c r="Q356" s="160" t="str">
        <f t="shared" si="210"/>
        <v>1+4710.09742223812i</v>
      </c>
      <c r="R356" s="160">
        <f t="shared" si="218"/>
        <v>4710.0975283930347</v>
      </c>
      <c r="S356" s="160">
        <f t="shared" si="219"/>
        <v>1.5705840169644771</v>
      </c>
      <c r="T356" s="160" t="str">
        <f t="shared" si="211"/>
        <v>1+0.0030144623502324i</v>
      </c>
      <c r="U356" s="160">
        <f t="shared" si="220"/>
        <v>1.000004543481309</v>
      </c>
      <c r="V356" s="160">
        <f t="shared" si="221"/>
        <v>3.0144532194925433E-3</v>
      </c>
      <c r="W356" s="98" t="str">
        <f t="shared" si="212"/>
        <v>1-2.18017975018208i</v>
      </c>
      <c r="X356" s="160">
        <f t="shared" si="222"/>
        <v>2.3985795261162379</v>
      </c>
      <c r="Y356" s="160">
        <f t="shared" si="223"/>
        <v>-1.1407494374692011</v>
      </c>
      <c r="Z356" s="98" t="str">
        <f t="shared" si="213"/>
        <v>0.769824025065136+0.8611278227374i</v>
      </c>
      <c r="AA356" s="160">
        <f t="shared" si="224"/>
        <v>1.1550628366716429</v>
      </c>
      <c r="AB356" s="160">
        <f t="shared" si="225"/>
        <v>0.84132170001307471</v>
      </c>
      <c r="AC356" s="171" t="str">
        <f t="shared" si="226"/>
        <v>-0.436599602174729+0.188747458653382i</v>
      </c>
      <c r="AD356" s="190">
        <f t="shared" si="227"/>
        <v>-6.4542136354585358</v>
      </c>
      <c r="AE356" s="169">
        <f t="shared" si="228"/>
        <v>156.62056903182003</v>
      </c>
      <c r="AF356" s="98" t="str">
        <f t="shared" si="214"/>
        <v>-9.95024875621891E-06</v>
      </c>
      <c r="AG356" s="98" t="str">
        <f t="shared" si="215"/>
        <v>0.150873840629132i</v>
      </c>
      <c r="AH356" s="98">
        <f t="shared" si="229"/>
        <v>0.15087384062913201</v>
      </c>
      <c r="AI356" s="98">
        <f t="shared" si="230"/>
        <v>1.5707963267948966</v>
      </c>
      <c r="AJ356" s="98" t="str">
        <f t="shared" si="216"/>
        <v>1+1.50572544966653i</v>
      </c>
      <c r="AK356" s="98">
        <f t="shared" si="231"/>
        <v>1.8075422898990423</v>
      </c>
      <c r="AL356" s="98">
        <f t="shared" si="232"/>
        <v>0.98455075527105562</v>
      </c>
      <c r="AM356" s="98" t="str">
        <f t="shared" si="217"/>
        <v>1+1507.2311751162i</v>
      </c>
      <c r="AN356" s="98">
        <f t="shared" si="233"/>
        <v>1507.2315068502783</v>
      </c>
      <c r="AO356" s="98">
        <f t="shared" si="234"/>
        <v>1.5701328586622176</v>
      </c>
      <c r="AP356" s="168" t="str">
        <f t="shared" si="235"/>
        <v>-0.0303940692966597+0.0458310744474265i</v>
      </c>
      <c r="AQ356" s="98">
        <f t="shared" si="236"/>
        <v>-25.193770212851984</v>
      </c>
      <c r="AR356" s="169">
        <f t="shared" si="237"/>
        <v>123.55138308270699</v>
      </c>
      <c r="AS356" s="168" t="str">
        <f t="shared" si="238"/>
        <v>0.00461953973408706-0.0257466322088661i</v>
      </c>
      <c r="AT356" s="190">
        <f t="shared" si="239"/>
        <v>-31.64798384831052</v>
      </c>
      <c r="AU356" s="169">
        <f t="shared" si="240"/>
        <v>-79.828047885472969</v>
      </c>
      <c r="AV356" s="225"/>
      <c r="AX356">
        <f t="shared" si="241"/>
        <v>0</v>
      </c>
      <c r="AY356">
        <f t="shared" si="242"/>
        <v>0</v>
      </c>
    </row>
    <row r="357" spans="14:51" x14ac:dyDescent="0.3">
      <c r="N357" s="170">
        <v>39</v>
      </c>
      <c r="O357" s="199">
        <f t="shared" si="208"/>
        <v>24547.089156850321</v>
      </c>
      <c r="P357" s="189" t="str">
        <f t="shared" si="209"/>
        <v>1078.86904761905</v>
      </c>
      <c r="Q357" s="160" t="str">
        <f t="shared" si="210"/>
        <v>1+4819.80968513591i</v>
      </c>
      <c r="R357" s="160">
        <f t="shared" si="218"/>
        <v>4819.8097888744442</v>
      </c>
      <c r="S357" s="160">
        <f t="shared" si="219"/>
        <v>1.5705888497260956</v>
      </c>
      <c r="T357" s="160" t="str">
        <f t="shared" si="211"/>
        <v>1+0.00308467819848698i</v>
      </c>
      <c r="U357" s="160">
        <f t="shared" si="220"/>
        <v>1.0000047576084767</v>
      </c>
      <c r="V357" s="160">
        <f t="shared" si="221"/>
        <v>3.0846684147254663E-3</v>
      </c>
      <c r="W357" s="98" t="str">
        <f t="shared" si="212"/>
        <v>1-2.23096266027372i</v>
      </c>
      <c r="X357" s="160">
        <f t="shared" si="222"/>
        <v>2.4448301355177202</v>
      </c>
      <c r="Y357" s="160">
        <f t="shared" si="223"/>
        <v>-1.1494094834973891</v>
      </c>
      <c r="Z357" s="98" t="str">
        <f t="shared" si="213"/>
        <v>0.758976165570257+0.881186066465162i</v>
      </c>
      <c r="AA357" s="160">
        <f t="shared" si="224"/>
        <v>1.1629848251959589</v>
      </c>
      <c r="AB357" s="160">
        <f t="shared" si="225"/>
        <v>0.85977159090748378</v>
      </c>
      <c r="AC357" s="171" t="str">
        <f t="shared" si="226"/>
        <v>-0.426718928320207+0.198338638806927i</v>
      </c>
      <c r="AD357" s="190">
        <f t="shared" si="227"/>
        <v>-6.5476891511259891</v>
      </c>
      <c r="AE357" s="169">
        <f t="shared" si="228"/>
        <v>155.07103020078978</v>
      </c>
      <c r="AF357" s="98" t="str">
        <f t="shared" si="214"/>
        <v>-9.95024875621891E-06</v>
      </c>
      <c r="AG357" s="98" t="str">
        <f t="shared" si="215"/>
        <v>0.154388143834274i</v>
      </c>
      <c r="AH357" s="98">
        <f t="shared" si="229"/>
        <v>0.15438814383427399</v>
      </c>
      <c r="AI357" s="98">
        <f t="shared" si="230"/>
        <v>1.5707963267948966</v>
      </c>
      <c r="AJ357" s="98" t="str">
        <f t="shared" si="216"/>
        <v>1+1.54079830094255i</v>
      </c>
      <c r="AK357" s="98">
        <f t="shared" si="231"/>
        <v>1.8368612914935762</v>
      </c>
      <c r="AL357" s="98">
        <f t="shared" si="232"/>
        <v>0.9951144130081957</v>
      </c>
      <c r="AM357" s="98" t="str">
        <f t="shared" si="217"/>
        <v>1+1542.33909924349i</v>
      </c>
      <c r="AN357" s="98">
        <f t="shared" si="233"/>
        <v>1542.3394234263806</v>
      </c>
      <c r="AO357" s="98">
        <f t="shared" si="234"/>
        <v>1.5701479610364428</v>
      </c>
      <c r="AP357" s="168" t="str">
        <f t="shared" si="235"/>
        <v>-0.0294315448547737+0.0454125238716409i</v>
      </c>
      <c r="AQ357" s="98">
        <f t="shared" si="236"/>
        <v>-25.333528204768413</v>
      </c>
      <c r="AR357" s="169">
        <f t="shared" si="237"/>
        <v>122.94699538045185</v>
      </c>
      <c r="AS357" s="168" t="str">
        <f t="shared" si="238"/>
        <v>0.0035519391097488-0.0252157960633033i</v>
      </c>
      <c r="AT357" s="190">
        <f t="shared" si="239"/>
        <v>-31.881217355894389</v>
      </c>
      <c r="AU357" s="169">
        <f t="shared" si="240"/>
        <v>-81.981974418758384</v>
      </c>
      <c r="AV357" s="225"/>
      <c r="AX357">
        <f t="shared" si="241"/>
        <v>0</v>
      </c>
      <c r="AY357">
        <f t="shared" si="242"/>
        <v>0</v>
      </c>
    </row>
    <row r="358" spans="14:51" x14ac:dyDescent="0.3">
      <c r="N358" s="170">
        <v>40</v>
      </c>
      <c r="O358" s="199">
        <f t="shared" si="208"/>
        <v>25118.86431509586</v>
      </c>
      <c r="P358" s="189" t="str">
        <f t="shared" si="209"/>
        <v>1078.86904761905</v>
      </c>
      <c r="Q358" s="160" t="str">
        <f t="shared" si="210"/>
        <v>1+4932.0774749265i</v>
      </c>
      <c r="R358" s="160">
        <f t="shared" si="218"/>
        <v>4932.0775763036581</v>
      </c>
      <c r="S358" s="160">
        <f t="shared" si="219"/>
        <v>1.5705935724806384</v>
      </c>
      <c r="T358" s="160" t="str">
        <f t="shared" si="211"/>
        <v>1+0.00315652958395296i</v>
      </c>
      <c r="U358" s="160">
        <f t="shared" si="220"/>
        <v>1.0000049818270977</v>
      </c>
      <c r="V358" s="160">
        <f t="shared" si="221"/>
        <v>3.1565191004664411E-3</v>
      </c>
      <c r="W358" s="98" t="str">
        <f t="shared" si="212"/>
        <v>1-2.28292845629814i</v>
      </c>
      <c r="X358" s="160">
        <f t="shared" si="222"/>
        <v>2.4923407344453943</v>
      </c>
      <c r="Y358" s="160">
        <f t="shared" si="223"/>
        <v>-1.1579378674283978</v>
      </c>
      <c r="Z358" s="98" t="str">
        <f t="shared" si="213"/>
        <v>0.747617062207921+0.901711526709247i</v>
      </c>
      <c r="AA358" s="160">
        <f t="shared" si="224"/>
        <v>1.1713304184151982</v>
      </c>
      <c r="AB358" s="160">
        <f t="shared" si="225"/>
        <v>0.87855633734697602</v>
      </c>
      <c r="AC358" s="171" t="str">
        <f t="shared" si="226"/>
        <v>-0.416579378139648+0.207608504200842i</v>
      </c>
      <c r="AD358" s="190">
        <f t="shared" si="227"/>
        <v>-6.6426201592856788</v>
      </c>
      <c r="AE358" s="169">
        <f t="shared" si="228"/>
        <v>153.50994925241449</v>
      </c>
      <c r="AF358" s="98" t="str">
        <f t="shared" si="214"/>
        <v>-9.95024875621891E-06</v>
      </c>
      <c r="AG358" s="98" t="str">
        <f t="shared" si="215"/>
        <v>0.157984305676846i</v>
      </c>
      <c r="AH358" s="98">
        <f t="shared" si="229"/>
        <v>0.15798430567684599</v>
      </c>
      <c r="AI358" s="98">
        <f t="shared" si="230"/>
        <v>1.5707963267948966</v>
      </c>
      <c r="AJ358" s="98" t="str">
        <f t="shared" si="216"/>
        <v>1+1.57668810387261i</v>
      </c>
      <c r="AK358" s="98">
        <f t="shared" si="231"/>
        <v>1.8670686588589627</v>
      </c>
      <c r="AL358" s="98">
        <f t="shared" si="232"/>
        <v>1.0055794881186508</v>
      </c>
      <c r="AM358" s="98" t="str">
        <f t="shared" si="217"/>
        <v>1+1578.26479197648i</v>
      </c>
      <c r="AN358" s="98">
        <f t="shared" si="233"/>
        <v>1578.2651087800684</v>
      </c>
      <c r="AO358" s="98">
        <f t="shared" si="234"/>
        <v>1.5701627196389463</v>
      </c>
      <c r="AP358" s="168" t="str">
        <f t="shared" si="235"/>
        <v>-0.0284869009581302+0.0449779403709579i</v>
      </c>
      <c r="AQ358" s="98">
        <f t="shared" si="236"/>
        <v>-25.475206817598899</v>
      </c>
      <c r="AR358" s="169">
        <f t="shared" si="237"/>
        <v>122.34823634997045</v>
      </c>
      <c r="AS358" s="168" t="str">
        <f t="shared" si="238"/>
        <v>0.00252925256381439-0.0246510053269708i</v>
      </c>
      <c r="AT358" s="190">
        <f t="shared" si="239"/>
        <v>-32.117826976884565</v>
      </c>
      <c r="AU358" s="169">
        <f t="shared" si="240"/>
        <v>-84.141814397615093</v>
      </c>
      <c r="AV358" s="225"/>
      <c r="AX358">
        <f t="shared" si="241"/>
        <v>0</v>
      </c>
      <c r="AY358">
        <f t="shared" si="242"/>
        <v>0</v>
      </c>
    </row>
    <row r="359" spans="14:51" x14ac:dyDescent="0.3">
      <c r="N359" s="170">
        <v>41</v>
      </c>
      <c r="O359" s="199">
        <f t="shared" si="208"/>
        <v>25703.95782768865</v>
      </c>
      <c r="P359" s="189" t="str">
        <f t="shared" si="209"/>
        <v>1078.86904761905</v>
      </c>
      <c r="Q359" s="160" t="str">
        <f t="shared" si="210"/>
        <v>1+5046.96031747803i</v>
      </c>
      <c r="R359" s="160">
        <f t="shared" si="218"/>
        <v>5046.9604165475621</v>
      </c>
      <c r="S359" s="160">
        <f t="shared" si="219"/>
        <v>1.570598187732172</v>
      </c>
      <c r="T359" s="160" t="str">
        <f t="shared" si="211"/>
        <v>1+0.00323005460318594i</v>
      </c>
      <c r="U359" s="160">
        <f t="shared" si="220"/>
        <v>1.0000052166127633</v>
      </c>
      <c r="V359" s="160">
        <f t="shared" si="221"/>
        <v>3.2300433699309137E-3</v>
      </c>
      <c r="W359" s="98" t="str">
        <f t="shared" si="212"/>
        <v>1-2.3361046912082i</v>
      </c>
      <c r="X359" s="160">
        <f t="shared" si="222"/>
        <v>2.5411385496042831</v>
      </c>
      <c r="Y359" s="160">
        <f t="shared" si="223"/>
        <v>-1.1663341476966902</v>
      </c>
      <c r="Z359" s="98" t="str">
        <f t="shared" si="213"/>
        <v>0.735722620796961+0.92271508634035i</v>
      </c>
      <c r="AA359" s="160">
        <f t="shared" si="224"/>
        <v>1.1801232585253238</v>
      </c>
      <c r="AB359" s="160">
        <f t="shared" si="225"/>
        <v>0.8976761462859566</v>
      </c>
      <c r="AC359" s="171" t="str">
        <f t="shared" si="226"/>
        <v>-0.40618523994608+0.216542639119538i</v>
      </c>
      <c r="AD359" s="190">
        <f t="shared" si="227"/>
        <v>-6.7391584937945996</v>
      </c>
      <c r="AE359" s="169">
        <f t="shared" si="228"/>
        <v>151.93734166803006</v>
      </c>
      <c r="AF359" s="98" t="str">
        <f t="shared" si="214"/>
        <v>-9.95024875621891E-06</v>
      </c>
      <c r="AG359" s="98" t="str">
        <f t="shared" si="215"/>
        <v>0.161664232889456i</v>
      </c>
      <c r="AH359" s="98">
        <f t="shared" si="229"/>
        <v>0.161664232889456</v>
      </c>
      <c r="AI359" s="98">
        <f t="shared" si="230"/>
        <v>1.5707963267948966</v>
      </c>
      <c r="AJ359" s="98" t="str">
        <f t="shared" si="216"/>
        <v>1+1.61341388770526i</v>
      </c>
      <c r="AK359" s="98">
        <f t="shared" si="231"/>
        <v>1.8981844939415666</v>
      </c>
      <c r="AL359" s="98">
        <f t="shared" si="232"/>
        <v>1.01594236018274</v>
      </c>
      <c r="AM359" s="98" t="str">
        <f t="shared" si="217"/>
        <v>1+1615.02730159297i</v>
      </c>
      <c r="AN359" s="98">
        <f t="shared" si="233"/>
        <v>1615.0276111852299</v>
      </c>
      <c r="AO359" s="98">
        <f t="shared" si="234"/>
        <v>1.5701771422949089</v>
      </c>
      <c r="AP359" s="168" t="str">
        <f t="shared" si="235"/>
        <v>-0.0275606172943651+0.0445282315534838i</v>
      </c>
      <c r="AQ359" s="98">
        <f t="shared" si="236"/>
        <v>-25.618769547116834</v>
      </c>
      <c r="AR359" s="169">
        <f t="shared" si="237"/>
        <v>121.75531387438001</v>
      </c>
      <c r="AS359" s="168" t="str">
        <f t="shared" si="238"/>
        <v>0.0015524551728565-0.0240547592226118i</v>
      </c>
      <c r="AT359" s="190">
        <f t="shared" si="239"/>
        <v>-32.357928040911446</v>
      </c>
      <c r="AU359" s="169">
        <f t="shared" si="240"/>
        <v>-86.307344457589949</v>
      </c>
      <c r="AV359" s="225"/>
      <c r="AX359">
        <f t="shared" si="241"/>
        <v>0</v>
      </c>
      <c r="AY359">
        <f t="shared" si="242"/>
        <v>0</v>
      </c>
    </row>
    <row r="360" spans="14:51" x14ac:dyDescent="0.3">
      <c r="N360" s="170">
        <v>42</v>
      </c>
      <c r="O360" s="199">
        <f t="shared" si="208"/>
        <v>26302.679918953829</v>
      </c>
      <c r="P360" s="189" t="str">
        <f t="shared" si="209"/>
        <v>1078.86904761905</v>
      </c>
      <c r="Q360" s="160" t="str">
        <f t="shared" si="210"/>
        <v>1+5164.51912519431i</v>
      </c>
      <c r="R360" s="160">
        <f t="shared" si="218"/>
        <v>5164.5192220087438</v>
      </c>
      <c r="S360" s="160">
        <f t="shared" si="219"/>
        <v>1.5706026979277627</v>
      </c>
      <c r="T360" s="160" t="str">
        <f t="shared" si="211"/>
        <v>1+0.00330529224012436i</v>
      </c>
      <c r="U360" s="160">
        <f t="shared" si="220"/>
        <v>1.0000054624634771</v>
      </c>
      <c r="V360" s="160">
        <f t="shared" si="221"/>
        <v>3.3052802034782896E-3</v>
      </c>
      <c r="W360" s="98" t="str">
        <f t="shared" si="212"/>
        <v>1-2.39051955974754i</v>
      </c>
      <c r="X360" s="160">
        <f t="shared" si="222"/>
        <v>2.5912513898762453</v>
      </c>
      <c r="Y360" s="160">
        <f t="shared" si="223"/>
        <v>-1.1745980397351372</v>
      </c>
      <c r="Z360" s="98" t="str">
        <f t="shared" si="213"/>
        <v>0.723267611632425+0.94420788172381i</v>
      </c>
      <c r="AA360" s="160">
        <f t="shared" si="224"/>
        <v>1.1893883141959301</v>
      </c>
      <c r="AB360" s="160">
        <f t="shared" si="225"/>
        <v>0.91713069199795627</v>
      </c>
      <c r="AC360" s="171" t="str">
        <f t="shared" si="226"/>
        <v>-0.395542016613321+0.225126278715468i</v>
      </c>
      <c r="AD360" s="190">
        <f t="shared" si="227"/>
        <v>-6.837458230461122</v>
      </c>
      <c r="AE360" s="169">
        <f t="shared" si="228"/>
        <v>150.35324450808756</v>
      </c>
      <c r="AF360" s="98" t="str">
        <f t="shared" si="214"/>
        <v>-9.95024875621891E-06</v>
      </c>
      <c r="AG360" s="98" t="str">
        <f t="shared" si="215"/>
        <v>0.165429876618225i</v>
      </c>
      <c r="AH360" s="98">
        <f t="shared" si="229"/>
        <v>0.165429876618225</v>
      </c>
      <c r="AI360" s="98">
        <f t="shared" si="230"/>
        <v>1.5707963267948966</v>
      </c>
      <c r="AJ360" s="98" t="str">
        <f t="shared" si="216"/>
        <v>1+1.65099512493724i</v>
      </c>
      <c r="AK360" s="98">
        <f t="shared" si="231"/>
        <v>1.9302292357558293</v>
      </c>
      <c r="AL360" s="98">
        <f t="shared" si="232"/>
        <v>1.0261996205220776</v>
      </c>
      <c r="AM360" s="98" t="str">
        <f t="shared" si="217"/>
        <v>1+1652.64612006218i</v>
      </c>
      <c r="AN360" s="98">
        <f t="shared" si="233"/>
        <v>1652.646422607261</v>
      </c>
      <c r="AO360" s="98">
        <f t="shared" si="234"/>
        <v>1.5701912366513893</v>
      </c>
      <c r="AP360" s="168" t="str">
        <f t="shared" si="235"/>
        <v>-0.0266531169388248+0.0440643139643744i</v>
      </c>
      <c r="AQ360" s="98">
        <f t="shared" si="236"/>
        <v>-25.764178980076579</v>
      </c>
      <c r="AR360" s="169">
        <f t="shared" si="237"/>
        <v>121.16842369471033</v>
      </c>
      <c r="AS360" s="168" t="str">
        <f t="shared" si="238"/>
        <v>0.000622392596063788-0.023429604638757i</v>
      </c>
      <c r="AT360" s="190">
        <f t="shared" si="239"/>
        <v>-32.601637210537703</v>
      </c>
      <c r="AU360" s="169">
        <f t="shared" si="240"/>
        <v>-88.478331797202102</v>
      </c>
      <c r="AV360" s="225"/>
      <c r="AX360">
        <f t="shared" si="241"/>
        <v>0</v>
      </c>
      <c r="AY360">
        <f t="shared" si="242"/>
        <v>0</v>
      </c>
    </row>
    <row r="361" spans="14:51" x14ac:dyDescent="0.3">
      <c r="N361" s="170">
        <v>43</v>
      </c>
      <c r="O361" s="199">
        <f t="shared" si="208"/>
        <v>26915.348039269167</v>
      </c>
      <c r="P361" s="189" t="str">
        <f t="shared" si="209"/>
        <v>1078.86904761905</v>
      </c>
      <c r="Q361" s="160" t="str">
        <f t="shared" si="210"/>
        <v>1+5284.81622931128i</v>
      </c>
      <c r="R361" s="160">
        <f t="shared" si="218"/>
        <v>5284.8163239219484</v>
      </c>
      <c r="S361" s="160">
        <f t="shared" si="219"/>
        <v>1.5706071054587754</v>
      </c>
      <c r="T361" s="160" t="str">
        <f t="shared" si="211"/>
        <v>1+0.00338228238675922i</v>
      </c>
      <c r="U361" s="160">
        <f t="shared" si="220"/>
        <v>1.0000057199007133</v>
      </c>
      <c r="V361" s="160">
        <f t="shared" si="221"/>
        <v>3.3822694892645696E-3</v>
      </c>
      <c r="W361" s="98" t="str">
        <f t="shared" si="212"/>
        <v>1-2.44620191339974i</v>
      </c>
      <c r="X361" s="160">
        <f t="shared" si="222"/>
        <v>2.6427076647106751</v>
      </c>
      <c r="Y361" s="160">
        <f t="shared" si="223"/>
        <v>-1.1827294092614975</v>
      </c>
      <c r="Z361" s="98" t="str">
        <f t="shared" si="213"/>
        <v>0.710225615970003+0.966201308624232i</v>
      </c>
      <c r="AA361" s="160">
        <f t="shared" si="224"/>
        <v>1.1991519479895567</v>
      </c>
      <c r="AB361" s="160">
        <f t="shared" si="225"/>
        <v>0.9369190780644866</v>
      </c>
      <c r="AC361" s="171" t="str">
        <f t="shared" si="226"/>
        <v>-0.384656497566916+0.233344395023975i</v>
      </c>
      <c r="AD361" s="190">
        <f t="shared" si="227"/>
        <v>-6.9376754633310789</v>
      </c>
      <c r="AE361" s="169">
        <f t="shared" si="228"/>
        <v>148.75771897579619</v>
      </c>
      <c r="AF361" s="98" t="str">
        <f t="shared" si="214"/>
        <v>-9.95024875621891E-06</v>
      </c>
      <c r="AG361" s="98" t="str">
        <f t="shared" si="215"/>
        <v>0.169283233457299i</v>
      </c>
      <c r="AH361" s="98">
        <f t="shared" si="229"/>
        <v>0.16928323345729901</v>
      </c>
      <c r="AI361" s="98">
        <f t="shared" si="230"/>
        <v>1.5707963267948966</v>
      </c>
      <c r="AJ361" s="98" t="str">
        <f t="shared" si="216"/>
        <v>1+1.68945174163797i</v>
      </c>
      <c r="AK361" s="98">
        <f t="shared" si="231"/>
        <v>1.9632236722603895</v>
      </c>
      <c r="AL361" s="98">
        <f t="shared" si="232"/>
        <v>1.0363480738101918</v>
      </c>
      <c r="AM361" s="98" t="str">
        <f t="shared" si="217"/>
        <v>1+1691.14119337961i</v>
      </c>
      <c r="AN361" s="98">
        <f t="shared" si="233"/>
        <v>1691.1414890379253</v>
      </c>
      <c r="AO361" s="98">
        <f t="shared" si="234"/>
        <v>1.5702050101813796</v>
      </c>
      <c r="AP361" s="168" t="str">
        <f t="shared" si="235"/>
        <v>-0.0257647669883809+0.0435871091635538i</v>
      </c>
      <c r="AQ361" s="98">
        <f t="shared" si="236"/>
        <v>-25.911396907643962</v>
      </c>
      <c r="AR361" s="169">
        <f t="shared" si="237"/>
        <v>120.58774931785325</v>
      </c>
      <c r="AS361" s="168" t="str">
        <f t="shared" si="238"/>
        <v>-0.000260222588235123-0.0227781287157569i</v>
      </c>
      <c r="AT361" s="190">
        <f t="shared" si="239"/>
        <v>-32.849072370975023</v>
      </c>
      <c r="AU361" s="169">
        <f t="shared" si="240"/>
        <v>-90.654531706350554</v>
      </c>
      <c r="AV361" s="225"/>
      <c r="AX361">
        <f t="shared" si="241"/>
        <v>0</v>
      </c>
      <c r="AY361">
        <f t="shared" si="242"/>
        <v>0</v>
      </c>
    </row>
    <row r="362" spans="14:51" x14ac:dyDescent="0.3">
      <c r="N362" s="170">
        <v>44</v>
      </c>
      <c r="O362" s="199">
        <f t="shared" si="208"/>
        <v>27542.287033381719</v>
      </c>
      <c r="P362" s="189" t="str">
        <f t="shared" si="209"/>
        <v>1078.86904761905</v>
      </c>
      <c r="Q362" s="160" t="str">
        <f t="shared" si="210"/>
        <v>1+5407.91541294584i</v>
      </c>
      <c r="R362" s="160">
        <f t="shared" si="218"/>
        <v>5407.915505402907</v>
      </c>
      <c r="S362" s="160">
        <f t="shared" si="219"/>
        <v>1.5706114126621407</v>
      </c>
      <c r="T362" s="160" t="str">
        <f t="shared" si="211"/>
        <v>1+0.00346106586428534i</v>
      </c>
      <c r="U362" s="160">
        <f t="shared" si="220"/>
        <v>1.0000059894705216</v>
      </c>
      <c r="V362" s="160">
        <f t="shared" si="221"/>
        <v>3.4610520443753034E-3</v>
      </c>
      <c r="W362" s="98" t="str">
        <f t="shared" si="212"/>
        <v>1-2.50318127568573i</v>
      </c>
      <c r="X362" s="160">
        <f t="shared" si="222"/>
        <v>2.6955364028229405</v>
      </c>
      <c r="Y362" s="160">
        <f t="shared" si="223"/>
        <v>-1.1907282654719926</v>
      </c>
      <c r="Z362" s="98" t="str">
        <f t="shared" si="213"/>
        <v>0.696568969988324+0.988707028247673i</v>
      </c>
      <c r="AA362" s="160">
        <f t="shared" si="224"/>
        <v>1.2094419860650361</v>
      </c>
      <c r="AB362" s="160">
        <f t="shared" si="225"/>
        <v>0.95703979921799331</v>
      </c>
      <c r="AC362" s="171" t="str">
        <f t="shared" si="226"/>
        <v>-0.373536826187336+0.241181794047795i</v>
      </c>
      <c r="AD362" s="190">
        <f t="shared" si="227"/>
        <v>-7.0399680527966355</v>
      </c>
      <c r="AE362" s="169">
        <f t="shared" si="228"/>
        <v>147.15085299448012</v>
      </c>
      <c r="AF362" s="98" t="str">
        <f t="shared" si="214"/>
        <v>-9.95024875621891E-06</v>
      </c>
      <c r="AG362" s="98" t="str">
        <f t="shared" si="215"/>
        <v>0.173226346507481i</v>
      </c>
      <c r="AH362" s="98">
        <f t="shared" si="229"/>
        <v>0.173226346507481</v>
      </c>
      <c r="AI362" s="98">
        <f t="shared" si="230"/>
        <v>1.5707963267948966</v>
      </c>
      <c r="AJ362" s="98" t="str">
        <f t="shared" si="216"/>
        <v>1+1.72880412801466i</v>
      </c>
      <c r="AK362" s="98">
        <f t="shared" si="231"/>
        <v>1.9971889527634907</v>
      </c>
      <c r="AL362" s="98">
        <f t="shared" si="232"/>
        <v>1.0463847387916376</v>
      </c>
      <c r="AM362" s="98" t="str">
        <f t="shared" si="217"/>
        <v>1+1730.53293214267i</v>
      </c>
      <c r="AN362" s="98">
        <f t="shared" si="233"/>
        <v>1730.5332210709817</v>
      </c>
      <c r="AO362" s="98">
        <f t="shared" si="234"/>
        <v>1.5702184701877671</v>
      </c>
      <c r="AP362" s="168" t="str">
        <f t="shared" si="235"/>
        <v>-0.0248958794857562+0.0430975399610588i</v>
      </c>
      <c r="AQ362" s="98">
        <f t="shared" si="236"/>
        <v>-26.060384437255149</v>
      </c>
      <c r="AR362" s="169">
        <f t="shared" si="237"/>
        <v>120.01346197558783</v>
      </c>
      <c r="AS362" s="168" t="str">
        <f t="shared" si="238"/>
        <v>-0.00109481419860292-0.0221029511723082i</v>
      </c>
      <c r="AT362" s="190">
        <f t="shared" si="239"/>
        <v>-33.100352490051769</v>
      </c>
      <c r="AU362" s="169">
        <f t="shared" si="240"/>
        <v>-92.835685029932023</v>
      </c>
      <c r="AV362" s="225"/>
      <c r="AX362">
        <f t="shared" si="241"/>
        <v>0</v>
      </c>
      <c r="AY362">
        <f t="shared" si="242"/>
        <v>0</v>
      </c>
    </row>
    <row r="363" spans="14:51" x14ac:dyDescent="0.3">
      <c r="N363" s="170">
        <v>45</v>
      </c>
      <c r="O363" s="199">
        <f t="shared" si="208"/>
        <v>28183.829312644593</v>
      </c>
      <c r="P363" s="189" t="str">
        <f t="shared" si="209"/>
        <v>1078.86904761905</v>
      </c>
      <c r="Q363" s="160" t="str">
        <f t="shared" si="210"/>
        <v>1+5533.88194491456i</v>
      </c>
      <c r="R363" s="160">
        <f t="shared" si="218"/>
        <v>5533.8820352670473</v>
      </c>
      <c r="S363" s="160">
        <f t="shared" si="219"/>
        <v>1.5706156218215941</v>
      </c>
      <c r="T363" s="160" t="str">
        <f t="shared" si="211"/>
        <v>1+0.00354168444474532i</v>
      </c>
      <c r="U363" s="160">
        <f t="shared" si="220"/>
        <v>1.0000062717446856</v>
      </c>
      <c r="V363" s="160">
        <f t="shared" si="221"/>
        <v>3.5416696364499352E-3</v>
      </c>
      <c r="W363" s="98" t="str">
        <f t="shared" si="212"/>
        <v>1-2.56148785781761i</v>
      </c>
      <c r="X363" s="160">
        <f t="shared" si="222"/>
        <v>2.7497672711971552</v>
      </c>
      <c r="Y363" s="160">
        <f t="shared" si="223"/>
        <v>-1.1985947541810549</v>
      </c>
      <c r="Z363" s="98" t="str">
        <f t="shared" si="213"/>
        <v>0.682268706110285+1.01173697342457i</v>
      </c>
      <c r="AA363" s="160">
        <f t="shared" si="224"/>
        <v>1.2202877901264568</v>
      </c>
      <c r="AB363" s="160">
        <f t="shared" si="225"/>
        <v>0.97749070339206612</v>
      </c>
      <c r="AC363" s="171" t="str">
        <f t="shared" si="226"/>
        <v>-0.362192561098927+0.248623224025593i</v>
      </c>
      <c r="AD363" s="190">
        <f t="shared" si="227"/>
        <v>-7.1444953435642731</v>
      </c>
      <c r="AE363" s="169">
        <f t="shared" si="228"/>
        <v>145.53276377617118</v>
      </c>
      <c r="AF363" s="98" t="str">
        <f t="shared" si="214"/>
        <v>-9.95024875621891E-06</v>
      </c>
      <c r="AG363" s="98" t="str">
        <f t="shared" si="215"/>
        <v>0.177261306459503i</v>
      </c>
      <c r="AH363" s="98">
        <f t="shared" si="229"/>
        <v>0.177261306459503</v>
      </c>
      <c r="AI363" s="98">
        <f t="shared" si="230"/>
        <v>1.5707963267948966</v>
      </c>
      <c r="AJ363" s="98" t="str">
        <f t="shared" si="216"/>
        <v>1+1.76907314922344i</v>
      </c>
      <c r="AK363" s="98">
        <f t="shared" si="231"/>
        <v>2.032146600839452</v>
      </c>
      <c r="AL363" s="98">
        <f t="shared" si="232"/>
        <v>1.056306848148608</v>
      </c>
      <c r="AM363" s="98" t="str">
        <f t="shared" si="217"/>
        <v>1+1770.84222237266i</v>
      </c>
      <c r="AN363" s="98">
        <f t="shared" si="233"/>
        <v>1770.8425047241615</v>
      </c>
      <c r="AO363" s="98">
        <f t="shared" si="234"/>
        <v>1.5702316238072054</v>
      </c>
      <c r="AP363" s="168" t="str">
        <f t="shared" si="235"/>
        <v>-0.0240467126105394+0.042596526831155i</v>
      </c>
      <c r="AQ363" s="98">
        <f t="shared" si="236"/>
        <v>-26.211102102340146</v>
      </c>
      <c r="AR363" s="169">
        <f t="shared" si="237"/>
        <v>119.44572063244529</v>
      </c>
      <c r="AS363" s="168" t="str">
        <f t="shared" si="238"/>
        <v>-0.0018809454066333-0.0214067163633444i</v>
      </c>
      <c r="AT363" s="190">
        <f t="shared" si="239"/>
        <v>-33.355597445904415</v>
      </c>
      <c r="AU363" s="169">
        <f t="shared" si="240"/>
        <v>-95.021515591383519</v>
      </c>
      <c r="AV363" s="225"/>
      <c r="AX363">
        <f t="shared" si="241"/>
        <v>0</v>
      </c>
      <c r="AY363">
        <f t="shared" si="242"/>
        <v>0</v>
      </c>
    </row>
    <row r="364" spans="14:51" x14ac:dyDescent="0.3">
      <c r="N364" s="170">
        <v>46</v>
      </c>
      <c r="O364" s="199">
        <f t="shared" si="208"/>
        <v>28840.315031266062</v>
      </c>
      <c r="P364" s="189" t="str">
        <f t="shared" si="209"/>
        <v>1078.86904761905</v>
      </c>
      <c r="Q364" s="160" t="str">
        <f t="shared" si="210"/>
        <v>1+5662.78261434003i</v>
      </c>
      <c r="R364" s="160">
        <f t="shared" si="218"/>
        <v>5662.7827026358436</v>
      </c>
      <c r="S364" s="160">
        <f t="shared" si="219"/>
        <v>1.5706197351688871</v>
      </c>
      <c r="T364" s="160" t="str">
        <f t="shared" si="211"/>
        <v>1+0.00362418087317762i</v>
      </c>
      <c r="U364" s="160">
        <f t="shared" si="220"/>
        <v>1.000006567321936</v>
      </c>
      <c r="V364" s="160">
        <f t="shared" si="221"/>
        <v>3.6241650058088655E-3</v>
      </c>
      <c r="W364" s="98" t="str">
        <f t="shared" si="212"/>
        <v>1-2.62115257471698i</v>
      </c>
      <c r="X364" s="160">
        <f t="shared" si="222"/>
        <v>2.8054305943910745</v>
      </c>
      <c r="Y364" s="160">
        <f t="shared" si="223"/>
        <v>-1.2063291509433931</v>
      </c>
      <c r="Z364" s="98" t="str">
        <f t="shared" si="213"/>
        <v>0.667294491558933+1.0353033549367i</v>
      </c>
      <c r="AA364" s="160">
        <f t="shared" si="224"/>
        <v>1.2317203315720988</v>
      </c>
      <c r="AB364" s="160">
        <f t="shared" si="225"/>
        <v>0.99826895437718133</v>
      </c>
      <c r="AC364" s="171" t="str">
        <f t="shared" si="226"/>
        <v>-0.350634729704373+0.255653494804122i</v>
      </c>
      <c r="AD364" s="190">
        <f t="shared" si="227"/>
        <v>-7.2514178507401459</v>
      </c>
      <c r="AE364" s="169">
        <f t="shared" si="228"/>
        <v>143.90360035655283</v>
      </c>
      <c r="AF364" s="98" t="str">
        <f t="shared" si="214"/>
        <v>-9.95024875621891E-06</v>
      </c>
      <c r="AG364" s="98" t="str">
        <f t="shared" si="215"/>
        <v>0.18139025270254i</v>
      </c>
      <c r="AH364" s="98">
        <f t="shared" si="229"/>
        <v>0.18139025270254</v>
      </c>
      <c r="AI364" s="98">
        <f t="shared" si="230"/>
        <v>1.5707963267948966</v>
      </c>
      <c r="AJ364" s="98" t="str">
        <f t="shared" si="216"/>
        <v>1+1.81028015643238i</v>
      </c>
      <c r="AK364" s="98">
        <f t="shared" si="231"/>
        <v>2.0681185277379153</v>
      </c>
      <c r="AL364" s="98">
        <f t="shared" si="232"/>
        <v>1.0661118475586642</v>
      </c>
      <c r="AM364" s="98" t="str">
        <f t="shared" si="217"/>
        <v>1+1812.09043658881i</v>
      </c>
      <c r="AN364" s="98">
        <f t="shared" si="233"/>
        <v>1812.0907125132073</v>
      </c>
      <c r="AO364" s="98">
        <f t="shared" si="234"/>
        <v>1.5702444780138998</v>
      </c>
      <c r="AP364" s="168" t="str">
        <f t="shared" si="235"/>
        <v>-0.0232174721118043+0.0420849845230864i</v>
      </c>
      <c r="AQ364" s="98">
        <f t="shared" si="236"/>
        <v>-26.363509969400578</v>
      </c>
      <c r="AR364" s="169">
        <f t="shared" si="237"/>
        <v>118.88467203991338</v>
      </c>
      <c r="AS364" s="168" t="str">
        <f t="shared" si="238"/>
        <v>-0.0026183213137631-0.0206920850587651i</v>
      </c>
      <c r="AT364" s="190">
        <f t="shared" si="239"/>
        <v>-33.614927820140736</v>
      </c>
      <c r="AU364" s="169">
        <f t="shared" si="240"/>
        <v>-97.211727603533788</v>
      </c>
      <c r="AV364" s="225"/>
      <c r="AX364">
        <f t="shared" si="241"/>
        <v>0</v>
      </c>
      <c r="AY364">
        <f t="shared" si="242"/>
        <v>0</v>
      </c>
    </row>
    <row r="365" spans="14:51" x14ac:dyDescent="0.3">
      <c r="N365" s="170">
        <v>47</v>
      </c>
      <c r="O365" s="199">
        <f t="shared" si="208"/>
        <v>29512.092266663854</v>
      </c>
      <c r="P365" s="189" t="str">
        <f t="shared" si="209"/>
        <v>1078.86904761905</v>
      </c>
      <c r="Q365" s="160" t="str">
        <f t="shared" si="210"/>
        <v>1+5794.68576606347i</v>
      </c>
      <c r="R365" s="160">
        <f t="shared" si="218"/>
        <v>5794.6858523494257</v>
      </c>
      <c r="S365" s="160">
        <f t="shared" si="219"/>
        <v>1.5706237548849702</v>
      </c>
      <c r="T365" s="160" t="str">
        <f t="shared" si="211"/>
        <v>1+0.00370859889028062i</v>
      </c>
      <c r="U365" s="160">
        <f t="shared" si="220"/>
        <v>1.0000068768292192</v>
      </c>
      <c r="V365" s="160">
        <f t="shared" si="221"/>
        <v>3.7085818880949911E-3</v>
      </c>
      <c r="W365" s="98" t="str">
        <f t="shared" si="212"/>
        <v>1-2.68220706140656i</v>
      </c>
      <c r="X365" s="160">
        <f t="shared" si="222"/>
        <v>2.862557374142781</v>
      </c>
      <c r="Y365" s="160">
        <f t="shared" si="223"/>
        <v>-1.2139318541916653</v>
      </c>
      <c r="Z365" s="98" t="str">
        <f t="shared" si="213"/>
        <v>0.651614564017566+1.05941866799148i</v>
      </c>
      <c r="AA365" s="160">
        <f t="shared" si="224"/>
        <v>1.2437722677920762</v>
      </c>
      <c r="AB365" s="160">
        <f t="shared" si="225"/>
        <v>1.0193709955245542</v>
      </c>
      <c r="AC365" s="171" t="str">
        <f t="shared" si="226"/>
        <v>-0.338875872232047+0.262257608007875i</v>
      </c>
      <c r="AD365" s="190">
        <f t="shared" si="227"/>
        <v>-7.3608969125829216</v>
      </c>
      <c r="AE365" s="169">
        <f t="shared" si="228"/>
        <v>142.26354606898883</v>
      </c>
      <c r="AF365" s="98" t="str">
        <f t="shared" si="214"/>
        <v>-9.95024875621891E-06</v>
      </c>
      <c r="AG365" s="98" t="str">
        <f t="shared" si="215"/>
        <v>0.185615374458545i</v>
      </c>
      <c r="AH365" s="98">
        <f t="shared" si="229"/>
        <v>0.18561537445854501</v>
      </c>
      <c r="AI365" s="98">
        <f t="shared" si="230"/>
        <v>1.5707963267948966</v>
      </c>
      <c r="AJ365" s="98" t="str">
        <f t="shared" si="216"/>
        <v>1+1.85244699814217i</v>
      </c>
      <c r="AK365" s="98">
        <f t="shared" si="231"/>
        <v>2.1051270462672642</v>
      </c>
      <c r="AL365" s="98">
        <f t="shared" si="232"/>
        <v>1.0757973939909078</v>
      </c>
      <c r="AM365" s="98" t="str">
        <f t="shared" si="217"/>
        <v>1+1854.29944514031i</v>
      </c>
      <c r="AN365" s="98">
        <f t="shared" si="233"/>
        <v>1854.2997147839019</v>
      </c>
      <c r="AO365" s="98">
        <f t="shared" si="234"/>
        <v>1.5702570396233035</v>
      </c>
      <c r="AP365" s="168" t="str">
        <f t="shared" si="235"/>
        <v>-0.0224083129564449+0.0415638188830692i</v>
      </c>
      <c r="AQ365" s="98">
        <f t="shared" si="236"/>
        <v>-26.517567741980336</v>
      </c>
      <c r="AR365" s="169">
        <f t="shared" si="237"/>
        <v>118.33045083427051</v>
      </c>
      <c r="AS365" s="168" t="str">
        <f t="shared" si="238"/>
        <v>-0.00330679112158233-0.019961725932744i</v>
      </c>
      <c r="AT365" s="190">
        <f t="shared" si="239"/>
        <v>-33.878464654563267</v>
      </c>
      <c r="AU365" s="169">
        <f t="shared" si="240"/>
        <v>-99.406003096740662</v>
      </c>
      <c r="AV365" s="225"/>
      <c r="AX365">
        <f t="shared" si="241"/>
        <v>0</v>
      </c>
      <c r="AY365">
        <f t="shared" si="242"/>
        <v>0</v>
      </c>
    </row>
    <row r="366" spans="14:51" x14ac:dyDescent="0.3">
      <c r="N366" s="170">
        <v>48</v>
      </c>
      <c r="O366" s="199">
        <f t="shared" si="208"/>
        <v>30199.517204020212</v>
      </c>
      <c r="P366" s="189" t="str">
        <f t="shared" si="209"/>
        <v>1078.86904761905</v>
      </c>
      <c r="Q366" s="160" t="str">
        <f t="shared" si="210"/>
        <v>1+5929.66133688178i</v>
      </c>
      <c r="R366" s="160">
        <f t="shared" si="218"/>
        <v>5929.6614212036275</v>
      </c>
      <c r="S366" s="160">
        <f t="shared" si="219"/>
        <v>1.5706276831011496</v>
      </c>
      <c r="T366" s="160" t="str">
        <f t="shared" si="211"/>
        <v>1+0.00379498325560434i</v>
      </c>
      <c r="U366" s="160">
        <f t="shared" si="220"/>
        <v>1.0000072009230285</v>
      </c>
      <c r="V366" s="160">
        <f t="shared" si="221"/>
        <v>3.7949650374412922E-3</v>
      </c>
      <c r="W366" s="98" t="str">
        <f t="shared" si="212"/>
        <v>1-2.74468368978328i</v>
      </c>
      <c r="X366" s="160">
        <f t="shared" si="222"/>
        <v>2.9211793092794496</v>
      </c>
      <c r="Y366" s="160">
        <f t="shared" si="223"/>
        <v>-1.2214033784200149</v>
      </c>
      <c r="Z366" s="98" t="str">
        <f t="shared" si="213"/>
        <v>0.635195664257634+1.0840956988471i</v>
      </c>
      <c r="AA366" s="160">
        <f t="shared" si="224"/>
        <v>1.256478020560041</v>
      </c>
      <c r="AB366" s="160">
        <f t="shared" si="225"/>
        <v>1.0407925149830302</v>
      </c>
      <c r="AC366" s="171" t="str">
        <f t="shared" si="226"/>
        <v>-0.326930074499501+0.268420897444292i</v>
      </c>
      <c r="AD366" s="190">
        <f t="shared" si="227"/>
        <v>-7.4730943088446011</v>
      </c>
      <c r="AE366" s="169">
        <f t="shared" si="228"/>
        <v>140.612820928117</v>
      </c>
      <c r="AF366" s="98" t="str">
        <f t="shared" si="214"/>
        <v>-9.95024875621891E-06</v>
      </c>
      <c r="AG366" s="98" t="str">
        <f t="shared" si="215"/>
        <v>0.189938911942997i</v>
      </c>
      <c r="AH366" s="98">
        <f t="shared" si="229"/>
        <v>0.189938911942997</v>
      </c>
      <c r="AI366" s="98">
        <f t="shared" si="230"/>
        <v>1.5707963267948966</v>
      </c>
      <c r="AJ366" s="98" t="str">
        <f t="shared" si="216"/>
        <v>1+1.8955960317704i</v>
      </c>
      <c r="AK366" s="98">
        <f t="shared" si="231"/>
        <v>2.1431948851338012</v>
      </c>
      <c r="AL366" s="98">
        <f t="shared" si="232"/>
        <v>1.0853613532909474</v>
      </c>
      <c r="AM366" s="98" t="str">
        <f t="shared" si="217"/>
        <v>1+1897.49162780217i</v>
      </c>
      <c r="AN366" s="98">
        <f t="shared" si="233"/>
        <v>1897.4918913079255</v>
      </c>
      <c r="AO366" s="98">
        <f t="shared" si="234"/>
        <v>1.5702693152957323</v>
      </c>
      <c r="AP366" s="168" t="str">
        <f t="shared" si="235"/>
        <v>-0.021619341166924+0.0410339238989337i</v>
      </c>
      <c r="AQ366" s="98">
        <f t="shared" si="236"/>
        <v>-26.67323486112091</v>
      </c>
      <c r="AR366" s="169">
        <f t="shared" si="237"/>
        <v>117.78317967516426</v>
      </c>
      <c r="AS366" s="168" t="str">
        <f t="shared" si="238"/>
        <v>-0.00394634986027997-0.0192183067554653i</v>
      </c>
      <c r="AT366" s="190">
        <f t="shared" si="239"/>
        <v>-34.146329169965519</v>
      </c>
      <c r="AU366" s="169">
        <f t="shared" si="240"/>
        <v>-101.60399939671873</v>
      </c>
      <c r="AV366" s="225"/>
      <c r="AX366">
        <f t="shared" si="241"/>
        <v>0</v>
      </c>
      <c r="AY366">
        <f t="shared" si="242"/>
        <v>0</v>
      </c>
    </row>
    <row r="367" spans="14:51" x14ac:dyDescent="0.3">
      <c r="N367" s="170">
        <v>49</v>
      </c>
      <c r="O367" s="199">
        <f t="shared" si="208"/>
        <v>30902.954325135954</v>
      </c>
      <c r="P367" s="189" t="str">
        <f t="shared" si="209"/>
        <v>1078.86904761905</v>
      </c>
      <c r="Q367" s="160" t="str">
        <f t="shared" si="210"/>
        <v>1+6067.78089262925i</v>
      </c>
      <c r="R367" s="160">
        <f t="shared" si="218"/>
        <v>6067.7809750316983</v>
      </c>
      <c r="S367" s="160">
        <f t="shared" si="219"/>
        <v>1.5706315219002174</v>
      </c>
      <c r="T367" s="160" t="str">
        <f t="shared" si="211"/>
        <v>1+0.00388337977128272i</v>
      </c>
      <c r="U367" s="160">
        <f t="shared" si="220"/>
        <v>1.000007540290796</v>
      </c>
      <c r="V367" s="160">
        <f t="shared" si="221"/>
        <v>3.8833602501772584E-3</v>
      </c>
      <c r="W367" s="98" t="str">
        <f t="shared" si="212"/>
        <v>1-2.80861558578252i</v>
      </c>
      <c r="X367" s="160">
        <f t="shared" si="222"/>
        <v>2.9813288159309916</v>
      </c>
      <c r="Y367" s="160">
        <f t="shared" si="223"/>
        <v>-1.2287443474409798</v>
      </c>
      <c r="Z367" s="98" t="str">
        <f t="shared" si="213"/>
        <v>0.618002965591424+1.10934753159194i</v>
      </c>
      <c r="AA367" s="160">
        <f t="shared" si="224"/>
        <v>1.2698738564632808</v>
      </c>
      <c r="AB367" s="160">
        <f t="shared" si="225"/>
        <v>1.0625284129929204</v>
      </c>
      <c r="AC367" s="171" t="str">
        <f t="shared" si="226"/>
        <v>-0.314812987568127+0.274129178899872i</v>
      </c>
      <c r="AD367" s="190">
        <f t="shared" si="227"/>
        <v>-7.588171844060005</v>
      </c>
      <c r="AE367" s="169">
        <f t="shared" si="228"/>
        <v>138.95168389142003</v>
      </c>
      <c r="AF367" s="98" t="str">
        <f t="shared" si="214"/>
        <v>-9.95024875621891E-06</v>
      </c>
      <c r="AG367" s="98" t="str">
        <f t="shared" si="215"/>
        <v>0.1943631575527i</v>
      </c>
      <c r="AH367" s="98">
        <f t="shared" si="229"/>
        <v>0.19436315755270001</v>
      </c>
      <c r="AI367" s="98">
        <f t="shared" si="230"/>
        <v>1.5707963267948966</v>
      </c>
      <c r="AJ367" s="98" t="str">
        <f t="shared" si="216"/>
        <v>1+1.93975013550585i</v>
      </c>
      <c r="AK367" s="98">
        <f t="shared" si="231"/>
        <v>2.1823452037189175</v>
      </c>
      <c r="AL367" s="98">
        <f t="shared" si="232"/>
        <v>1.0948017971073645</v>
      </c>
      <c r="AM367" s="98" t="str">
        <f t="shared" si="217"/>
        <v>1+1941.68988564136i</v>
      </c>
      <c r="AN367" s="98">
        <f t="shared" si="233"/>
        <v>1941.6901431489932</v>
      </c>
      <c r="AO367" s="98">
        <f t="shared" si="234"/>
        <v>1.5702813115398957</v>
      </c>
      <c r="AP367" s="168" t="str">
        <f t="shared" si="235"/>
        <v>-0.0208506158220956+0.0404961789757168i</v>
      </c>
      <c r="AQ367" s="98">
        <f t="shared" si="236"/>
        <v>-26.830470601947532</v>
      </c>
      <c r="AR367" s="169">
        <f t="shared" si="237"/>
        <v>117.24296942191376</v>
      </c>
      <c r="AS367" s="168" t="str">
        <f t="shared" si="238"/>
        <v>-0.00453713963160633-0.0184644852833067i</v>
      </c>
      <c r="AT367" s="190">
        <f t="shared" si="239"/>
        <v>-34.418642446007553</v>
      </c>
      <c r="AU367" s="169">
        <f t="shared" si="240"/>
        <v>-103.80534668666623</v>
      </c>
      <c r="AV367" s="225"/>
      <c r="AX367">
        <f t="shared" si="241"/>
        <v>0</v>
      </c>
      <c r="AY367">
        <f t="shared" si="242"/>
        <v>0</v>
      </c>
    </row>
    <row r="368" spans="14:51" x14ac:dyDescent="0.3">
      <c r="N368" s="170">
        <v>50</v>
      </c>
      <c r="O368" s="199">
        <f t="shared" si="208"/>
        <v>31622.77660168384</v>
      </c>
      <c r="P368" s="189" t="str">
        <f t="shared" si="209"/>
        <v>1078.86904761905</v>
      </c>
      <c r="Q368" s="160" t="str">
        <f t="shared" si="210"/>
        <v>1+6209.11766612256i</v>
      </c>
      <c r="R368" s="160">
        <f t="shared" si="218"/>
        <v>6209.1177466492982</v>
      </c>
      <c r="S368" s="160">
        <f t="shared" si="219"/>
        <v>1.5706352733175548</v>
      </c>
      <c r="T368" s="160" t="str">
        <f t="shared" si="211"/>
        <v>1+0.00397383530631844i</v>
      </c>
      <c r="U368" s="160">
        <f t="shared" si="220"/>
        <v>1.0000078956523502</v>
      </c>
      <c r="V368" s="160">
        <f t="shared" si="221"/>
        <v>3.9738143890859978E-3</v>
      </c>
      <c r="W368" s="98" t="str">
        <f t="shared" si="212"/>
        <v>1-2.87403664694175i</v>
      </c>
      <c r="X368" s="160">
        <f t="shared" si="222"/>
        <v>3.0430390480511713</v>
      </c>
      <c r="Y368" s="160">
        <f t="shared" si="223"/>
        <v>-1.2359554877402441</v>
      </c>
      <c r="Z368" s="98" t="str">
        <f t="shared" si="213"/>
        <v>0.6+1.13518755508198i</v>
      </c>
      <c r="AA368" s="160">
        <f t="shared" si="224"/>
        <v>1.2839979693180996</v>
      </c>
      <c r="AB368" s="160">
        <f t="shared" si="225"/>
        <v>1.0845727717945493</v>
      </c>
      <c r="AC368" s="171" t="str">
        <f t="shared" si="226"/>
        <v>-0.30254183247846+0.27936890817659i</v>
      </c>
      <c r="AD368" s="190">
        <f t="shared" si="227"/>
        <v>-7.706290895673872</v>
      </c>
      <c r="AE368" s="169">
        <f t="shared" si="228"/>
        <v>137.28043496540838</v>
      </c>
      <c r="AF368" s="98" t="str">
        <f t="shared" si="214"/>
        <v>-9.95024875621891E-06</v>
      </c>
      <c r="AG368" s="98" t="str">
        <f t="shared" si="215"/>
        <v>0.198890457081238i</v>
      </c>
      <c r="AH368" s="98">
        <f t="shared" si="229"/>
        <v>0.19889045708123801</v>
      </c>
      <c r="AI368" s="98">
        <f t="shared" si="230"/>
        <v>1.5707963267948966</v>
      </c>
      <c r="AJ368" s="98" t="str">
        <f t="shared" si="216"/>
        <v>1+1.98493272043878i</v>
      </c>
      <c r="AK368" s="98">
        <f t="shared" si="231"/>
        <v>2.2226016072765935</v>
      </c>
      <c r="AL368" s="98">
        <f t="shared" si="232"/>
        <v>1.1041169992138358</v>
      </c>
      <c r="AM368" s="98" t="str">
        <f t="shared" si="217"/>
        <v>1+1986.91765315922i</v>
      </c>
      <c r="AN368" s="98">
        <f t="shared" si="233"/>
        <v>1986.9179048052645</v>
      </c>
      <c r="AO368" s="98">
        <f t="shared" si="234"/>
        <v>1.5702930347163468</v>
      </c>
      <c r="AP368" s="168" t="str">
        <f t="shared" si="235"/>
        <v>-0.0201021511950877+0.0399514464475621i</v>
      </c>
      <c r="AQ368" s="98">
        <f t="shared" si="236"/>
        <v>-26.989234166082724</v>
      </c>
      <c r="AR368" s="169">
        <f t="shared" si="237"/>
        <v>116.70991934443481</v>
      </c>
      <c r="AS368" s="168" t="str">
        <f t="shared" si="238"/>
        <v>-0.00507945031481003-0.0177028998497829i</v>
      </c>
      <c r="AT368" s="190">
        <f t="shared" si="239"/>
        <v>-34.695525061756591</v>
      </c>
      <c r="AU368" s="169">
        <f t="shared" si="240"/>
        <v>-106.0096456901568</v>
      </c>
      <c r="AV368" s="225"/>
      <c r="AX368">
        <f t="shared" si="241"/>
        <v>0</v>
      </c>
      <c r="AY368">
        <f t="shared" si="242"/>
        <v>0</v>
      </c>
    </row>
    <row r="369" spans="14:51" x14ac:dyDescent="0.3">
      <c r="N369" s="170">
        <v>51</v>
      </c>
      <c r="O369" s="199">
        <f t="shared" si="208"/>
        <v>32359.365692962871</v>
      </c>
      <c r="P369" s="189" t="str">
        <f t="shared" si="209"/>
        <v>1078.86904761905</v>
      </c>
      <c r="Q369" s="160" t="str">
        <f t="shared" si="210"/>
        <v>1+6353.74659598984i</v>
      </c>
      <c r="R369" s="160">
        <f t="shared" si="218"/>
        <v>6353.7466746835671</v>
      </c>
      <c r="S369" s="160">
        <f t="shared" si="219"/>
        <v>1.5706389393422124</v>
      </c>
      <c r="T369" s="160" t="str">
        <f t="shared" si="211"/>
        <v>1+0.0040663978214335i</v>
      </c>
      <c r="U369" s="160">
        <f t="shared" si="220"/>
        <v>1.0000082677614432</v>
      </c>
      <c r="V369" s="160">
        <f t="shared" si="221"/>
        <v>4.0663754082251339E-3</v>
      </c>
      <c r="W369" s="98" t="str">
        <f t="shared" si="212"/>
        <v>1-2.94098156037357i</v>
      </c>
      <c r="X369" s="160">
        <f t="shared" si="222"/>
        <v>3.1063439182513832</v>
      </c>
      <c r="Y369" s="160">
        <f t="shared" si="223"/>
        <v>-1.2430376219511221</v>
      </c>
      <c r="Z369" s="98" t="str">
        <f t="shared" si="213"/>
        <v>0.58114858077964+1.16162947003971i</v>
      </c>
      <c r="AA369" s="160">
        <f t="shared" si="224"/>
        <v>1.2988905645230191</v>
      </c>
      <c r="AB369" s="160">
        <f t="shared" si="225"/>
        <v>1.1069188287365073</v>
      </c>
      <c r="AC369" s="171" t="str">
        <f t="shared" si="226"/>
        <v>-0.290135388320662+0.284127345895718i</v>
      </c>
      <c r="AD369" s="190">
        <f t="shared" si="227"/>
        <v>-7.827611927484619</v>
      </c>
      <c r="AE369" s="169">
        <f t="shared" si="228"/>
        <v>135.59941712165025</v>
      </c>
      <c r="AF369" s="98" t="str">
        <f t="shared" si="214"/>
        <v>-9.95024875621891E-06</v>
      </c>
      <c r="AG369" s="98" t="str">
        <f t="shared" si="215"/>
        <v>0.203523210962747i</v>
      </c>
      <c r="AH369" s="98">
        <f t="shared" si="229"/>
        <v>0.203523210962747</v>
      </c>
      <c r="AI369" s="98">
        <f t="shared" si="230"/>
        <v>1.5707963267948966</v>
      </c>
      <c r="AJ369" s="98" t="str">
        <f t="shared" si="216"/>
        <v>1+2.03116774297378i</v>
      </c>
      <c r="AK369" s="98">
        <f t="shared" si="231"/>
        <v>2.2639881625346896</v>
      </c>
      <c r="AL369" s="98">
        <f t="shared" si="232"/>
        <v>1.1133054312820869</v>
      </c>
      <c r="AM369" s="98" t="str">
        <f t="shared" si="217"/>
        <v>1+2033.19891071675i</v>
      </c>
      <c r="AN369" s="98">
        <f t="shared" si="233"/>
        <v>2033.1991566346323</v>
      </c>
      <c r="AO369" s="98">
        <f t="shared" si="234"/>
        <v>1.5703044910408566</v>
      </c>
      <c r="AP369" s="168" t="str">
        <f t="shared" si="235"/>
        <v>-0.0193739190028417+0.039400569328509i</v>
      </c>
      <c r="AQ369" s="98">
        <f t="shared" si="236"/>
        <v>-27.149484769637514</v>
      </c>
      <c r="AR369" s="169">
        <f t="shared" si="237"/>
        <v>116.1841173656244</v>
      </c>
      <c r="AS369" s="168" t="str">
        <f t="shared" si="238"/>
        <v>-0.00557371967690696-0.0169361596680581i</v>
      </c>
      <c r="AT369" s="190">
        <f t="shared" si="239"/>
        <v>-34.977096697122157</v>
      </c>
      <c r="AU369" s="169">
        <f t="shared" si="240"/>
        <v>-108.21646551272539</v>
      </c>
      <c r="AV369" s="225"/>
      <c r="AX369">
        <f t="shared" si="241"/>
        <v>0</v>
      </c>
      <c r="AY369">
        <f t="shared" si="242"/>
        <v>0</v>
      </c>
    </row>
    <row r="370" spans="14:51" x14ac:dyDescent="0.3">
      <c r="N370" s="170">
        <v>52</v>
      </c>
      <c r="O370" s="199">
        <f t="shared" si="208"/>
        <v>33113.11214825909</v>
      </c>
      <c r="P370" s="189" t="str">
        <f t="shared" si="209"/>
        <v>1078.86904761905</v>
      </c>
      <c r="Q370" s="160" t="str">
        <f t="shared" si="210"/>
        <v>1+6501.74436640409i</v>
      </c>
      <c r="R370" s="160">
        <f t="shared" si="218"/>
        <v>6501.7444433065284</v>
      </c>
      <c r="S370" s="160">
        <f t="shared" si="219"/>
        <v>1.5706425219179652</v>
      </c>
      <c r="T370" s="160" t="str">
        <f t="shared" si="211"/>
        <v>1+0.00416111639449862i</v>
      </c>
      <c r="U370" s="160">
        <f t="shared" si="220"/>
        <v>1.000008657407349</v>
      </c>
      <c r="V370" s="160">
        <f t="shared" si="221"/>
        <v>4.1610923783243934E-3</v>
      </c>
      <c r="W370" s="98" t="str">
        <f t="shared" si="212"/>
        <v>1-3.00948582115718i</v>
      </c>
      <c r="X370" s="160">
        <f t="shared" si="222"/>
        <v>3.1712781189523738</v>
      </c>
      <c r="Y370" s="160">
        <f t="shared" si="223"/>
        <v>-1.2499916624678606</v>
      </c>
      <c r="Z370" s="98" t="str">
        <f t="shared" si="213"/>
        <v>0.561408721542727+1.18868729631844i</v>
      </c>
      <c r="AA370" s="160">
        <f t="shared" si="224"/>
        <v>1.3145939453128035</v>
      </c>
      <c r="AB370" s="160">
        <f t="shared" si="225"/>
        <v>1.129558953187449</v>
      </c>
      <c r="AC370" s="171" t="str">
        <f t="shared" si="226"/>
        <v>-0.277613962015787+0.288392727264745i</v>
      </c>
      <c r="AD370" s="190">
        <f t="shared" si="227"/>
        <v>-7.9522939695566865</v>
      </c>
      <c r="AE370" s="169">
        <f t="shared" si="228"/>
        <v>133.90901798695273</v>
      </c>
      <c r="AF370" s="98" t="str">
        <f t="shared" si="214"/>
        <v>-9.95024875621891E-06</v>
      </c>
      <c r="AG370" s="98" t="str">
        <f t="shared" si="215"/>
        <v>0.208263875544656i</v>
      </c>
      <c r="AH370" s="98">
        <f t="shared" si="229"/>
        <v>0.208263875544656</v>
      </c>
      <c r="AI370" s="98">
        <f t="shared" si="230"/>
        <v>1.5707963267948966</v>
      </c>
      <c r="AJ370" s="98" t="str">
        <f t="shared" si="216"/>
        <v>1+2.07847971753178i</v>
      </c>
      <c r="AK370" s="98">
        <f t="shared" si="231"/>
        <v>2.306529413684332</v>
      </c>
      <c r="AL370" s="98">
        <f t="shared" si="232"/>
        <v>1.1223657581611173</v>
      </c>
      <c r="AM370" s="98" t="str">
        <f t="shared" si="217"/>
        <v>1+2080.55819724931i</v>
      </c>
      <c r="AN370" s="98">
        <f t="shared" si="233"/>
        <v>2080.5584375694184</v>
      </c>
      <c r="AO370" s="98">
        <f t="shared" si="234"/>
        <v>1.5703156865877075</v>
      </c>
      <c r="AP370" s="168" t="str">
        <f t="shared" si="235"/>
        <v>-0.0186658507428019+0.0388443693021869i</v>
      </c>
      <c r="AQ370" s="98">
        <f t="shared" si="236"/>
        <v>-27.311181726580326</v>
      </c>
      <c r="AR370" s="169">
        <f t="shared" si="237"/>
        <v>115.66564033203095</v>
      </c>
      <c r="AS370" s="168" t="str">
        <f t="shared" si="238"/>
        <v>-0.00602053282283206-0.0161668348664178i</v>
      </c>
      <c r="AT370" s="190">
        <f t="shared" si="239"/>
        <v>-35.263475696137021</v>
      </c>
      <c r="AU370" s="169">
        <f t="shared" si="240"/>
        <v>-110.42534168101633</v>
      </c>
      <c r="AV370" s="225"/>
      <c r="AX370">
        <f t="shared" si="241"/>
        <v>0</v>
      </c>
      <c r="AY370">
        <f t="shared" si="242"/>
        <v>0</v>
      </c>
    </row>
    <row r="371" spans="14:51" x14ac:dyDescent="0.3">
      <c r="N371" s="170">
        <v>53</v>
      </c>
      <c r="O371" s="199">
        <f t="shared" si="208"/>
        <v>33884.41561392029</v>
      </c>
      <c r="P371" s="189" t="str">
        <f t="shared" si="209"/>
        <v>1078.86904761905</v>
      </c>
      <c r="Q371" s="160" t="str">
        <f t="shared" si="210"/>
        <v>1+6653.18944774222i</v>
      </c>
      <c r="R371" s="160">
        <f t="shared" si="218"/>
        <v>6653.1895228941448</v>
      </c>
      <c r="S371" s="160">
        <f t="shared" si="219"/>
        <v>1.5706460229443413</v>
      </c>
      <c r="T371" s="160" t="str">
        <f t="shared" si="211"/>
        <v>1+0.00425804124655502i</v>
      </c>
      <c r="U371" s="160">
        <f t="shared" si="220"/>
        <v>1.0000090654165379</v>
      </c>
      <c r="V371" s="160">
        <f t="shared" si="221"/>
        <v>4.2580155127732982E-3</v>
      </c>
      <c r="W371" s="98" t="str">
        <f t="shared" si="212"/>
        <v>1-3.07958575115845i</v>
      </c>
      <c r="X371" s="160">
        <f t="shared" si="222"/>
        <v>3.2378771438611063</v>
      </c>
      <c r="Y371" s="160">
        <f t="shared" si="223"/>
        <v>-1.2568186052144046</v>
      </c>
      <c r="Z371" s="98" t="str">
        <f t="shared" si="213"/>
        <v>0.540738551401243+1.21637538033583i</v>
      </c>
      <c r="AA371" s="160">
        <f t="shared" si="224"/>
        <v>1.3311526008909158</v>
      </c>
      <c r="AB371" s="160">
        <f t="shared" si="225"/>
        <v>1.1524846278637677</v>
      </c>
      <c r="AC371" s="171" t="str">
        <f t="shared" si="226"/>
        <v>-0.264999338366709+0.292154434672966i</v>
      </c>
      <c r="AD371" s="190">
        <f t="shared" si="227"/>
        <v>-8.0804940664774367</v>
      </c>
      <c r="AE371" s="169">
        <f t="shared" si="228"/>
        <v>132.20967127166119</v>
      </c>
      <c r="AF371" s="98" t="str">
        <f t="shared" si="214"/>
        <v>-9.95024875621891E-06</v>
      </c>
      <c r="AG371" s="98" t="str">
        <f t="shared" si="215"/>
        <v>0.213114964390078i</v>
      </c>
      <c r="AH371" s="98">
        <f t="shared" si="229"/>
        <v>0.21311496439007799</v>
      </c>
      <c r="AI371" s="98">
        <f t="shared" si="230"/>
        <v>1.5707963267948966</v>
      </c>
      <c r="AJ371" s="98" t="str">
        <f t="shared" si="216"/>
        <v>1+2.12689372954796i</v>
      </c>
      <c r="AK371" s="98">
        <f t="shared" si="231"/>
        <v>2.350250398742745</v>
      </c>
      <c r="AL371" s="98">
        <f t="shared" si="232"/>
        <v>1.1312968327178676</v>
      </c>
      <c r="AM371" s="98" t="str">
        <f t="shared" si="217"/>
        <v>1+2129.02062327751i</v>
      </c>
      <c r="AN371" s="98">
        <f t="shared" si="233"/>
        <v>2129.020858127265</v>
      </c>
      <c r="AO371" s="98">
        <f t="shared" si="234"/>
        <v>1.5703266272929155</v>
      </c>
      <c r="AP371" s="168" t="str">
        <f t="shared" si="235"/>
        <v>-0.0179778400933628+0.0382836449480974i</v>
      </c>
      <c r="AQ371" s="98">
        <f t="shared" si="236"/>
        <v>-27.474284527331939</v>
      </c>
      <c r="AR371" s="169">
        <f t="shared" si="237"/>
        <v>115.15455430964573</v>
      </c>
      <c r="AS371" s="168" t="str">
        <f t="shared" si="238"/>
        <v>-0.00642062091702831-0.0153974462906292i</v>
      </c>
      <c r="AT371" s="190">
        <f t="shared" si="239"/>
        <v>-35.554778593809374</v>
      </c>
      <c r="AU371" s="169">
        <f t="shared" si="240"/>
        <v>-112.63577441869307</v>
      </c>
      <c r="AV371" s="225"/>
      <c r="AX371">
        <f t="shared" si="241"/>
        <v>0</v>
      </c>
      <c r="AY371">
        <f t="shared" si="242"/>
        <v>0</v>
      </c>
    </row>
    <row r="372" spans="14:51" x14ac:dyDescent="0.3">
      <c r="N372" s="170">
        <v>54</v>
      </c>
      <c r="O372" s="199">
        <f t="shared" si="208"/>
        <v>34673.685045253202</v>
      </c>
      <c r="P372" s="189" t="str">
        <f t="shared" si="209"/>
        <v>1078.86904761905</v>
      </c>
      <c r="Q372" s="160" t="str">
        <f t="shared" si="210"/>
        <v>1+6808.16213819084i</v>
      </c>
      <c r="R372" s="160">
        <f t="shared" si="218"/>
        <v>6808.1622116320987</v>
      </c>
      <c r="S372" s="160">
        <f t="shared" si="219"/>
        <v>1.5706494442776313</v>
      </c>
      <c r="T372" s="160" t="str">
        <f t="shared" si="211"/>
        <v>1+0.00435722376844214i</v>
      </c>
      <c r="U372" s="160">
        <f t="shared" si="220"/>
        <v>1.000009492654429</v>
      </c>
      <c r="V372" s="160">
        <f t="shared" si="221"/>
        <v>4.3571961942123648E-3</v>
      </c>
      <c r="W372" s="98" t="str">
        <f t="shared" si="212"/>
        <v>1-3.15131851828809i</v>
      </c>
      <c r="X372" s="160">
        <f t="shared" si="222"/>
        <v>3.3061773097802001</v>
      </c>
      <c r="Y372" s="160">
        <f t="shared" si="223"/>
        <v>-1.2635195235827563</v>
      </c>
      <c r="Z372" s="98" t="str">
        <f t="shared" si="213"/>
        <v>0.519094226153035+1.24470840268048i</v>
      </c>
      <c r="AA372" s="160">
        <f t="shared" si="224"/>
        <v>1.348613296437793</v>
      </c>
      <c r="AB372" s="160">
        <f t="shared" si="225"/>
        <v>1.1756864351819392</v>
      </c>
      <c r="AC372" s="171" t="str">
        <f t="shared" si="226"/>
        <v>-0.252314709185986+0.295403170663667i</v>
      </c>
      <c r="AD372" s="190">
        <f t="shared" si="227"/>
        <v>-8.2123666966145539</v>
      </c>
      <c r="AE372" s="169">
        <f t="shared" si="228"/>
        <v>130.50185790038387</v>
      </c>
      <c r="AF372" s="98" t="str">
        <f t="shared" si="214"/>
        <v>-9.95024875621891E-06</v>
      </c>
      <c r="AG372" s="98" t="str">
        <f t="shared" si="215"/>
        <v>0.21807904961053i</v>
      </c>
      <c r="AH372" s="98">
        <f t="shared" si="229"/>
        <v>0.21807904961053001</v>
      </c>
      <c r="AI372" s="98">
        <f t="shared" si="230"/>
        <v>1.5707963267948966</v>
      </c>
      <c r="AJ372" s="98" t="str">
        <f t="shared" si="216"/>
        <v>1+2.1764354487723i</v>
      </c>
      <c r="AK372" s="98">
        <f t="shared" si="231"/>
        <v>2.3951766662759306</v>
      </c>
      <c r="AL372" s="98">
        <f t="shared" si="232"/>
        <v>1.1400976902936799</v>
      </c>
      <c r="AM372" s="98" t="str">
        <f t="shared" si="217"/>
        <v>1+2178.61188422107i</v>
      </c>
      <c r="AN372" s="98">
        <f t="shared" si="233"/>
        <v>2178.6121137249929</v>
      </c>
      <c r="AO372" s="98">
        <f t="shared" si="234"/>
        <v>1.570337318957377</v>
      </c>
      <c r="AP372" s="168" t="str">
        <f t="shared" si="235"/>
        <v>-0.0173097453559992+0.0377191702000717i</v>
      </c>
      <c r="AQ372" s="98">
        <f t="shared" si="236"/>
        <v>-27.638752912479724</v>
      </c>
      <c r="AR372" s="169">
        <f t="shared" si="237"/>
        <v>114.65091490170552</v>
      </c>
      <c r="AS372" s="168" t="str">
        <f t="shared" si="238"/>
        <v>-0.00677485910632127-0.0146304551213106i</v>
      </c>
      <c r="AT372" s="190">
        <f t="shared" si="239"/>
        <v>-35.851119609094305</v>
      </c>
      <c r="AU372" s="169">
        <f t="shared" si="240"/>
        <v>-114.84722719791063</v>
      </c>
      <c r="AV372" s="225"/>
      <c r="AX372">
        <f t="shared" si="241"/>
        <v>0</v>
      </c>
      <c r="AY372">
        <f t="shared" si="242"/>
        <v>0</v>
      </c>
    </row>
    <row r="373" spans="14:51" x14ac:dyDescent="0.3">
      <c r="N373" s="170">
        <v>55</v>
      </c>
      <c r="O373" s="199">
        <f t="shared" si="208"/>
        <v>35481.33892335758</v>
      </c>
      <c r="P373" s="189" t="str">
        <f t="shared" si="209"/>
        <v>1078.86904761905</v>
      </c>
      <c r="Q373" s="160" t="str">
        <f t="shared" si="210"/>
        <v>1+6966.74460632187i</v>
      </c>
      <c r="R373" s="160">
        <f t="shared" si="218"/>
        <v>6966.7446780914024</v>
      </c>
      <c r="S373" s="160">
        <f t="shared" si="219"/>
        <v>1.5706527877318708</v>
      </c>
      <c r="T373" s="160" t="str">
        <f t="shared" si="211"/>
        <v>1+0.004458716548046i</v>
      </c>
      <c r="U373" s="160">
        <f t="shared" si="220"/>
        <v>1.0000099400272258</v>
      </c>
      <c r="V373" s="160">
        <f t="shared" si="221"/>
        <v>4.4586870017423305E-3</v>
      </c>
      <c r="W373" s="98" t="str">
        <f t="shared" si="212"/>
        <v>1-3.22472215620879i</v>
      </c>
      <c r="X373" s="160">
        <f t="shared" si="222"/>
        <v>3.3762157787593887</v>
      </c>
      <c r="Y373" s="160">
        <f t="shared" si="223"/>
        <v>-1.2700955625528987</v>
      </c>
      <c r="Z373" s="98" t="str">
        <f t="shared" si="213"/>
        <v>0.496429835282329+1.27370138589592i</v>
      </c>
      <c r="AA373" s="160">
        <f t="shared" si="224"/>
        <v>1.3670251650176846</v>
      </c>
      <c r="AB373" s="160">
        <f t="shared" si="225"/>
        <v>1.1991540492275827</v>
      </c>
      <c r="AC373" s="171" t="str">
        <f t="shared" si="226"/>
        <v>-0.239584580623003+0.29813112853897i</v>
      </c>
      <c r="AD373" s="190">
        <f t="shared" si="227"/>
        <v>-8.3480631658438362</v>
      </c>
      <c r="AE373" s="169">
        <f t="shared" si="228"/>
        <v>128.78610681053775</v>
      </c>
      <c r="AF373" s="98" t="str">
        <f t="shared" si="214"/>
        <v>-9.95024875621891E-06</v>
      </c>
      <c r="AG373" s="98" t="str">
        <f t="shared" si="215"/>
        <v>0.223158763229702i</v>
      </c>
      <c r="AH373" s="98">
        <f t="shared" si="229"/>
        <v>0.22315876322970199</v>
      </c>
      <c r="AI373" s="98">
        <f t="shared" si="230"/>
        <v>1.5707963267948966</v>
      </c>
      <c r="AJ373" s="98" t="str">
        <f t="shared" si="216"/>
        <v>1+2.22713114288012i</v>
      </c>
      <c r="AK373" s="98">
        <f t="shared" si="231"/>
        <v>2.4413342924692865</v>
      </c>
      <c r="AL373" s="98">
        <f t="shared" si="232"/>
        <v>1.1487675428297524</v>
      </c>
      <c r="AM373" s="98" t="str">
        <f t="shared" si="217"/>
        <v>1+2229.358274023i</v>
      </c>
      <c r="AN373" s="98">
        <f t="shared" si="233"/>
        <v>2229.3584983027763</v>
      </c>
      <c r="AO373" s="98">
        <f t="shared" si="234"/>
        <v>1.5703477672499444</v>
      </c>
      <c r="AP373" s="168" t="str">
        <f t="shared" si="235"/>
        <v>-0.0166613919184495+0.0371516930306406i</v>
      </c>
      <c r="AQ373" s="98">
        <f t="shared" si="236"/>
        <v>-27.804546941549283</v>
      </c>
      <c r="AR373" s="169">
        <f t="shared" si="237"/>
        <v>114.15476758545512</v>
      </c>
      <c r="AS373" s="168" t="str">
        <f t="shared" si="238"/>
        <v>-0.00708426357498105-0.013868252369858i</v>
      </c>
      <c r="AT373" s="190">
        <f t="shared" si="239"/>
        <v>-36.152610107393116</v>
      </c>
      <c r="AU373" s="169">
        <f t="shared" si="240"/>
        <v>-117.05912560400711</v>
      </c>
      <c r="AV373" s="225"/>
      <c r="AX373">
        <f t="shared" si="241"/>
        <v>0</v>
      </c>
      <c r="AY373">
        <f t="shared" si="242"/>
        <v>0</v>
      </c>
    </row>
    <row r="374" spans="14:51" x14ac:dyDescent="0.3">
      <c r="N374" s="170">
        <v>56</v>
      </c>
      <c r="O374" s="199">
        <f t="shared" si="208"/>
        <v>36307.805477010232</v>
      </c>
      <c r="P374" s="189" t="str">
        <f t="shared" si="209"/>
        <v>1078.86904761905</v>
      </c>
      <c r="Q374" s="160" t="str">
        <f t="shared" si="210"/>
        <v>1+7129.02093465891i</v>
      </c>
      <c r="R374" s="160">
        <f t="shared" si="218"/>
        <v>7129.0210047947667</v>
      </c>
      <c r="S374" s="160">
        <f t="shared" si="219"/>
        <v>1.5706560550798032</v>
      </c>
      <c r="T374" s="160" t="str">
        <f t="shared" si="211"/>
        <v>1+0.0045625733981817i</v>
      </c>
      <c r="U374" s="160">
        <f t="shared" si="220"/>
        <v>1.0000104084838386</v>
      </c>
      <c r="V374" s="160">
        <f t="shared" si="221"/>
        <v>4.5625417387647168E-3</v>
      </c>
      <c r="W374" s="98" t="str">
        <f t="shared" si="212"/>
        <v>1-3.29983558450093i</v>
      </c>
      <c r="X374" s="160">
        <f t="shared" si="222"/>
        <v>3.4480305805979441</v>
      </c>
      <c r="Y374" s="160">
        <f t="shared" si="223"/>
        <v>-1.2765479330039693</v>
      </c>
      <c r="Z374" s="98" t="str">
        <f t="shared" si="213"/>
        <v>0.472697304577434+1.30336970244557i</v>
      </c>
      <c r="AA374" s="160">
        <f t="shared" si="224"/>
        <v>1.3864398014366959</v>
      </c>
      <c r="AB374" s="160">
        <f t="shared" si="225"/>
        <v>1.2228762339008836</v>
      </c>
      <c r="AC374" s="171" t="str">
        <f t="shared" si="226"/>
        <v>-0.226834658193714+0.300332157601329i</v>
      </c>
      <c r="AD374" s="190">
        <f t="shared" si="227"/>
        <v>-8.4877309800414444</v>
      </c>
      <c r="AE374" s="169">
        <f t="shared" si="228"/>
        <v>127.0629953860935</v>
      </c>
      <c r="AF374" s="98" t="str">
        <f t="shared" si="214"/>
        <v>-9.95024875621891E-06</v>
      </c>
      <c r="AG374" s="98" t="str">
        <f t="shared" si="215"/>
        <v>0.228356798578994i</v>
      </c>
      <c r="AH374" s="98">
        <f t="shared" si="229"/>
        <v>0.22835679857899399</v>
      </c>
      <c r="AI374" s="98">
        <f t="shared" si="230"/>
        <v>1.5707963267948966</v>
      </c>
      <c r="AJ374" s="98" t="str">
        <f t="shared" si="216"/>
        <v>1+2.27900769139945i</v>
      </c>
      <c r="AK374" s="98">
        <f t="shared" si="231"/>
        <v>2.4887498985349756</v>
      </c>
      <c r="AL374" s="98">
        <f t="shared" si="232"/>
        <v>1.1573057727130129</v>
      </c>
      <c r="AM374" s="98" t="str">
        <f t="shared" si="217"/>
        <v>1+2281.28669909085i</v>
      </c>
      <c r="AN374" s="98">
        <f t="shared" si="233"/>
        <v>2281.2869182653958</v>
      </c>
      <c r="AO374" s="98">
        <f t="shared" si="234"/>
        <v>1.5703579777104311</v>
      </c>
      <c r="AP374" s="168" t="str">
        <f t="shared" si="235"/>
        <v>-0.0160325747199035+0.0365819343534612i</v>
      </c>
      <c r="AQ374" s="98">
        <f t="shared" si="236"/>
        <v>-27.971627056810174</v>
      </c>
      <c r="AR374" s="169">
        <f t="shared" si="237"/>
        <v>113.66614806492454</v>
      </c>
      <c r="AS374" s="168" t="str">
        <f t="shared" si="238"/>
        <v>-0.00734998766705069-0.0131131483326654i</v>
      </c>
      <c r="AT374" s="190">
        <f t="shared" si="239"/>
        <v>-36.459358036851619</v>
      </c>
      <c r="AU374" s="169">
        <f t="shared" si="240"/>
        <v>-119.27085654898194</v>
      </c>
      <c r="AV374" s="225"/>
      <c r="AX374">
        <f t="shared" si="241"/>
        <v>0</v>
      </c>
      <c r="AY374">
        <f t="shared" si="242"/>
        <v>0</v>
      </c>
    </row>
    <row r="375" spans="14:51" x14ac:dyDescent="0.3">
      <c r="N375" s="170">
        <v>57</v>
      </c>
      <c r="O375" s="199">
        <f t="shared" si="208"/>
        <v>37153.522909717351</v>
      </c>
      <c r="P375" s="189" t="str">
        <f t="shared" si="209"/>
        <v>1078.86904761905</v>
      </c>
      <c r="Q375" s="160" t="str">
        <f t="shared" si="210"/>
        <v>1+7295.07716425925i</v>
      </c>
      <c r="R375" s="160">
        <f t="shared" si="218"/>
        <v>7295.0772327986215</v>
      </c>
      <c r="S375" s="160">
        <f t="shared" si="219"/>
        <v>1.5706592480538195</v>
      </c>
      <c r="T375" s="160" t="str">
        <f t="shared" si="211"/>
        <v>1+0.00466884938512592i</v>
      </c>
      <c r="U375" s="160">
        <f t="shared" si="220"/>
        <v>1.0000108990178962</v>
      </c>
      <c r="V375" s="160">
        <f t="shared" si="221"/>
        <v>4.6688154614693989E-3</v>
      </c>
      <c r="W375" s="98" t="str">
        <f t="shared" si="212"/>
        <v>1-3.37669862929847i</v>
      </c>
      <c r="X375" s="160">
        <f t="shared" si="222"/>
        <v>3.5216606357095461</v>
      </c>
      <c r="Y375" s="160">
        <f t="shared" si="223"/>
        <v>-1.2828779062245579</v>
      </c>
      <c r="Z375" s="98" t="str">
        <f t="shared" si="213"/>
        <v>0.447846294158843+1.33372908286361i</v>
      </c>
      <c r="AA375" s="160">
        <f t="shared" si="224"/>
        <v>1.4069113581416617</v>
      </c>
      <c r="AB375" s="160">
        <f t="shared" si="225"/>
        <v>1.2468408477508577</v>
      </c>
      <c r="AC375" s="171" t="str">
        <f t="shared" si="226"/>
        <v>-0.214091709457649+0.302001919837973i</v>
      </c>
      <c r="AD375" s="190">
        <f t="shared" si="227"/>
        <v>-8.631513201466511</v>
      </c>
      <c r="AE375" s="169">
        <f t="shared" si="228"/>
        <v>125.33314949670755</v>
      </c>
      <c r="AF375" s="98" t="str">
        <f t="shared" si="214"/>
        <v>-9.95024875621891E-06</v>
      </c>
      <c r="AG375" s="98" t="str">
        <f t="shared" si="215"/>
        <v>0.233675911725553i</v>
      </c>
      <c r="AH375" s="98">
        <f t="shared" si="229"/>
        <v>0.23367591172555299</v>
      </c>
      <c r="AI375" s="98">
        <f t="shared" si="230"/>
        <v>1.5707963267948966</v>
      </c>
      <c r="AJ375" s="98" t="str">
        <f t="shared" si="216"/>
        <v>1+2.332092599963i</v>
      </c>
      <c r="AK375" s="98">
        <f t="shared" si="231"/>
        <v>2.5374506684470113</v>
      </c>
      <c r="AL375" s="98">
        <f t="shared" si="232"/>
        <v>1.1657119263920039</v>
      </c>
      <c r="AM375" s="98" t="str">
        <f t="shared" si="217"/>
        <v>1+2334.42469256296i</v>
      </c>
      <c r="AN375" s="98">
        <f t="shared" si="233"/>
        <v>2334.4249067484843</v>
      </c>
      <c r="AO375" s="98">
        <f t="shared" si="234"/>
        <v>1.5703679557525501</v>
      </c>
      <c r="AP375" s="168" t="str">
        <f t="shared" si="235"/>
        <v>-0.015423060700787+0.0360105871346003i</v>
      </c>
      <c r="AQ375" s="98">
        <f t="shared" si="236"/>
        <v>-28.139954142129007</v>
      </c>
      <c r="AR375" s="169">
        <f t="shared" si="237"/>
        <v>113.18508263688122</v>
      </c>
      <c r="AS375" s="168" t="str">
        <f t="shared" si="238"/>
        <v>-0.00757331701864133-0.0123673620996355i</v>
      </c>
      <c r="AT375" s="190">
        <f t="shared" si="239"/>
        <v>-36.771467343595504</v>
      </c>
      <c r="AU375" s="169">
        <f t="shared" si="240"/>
        <v>-121.48176786641118</v>
      </c>
      <c r="AV375" s="225"/>
      <c r="AX375">
        <f t="shared" si="241"/>
        <v>0</v>
      </c>
      <c r="AY375">
        <f t="shared" si="242"/>
        <v>0</v>
      </c>
    </row>
    <row r="376" spans="14:51" x14ac:dyDescent="0.3">
      <c r="N376" s="170">
        <v>58</v>
      </c>
      <c r="O376" s="199">
        <f t="shared" si="208"/>
        <v>38018.939632056143</v>
      </c>
      <c r="P376" s="189" t="str">
        <f t="shared" si="209"/>
        <v>1078.86904761905</v>
      </c>
      <c r="Q376" s="160" t="str">
        <f t="shared" si="210"/>
        <v>1+7465.00134033384i</v>
      </c>
      <c r="R376" s="160">
        <f t="shared" si="218"/>
        <v>7465.0014073130642</v>
      </c>
      <c r="S376" s="160">
        <f t="shared" si="219"/>
        <v>1.5706623683468766</v>
      </c>
      <c r="T376" s="160" t="str">
        <f t="shared" si="211"/>
        <v>1+0.00477760085781366i</v>
      </c>
      <c r="U376" s="160">
        <f t="shared" si="220"/>
        <v>1.0000114126698538</v>
      </c>
      <c r="V376" s="160">
        <f t="shared" si="221"/>
        <v>4.7775645079831987E-3</v>
      </c>
      <c r="W376" s="98" t="str">
        <f t="shared" si="212"/>
        <v>1-3.45535204440515i</v>
      </c>
      <c r="X376" s="160">
        <f t="shared" si="222"/>
        <v>3.5971457783602334</v>
      </c>
      <c r="Y376" s="160">
        <f t="shared" si="223"/>
        <v>-1.2890868086280052</v>
      </c>
      <c r="Z376" s="98" t="str">
        <f t="shared" si="213"/>
        <v>0.421824091701627+1.36479562409537i</v>
      </c>
      <c r="AA376" s="160">
        <f t="shared" si="224"/>
        <v>1.4284966432896415</v>
      </c>
      <c r="AB376" s="160">
        <f t="shared" si="225"/>
        <v>1.2710348559459153</v>
      </c>
      <c r="AC376" s="171" t="str">
        <f t="shared" si="226"/>
        <v>-0.2013834047827+0.303138034726074i</v>
      </c>
      <c r="AD376" s="190">
        <f t="shared" si="227"/>
        <v>-8.7795477949430154</v>
      </c>
      <c r="AE376" s="169">
        <f t="shared" si="228"/>
        <v>123.59724311626796</v>
      </c>
      <c r="AF376" s="98" t="str">
        <f t="shared" si="214"/>
        <v>-9.95024875621891E-06</v>
      </c>
      <c r="AG376" s="98" t="str">
        <f t="shared" si="215"/>
        <v>0.239118922933574i</v>
      </c>
      <c r="AH376" s="98">
        <f t="shared" si="229"/>
        <v>0.23911892293357401</v>
      </c>
      <c r="AI376" s="98">
        <f t="shared" si="230"/>
        <v>1.5707963267948966</v>
      </c>
      <c r="AJ376" s="98" t="str">
        <f t="shared" si="216"/>
        <v>1+2.38641401489194i</v>
      </c>
      <c r="AK376" s="98">
        <f t="shared" si="231"/>
        <v>2.5874643669957407</v>
      </c>
      <c r="AL376" s="98">
        <f t="shared" si="232"/>
        <v>1.1739857078099609</v>
      </c>
      <c r="AM376" s="98" t="str">
        <f t="shared" si="217"/>
        <v>1+2388.80042890683i</v>
      </c>
      <c r="AN376" s="98">
        <f t="shared" si="233"/>
        <v>2388.8006382168974</v>
      </c>
      <c r="AO376" s="98">
        <f t="shared" si="234"/>
        <v>1.5703777066667834</v>
      </c>
      <c r="AP376" s="168" t="str">
        <f t="shared" si="235"/>
        <v>-0.0148325912214259+0.0354383157023635i</v>
      </c>
      <c r="AQ376" s="98">
        <f t="shared" si="236"/>
        <v>-28.309489576917684</v>
      </c>
      <c r="AR376" s="169">
        <f t="shared" si="237"/>
        <v>112.71158856725052</v>
      </c>
      <c r="AS376" s="168" t="str">
        <f t="shared" si="238"/>
        <v>-0.0077556636540959-0.0116330112286644i</v>
      </c>
      <c r="AT376" s="190">
        <f t="shared" si="239"/>
        <v>-37.089037371860726</v>
      </c>
      <c r="AU376" s="169">
        <f t="shared" si="240"/>
        <v>-123.69116831648161</v>
      </c>
      <c r="AV376" s="225"/>
      <c r="AX376">
        <f t="shared" si="241"/>
        <v>0</v>
      </c>
      <c r="AY376">
        <f t="shared" si="242"/>
        <v>0</v>
      </c>
    </row>
    <row r="377" spans="14:51" x14ac:dyDescent="0.3">
      <c r="N377" s="170">
        <v>59</v>
      </c>
      <c r="O377" s="199">
        <f t="shared" si="208"/>
        <v>38904.514499428085</v>
      </c>
      <c r="P377" s="189" t="str">
        <f t="shared" si="209"/>
        <v>1078.86904761905</v>
      </c>
      <c r="Q377" s="160" t="str">
        <f t="shared" si="210"/>
        <v>1+7638.88355893006i</v>
      </c>
      <c r="R377" s="160">
        <f t="shared" si="218"/>
        <v>7638.8836243846499</v>
      </c>
      <c r="S377" s="160">
        <f t="shared" si="219"/>
        <v>1.5706654176133947</v>
      </c>
      <c r="T377" s="160" t="str">
        <f t="shared" si="211"/>
        <v>1+0.00488888547771524i</v>
      </c>
      <c r="U377" s="160">
        <f t="shared" si="220"/>
        <v>1.0000119505291996</v>
      </c>
      <c r="V377" s="160">
        <f t="shared" si="221"/>
        <v>4.888846528195297E-3</v>
      </c>
      <c r="W377" s="98" t="str">
        <f t="shared" si="212"/>
        <v>1-3.53583753290277i</v>
      </c>
      <c r="X377" s="160">
        <f t="shared" si="222"/>
        <v>3.674526780292116</v>
      </c>
      <c r="Y377" s="160">
        <f t="shared" si="223"/>
        <v>-1.2951760166770243</v>
      </c>
      <c r="Z377" s="98" t="str">
        <f t="shared" si="213"/>
        <v>0.394575500625514+1.39658579803223i</v>
      </c>
      <c r="AA377" s="160">
        <f t="shared" si="224"/>
        <v>1.4512552211651801</v>
      </c>
      <c r="AB377" s="160">
        <f t="shared" si="225"/>
        <v>1.2954443497478492</v>
      </c>
      <c r="AC377" s="171" t="str">
        <f t="shared" si="226"/>
        <v>-0.188738137175295+0.303740208790162i</v>
      </c>
      <c r="AD377" s="190">
        <f t="shared" si="227"/>
        <v>-8.9319669704955036</v>
      </c>
      <c r="AE377" s="169">
        <f t="shared" si="228"/>
        <v>121.85599749957227</v>
      </c>
      <c r="AF377" s="98" t="str">
        <f t="shared" si="214"/>
        <v>-9.95024875621891E-06</v>
      </c>
      <c r="AG377" s="98" t="str">
        <f t="shared" si="215"/>
        <v>0.244688718159648i</v>
      </c>
      <c r="AH377" s="98">
        <f t="shared" si="229"/>
        <v>0.24468871815964799</v>
      </c>
      <c r="AI377" s="98">
        <f t="shared" si="230"/>
        <v>1.5707963267948966</v>
      </c>
      <c r="AJ377" s="98" t="str">
        <f t="shared" si="216"/>
        <v>1+2.4420007381195i</v>
      </c>
      <c r="AK377" s="98">
        <f t="shared" si="231"/>
        <v>2.6388193581554953</v>
      </c>
      <c r="AL377" s="98">
        <f t="shared" si="232"/>
        <v>1.1821269716998921</v>
      </c>
      <c r="AM377" s="98" t="str">
        <f t="shared" si="217"/>
        <v>1+2444.44273885762i</v>
      </c>
      <c r="AN377" s="98">
        <f t="shared" si="233"/>
        <v>2444.4429434032086</v>
      </c>
      <c r="AO377" s="98">
        <f t="shared" si="234"/>
        <v>1.5703872356231876</v>
      </c>
      <c r="AP377" s="168" t="str">
        <f t="shared" si="235"/>
        <v>-0.0142608844355782+0.0348657552444878i</v>
      </c>
      <c r="AQ377" s="98">
        <f t="shared" si="236"/>
        <v>-28.480195285253785</v>
      </c>
      <c r="AR377" s="169">
        <f t="shared" si="237"/>
        <v>112.2456744754403</v>
      </c>
      <c r="AS377" s="168" t="str">
        <f t="shared" si="238"/>
        <v>-0.00789855901474422-0.0109121017120493i</v>
      </c>
      <c r="AT377" s="190">
        <f t="shared" si="239"/>
        <v>-37.412162255749287</v>
      </c>
      <c r="AU377" s="169">
        <f t="shared" si="240"/>
        <v>-125.89832802498739</v>
      </c>
      <c r="AV377" s="225"/>
      <c r="AX377">
        <f t="shared" si="241"/>
        <v>0</v>
      </c>
      <c r="AY377">
        <f t="shared" si="242"/>
        <v>0</v>
      </c>
    </row>
    <row r="378" spans="14:51" x14ac:dyDescent="0.3">
      <c r="N378" s="170">
        <v>60</v>
      </c>
      <c r="O378" s="199">
        <f t="shared" si="208"/>
        <v>39810.717055349742</v>
      </c>
      <c r="P378" s="189" t="str">
        <f t="shared" si="209"/>
        <v>1078.86904761905</v>
      </c>
      <c r="Q378" s="160" t="str">
        <f t="shared" si="210"/>
        <v>1+7816.81601470178i</v>
      </c>
      <c r="R378" s="160">
        <f t="shared" si="218"/>
        <v>7816.8160786664421</v>
      </c>
      <c r="S378" s="160">
        <f t="shared" si="219"/>
        <v>1.5706683974701352</v>
      </c>
      <c r="T378" s="160" t="str">
        <f t="shared" si="211"/>
        <v>1+0.00500276224940914i</v>
      </c>
      <c r="U378" s="160">
        <f t="shared" si="220"/>
        <v>1.0000125137367653</v>
      </c>
      <c r="V378" s="160">
        <f t="shared" si="221"/>
        <v>5.0027205142747985E-3</v>
      </c>
      <c r="W378" s="98" t="str">
        <f t="shared" si="212"/>
        <v>1-3.61819776926267i</v>
      </c>
      <c r="X378" s="160">
        <f t="shared" si="222"/>
        <v>3.7538453747453908</v>
      </c>
      <c r="Y378" s="160">
        <f t="shared" si="223"/>
        <v>-1.3011469520203491</v>
      </c>
      <c r="Z378" s="98" t="str">
        <f t="shared" si="213"/>
        <v>0.366042723015554+1.4291164602452i</v>
      </c>
      <c r="AA378" s="160">
        <f t="shared" si="224"/>
        <v>1.4752495151724039</v>
      </c>
      <c r="AB378" s="160">
        <f t="shared" si="225"/>
        <v>1.3200545737591032</v>
      </c>
      <c r="AC378" s="171" t="str">
        <f t="shared" si="226"/>
        <v>-0.176184822719082+0.303810346591544i</v>
      </c>
      <c r="AD378" s="190">
        <f t="shared" si="227"/>
        <v>-9.0888965297376121</v>
      </c>
      <c r="AE378" s="169">
        <f t="shared" si="228"/>
        <v>120.11017990152179</v>
      </c>
      <c r="AF378" s="98" t="str">
        <f t="shared" si="214"/>
        <v>-9.95024875621891E-06</v>
      </c>
      <c r="AG378" s="98" t="str">
        <f t="shared" si="215"/>
        <v>0.250388250582928i</v>
      </c>
      <c r="AH378" s="98">
        <f t="shared" si="229"/>
        <v>0.25038825058292802</v>
      </c>
      <c r="AI378" s="98">
        <f t="shared" si="230"/>
        <v>1.5707963267948966</v>
      </c>
      <c r="AJ378" s="98" t="str">
        <f t="shared" si="216"/>
        <v>1+2.49888224246211i</v>
      </c>
      <c r="AK378" s="98">
        <f t="shared" si="231"/>
        <v>2.6915446237602048</v>
      </c>
      <c r="AL378" s="98">
        <f t="shared" si="232"/>
        <v>1.1901357167837054</v>
      </c>
      <c r="AM378" s="98" t="str">
        <f t="shared" si="217"/>
        <v>1+2501.38112470457i</v>
      </c>
      <c r="AN378" s="98">
        <f t="shared" si="233"/>
        <v>2501.3813245941328</v>
      </c>
      <c r="AO378" s="98">
        <f t="shared" si="234"/>
        <v>1.5703965476741344</v>
      </c>
      <c r="AP378" s="168" t="str">
        <f t="shared" si="235"/>
        <v>-0.0137076376065167+0.0342935114808611i</v>
      </c>
      <c r="AQ378" s="98">
        <f t="shared" si="236"/>
        <v>-28.652033780276209</v>
      </c>
      <c r="AR378" s="169">
        <f t="shared" si="237"/>
        <v>111.78734072415946</v>
      </c>
      <c r="AS378" s="168" t="str">
        <f t="shared" si="238"/>
        <v>-0.00800364590723994-0.0102065183728574i</v>
      </c>
      <c r="AT378" s="190">
        <f t="shared" si="239"/>
        <v>-37.740930310013844</v>
      </c>
      <c r="AU378" s="169">
        <f t="shared" si="240"/>
        <v>-128.10247937431885</v>
      </c>
      <c r="AV378" s="225"/>
      <c r="AX378">
        <f t="shared" si="241"/>
        <v>0</v>
      </c>
      <c r="AY378">
        <f t="shared" si="242"/>
        <v>0</v>
      </c>
    </row>
    <row r="379" spans="14:51" x14ac:dyDescent="0.3">
      <c r="N379" s="170">
        <v>61</v>
      </c>
      <c r="O379" s="199">
        <f t="shared" si="208"/>
        <v>40738.027780411358</v>
      </c>
      <c r="P379" s="189" t="str">
        <f t="shared" si="209"/>
        <v>1078.86904761905</v>
      </c>
      <c r="Q379" s="160" t="str">
        <f t="shared" si="210"/>
        <v>1+7998.89304979231i</v>
      </c>
      <c r="R379" s="160">
        <f t="shared" si="218"/>
        <v>7998.8931123009597</v>
      </c>
      <c r="S379" s="160">
        <f t="shared" si="219"/>
        <v>1.5706713094970575</v>
      </c>
      <c r="T379" s="160" t="str">
        <f t="shared" si="211"/>
        <v>1+0.00511929155186708i</v>
      </c>
      <c r="U379" s="160">
        <f t="shared" si="220"/>
        <v>1.0000131034871458</v>
      </c>
      <c r="V379" s="160">
        <f t="shared" si="221"/>
        <v>5.1192468318965734E-3</v>
      </c>
      <c r="W379" s="98" t="str">
        <f t="shared" si="212"/>
        <v>1-3.70247642197235i</v>
      </c>
      <c r="X379" s="160">
        <f t="shared" si="222"/>
        <v>3.8351442808923339</v>
      </c>
      <c r="Y379" s="160">
        <f t="shared" si="223"/>
        <v>-1.3070010768427702</v>
      </c>
      <c r="Z379" s="98" t="str">
        <f t="shared" si="213"/>
        <v>0.336165237024974+1.46240485892199i</v>
      </c>
      <c r="AA379" s="160">
        <f t="shared" si="224"/>
        <v>1.5005449136839264</v>
      </c>
      <c r="AB379" s="160">
        <f t="shared" si="225"/>
        <v>1.3448499611016569</v>
      </c>
      <c r="AC379" s="171" t="str">
        <f t="shared" si="226"/>
        <v>-0.16375268374003+0.303352639980692i</v>
      </c>
      <c r="AD379" s="190">
        <f t="shared" si="227"/>
        <v>-9.2504552238554361</v>
      </c>
      <c r="AE379" s="169">
        <f t="shared" si="228"/>
        <v>118.3606018296832</v>
      </c>
      <c r="AF379" s="98" t="str">
        <f t="shared" si="214"/>
        <v>-9.95024875621891E-06</v>
      </c>
      <c r="AG379" s="98" t="str">
        <f t="shared" si="215"/>
        <v>0.256220542170948i</v>
      </c>
      <c r="AH379" s="98">
        <f t="shared" si="229"/>
        <v>0.25622054217094797</v>
      </c>
      <c r="AI379" s="98">
        <f t="shared" si="230"/>
        <v>1.5707963267948966</v>
      </c>
      <c r="AJ379" s="98" t="str">
        <f t="shared" si="216"/>
        <v>1+2.55708868724629i</v>
      </c>
      <c r="AK379" s="98">
        <f t="shared" si="231"/>
        <v>2.7456697824834939</v>
      </c>
      <c r="AL379" s="98">
        <f t="shared" si="232"/>
        <v>1.1980120789146824</v>
      </c>
      <c r="AM379" s="98" t="str">
        <f t="shared" si="217"/>
        <v>1+2559.64577593354i</v>
      </c>
      <c r="AN379" s="98">
        <f t="shared" si="233"/>
        <v>2559.6459712730611</v>
      </c>
      <c r="AO379" s="98">
        <f t="shared" si="234"/>
        <v>1.5704056477569901</v>
      </c>
      <c r="AP379" s="168" t="str">
        <f t="shared" si="235"/>
        <v>-0.0131725293550001+0.0337221604994749i</v>
      </c>
      <c r="AQ379" s="98">
        <f t="shared" si="236"/>
        <v>-28.824968203983275</v>
      </c>
      <c r="AR379" s="169">
        <f t="shared" si="237"/>
        <v>111.3365798124787</v>
      </c>
      <c r="AS379" s="168" t="str">
        <f t="shared" si="238"/>
        <v>-0.00807266937984273-0.00951801583836349i</v>
      </c>
      <c r="AT379" s="190">
        <f t="shared" si="239"/>
        <v>-38.075423427838707</v>
      </c>
      <c r="AU379" s="169">
        <f t="shared" si="240"/>
        <v>-130.30281835783808</v>
      </c>
      <c r="AV379" s="225"/>
      <c r="AX379">
        <f t="shared" si="241"/>
        <v>0</v>
      </c>
      <c r="AY379">
        <f t="shared" si="242"/>
        <v>0</v>
      </c>
    </row>
    <row r="380" spans="14:51" x14ac:dyDescent="0.3">
      <c r="N380" s="170">
        <v>62</v>
      </c>
      <c r="O380" s="199">
        <f t="shared" si="208"/>
        <v>41686.938347033625</v>
      </c>
      <c r="P380" s="189" t="str">
        <f t="shared" si="209"/>
        <v>1078.86904761905</v>
      </c>
      <c r="Q380" s="160" t="str">
        <f t="shared" si="210"/>
        <v>1+8185.21120385572i</v>
      </c>
      <c r="R380" s="160">
        <f t="shared" si="218"/>
        <v>8185.2112649414985</v>
      </c>
      <c r="S380" s="160">
        <f t="shared" si="219"/>
        <v>1.5706741552381562</v>
      </c>
      <c r="T380" s="160" t="str">
        <f t="shared" si="211"/>
        <v>1+0.00523853517046766i</v>
      </c>
      <c r="U380" s="160">
        <f t="shared" si="220"/>
        <v>1.0000137210312328</v>
      </c>
      <c r="V380" s="160">
        <f t="shared" si="221"/>
        <v>5.2384872521914431E-3</v>
      </c>
      <c r="W380" s="98" t="str">
        <f t="shared" si="212"/>
        <v>1-3.78871817668903i</v>
      </c>
      <c r="X380" s="160">
        <f t="shared" si="222"/>
        <v>3.9184672286971916</v>
      </c>
      <c r="Y380" s="160">
        <f t="shared" si="223"/>
        <v>-1.3127398894286371</v>
      </c>
      <c r="Z380" s="98" t="str">
        <f t="shared" si="213"/>
        <v>0.304879668500245+1.4964686440122i</v>
      </c>
      <c r="AA380" s="160">
        <f t="shared" si="224"/>
        <v>1.5272098790855602</v>
      </c>
      <c r="AB380" s="160">
        <f t="shared" si="225"/>
        <v>1.3698141765610625</v>
      </c>
      <c r="AC380" s="171" t="str">
        <f t="shared" si="226"/>
        <v>-0.151471017380308+0.30237363270345i</v>
      </c>
      <c r="AD380" s="190">
        <f t="shared" si="227"/>
        <v>-9.4167541314236765</v>
      </c>
      <c r="AE380" s="169">
        <f t="shared" si="228"/>
        <v>116.60811682829329</v>
      </c>
      <c r="AF380" s="98" t="str">
        <f t="shared" si="214"/>
        <v>-9.95024875621891E-06</v>
      </c>
      <c r="AG380" s="98" t="str">
        <f t="shared" si="215"/>
        <v>0.262188685281906i</v>
      </c>
      <c r="AH380" s="98">
        <f t="shared" si="229"/>
        <v>0.26218868528190598</v>
      </c>
      <c r="AI380" s="98">
        <f t="shared" si="230"/>
        <v>1.5707963267948966</v>
      </c>
      <c r="AJ380" s="98" t="str">
        <f t="shared" si="216"/>
        <v>1+2.61665093429953i</v>
      </c>
      <c r="AK380" s="98">
        <f t="shared" si="231"/>
        <v>2.8012251091211153</v>
      </c>
      <c r="AL380" s="98">
        <f t="shared" si="232"/>
        <v>1.2057563241996858</v>
      </c>
      <c r="AM380" s="98" t="str">
        <f t="shared" si="217"/>
        <v>1+2619.26758523383i</v>
      </c>
      <c r="AN380" s="98">
        <f t="shared" si="233"/>
        <v>2619.2677761268815</v>
      </c>
      <c r="AO380" s="98">
        <f t="shared" si="234"/>
        <v>1.5704145406967329</v>
      </c>
      <c r="AP380" s="168" t="str">
        <f t="shared" si="235"/>
        <v>-0.012655221830077+0.0331522487430509i</v>
      </c>
      <c r="AQ380" s="98">
        <f t="shared" si="236"/>
        <v>-28.998962362579718</v>
      </c>
      <c r="AR380" s="169">
        <f t="shared" si="237"/>
        <v>110.89337677004863</v>
      </c>
      <c r="AS380" s="168" t="str">
        <f t="shared" si="238"/>
        <v>-0.00810746655894944-0.00884821024298334i</v>
      </c>
      <c r="AT380" s="190">
        <f t="shared" si="239"/>
        <v>-38.415716494003398</v>
      </c>
      <c r="AU380" s="169">
        <f t="shared" si="240"/>
        <v>-132.49850640165806</v>
      </c>
      <c r="AV380" s="225"/>
      <c r="AX380">
        <f t="shared" si="241"/>
        <v>0</v>
      </c>
      <c r="AY380">
        <f t="shared" si="242"/>
        <v>0</v>
      </c>
    </row>
    <row r="381" spans="14:51" x14ac:dyDescent="0.3">
      <c r="N381" s="170">
        <v>63</v>
      </c>
      <c r="O381" s="199">
        <f t="shared" si="208"/>
        <v>42657.951880159271</v>
      </c>
      <c r="P381" s="189" t="str">
        <f t="shared" si="209"/>
        <v>1078.86904761905</v>
      </c>
      <c r="Q381" s="160" t="str">
        <f t="shared" si="210"/>
        <v>1+8375.86926524347i</v>
      </c>
      <c r="R381" s="160">
        <f t="shared" si="218"/>
        <v>8375.8693249387652</v>
      </c>
      <c r="S381" s="160">
        <f t="shared" si="219"/>
        <v>1.570676936202281</v>
      </c>
      <c r="T381" s="160" t="str">
        <f t="shared" si="211"/>
        <v>1+0.00536055632975582i</v>
      </c>
      <c r="U381" s="160">
        <f t="shared" si="220"/>
        <v>1.0000143676788671</v>
      </c>
      <c r="V381" s="160">
        <f t="shared" si="221"/>
        <v>5.360504984437622E-3</v>
      </c>
      <c r="W381" s="98" t="str">
        <f t="shared" si="212"/>
        <v>1-3.8769687599326i</v>
      </c>
      <c r="X381" s="160">
        <f t="shared" si="222"/>
        <v>4.0038589842167669</v>
      </c>
      <c r="Y381" s="160">
        <f t="shared" si="223"/>
        <v>-1.3183649199378118</v>
      </c>
      <c r="Z381" s="98" t="str">
        <f t="shared" si="213"/>
        <v>0.272119656556002+1.53132587658557i</v>
      </c>
      <c r="AA381" s="160">
        <f t="shared" si="224"/>
        <v>1.5553160604149632</v>
      </c>
      <c r="AB381" s="160">
        <f t="shared" si="225"/>
        <v>1.3949301675942496</v>
      </c>
      <c r="AC381" s="171" t="str">
        <f t="shared" si="226"/>
        <v>-0.139368952794597+0.300882257821152i</v>
      </c>
      <c r="AD381" s="190">
        <f t="shared" si="227"/>
        <v>-9.5878960645293994</v>
      </c>
      <c r="AE381" s="169">
        <f t="shared" si="228"/>
        <v>114.8536177995713</v>
      </c>
      <c r="AF381" s="98" t="str">
        <f t="shared" si="214"/>
        <v>-9.95024875621891E-06</v>
      </c>
      <c r="AG381" s="98" t="str">
        <f t="shared" si="215"/>
        <v>0.268295844304278i</v>
      </c>
      <c r="AH381" s="98">
        <f t="shared" si="229"/>
        <v>0.268295844304278</v>
      </c>
      <c r="AI381" s="98">
        <f t="shared" si="230"/>
        <v>1.5707963267948966</v>
      </c>
      <c r="AJ381" s="98" t="str">
        <f t="shared" si="216"/>
        <v>1+2.6776005643136i</v>
      </c>
      <c r="AK381" s="98">
        <f t="shared" si="231"/>
        <v>2.8582415541749633</v>
      </c>
      <c r="AL381" s="98">
        <f t="shared" si="232"/>
        <v>1.2133688421345667</v>
      </c>
      <c r="AM381" s="98" t="str">
        <f t="shared" si="217"/>
        <v>1+2680.27816487791i</v>
      </c>
      <c r="AN381" s="98">
        <f t="shared" si="233"/>
        <v>2680.2783514257053</v>
      </c>
      <c r="AO381" s="98">
        <f t="shared" si="234"/>
        <v>1.5704232312085116</v>
      </c>
      <c r="AP381" s="168" t="str">
        <f t="shared" si="235"/>
        <v>-0.0121553627952024+0.032584293133683i</v>
      </c>
      <c r="AQ381" s="98">
        <f t="shared" si="236"/>
        <v>-29.173980757535677</v>
      </c>
      <c r="AR381" s="169">
        <f t="shared" si="237"/>
        <v>110.45770955055906</v>
      </c>
      <c r="AS381" s="168" t="str">
        <f t="shared" si="238"/>
        <v>-0.00810995550396304-0.00819857181404931i</v>
      </c>
      <c r="AT381" s="190">
        <f t="shared" si="239"/>
        <v>-38.761876822065069</v>
      </c>
      <c r="AU381" s="169">
        <f t="shared" si="240"/>
        <v>-134.68867264986963</v>
      </c>
      <c r="AV381" s="225"/>
      <c r="AX381">
        <f t="shared" si="241"/>
        <v>0</v>
      </c>
      <c r="AY381">
        <f t="shared" si="242"/>
        <v>0</v>
      </c>
    </row>
    <row r="382" spans="14:51" x14ac:dyDescent="0.3">
      <c r="N382" s="170">
        <v>64</v>
      </c>
      <c r="O382" s="199">
        <f t="shared" si="208"/>
        <v>43651.583224016598</v>
      </c>
      <c r="P382" s="189" t="str">
        <f t="shared" si="209"/>
        <v>1078.86904761905</v>
      </c>
      <c r="Q382" s="160" t="str">
        <f t="shared" si="210"/>
        <v>1+8570.96832338337i</v>
      </c>
      <c r="R382" s="160">
        <f t="shared" si="218"/>
        <v>8570.9683817198347</v>
      </c>
      <c r="S382" s="160">
        <f t="shared" si="219"/>
        <v>1.5706796538639356</v>
      </c>
      <c r="T382" s="160" t="str">
        <f t="shared" si="211"/>
        <v>1+0.00548541972696536i</v>
      </c>
      <c r="U382" s="160">
        <f t="shared" si="220"/>
        <v>1.0000150448016174</v>
      </c>
      <c r="V382" s="160">
        <f t="shared" si="221"/>
        <v>5.4853647095103814E-3</v>
      </c>
      <c r="W382" s="98" t="str">
        <f t="shared" si="212"/>
        <v>1-3.96727496333043i</v>
      </c>
      <c r="X382" s="160">
        <f t="shared" si="222"/>
        <v>4.0913653753567969</v>
      </c>
      <c r="Y382" s="160">
        <f t="shared" si="223"/>
        <v>-1.3238777263920598</v>
      </c>
      <c r="Z382" s="98" t="str">
        <f t="shared" si="213"/>
        <v>0.2378157128147+1.56699503840819i</v>
      </c>
      <c r="AA382" s="160">
        <f t="shared" si="224"/>
        <v>1.5849384100517752</v>
      </c>
      <c r="AB382" s="160">
        <f t="shared" si="225"/>
        <v>1.4201802229574307</v>
      </c>
      <c r="AC382" s="171" t="str">
        <f t="shared" si="226"/>
        <v>-0.12747520065799+0.298889845879522i</v>
      </c>
      <c r="AD382" s="190">
        <f t="shared" si="227"/>
        <v>-9.7639750117260853</v>
      </c>
      <c r="AE382" s="169">
        <f t="shared" si="228"/>
        <v>113.09803387642312</v>
      </c>
      <c r="AF382" s="98" t="str">
        <f t="shared" si="214"/>
        <v>-9.95024875621891E-06</v>
      </c>
      <c r="AG382" s="98" t="str">
        <f t="shared" si="215"/>
        <v>0.274545257334616i</v>
      </c>
      <c r="AH382" s="98">
        <f t="shared" si="229"/>
        <v>0.27454525733461599</v>
      </c>
      <c r="AI382" s="98">
        <f t="shared" si="230"/>
        <v>1.5707963267948966</v>
      </c>
      <c r="AJ382" s="98" t="str">
        <f t="shared" si="216"/>
        <v>1+2.73996989358909i</v>
      </c>
      <c r="AK382" s="98">
        <f t="shared" si="231"/>
        <v>2.9167507637394405</v>
      </c>
      <c r="AL382" s="98">
        <f t="shared" si="232"/>
        <v>1.2208501387833235</v>
      </c>
      <c r="AM382" s="98" t="str">
        <f t="shared" si="217"/>
        <v>1+2742.70986348268i</v>
      </c>
      <c r="AN382" s="98">
        <f t="shared" si="233"/>
        <v>2742.7100457841293</v>
      </c>
      <c r="AO382" s="98">
        <f t="shared" si="234"/>
        <v>1.5704317239001455</v>
      </c>
      <c r="AP382" s="168" t="str">
        <f t="shared" si="235"/>
        <v>-0.011672587623595+0.0320187813228846i</v>
      </c>
      <c r="AQ382" s="98">
        <f t="shared" si="236"/>
        <v>-29.34998861253467</v>
      </c>
      <c r="AR382" s="169">
        <f t="shared" si="237"/>
        <v>110.0295494226873</v>
      </c>
      <c r="AS382" s="168" t="str">
        <f t="shared" si="238"/>
        <v>-0.00808212316533135-0.00757041848979054i</v>
      </c>
      <c r="AT382" s="190">
        <f t="shared" si="239"/>
        <v>-39.113963624260755</v>
      </c>
      <c r="AU382" s="169">
        <f t="shared" si="240"/>
        <v>-136.8724167008896</v>
      </c>
      <c r="AV382" s="225"/>
      <c r="AX382">
        <f t="shared" si="241"/>
        <v>0</v>
      </c>
      <c r="AY382">
        <f t="shared" si="242"/>
        <v>0</v>
      </c>
    </row>
    <row r="383" spans="14:51" x14ac:dyDescent="0.3">
      <c r="N383" s="170">
        <v>65</v>
      </c>
      <c r="O383" s="199">
        <f t="shared" si="208"/>
        <v>44668.359215096389</v>
      </c>
      <c r="P383" s="189" t="str">
        <f t="shared" si="209"/>
        <v>1078.86904761905</v>
      </c>
      <c r="Q383" s="160" t="str">
        <f t="shared" si="210"/>
        <v>1+8770.61182237856i</v>
      </c>
      <c r="R383" s="160">
        <f t="shared" si="218"/>
        <v>8770.6118793871246</v>
      </c>
      <c r="S383" s="160">
        <f t="shared" si="219"/>
        <v>1.5706823096640603</v>
      </c>
      <c r="T383" s="160" t="str">
        <f t="shared" si="211"/>
        <v>1+0.00561319156632228i</v>
      </c>
      <c r="U383" s="160">
        <f t="shared" si="220"/>
        <v>1.0000157538356884</v>
      </c>
      <c r="V383" s="160">
        <f t="shared" si="221"/>
        <v>5.6131326141073039E-3</v>
      </c>
      <c r="W383" s="98" t="str">
        <f t="shared" si="212"/>
        <v>1-4.05968466842693i</v>
      </c>
      <c r="X383" s="160">
        <f t="shared" si="222"/>
        <v>4.1810333180998054</v>
      </c>
      <c r="Y383" s="160">
        <f t="shared" si="223"/>
        <v>-1.3292798908689927</v>
      </c>
      <c r="Z383" s="98" t="str">
        <f t="shared" si="213"/>
        <v>0.201895074012441+1.60349504174182i</v>
      </c>
      <c r="AA383" s="160">
        <f t="shared" si="224"/>
        <v>1.6161553049756976</v>
      </c>
      <c r="AB383" s="160">
        <f t="shared" si="225"/>
        <v>1.4455460385648493</v>
      </c>
      <c r="AC383" s="171" t="str">
        <f t="shared" si="226"/>
        <v>-0.115817799071172+0.296410102332096i</v>
      </c>
      <c r="AD383" s="190">
        <f t="shared" si="227"/>
        <v>-9.9450756261923221</v>
      </c>
      <c r="AE383" s="169">
        <f t="shared" si="228"/>
        <v>111.34232686899963</v>
      </c>
      <c r="AF383" s="98" t="str">
        <f t="shared" si="214"/>
        <v>-9.95024875621891E-06</v>
      </c>
      <c r="AG383" s="98" t="str">
        <f t="shared" si="215"/>
        <v>0.28094023789443i</v>
      </c>
      <c r="AH383" s="98">
        <f t="shared" si="229"/>
        <v>0.28094023789443001</v>
      </c>
      <c r="AI383" s="98">
        <f t="shared" si="230"/>
        <v>1.5707963267948966</v>
      </c>
      <c r="AJ383" s="98" t="str">
        <f t="shared" si="216"/>
        <v>1+2.80379199116997i</v>
      </c>
      <c r="AK383" s="98">
        <f t="shared" si="231"/>
        <v>2.9767850996920933</v>
      </c>
      <c r="AL383" s="98">
        <f t="shared" si="232"/>
        <v>1.2282008300286269</v>
      </c>
      <c r="AM383" s="98" t="str">
        <f t="shared" si="217"/>
        <v>1+2806.59578316114i</v>
      </c>
      <c r="AN383" s="98">
        <f t="shared" si="233"/>
        <v>2806.5959613129016</v>
      </c>
      <c r="AO383" s="98">
        <f t="shared" si="234"/>
        <v>1.570440023274567</v>
      </c>
      <c r="AP383" s="168" t="str">
        <f t="shared" si="235"/>
        <v>-0.011206521198126+0.0314561720546119i</v>
      </c>
      <c r="AQ383" s="98">
        <f t="shared" si="236"/>
        <v>-29.526951896498449</v>
      </c>
      <c r="AR383" s="169">
        <f t="shared" si="237"/>
        <v>109.60886135695461</v>
      </c>
      <c r="AS383" s="168" t="str">
        <f t="shared" si="238"/>
        <v>-0.00802601255727215-0.00696491070969259i</v>
      </c>
      <c r="AT383" s="190">
        <f t="shared" si="239"/>
        <v>-39.472027522690773</v>
      </c>
      <c r="AU383" s="169">
        <f t="shared" si="240"/>
        <v>-139.04881177404576</v>
      </c>
      <c r="AV383" s="225"/>
      <c r="AX383">
        <f t="shared" si="241"/>
        <v>0</v>
      </c>
      <c r="AY383">
        <f t="shared" si="242"/>
        <v>0</v>
      </c>
    </row>
    <row r="384" spans="14:51" x14ac:dyDescent="0.3">
      <c r="N384" s="170">
        <v>66</v>
      </c>
      <c r="O384" s="199">
        <f t="shared" ref="O384:O418" si="243">10^(4+(N384/100))</f>
        <v>45708.818961487581</v>
      </c>
      <c r="P384" s="189" t="str">
        <f t="shared" si="209"/>
        <v>1078.86904761905</v>
      </c>
      <c r="Q384" s="160" t="str">
        <f t="shared" si="210"/>
        <v>1+8974.90561585469i</v>
      </c>
      <c r="R384" s="160">
        <f t="shared" si="218"/>
        <v>8974.9056715655825</v>
      </c>
      <c r="S384" s="160">
        <f t="shared" si="219"/>
        <v>1.5706849050107949</v>
      </c>
      <c r="T384" s="160" t="str">
        <f t="shared" si="211"/>
        <v>1+0.005743939594147i</v>
      </c>
      <c r="U384" s="160">
        <f t="shared" si="220"/>
        <v>1.0000164962849669</v>
      </c>
      <c r="V384" s="160">
        <f t="shared" si="221"/>
        <v>5.7438764257668447E-3</v>
      </c>
      <c r="W384" s="98" t="str">
        <f t="shared" si="212"/>
        <v>1-4.15424687207088i</v>
      </c>
      <c r="X384" s="160">
        <f t="shared" si="222"/>
        <v>4.2729108432204264</v>
      </c>
      <c r="Y384" s="160">
        <f t="shared" si="223"/>
        <v>-1.3345730158999243</v>
      </c>
      <c r="Z384" s="98" t="str">
        <f t="shared" si="213"/>
        <v>0.164281547658383+1.64084523937133i</v>
      </c>
      <c r="AA384" s="160">
        <f t="shared" si="224"/>
        <v>1.6490486731654075</v>
      </c>
      <c r="AB384" s="160">
        <f t="shared" si="225"/>
        <v>1.4710087900441919</v>
      </c>
      <c r="AC384" s="171" t="str">
        <f t="shared" si="226"/>
        <v>-0.104423860245563+0.293459053376421i</v>
      </c>
      <c r="AD384" s="190">
        <f t="shared" si="227"/>
        <v>-10.131272767107738</v>
      </c>
      <c r="AE384" s="169">
        <f t="shared" si="228"/>
        <v>109.5874873159265</v>
      </c>
      <c r="AF384" s="98" t="str">
        <f t="shared" si="214"/>
        <v>-9.95024875621891E-06</v>
      </c>
      <c r="AG384" s="98" t="str">
        <f t="shared" si="215"/>
        <v>0.287484176687058i</v>
      </c>
      <c r="AH384" s="98">
        <f t="shared" si="229"/>
        <v>0.287484176687058</v>
      </c>
      <c r="AI384" s="98">
        <f t="shared" si="230"/>
        <v>1.5707963267948966</v>
      </c>
      <c r="AJ384" s="98" t="str">
        <f t="shared" si="216"/>
        <v>1+2.86910069637712i</v>
      </c>
      <c r="AK384" s="98">
        <f t="shared" si="231"/>
        <v>3.0383776601916481</v>
      </c>
      <c r="AL384" s="98">
        <f t="shared" si="232"/>
        <v>1.2354216349184868</v>
      </c>
      <c r="AM384" s="98" t="str">
        <f t="shared" si="217"/>
        <v>1+2871.9697970735i</v>
      </c>
      <c r="AN384" s="98">
        <f t="shared" si="233"/>
        <v>2871.9699711700327</v>
      </c>
      <c r="AO384" s="98">
        <f t="shared" si="234"/>
        <v>1.5704481337322098</v>
      </c>
      <c r="AP384" s="168" t="str">
        <f t="shared" si="235"/>
        <v>-0.0107567797122893+0.0308968956291279i</v>
      </c>
      <c r="AQ384" s="98">
        <f t="shared" si="236"/>
        <v>-29.704837342884339</v>
      </c>
      <c r="AR384" s="169">
        <f t="shared" si="237"/>
        <v>109.1956044070711</v>
      </c>
      <c r="AS384" s="168" t="str">
        <f t="shared" si="238"/>
        <v>-0.00794370928222555-0.00638304750294491i</v>
      </c>
      <c r="AT384" s="190">
        <f t="shared" si="239"/>
        <v>-39.83611010999207</v>
      </c>
      <c r="AU384" s="169">
        <f t="shared" si="240"/>
        <v>-141.2169082770024</v>
      </c>
      <c r="AV384" s="225"/>
      <c r="AX384">
        <f t="shared" si="241"/>
        <v>0</v>
      </c>
      <c r="AY384">
        <f t="shared" si="242"/>
        <v>0</v>
      </c>
    </row>
    <row r="385" spans="14:51" x14ac:dyDescent="0.3">
      <c r="N385" s="170">
        <v>67</v>
      </c>
      <c r="O385" s="199">
        <f t="shared" si="243"/>
        <v>46773.514128719893</v>
      </c>
      <c r="P385" s="189" t="str">
        <f t="shared" si="209"/>
        <v>1078.86904761905</v>
      </c>
      <c r="Q385" s="160" t="str">
        <f t="shared" si="210"/>
        <v>1+9183.95802308531i</v>
      </c>
      <c r="R385" s="160">
        <f t="shared" si="218"/>
        <v>9183.9580775280665</v>
      </c>
      <c r="S385" s="160">
        <f t="shared" si="219"/>
        <v>1.570687441280227</v>
      </c>
      <c r="T385" s="160" t="str">
        <f t="shared" si="211"/>
        <v>1+0.0058777331347746i</v>
      </c>
      <c r="U385" s="160">
        <f t="shared" si="220"/>
        <v>1.000017273724211</v>
      </c>
      <c r="V385" s="160">
        <f t="shared" si="221"/>
        <v>5.8776654486989285E-3</v>
      </c>
      <c r="W385" s="98" t="str">
        <f t="shared" si="212"/>
        <v>1-4.25101171239438i</v>
      </c>
      <c r="X385" s="160">
        <f t="shared" si="222"/>
        <v>4.3670471235051034</v>
      </c>
      <c r="Y385" s="160">
        <f t="shared" si="223"/>
        <v>-1.3397587210673754</v>
      </c>
      <c r="Z385" s="98" t="str">
        <f t="shared" si="213"/>
        <v>0.124895350420173+1.67906543486592i</v>
      </c>
      <c r="AA385" s="160">
        <f t="shared" si="224"/>
        <v>1.6837041257649932</v>
      </c>
      <c r="AB385" s="160">
        <f t="shared" si="225"/>
        <v>1.4965492113150682</v>
      </c>
      <c r="AC385" s="171" t="str">
        <f t="shared" si="226"/>
        <v>-0.0933193225301378+0.290054960075638i</v>
      </c>
      <c r="AD385" s="190">
        <f t="shared" si="227"/>
        <v>-10.322631101692144</v>
      </c>
      <c r="AE385" s="169">
        <f t="shared" si="228"/>
        <v>107.83453017905009</v>
      </c>
      <c r="AF385" s="98" t="str">
        <f t="shared" si="214"/>
        <v>-9.95024875621891E-06</v>
      </c>
      <c r="AG385" s="98" t="str">
        <f t="shared" si="215"/>
        <v>0.294180543395468i</v>
      </c>
      <c r="AH385" s="98">
        <f t="shared" si="229"/>
        <v>0.29418054339546801</v>
      </c>
      <c r="AI385" s="98">
        <f t="shared" si="230"/>
        <v>1.5707963267948966</v>
      </c>
      <c r="AJ385" s="98" t="str">
        <f t="shared" si="216"/>
        <v>1+2.93593063675055i</v>
      </c>
      <c r="AK385" s="98">
        <f t="shared" si="231"/>
        <v>3.1015623004883341</v>
      </c>
      <c r="AL385" s="98">
        <f t="shared" si="232"/>
        <v>1.2425133691311112</v>
      </c>
      <c r="AM385" s="98" t="str">
        <f t="shared" si="217"/>
        <v>1+2938.8665673873i</v>
      </c>
      <c r="AN385" s="98">
        <f t="shared" si="233"/>
        <v>2938.8667375209125</v>
      </c>
      <c r="AO385" s="98">
        <f t="shared" si="234"/>
        <v>1.5704560595733414</v>
      </c>
      <c r="AP385" s="168" t="str">
        <f t="shared" si="235"/>
        <v>-0.0103229723699561+0.0303413544559582i</v>
      </c>
      <c r="AQ385" s="98">
        <f t="shared" si="236"/>
        <v>-29.883612465457428</v>
      </c>
      <c r="AR385" s="169">
        <f t="shared" si="237"/>
        <v>108.78973208450502</v>
      </c>
      <c r="AS385" s="168" t="str">
        <f t="shared" si="238"/>
        <v>-0.0078373275673021-0.00582566398110633i</v>
      </c>
      <c r="AT385" s="190">
        <f t="shared" si="239"/>
        <v>-40.206243567149571</v>
      </c>
      <c r="AU385" s="169">
        <f t="shared" si="240"/>
        <v>-143.37573773644488</v>
      </c>
      <c r="AV385" s="225"/>
      <c r="AX385">
        <f t="shared" si="241"/>
        <v>0</v>
      </c>
      <c r="AY385">
        <f t="shared" si="242"/>
        <v>0</v>
      </c>
    </row>
    <row r="386" spans="14:51" x14ac:dyDescent="0.3">
      <c r="N386" s="170">
        <v>68</v>
      </c>
      <c r="O386" s="199">
        <f t="shared" si="243"/>
        <v>47863.009232263823</v>
      </c>
      <c r="P386" s="189" t="str">
        <f t="shared" si="209"/>
        <v>1078.86904761905</v>
      </c>
      <c r="Q386" s="160" t="str">
        <f t="shared" si="210"/>
        <v>1+9397.87988642378i</v>
      </c>
      <c r="R386" s="160">
        <f t="shared" si="218"/>
        <v>9397.879939627268</v>
      </c>
      <c r="S386" s="160">
        <f t="shared" si="219"/>
        <v>1.5706899198171196</v>
      </c>
      <c r="T386" s="160" t="str">
        <f t="shared" si="211"/>
        <v>1+0.00601464312731122i</v>
      </c>
      <c r="U386" s="160">
        <f t="shared" si="220"/>
        <v>1.0000180878023901</v>
      </c>
      <c r="V386" s="160">
        <f t="shared" si="221"/>
        <v>6.0145706004452928E-3</v>
      </c>
      <c r="W386" s="98" t="str">
        <f t="shared" si="212"/>
        <v>1-4.35003049539657i</v>
      </c>
      <c r="X386" s="160">
        <f t="shared" si="222"/>
        <v>4.4634925014925395</v>
      </c>
      <c r="Y386" s="160">
        <f t="shared" si="223"/>
        <v>-1.3448386397973597</v>
      </c>
      <c r="Z386" s="98" t="str">
        <f t="shared" si="213"/>
        <v>0.08365293889289+1.71817589307913i</v>
      </c>
      <c r="AA386" s="160">
        <f t="shared" si="224"/>
        <v>1.7202110956925267</v>
      </c>
      <c r="AB386" s="160">
        <f t="shared" si="225"/>
        <v>1.5221476783867207</v>
      </c>
      <c r="AC386" s="171" t="str">
        <f t="shared" si="226"/>
        <v>-0.082528712389412+0.286218201390836i</v>
      </c>
      <c r="AD386" s="190">
        <f t="shared" si="227"/>
        <v>-10.519204774575094</v>
      </c>
      <c r="AE386" s="169">
        <f t="shared" si="228"/>
        <v>106.08449022802759</v>
      </c>
      <c r="AF386" s="98" t="str">
        <f t="shared" si="214"/>
        <v>-9.95024875621891E-06</v>
      </c>
      <c r="AG386" s="98" t="str">
        <f t="shared" si="215"/>
        <v>0.301032888521927i</v>
      </c>
      <c r="AH386" s="98">
        <f t="shared" si="229"/>
        <v>0.301032888521927</v>
      </c>
      <c r="AI386" s="98">
        <f t="shared" si="230"/>
        <v>1.5707963267948966</v>
      </c>
      <c r="AJ386" s="98" t="str">
        <f t="shared" si="216"/>
        <v>1+3.0043172464092i</v>
      </c>
      <c r="AK386" s="98">
        <f t="shared" si="231"/>
        <v>3.1663736540515486</v>
      </c>
      <c r="AL386" s="98">
        <f t="shared" si="232"/>
        <v>1.24947693857723</v>
      </c>
      <c r="AM386" s="98" t="str">
        <f t="shared" si="217"/>
        <v>1+3007.32156365561i</v>
      </c>
      <c r="AN386" s="98">
        <f t="shared" si="233"/>
        <v>3007.321729916509</v>
      </c>
      <c r="AO386" s="98">
        <f t="shared" si="234"/>
        <v>1.5704638050003441</v>
      </c>
      <c r="AP386" s="168" t="str">
        <f t="shared" si="235"/>
        <v>-0.00990470298267365+0.0297899236846599i</v>
      </c>
      <c r="AQ386" s="98">
        <f t="shared" si="236"/>
        <v>-30.063245570741898</v>
      </c>
      <c r="AR386" s="169">
        <f t="shared" si="237"/>
        <v>108.39119272517398</v>
      </c>
      <c r="AS386" s="168" t="str">
        <f t="shared" si="238"/>
        <v>-0.007708995992834-0.00529343031688513i</v>
      </c>
      <c r="AT386" s="190">
        <f t="shared" si="239"/>
        <v>-40.582450345316985</v>
      </c>
      <c r="AU386" s="169">
        <f t="shared" si="240"/>
        <v>-145.52431704679844</v>
      </c>
      <c r="AV386" s="225"/>
      <c r="AX386">
        <f t="shared" si="241"/>
        <v>0</v>
      </c>
      <c r="AY386">
        <f t="shared" si="242"/>
        <v>0</v>
      </c>
    </row>
    <row r="387" spans="14:51" x14ac:dyDescent="0.3">
      <c r="N387" s="170">
        <v>69</v>
      </c>
      <c r="O387" s="199">
        <f t="shared" si="243"/>
        <v>48977.881936844598</v>
      </c>
      <c r="P387" s="189" t="str">
        <f t="shared" si="209"/>
        <v>1078.86904761905</v>
      </c>
      <c r="Q387" s="160" t="str">
        <f t="shared" si="210"/>
        <v>1+9616.78463007369i</v>
      </c>
      <c r="R387" s="160">
        <f t="shared" si="218"/>
        <v>9616.7846820661198</v>
      </c>
      <c r="S387" s="160">
        <f t="shared" si="219"/>
        <v>1.5706923419356258</v>
      </c>
      <c r="T387" s="160" t="str">
        <f t="shared" si="211"/>
        <v>1+0.00615474216324716i</v>
      </c>
      <c r="U387" s="160">
        <f t="shared" si="220"/>
        <v>1.0000189402461817</v>
      </c>
      <c r="V387" s="160">
        <f t="shared" si="221"/>
        <v>6.1546644493896659E-3</v>
      </c>
      <c r="W387" s="98" t="str">
        <f t="shared" si="212"/>
        <v>1-4.45135572214688i</v>
      </c>
      <c r="X387" s="160">
        <f t="shared" si="222"/>
        <v>4.5622985177528408</v>
      </c>
      <c r="Y387" s="160">
        <f t="shared" si="223"/>
        <v>-1.3498144163411967</v>
      </c>
      <c r="Z387" s="98" t="str">
        <f t="shared" si="213"/>
        <v>0.0404668323922061+1.7581973508936i</v>
      </c>
      <c r="AA387" s="160">
        <f t="shared" si="224"/>
        <v>1.7586629834090248</v>
      </c>
      <c r="AB387" s="160">
        <f t="shared" si="225"/>
        <v>1.5477842974558957</v>
      </c>
      <c r="AC387" s="171" t="str">
        <f t="shared" si="226"/>
        <v>-0.0720749208497656+0.2819711275132i</v>
      </c>
      <c r="AD387" s="190">
        <f t="shared" si="227"/>
        <v>-10.721037150204181</v>
      </c>
      <c r="AE387" s="169">
        <f t="shared" si="228"/>
        <v>104.33841716772957</v>
      </c>
      <c r="AF387" s="98" t="str">
        <f t="shared" si="214"/>
        <v>-9.95024875621891E-06</v>
      </c>
      <c r="AG387" s="98" t="str">
        <f t="shared" si="215"/>
        <v>0.308044845270521i</v>
      </c>
      <c r="AH387" s="98">
        <f t="shared" si="229"/>
        <v>0.30804484527052101</v>
      </c>
      <c r="AI387" s="98">
        <f t="shared" si="230"/>
        <v>1.5707963267948966</v>
      </c>
      <c r="AJ387" s="98" t="str">
        <f t="shared" si="216"/>
        <v>1+3.07429678483874i</v>
      </c>
      <c r="AK387" s="98">
        <f t="shared" si="231"/>
        <v>3.2328471540222581</v>
      </c>
      <c r="AL387" s="98">
        <f t="shared" si="232"/>
        <v>1.256313333156744</v>
      </c>
      <c r="AM387" s="98" t="str">
        <f t="shared" si="217"/>
        <v>1+3077.37108162358i</v>
      </c>
      <c r="AN387" s="98">
        <f t="shared" si="233"/>
        <v>3077.3712440999188</v>
      </c>
      <c r="AO387" s="98">
        <f t="shared" si="234"/>
        <v>1.5704713741199419</v>
      </c>
      <c r="AP387" s="168" t="str">
        <f t="shared" si="235"/>
        <v>-0.00950157146420229+0.0292429519026494i</v>
      </c>
      <c r="AQ387" s="98">
        <f t="shared" si="236"/>
        <v>-30.243705767359323</v>
      </c>
      <c r="AR387" s="169">
        <f t="shared" si="237"/>
        <v>107.99992984728924</v>
      </c>
      <c r="AS387" s="168" t="str">
        <f t="shared" si="238"/>
        <v>-0.00756084310857356-0.00478685226270532i</v>
      </c>
      <c r="AT387" s="190">
        <f t="shared" si="239"/>
        <v>-40.964742917563505</v>
      </c>
      <c r="AU387" s="169">
        <f t="shared" si="240"/>
        <v>-147.6616529849812</v>
      </c>
      <c r="AV387" s="225"/>
      <c r="AX387">
        <f t="shared" si="241"/>
        <v>0</v>
      </c>
      <c r="AY387">
        <f t="shared" si="242"/>
        <v>0</v>
      </c>
    </row>
    <row r="388" spans="14:51" x14ac:dyDescent="0.3">
      <c r="N388" s="170">
        <v>70</v>
      </c>
      <c r="O388" s="199">
        <f t="shared" si="243"/>
        <v>50118.723362727294</v>
      </c>
      <c r="P388" s="189" t="str">
        <f t="shared" si="209"/>
        <v>1078.86904761905</v>
      </c>
      <c r="Q388" s="160" t="str">
        <f t="shared" si="210"/>
        <v>1+9840.78832022769i</v>
      </c>
      <c r="R388" s="160">
        <f t="shared" si="218"/>
        <v>9840.7883710366259</v>
      </c>
      <c r="S388" s="160">
        <f t="shared" si="219"/>
        <v>1.570694708919985</v>
      </c>
      <c r="T388" s="160" t="str">
        <f t="shared" si="211"/>
        <v>1+0.00629810452494572i</v>
      </c>
      <c r="U388" s="160">
        <f t="shared" si="220"/>
        <v>1.0000198328636323</v>
      </c>
      <c r="V388" s="160">
        <f t="shared" si="221"/>
        <v>6.2980212531363253E-3</v>
      </c>
      <c r="W388" s="98" t="str">
        <f t="shared" si="212"/>
        <v>1-4.55504111662175i</v>
      </c>
      <c r="X388" s="160">
        <f t="shared" si="222"/>
        <v>4.6635179397226212</v>
      </c>
      <c r="Y388" s="160">
        <f t="shared" si="223"/>
        <v>-1.3546877029411537</v>
      </c>
      <c r="Z388" s="98" t="str">
        <f t="shared" si="213"/>
        <v>-0.00475457260383005+1.79915102821601i</v>
      </c>
      <c r="AA388" s="160">
        <f t="shared" si="224"/>
        <v>1.7991573106016527</v>
      </c>
      <c r="AB388" s="160">
        <f t="shared" si="225"/>
        <v>1.5734389962879443</v>
      </c>
      <c r="AC388" s="171" t="str">
        <f t="shared" si="226"/>
        <v>-0.0619789986971944+0.277337885631157i</v>
      </c>
      <c r="AD388" s="190">
        <f t="shared" si="227"/>
        <v>-10.928160632864266</v>
      </c>
      <c r="AE388" s="169">
        <f t="shared" si="228"/>
        <v>102.59737056704401</v>
      </c>
      <c r="AF388" s="98" t="str">
        <f t="shared" si="214"/>
        <v>-9.95024875621891E-06</v>
      </c>
      <c r="AG388" s="98" t="str">
        <f t="shared" si="215"/>
        <v>0.315220131473534i</v>
      </c>
      <c r="AH388" s="98">
        <f t="shared" si="229"/>
        <v>0.315220131473534</v>
      </c>
      <c r="AI388" s="98">
        <f t="shared" si="230"/>
        <v>1.5707963267948966</v>
      </c>
      <c r="AJ388" s="98" t="str">
        <f t="shared" si="216"/>
        <v>1+3.14590635611674i</v>
      </c>
      <c r="AK388" s="98">
        <f t="shared" si="231"/>
        <v>3.3010190549973668</v>
      </c>
      <c r="AL388" s="98">
        <f t="shared" si="232"/>
        <v>1.2630236206839913</v>
      </c>
      <c r="AM388" s="98" t="str">
        <f t="shared" si="217"/>
        <v>1+3149.05226247286i</v>
      </c>
      <c r="AN388" s="98">
        <f t="shared" si="233"/>
        <v>3149.0524212507858</v>
      </c>
      <c r="AO388" s="98">
        <f t="shared" si="234"/>
        <v>1.5704787709453787</v>
      </c>
      <c r="AP388" s="168" t="str">
        <f t="shared" si="235"/>
        <v>-0.00911317522283371+0.0287007618899152i</v>
      </c>
      <c r="AQ388" s="98">
        <f t="shared" si="236"/>
        <v>-30.424962972459852</v>
      </c>
      <c r="AR388" s="169">
        <f t="shared" si="237"/>
        <v>107.61588249953806</v>
      </c>
      <c r="AS388" s="168" t="str">
        <f t="shared" si="238"/>
        <v>-0.00739498314328906-0.00430627323147049i</v>
      </c>
      <c r="AT388" s="190">
        <f t="shared" si="239"/>
        <v>-41.353123605324107</v>
      </c>
      <c r="AU388" s="169">
        <f t="shared" si="240"/>
        <v>-149.78674693341796</v>
      </c>
      <c r="AV388" s="225"/>
      <c r="AX388">
        <f t="shared" si="241"/>
        <v>0</v>
      </c>
      <c r="AY388">
        <f t="shared" si="242"/>
        <v>0</v>
      </c>
    </row>
    <row r="389" spans="14:51" x14ac:dyDescent="0.3">
      <c r="N389" s="170">
        <v>71</v>
      </c>
      <c r="O389" s="199">
        <f t="shared" si="243"/>
        <v>51286.138399136544</v>
      </c>
      <c r="P389" s="189" t="str">
        <f t="shared" si="209"/>
        <v>1078.86904761905</v>
      </c>
      <c r="Q389" s="160" t="str">
        <f t="shared" si="210"/>
        <v>1+10070.0097266073i</v>
      </c>
      <c r="R389" s="160">
        <f t="shared" si="218"/>
        <v>10070.009776259687</v>
      </c>
      <c r="S389" s="160">
        <f t="shared" si="219"/>
        <v>1.570697022025203</v>
      </c>
      <c r="T389" s="160" t="str">
        <f t="shared" si="211"/>
        <v>1+0.00644480622502868i</v>
      </c>
      <c r="U389" s="160">
        <f t="shared" si="220"/>
        <v>1.0000207675479935</v>
      </c>
      <c r="V389" s="160">
        <f t="shared" si="221"/>
        <v>6.4447169977774089E-3</v>
      </c>
      <c r="W389" s="98" t="str">
        <f t="shared" si="212"/>
        <v>1-4.66114165418974i</v>
      </c>
      <c r="X389" s="160">
        <f t="shared" si="222"/>
        <v>4.767204791114251</v>
      </c>
      <c r="Y389" s="160">
        <f t="shared" si="223"/>
        <v>-1.3594601571739628</v>
      </c>
      <c r="Z389" s="98" t="str">
        <f t="shared" si="213"/>
        <v>-0.0521071967581599+1.84105863922816i</v>
      </c>
      <c r="AA389" s="160">
        <f t="shared" si="224"/>
        <v>1.8417958825642538</v>
      </c>
      <c r="AB389" s="160">
        <f t="shared" si="225"/>
        <v>1.5990916177888634</v>
      </c>
      <c r="AC389" s="171" t="str">
        <f t="shared" si="226"/>
        <v>-0.0522599743375774+0.272344220966644i</v>
      </c>
      <c r="AD389" s="190">
        <f t="shared" si="227"/>
        <v>-11.140596567614578</v>
      </c>
      <c r="AE389" s="169">
        <f t="shared" si="228"/>
        <v>100.86241465200938</v>
      </c>
      <c r="AF389" s="98" t="str">
        <f t="shared" si="214"/>
        <v>-9.95024875621891E-06</v>
      </c>
      <c r="AG389" s="98" t="str">
        <f t="shared" si="215"/>
        <v>0.322562551562685i</v>
      </c>
      <c r="AH389" s="98">
        <f t="shared" si="229"/>
        <v>0.32256255156268498</v>
      </c>
      <c r="AI389" s="98">
        <f t="shared" si="230"/>
        <v>1.5707963267948966</v>
      </c>
      <c r="AJ389" s="98" t="str">
        <f t="shared" si="216"/>
        <v>1+3.21918392858575i</v>
      </c>
      <c r="AK389" s="98">
        <f t="shared" si="231"/>
        <v>3.3709264551551379</v>
      </c>
      <c r="AL389" s="98">
        <f t="shared" si="232"/>
        <v>1.2696089409937341</v>
      </c>
      <c r="AM389" s="98" t="str">
        <f t="shared" si="217"/>
        <v>1+3222.40311251434i</v>
      </c>
      <c r="AN389" s="98">
        <f t="shared" si="233"/>
        <v>3222.4032676780394</v>
      </c>
      <c r="AO389" s="98">
        <f t="shared" si="234"/>
        <v>1.5704859993985458</v>
      </c>
      <c r="AP389" s="168" t="str">
        <f t="shared" si="235"/>
        <v>-0.00873911045276247+0.0281636514210541i</v>
      </c>
      <c r="AQ389" s="98">
        <f t="shared" si="236"/>
        <v>-30.606987915450993</v>
      </c>
      <c r="AR389" s="169">
        <f t="shared" si="237"/>
        <v>107.23898559890688</v>
      </c>
      <c r="AS389" s="168" t="str">
        <f t="shared" si="238"/>
        <v>-0.00721350201784847-0.00385187792871581i</v>
      </c>
      <c r="AT389" s="190">
        <f t="shared" si="239"/>
        <v>-41.74758448306558</v>
      </c>
      <c r="AU389" s="169">
        <f t="shared" si="240"/>
        <v>-151.89859974908373</v>
      </c>
      <c r="AV389" s="225"/>
      <c r="AX389">
        <f t="shared" si="241"/>
        <v>0</v>
      </c>
      <c r="AY389">
        <f t="shared" si="242"/>
        <v>0</v>
      </c>
    </row>
    <row r="390" spans="14:51" x14ac:dyDescent="0.3">
      <c r="N390" s="170">
        <v>72</v>
      </c>
      <c r="O390" s="199">
        <f t="shared" si="243"/>
        <v>52480.746024977314</v>
      </c>
      <c r="P390" s="189" t="str">
        <f t="shared" si="209"/>
        <v>1078.86904761905</v>
      </c>
      <c r="Q390" s="160" t="str">
        <f t="shared" si="210"/>
        <v>1+10304.5703854363i</v>
      </c>
      <c r="R390" s="160">
        <f t="shared" si="218"/>
        <v>10304.570433958459</v>
      </c>
      <c r="S390" s="160">
        <f t="shared" si="219"/>
        <v>1.5706992824777193</v>
      </c>
      <c r="T390" s="160" t="str">
        <f t="shared" si="211"/>
        <v>1+0.00659492504667922i</v>
      </c>
      <c r="U390" s="160">
        <f t="shared" si="220"/>
        <v>1.0000217462817353</v>
      </c>
      <c r="V390" s="160">
        <f t="shared" si="221"/>
        <v>6.5948294380692189E-3</v>
      </c>
      <c r="W390" s="98" t="str">
        <f t="shared" si="212"/>
        <v>1-4.76971359076028i</v>
      </c>
      <c r="X390" s="160">
        <f t="shared" si="222"/>
        <v>4.873414381917808</v>
      </c>
      <c r="Y390" s="160">
        <f t="shared" si="223"/>
        <v>-1.3641334394660229</v>
      </c>
      <c r="Z390" s="98" t="str">
        <f t="shared" si="213"/>
        <v>-0.10169148133527+1.88394240390012i</v>
      </c>
      <c r="AA390" s="160">
        <f t="shared" si="224"/>
        <v>1.886684960079219</v>
      </c>
      <c r="AB390" s="160">
        <f t="shared" si="225"/>
        <v>1.624722014624735</v>
      </c>
      <c r="AC390" s="171" t="str">
        <f t="shared" si="226"/>
        <v>-0.0429346977320079+0.267017256538709i</v>
      </c>
      <c r="AD390" s="190">
        <f t="shared" si="227"/>
        <v>-11.35835522407832</v>
      </c>
      <c r="AE390" s="169">
        <f t="shared" si="228"/>
        <v>99.134613029152405</v>
      </c>
      <c r="AF390" s="98" t="str">
        <f t="shared" si="214"/>
        <v>-9.95024875621891E-06</v>
      </c>
      <c r="AG390" s="98" t="str">
        <f t="shared" si="215"/>
        <v>0.330075998586295i</v>
      </c>
      <c r="AH390" s="98">
        <f t="shared" si="229"/>
        <v>0.33007599858629499</v>
      </c>
      <c r="AI390" s="98">
        <f t="shared" si="230"/>
        <v>1.5707963267948966</v>
      </c>
      <c r="AJ390" s="98" t="str">
        <f t="shared" si="216"/>
        <v>1+3.29416835498463i</v>
      </c>
      <c r="AK390" s="98">
        <f t="shared" si="231"/>
        <v>3.4426073187312762</v>
      </c>
      <c r="AL390" s="98">
        <f t="shared" si="232"/>
        <v>1.276070500237785</v>
      </c>
      <c r="AM390" s="98" t="str">
        <f t="shared" si="217"/>
        <v>1+3297.46252333961i</v>
      </c>
      <c r="AN390" s="98">
        <f t="shared" si="233"/>
        <v>3297.462674971353</v>
      </c>
      <c r="AO390" s="98">
        <f t="shared" si="234"/>
        <v>1.5704930633120622</v>
      </c>
      <c r="AP390" s="168" t="str">
        <f t="shared" si="235"/>
        <v>-0.00837897332642619+0.0276318941057007i</v>
      </c>
      <c r="AQ390" s="98">
        <f t="shared" si="236"/>
        <v>-30.789752139225904</v>
      </c>
      <c r="AR390" s="169">
        <f t="shared" si="237"/>
        <v>106.86917025758041</v>
      </c>
      <c r="AS390" s="168" t="str">
        <f t="shared" si="238"/>
        <v>-0.00701844386999766-0.00342369749142445i</v>
      </c>
      <c r="AT390" s="190">
        <f t="shared" si="239"/>
        <v>-42.14810736330422</v>
      </c>
      <c r="AU390" s="169">
        <f t="shared" si="240"/>
        <v>-153.99621671326719</v>
      </c>
      <c r="AV390" s="225"/>
      <c r="AX390">
        <f t="shared" si="241"/>
        <v>0</v>
      </c>
      <c r="AY390">
        <f t="shared" si="242"/>
        <v>0</v>
      </c>
    </row>
    <row r="391" spans="14:51" x14ac:dyDescent="0.3">
      <c r="N391" s="170">
        <v>73</v>
      </c>
      <c r="O391" s="199">
        <f t="shared" si="243"/>
        <v>53703.179637025423</v>
      </c>
      <c r="P391" s="189" t="str">
        <f t="shared" si="209"/>
        <v>1078.86904761905</v>
      </c>
      <c r="Q391" s="160" t="str">
        <f t="shared" si="210"/>
        <v>1+10544.5946638808i</v>
      </c>
      <c r="R391" s="160">
        <f t="shared" si="218"/>
        <v>10544.59471129846</v>
      </c>
      <c r="S391" s="160">
        <f t="shared" si="219"/>
        <v>1.5707014914760553</v>
      </c>
      <c r="T391" s="160" t="str">
        <f t="shared" si="211"/>
        <v>1+0.00674854058488368i</v>
      </c>
      <c r="U391" s="160">
        <f t="shared" si="220"/>
        <v>1.0000227711407506</v>
      </c>
      <c r="V391" s="160">
        <f t="shared" si="221"/>
        <v>6.7484381385383065E-3</v>
      </c>
      <c r="W391" s="98" t="str">
        <f t="shared" si="212"/>
        <v>1-4.88081449261128i</v>
      </c>
      <c r="X391" s="160">
        <f t="shared" si="222"/>
        <v>4.9822033390142062</v>
      </c>
      <c r="Y391" s="160">
        <f t="shared" si="223"/>
        <v>-1.3687092107739083</v>
      </c>
      <c r="Z391" s="98" t="str">
        <f t="shared" si="213"/>
        <v>-0.15361260125065+1.92782505977155i</v>
      </c>
      <c r="AA391" s="160">
        <f t="shared" si="224"/>
        <v>1.9339354416179904</v>
      </c>
      <c r="AB391" s="160">
        <f t="shared" si="225"/>
        <v>1.6503101437205698</v>
      </c>
      <c r="AC391" s="171" t="str">
        <f t="shared" si="226"/>
        <v>-0.0340177132115469+0.261385255636621i</v>
      </c>
      <c r="AD391" s="190">
        <f t="shared" si="227"/>
        <v>-11.581435863587799</v>
      </c>
      <c r="AE391" s="169">
        <f t="shared" si="228"/>
        <v>97.415023406318028</v>
      </c>
      <c r="AF391" s="98" t="str">
        <f t="shared" si="214"/>
        <v>-9.95024875621891E-06</v>
      </c>
      <c r="AG391" s="98" t="str">
        <f t="shared" si="215"/>
        <v>0.337764456273428i</v>
      </c>
      <c r="AH391" s="98">
        <f t="shared" si="229"/>
        <v>0.33776445627342799</v>
      </c>
      <c r="AI391" s="98">
        <f t="shared" si="230"/>
        <v>1.5707963267948966</v>
      </c>
      <c r="AJ391" s="98" t="str">
        <f t="shared" si="216"/>
        <v>1+3.37089939304879i</v>
      </c>
      <c r="AK391" s="98">
        <f t="shared" si="231"/>
        <v>3.5161004988561837</v>
      </c>
      <c r="AL391" s="98">
        <f t="shared" si="232"/>
        <v>1.2824095653801957</v>
      </c>
      <c r="AM391" s="98" t="str">
        <f t="shared" si="217"/>
        <v>1+3374.27029244184i</v>
      </c>
      <c r="AN391" s="98">
        <f t="shared" si="233"/>
        <v>3374.2704406220228</v>
      </c>
      <c r="AO391" s="98">
        <f t="shared" si="234"/>
        <v>1.5704999664313053</v>
      </c>
      <c r="AP391" s="168" t="str">
        <f t="shared" si="235"/>
        <v>-0.00803236109027304+0.0271057402590705i</v>
      </c>
      <c r="AQ391" s="98">
        <f t="shared" si="236"/>
        <v>-30.973227999088031</v>
      </c>
      <c r="AR391" s="169">
        <f t="shared" si="237"/>
        <v>106.50636409845983</v>
      </c>
      <c r="AS391" s="168" t="str">
        <f t="shared" si="238"/>
        <v>-0.0068117982908565-0.00302161605546641i</v>
      </c>
      <c r="AT391" s="190">
        <f t="shared" si="239"/>
        <v>-42.554663862675824</v>
      </c>
      <c r="AU391" s="169">
        <f t="shared" si="240"/>
        <v>-156.07861249522216</v>
      </c>
      <c r="AV391" s="225"/>
      <c r="AX391">
        <f t="shared" si="241"/>
        <v>0</v>
      </c>
      <c r="AY391">
        <f t="shared" si="242"/>
        <v>0</v>
      </c>
    </row>
    <row r="392" spans="14:51" x14ac:dyDescent="0.3">
      <c r="N392" s="170">
        <v>74</v>
      </c>
      <c r="O392" s="199">
        <f t="shared" si="243"/>
        <v>54954.087385762505</v>
      </c>
      <c r="P392" s="189" t="str">
        <f t="shared" si="209"/>
        <v>1078.86904761905</v>
      </c>
      <c r="Q392" s="160" t="str">
        <f t="shared" si="210"/>
        <v>1+10790.2098259902i</v>
      </c>
      <c r="R392" s="160">
        <f t="shared" si="218"/>
        <v>10790.2098723285</v>
      </c>
      <c r="S392" s="160">
        <f t="shared" si="219"/>
        <v>1.5707036501914511</v>
      </c>
      <c r="T392" s="160" t="str">
        <f t="shared" si="211"/>
        <v>1+0.00690573428863372i</v>
      </c>
      <c r="U392" s="160">
        <f t="shared" si="220"/>
        <v>1.0000238442987572</v>
      </c>
      <c r="V392" s="160">
        <f t="shared" si="221"/>
        <v>6.9056245155382648E-3</v>
      </c>
      <c r="W392" s="98" t="str">
        <f t="shared" si="212"/>
        <v>1-4.99450326691145i</v>
      </c>
      <c r="X392" s="160">
        <f t="shared" si="222"/>
        <v>5.0936296374186014</v>
      </c>
      <c r="Y392" s="160">
        <f t="shared" si="223"/>
        <v>-1.3731891304237147</v>
      </c>
      <c r="Z392" s="98" t="str">
        <f t="shared" si="213"/>
        <v>-0.20798068816081+1.97272987400745i</v>
      </c>
      <c r="AA392" s="160">
        <f t="shared" si="224"/>
        <v>1.9836630566830882</v>
      </c>
      <c r="AB392" s="160">
        <f t="shared" si="225"/>
        <v>1.6758361594731912</v>
      </c>
      <c r="AC392" s="171" t="str">
        <f t="shared" si="226"/>
        <v>-0.0255211632805535+0.25547737138776i</v>
      </c>
      <c r="AD392" s="190">
        <f t="shared" si="227"/>
        <v>-11.809826888740631</v>
      </c>
      <c r="AE392" s="169">
        <f t="shared" si="228"/>
        <v>95.704692378134411</v>
      </c>
      <c r="AF392" s="98" t="str">
        <f t="shared" si="214"/>
        <v>-9.95024875621891E-06</v>
      </c>
      <c r="AG392" s="98" t="str">
        <f t="shared" si="215"/>
        <v>0.345632001146118i</v>
      </c>
      <c r="AH392" s="98">
        <f t="shared" si="229"/>
        <v>0.34563200114611797</v>
      </c>
      <c r="AI392" s="98">
        <f t="shared" si="230"/>
        <v>1.5707963267948966</v>
      </c>
      <c r="AJ392" s="98" t="str">
        <f t="shared" si="216"/>
        <v>1+3.44941772659027i</v>
      </c>
      <c r="AK392" s="98">
        <f t="shared" si="231"/>
        <v>3.5914457607647625</v>
      </c>
      <c r="AL392" s="98">
        <f t="shared" si="232"/>
        <v>1.2886274588970956</v>
      </c>
      <c r="AM392" s="98" t="str">
        <f t="shared" si="217"/>
        <v>1+3452.86714431686i</v>
      </c>
      <c r="AN392" s="98">
        <f t="shared" si="233"/>
        <v>3452.8672891240503</v>
      </c>
      <c r="AO392" s="98">
        <f t="shared" si="234"/>
        <v>1.5705067124163976</v>
      </c>
      <c r="AP392" s="168" t="str">
        <f t="shared" si="235"/>
        <v>-0.0076988730668758+0.0265854177949867i</v>
      </c>
      <c r="AQ392" s="98">
        <f t="shared" si="236"/>
        <v>-31.157388659563289</v>
      </c>
      <c r="AR392" s="169">
        <f t="shared" si="237"/>
        <v>106.15049155895409</v>
      </c>
      <c r="AS392" s="168" t="str">
        <f t="shared" si="238"/>
        <v>-0.00659548845889259-0.00264537864220104i</v>
      </c>
      <c r="AT392" s="190">
        <f t="shared" si="239"/>
        <v>-42.967215548303919</v>
      </c>
      <c r="AU392" s="169">
        <f t="shared" si="240"/>
        <v>-158.1448160629115</v>
      </c>
      <c r="AV392" s="225"/>
      <c r="AX392">
        <f t="shared" si="241"/>
        <v>0</v>
      </c>
      <c r="AY392">
        <f t="shared" si="242"/>
        <v>0</v>
      </c>
    </row>
    <row r="393" spans="14:51" x14ac:dyDescent="0.3">
      <c r="N393" s="170">
        <v>75</v>
      </c>
      <c r="O393" s="199">
        <f t="shared" si="243"/>
        <v>56234.132519034953</v>
      </c>
      <c r="P393" s="189" t="str">
        <f t="shared" si="209"/>
        <v>1078.86904761905</v>
      </c>
      <c r="Q393" s="160" t="str">
        <f t="shared" si="210"/>
        <v>1+11041.5461001747i</v>
      </c>
      <c r="R393" s="160">
        <f t="shared" si="218"/>
        <v>11041.546145458215</v>
      </c>
      <c r="S393" s="160">
        <f t="shared" si="219"/>
        <v>1.5707057597684861</v>
      </c>
      <c r="T393" s="160" t="str">
        <f t="shared" si="211"/>
        <v>1+0.0070665895041118i</v>
      </c>
      <c r="U393" s="160">
        <f t="shared" si="220"/>
        <v>1.0000249680319084</v>
      </c>
      <c r="V393" s="160">
        <f t="shared" si="221"/>
        <v>7.0664718802794348E-3</v>
      </c>
      <c r="W393" s="98" t="str">
        <f t="shared" si="212"/>
        <v>1-5.11084019295382i</v>
      </c>
      <c r="X393" s="160">
        <f t="shared" si="222"/>
        <v>5.2077526321737135</v>
      </c>
      <c r="Y393" s="160">
        <f t="shared" si="223"/>
        <v>-1.3775748541027164</v>
      </c>
      <c r="Z393" s="98" t="str">
        <f t="shared" si="213"/>
        <v>-0.26491106406736+2.01868065573472i</v>
      </c>
      <c r="AA393" s="160">
        <f t="shared" si="224"/>
        <v>2.0359885711130259</v>
      </c>
      <c r="AB393" s="160">
        <f t="shared" si="225"/>
        <v>1.7012805045432391</v>
      </c>
      <c r="AC393" s="171" t="str">
        <f t="shared" si="226"/>
        <v>-0.0174547247619528+0.249323388072864i</v>
      </c>
      <c r="AD393" s="190">
        <f t="shared" si="227"/>
        <v>-12.04350607299615</v>
      </c>
      <c r="AE393" s="169">
        <f t="shared" si="228"/>
        <v>94.004650341513639</v>
      </c>
      <c r="AF393" s="98" t="str">
        <f t="shared" si="214"/>
        <v>-9.95024875621891E-06</v>
      </c>
      <c r="AG393" s="98" t="str">
        <f t="shared" si="215"/>
        <v>0.353682804680796i</v>
      </c>
      <c r="AH393" s="98">
        <f t="shared" si="229"/>
        <v>0.35368280468079599</v>
      </c>
      <c r="AI393" s="98">
        <f t="shared" si="230"/>
        <v>1.5707963267948966</v>
      </c>
      <c r="AJ393" s="98" t="str">
        <f t="shared" si="216"/>
        <v>1+3.52976498706883i</v>
      </c>
      <c r="AK393" s="98">
        <f t="shared" si="231"/>
        <v>3.6686838053908404</v>
      </c>
      <c r="AL393" s="98">
        <f t="shared" si="232"/>
        <v>1.2947255536855691</v>
      </c>
      <c r="AM393" s="98" t="str">
        <f t="shared" si="217"/>
        <v>1+3533.2947520559i</v>
      </c>
      <c r="AN393" s="98">
        <f t="shared" si="233"/>
        <v>3533.2948935668765</v>
      </c>
      <c r="AO393" s="98">
        <f t="shared" si="234"/>
        <v>1.5705133048441473</v>
      </c>
      <c r="AP393" s="168" t="str">
        <f t="shared" si="235"/>
        <v>-0.00737811156668506+0.0260711331344031i</v>
      </c>
      <c r="AQ393" s="98">
        <f t="shared" si="236"/>
        <v>-31.342208089285698</v>
      </c>
      <c r="AR393" s="169">
        <f t="shared" si="237"/>
        <v>105.80147418279066</v>
      </c>
      <c r="AS393" s="168" t="str">
        <f t="shared" si="238"/>
        <v>-0.00637136033730862-0.00229460022647874i</v>
      </c>
      <c r="AT393" s="190">
        <f t="shared" si="239"/>
        <v>-43.38571416228185</v>
      </c>
      <c r="AU393" s="169">
        <f t="shared" si="240"/>
        <v>-160.19387547569568</v>
      </c>
      <c r="AV393" s="225"/>
      <c r="AX393">
        <f t="shared" si="241"/>
        <v>0</v>
      </c>
      <c r="AY393">
        <f t="shared" si="242"/>
        <v>0</v>
      </c>
    </row>
    <row r="394" spans="14:51" x14ac:dyDescent="0.3">
      <c r="N394" s="170">
        <v>76</v>
      </c>
      <c r="O394" s="199">
        <f t="shared" si="243"/>
        <v>57543.993733715732</v>
      </c>
      <c r="P394" s="189" t="str">
        <f t="shared" si="209"/>
        <v>1078.86904761905</v>
      </c>
      <c r="Q394" s="160" t="str">
        <f t="shared" si="210"/>
        <v>1+11298.7367482537i</v>
      </c>
      <c r="R394" s="160">
        <f t="shared" si="218"/>
        <v>11298.736792506434</v>
      </c>
      <c r="S394" s="160">
        <f t="shared" si="219"/>
        <v>1.5707078213256862</v>
      </c>
      <c r="T394" s="160" t="str">
        <f t="shared" si="211"/>
        <v>1+0.00723119151888234i</v>
      </c>
      <c r="U394" s="160">
        <f t="shared" si="220"/>
        <v>1.0000261447236181</v>
      </c>
      <c r="V394" s="160">
        <f t="shared" si="221"/>
        <v>7.231065482853169E-3</v>
      </c>
      <c r="W394" s="98" t="str">
        <f t="shared" si="212"/>
        <v>1-5.22988695411647i</v>
      </c>
      <c r="X394" s="160">
        <f t="shared" si="222"/>
        <v>5.3246330909122408</v>
      </c>
      <c r="Y394" s="160">
        <f t="shared" si="223"/>
        <v>-1.3818680319967589</v>
      </c>
      <c r="Z394" s="98" t="str">
        <f t="shared" si="213"/>
        <v>-0.32452448593037+2.06570176866605i</v>
      </c>
      <c r="AA394" s="160">
        <f t="shared" si="224"/>
        <v>2.0910380051635644</v>
      </c>
      <c r="AB394" s="160">
        <f t="shared" si="225"/>
        <v>1.7266239971473996</v>
      </c>
      <c r="AC394" s="171" t="str">
        <f t="shared" si="226"/>
        <v>-0.00982557785090769+0.242953458963535i</v>
      </c>
      <c r="AD394" s="190">
        <f t="shared" si="227"/>
        <v>-12.282440866589921</v>
      </c>
      <c r="AE394" s="169">
        <f t="shared" si="228"/>
        <v>92.315906603382189</v>
      </c>
      <c r="AF394" s="98" t="str">
        <f t="shared" si="214"/>
        <v>-9.95024875621891E-06</v>
      </c>
      <c r="AG394" s="98" t="str">
        <f t="shared" si="215"/>
        <v>0.361921135520061i</v>
      </c>
      <c r="AH394" s="98">
        <f t="shared" si="229"/>
        <v>0.361921135520061</v>
      </c>
      <c r="AI394" s="98">
        <f t="shared" si="230"/>
        <v>1.5707963267948966</v>
      </c>
      <c r="AJ394" s="98" t="str">
        <f t="shared" si="216"/>
        <v>1+3.6119837756655i</v>
      </c>
      <c r="AK394" s="98">
        <f t="shared" si="231"/>
        <v>3.7478562933590185</v>
      </c>
      <c r="AL394" s="98">
        <f t="shared" si="232"/>
        <v>1.300705268184416</v>
      </c>
      <c r="AM394" s="98" t="str">
        <f t="shared" si="217"/>
        <v>1+3615.59575944117i</v>
      </c>
      <c r="AN394" s="98">
        <f t="shared" si="233"/>
        <v>3615.5958977309633</v>
      </c>
      <c r="AO394" s="98">
        <f t="shared" si="234"/>
        <v>1.5705197472099444</v>
      </c>
      <c r="AP394" s="168" t="str">
        <f t="shared" si="235"/>
        <v>-0.00706968271301708+0.0255630721230695i</v>
      </c>
      <c r="AQ394" s="98">
        <f t="shared" si="236"/>
        <v>-31.52766105413507</v>
      </c>
      <c r="AR394" s="169">
        <f t="shared" si="237"/>
        <v>105.4592308996838</v>
      </c>
      <c r="AS394" s="168" t="str">
        <f t="shared" si="238"/>
        <v>-0.00614117307615609-0.0019687758241558i</v>
      </c>
      <c r="AT394" s="190">
        <f t="shared" si="239"/>
        <v>-43.810101920724989</v>
      </c>
      <c r="AU394" s="169">
        <f t="shared" si="240"/>
        <v>-162.22486249693398</v>
      </c>
      <c r="AV394" s="225"/>
      <c r="AX394">
        <f t="shared" si="241"/>
        <v>0</v>
      </c>
      <c r="AY394">
        <f t="shared" si="242"/>
        <v>0</v>
      </c>
    </row>
    <row r="395" spans="14:51" x14ac:dyDescent="0.3">
      <c r="N395" s="170">
        <v>77</v>
      </c>
      <c r="O395" s="199">
        <f t="shared" si="243"/>
        <v>58884.365535558936</v>
      </c>
      <c r="P395" s="189" t="str">
        <f t="shared" si="209"/>
        <v>1078.86904761905</v>
      </c>
      <c r="Q395" s="160" t="str">
        <f t="shared" si="210"/>
        <v>1+11561.918136113i</v>
      </c>
      <c r="R395" s="160">
        <f t="shared" si="218"/>
        <v>11561.918179358418</v>
      </c>
      <c r="S395" s="160">
        <f t="shared" si="219"/>
        <v>1.5707098359561158</v>
      </c>
      <c r="T395" s="160" t="str">
        <f t="shared" si="211"/>
        <v>1+0.00739962760711232i</v>
      </c>
      <c r="U395" s="160">
        <f t="shared" si="220"/>
        <v>1.0000273768696155</v>
      </c>
      <c r="V395" s="160">
        <f t="shared" si="221"/>
        <v>7.3994925572735855E-3</v>
      </c>
      <c r="W395" s="98" t="str">
        <f t="shared" si="212"/>
        <v>1-5.35170667056792i</v>
      </c>
      <c r="X395" s="160">
        <f t="shared" si="222"/>
        <v>5.4443332271088236</v>
      </c>
      <c r="Y395" s="160">
        <f t="shared" si="223"/>
        <v>-1.3860703070668732</v>
      </c>
      <c r="Z395" s="98" t="str">
        <f t="shared" si="213"/>
        <v>-0.38694740181013+2.11381814401793i</v>
      </c>
      <c r="AA395" s="160">
        <f t="shared" si="224"/>
        <v>2.1489428651658042</v>
      </c>
      <c r="AB395" s="160">
        <f t="shared" si="225"/>
        <v>1.7518479138526428</v>
      </c>
      <c r="AC395" s="171" t="str">
        <f t="shared" si="226"/>
        <v>-0.00263840785531929+0.23639784543262i</v>
      </c>
      <c r="AD395" s="190">
        <f t="shared" si="227"/>
        <v>-12.526588773797918</v>
      </c>
      <c r="AE395" s="169">
        <f t="shared" si="228"/>
        <v>90.639444738210813</v>
      </c>
      <c r="AF395" s="98" t="str">
        <f t="shared" si="214"/>
        <v>-9.95024875621891E-06</v>
      </c>
      <c r="AG395" s="98" t="str">
        <f t="shared" si="215"/>
        <v>0.370351361735972i</v>
      </c>
      <c r="AH395" s="98">
        <f t="shared" si="229"/>
        <v>0.370351361735972</v>
      </c>
      <c r="AI395" s="98">
        <f t="shared" si="230"/>
        <v>1.5707963267948966</v>
      </c>
      <c r="AJ395" s="98" t="str">
        <f t="shared" si="216"/>
        <v>1+3.69611768587029i</v>
      </c>
      <c r="AK395" s="98">
        <f t="shared" si="231"/>
        <v>3.8290058693873981</v>
      </c>
      <c r="AL395" s="98">
        <f t="shared" si="232"/>
        <v>1.3065680617082365</v>
      </c>
      <c r="AM395" s="98" t="str">
        <f t="shared" si="217"/>
        <v>1+3699.81380355616i</v>
      </c>
      <c r="AN395" s="98">
        <f t="shared" si="233"/>
        <v>3699.8139386980934</v>
      </c>
      <c r="AO395" s="98">
        <f t="shared" si="234"/>
        <v>1.5705260429296146</v>
      </c>
      <c r="AP395" s="168" t="str">
        <f t="shared" si="235"/>
        <v>-0.00677319718410473+0.0250614009526041i</v>
      </c>
      <c r="AQ395" s="98">
        <f t="shared" si="236"/>
        <v>-31.713723108796881</v>
      </c>
      <c r="AR395" s="169">
        <f t="shared" si="237"/>
        <v>105.12367829277845</v>
      </c>
      <c r="AS395" s="168" t="str">
        <f t="shared" si="238"/>
        <v>-0.00590659073206245-0.0016672914181513i</v>
      </c>
      <c r="AT395" s="190">
        <f t="shared" si="239"/>
        <v>-44.240311882594803</v>
      </c>
      <c r="AU395" s="169">
        <f t="shared" si="240"/>
        <v>-164.23687696901078</v>
      </c>
      <c r="AV395" s="225"/>
      <c r="AX395">
        <f t="shared" si="241"/>
        <v>0</v>
      </c>
      <c r="AY395">
        <f t="shared" si="242"/>
        <v>0</v>
      </c>
    </row>
    <row r="396" spans="14:51" x14ac:dyDescent="0.3">
      <c r="N396" s="170">
        <v>78</v>
      </c>
      <c r="O396" s="199">
        <f t="shared" si="243"/>
        <v>60255.95860743591</v>
      </c>
      <c r="P396" s="189" t="str">
        <f t="shared" si="209"/>
        <v>1078.86904761905</v>
      </c>
      <c r="Q396" s="160" t="str">
        <f t="shared" si="210"/>
        <v>1+11831.2298060082i</v>
      </c>
      <c r="R396" s="160">
        <f t="shared" si="218"/>
        <v>11831.229848269231</v>
      </c>
      <c r="S396" s="160">
        <f t="shared" si="219"/>
        <v>1.5707118047279589</v>
      </c>
      <c r="T396" s="160" t="str">
        <f t="shared" si="211"/>
        <v>1+0.00757198707584526i</v>
      </c>
      <c r="U396" s="160">
        <f t="shared" si="220"/>
        <v>1.0000286670832377</v>
      </c>
      <c r="V396" s="160">
        <f t="shared" si="221"/>
        <v>7.5718423675599283E-3</v>
      </c>
      <c r="W396" s="98" t="str">
        <f t="shared" si="212"/>
        <v>1-5.47636393273433i</v>
      </c>
      <c r="X396" s="160">
        <f t="shared" si="222"/>
        <v>5.5669167340416914</v>
      </c>
      <c r="Y396" s="160">
        <f t="shared" si="223"/>
        <v>-1.390183313458629</v>
      </c>
      <c r="Z396" s="98" t="str">
        <f t="shared" si="213"/>
        <v>-0.45231221908042+2.16305529372947i</v>
      </c>
      <c r="AA396" s="160">
        <f t="shared" si="224"/>
        <v>2.2098403895441265</v>
      </c>
      <c r="AB396" s="160">
        <f t="shared" si="225"/>
        <v>1.7769340669755425</v>
      </c>
      <c r="AC396" s="171" t="str">
        <f t="shared" si="226"/>
        <v>0.00410456135779285+0.229686661921773i</v>
      </c>
      <c r="AD396" s="190">
        <f t="shared" si="227"/>
        <v>-12.775897795479882</v>
      </c>
      <c r="AE396" s="169">
        <f t="shared" si="228"/>
        <v>88.976218247103617</v>
      </c>
      <c r="AF396" s="98" t="str">
        <f t="shared" si="214"/>
        <v>-9.95024875621891E-06</v>
      </c>
      <c r="AG396" s="98" t="str">
        <f t="shared" si="215"/>
        <v>0.378977953146055i</v>
      </c>
      <c r="AH396" s="98">
        <f t="shared" si="229"/>
        <v>0.37897795314605498</v>
      </c>
      <c r="AI396" s="98">
        <f t="shared" si="230"/>
        <v>1.5707963267948966</v>
      </c>
      <c r="AJ396" s="98" t="str">
        <f t="shared" si="216"/>
        <v>1+3.78221132659603i</v>
      </c>
      <c r="AK396" s="98">
        <f t="shared" si="231"/>
        <v>3.9121761871152092</v>
      </c>
      <c r="AL396" s="98">
        <f t="shared" si="232"/>
        <v>1.312315429995023</v>
      </c>
      <c r="AM396" s="98" t="str">
        <f t="shared" si="217"/>
        <v>1+3785.99353792263i</v>
      </c>
      <c r="AN396" s="98">
        <f t="shared" si="233"/>
        <v>3785.9936699883574</v>
      </c>
      <c r="AO396" s="98">
        <f t="shared" si="234"/>
        <v>1.5705321953412297</v>
      </c>
      <c r="AP396" s="168" t="str">
        <f t="shared" si="235"/>
        <v>-0.00648827087620724+0.0245662670798268i</v>
      </c>
      <c r="AQ396" s="98">
        <f t="shared" si="236"/>
        <v>-31.900370586907979</v>
      </c>
      <c r="AR396" s="169">
        <f t="shared" si="237"/>
        <v>104.79473085385757</v>
      </c>
      <c r="AS396" s="168" t="str">
        <f t="shared" si="238"/>
        <v>-0.00566917538736153-0.00138943552863922i</v>
      </c>
      <c r="AT396" s="190">
        <f t="shared" si="239"/>
        <v>-44.676268382387867</v>
      </c>
      <c r="AU396" s="169">
        <f t="shared" si="240"/>
        <v>-166.22905089903884</v>
      </c>
      <c r="AV396" s="225"/>
      <c r="AX396">
        <f t="shared" si="241"/>
        <v>0</v>
      </c>
      <c r="AY396">
        <f t="shared" si="242"/>
        <v>0</v>
      </c>
    </row>
    <row r="397" spans="14:51" x14ac:dyDescent="0.3">
      <c r="N397" s="170">
        <v>79</v>
      </c>
      <c r="O397" s="199">
        <f t="shared" si="243"/>
        <v>61659.500186148245</v>
      </c>
      <c r="P397" s="189" t="str">
        <f t="shared" si="209"/>
        <v>1078.86904761905</v>
      </c>
      <c r="Q397" s="160" t="str">
        <f t="shared" si="210"/>
        <v>1+12106.8145505514i</v>
      </c>
      <c r="R397" s="160">
        <f t="shared" si="218"/>
        <v>12106.814591850454</v>
      </c>
      <c r="S397" s="160">
        <f t="shared" si="219"/>
        <v>1.5707137286850841</v>
      </c>
      <c r="T397" s="160" t="str">
        <f t="shared" si="211"/>
        <v>1+0.00774836131235288i</v>
      </c>
      <c r="U397" s="160">
        <f t="shared" si="220"/>
        <v>1.0000300181009703</v>
      </c>
      <c r="V397" s="160">
        <f t="shared" si="221"/>
        <v>7.7482062548828966E-3</v>
      </c>
      <c r="W397" s="98" t="str">
        <f t="shared" si="212"/>
        <v>1-5.6039248355461i</v>
      </c>
      <c r="X397" s="160">
        <f t="shared" si="222"/>
        <v>5.6924488194844916</v>
      </c>
      <c r="Y397" s="160">
        <f t="shared" si="223"/>
        <v>-1.3942086750378297</v>
      </c>
      <c r="Z397" s="98" t="str">
        <f t="shared" si="213"/>
        <v>-0.52075758528225+2.21343932398915i</v>
      </c>
      <c r="AA397" s="160">
        <f t="shared" si="224"/>
        <v>2.2738738099574798</v>
      </c>
      <c r="AB397" s="160">
        <f t="shared" si="225"/>
        <v>1.8018648758088145</v>
      </c>
      <c r="AC397" s="171" t="str">
        <f t="shared" si="226"/>
        <v>0.0104035038945577+0.222849631053258i</v>
      </c>
      <c r="AD397" s="190">
        <f t="shared" si="227"/>
        <v>-13.030306929902055</v>
      </c>
      <c r="AE397" s="169">
        <f t="shared" si="228"/>
        <v>87.327146563386194</v>
      </c>
      <c r="AF397" s="98" t="str">
        <f t="shared" si="214"/>
        <v>-9.95024875621891E-06</v>
      </c>
      <c r="AG397" s="98" t="str">
        <f t="shared" si="215"/>
        <v>0.387805483683261i</v>
      </c>
      <c r="AH397" s="98">
        <f t="shared" si="229"/>
        <v>0.38780548368326101</v>
      </c>
      <c r="AI397" s="98">
        <f t="shared" si="230"/>
        <v>1.5707963267948966</v>
      </c>
      <c r="AJ397" s="98" t="str">
        <f t="shared" si="216"/>
        <v>1+3.87031034583061i</v>
      </c>
      <c r="AK397" s="98">
        <f t="shared" si="231"/>
        <v>3.9974119343699686</v>
      </c>
      <c r="AL397" s="98">
        <f t="shared" si="232"/>
        <v>1.3179489009663123</v>
      </c>
      <c r="AM397" s="98" t="str">
        <f t="shared" si="217"/>
        <v>1+3874.18065617644i</v>
      </c>
      <c r="AN397" s="98">
        <f t="shared" si="233"/>
        <v>3874.1807852359852</v>
      </c>
      <c r="AO397" s="98">
        <f t="shared" si="234"/>
        <v>1.5705382077068781</v>
      </c>
      <c r="AP397" s="168" t="str">
        <f t="shared" si="235"/>
        <v>-0.00621452549189142+0.0240778001397768i</v>
      </c>
      <c r="AQ397" s="98">
        <f t="shared" si="236"/>
        <v>-32.087580589942839</v>
      </c>
      <c r="AR397" s="169">
        <f t="shared" si="237"/>
        <v>104.47230122636981</v>
      </c>
      <c r="AS397" s="168" t="str">
        <f t="shared" si="238"/>
        <v>-0.00543038171788106-0.00113441122551252i</v>
      </c>
      <c r="AT397" s="190">
        <f t="shared" si="239"/>
        <v>-45.117887519844899</v>
      </c>
      <c r="AU397" s="169">
        <f t="shared" si="240"/>
        <v>-168.20055221024398</v>
      </c>
      <c r="AV397" s="225"/>
      <c r="AX397">
        <f t="shared" si="241"/>
        <v>0</v>
      </c>
      <c r="AY397">
        <f t="shared" si="242"/>
        <v>0</v>
      </c>
    </row>
    <row r="398" spans="14:51" x14ac:dyDescent="0.3">
      <c r="N398" s="170">
        <v>80</v>
      </c>
      <c r="O398" s="199">
        <f t="shared" si="243"/>
        <v>63095.734448019342</v>
      </c>
      <c r="P398" s="189" t="str">
        <f t="shared" si="209"/>
        <v>1078.86904761905</v>
      </c>
      <c r="Q398" s="160" t="str">
        <f t="shared" si="210"/>
        <v>1+12388.8184884219i</v>
      </c>
      <c r="R398" s="160">
        <f t="shared" si="218"/>
        <v>12388.818528780874</v>
      </c>
      <c r="S398" s="160">
        <f t="shared" si="219"/>
        <v>1.5707156088475991</v>
      </c>
      <c r="T398" s="160" t="str">
        <f t="shared" si="211"/>
        <v>1+0.00792884383259i</v>
      </c>
      <c r="U398" s="160">
        <f t="shared" si="220"/>
        <v>1.0000314327882507</v>
      </c>
      <c r="V398" s="160">
        <f t="shared" si="221"/>
        <v>7.9286776857995407E-3</v>
      </c>
      <c r="W398" s="98" t="str">
        <f t="shared" si="212"/>
        <v>1-5.73445701348239i</v>
      </c>
      <c r="X398" s="160">
        <f t="shared" si="222"/>
        <v>5.8209962411495653</v>
      </c>
      <c r="Y398" s="160">
        <f t="shared" si="223"/>
        <v>-1.3981480040462779</v>
      </c>
      <c r="Z398" s="98" t="str">
        <f t="shared" si="213"/>
        <v>-0.59242868221399+2.26499694907674i</v>
      </c>
      <c r="AA398" s="160">
        <f t="shared" si="224"/>
        <v>2.3411926283065103</v>
      </c>
      <c r="AB398" s="160">
        <f t="shared" si="225"/>
        <v>1.8266234310295155</v>
      </c>
      <c r="AC398" s="171" t="str">
        <f t="shared" si="226"/>
        <v>0.0162609006538452+0.215915852761381i</v>
      </c>
      <c r="AD398" s="190">
        <f t="shared" si="227"/>
        <v>-13.289746724103729</v>
      </c>
      <c r="AE398" s="169">
        <f t="shared" si="228"/>
        <v>85.693111442038216</v>
      </c>
      <c r="AF398" s="98" t="str">
        <f t="shared" si="214"/>
        <v>-9.95024875621891E-06</v>
      </c>
      <c r="AG398" s="98" t="str">
        <f t="shared" si="215"/>
        <v>0.39683863382113i</v>
      </c>
      <c r="AH398" s="98">
        <f t="shared" si="229"/>
        <v>0.39683863382112999</v>
      </c>
      <c r="AI398" s="98">
        <f t="shared" si="230"/>
        <v>1.5707963267948966</v>
      </c>
      <c r="AJ398" s="98" t="str">
        <f t="shared" si="216"/>
        <v>1+3.96046145484016i</v>
      </c>
      <c r="AK398" s="98">
        <f t="shared" si="231"/>
        <v>4.0847588588893027</v>
      </c>
      <c r="AL398" s="98">
        <f t="shared" si="232"/>
        <v>1.3234700306979552</v>
      </c>
      <c r="AM398" s="98" t="str">
        <f t="shared" si="217"/>
        <v>1+3964.421916295i</v>
      </c>
      <c r="AN398" s="98">
        <f t="shared" si="233"/>
        <v>3964.4220424167906</v>
      </c>
      <c r="AO398" s="98">
        <f t="shared" si="234"/>
        <v>1.5705440832143935</v>
      </c>
      <c r="AP398" s="168" t="str">
        <f t="shared" si="235"/>
        <v>-0.005951589057658+0.0235961128483764i</v>
      </c>
      <c r="AQ398" s="98">
        <f t="shared" si="236"/>
        <v>-32.275330974986801</v>
      </c>
      <c r="AR398" s="169">
        <f t="shared" si="237"/>
        <v>104.15630043638562</v>
      </c>
      <c r="AS398" s="168" t="str">
        <f t="shared" si="238"/>
        <v>-0.00519155302591006-0.000901348379825162i</v>
      </c>
      <c r="AT398" s="190">
        <f t="shared" si="239"/>
        <v>-45.56507769909053</v>
      </c>
      <c r="AU398" s="169">
        <f t="shared" si="240"/>
        <v>-170.15058812157619</v>
      </c>
      <c r="AV398" s="225"/>
      <c r="AX398">
        <f t="shared" si="241"/>
        <v>0</v>
      </c>
      <c r="AY398">
        <f t="shared" si="242"/>
        <v>0</v>
      </c>
    </row>
    <row r="399" spans="14:51" x14ac:dyDescent="0.3">
      <c r="N399" s="170">
        <v>81</v>
      </c>
      <c r="O399" s="199">
        <f t="shared" si="243"/>
        <v>64565.422903465682</v>
      </c>
      <c r="P399" s="189" t="str">
        <f t="shared" si="209"/>
        <v>1078.86904761905</v>
      </c>
      <c r="Q399" s="160" t="str">
        <f t="shared" si="210"/>
        <v>1+12677.3911418404i</v>
      </c>
      <c r="R399" s="160">
        <f t="shared" si="218"/>
        <v>12677.391181280693</v>
      </c>
      <c r="S399" s="160">
        <f t="shared" si="219"/>
        <v>1.5707174462123905</v>
      </c>
      <c r="T399" s="160" t="str">
        <f t="shared" si="211"/>
        <v>1+0.00811353033077784i</v>
      </c>
      <c r="U399" s="160">
        <f t="shared" si="220"/>
        <v>1.0000329141455437</v>
      </c>
      <c r="V399" s="160">
        <f t="shared" si="221"/>
        <v>8.1133523016008232E-3</v>
      </c>
      <c r="W399" s="98" t="str">
        <f t="shared" si="212"/>
        <v>1-5.86802967643177i</v>
      </c>
      <c r="X399" s="160">
        <f t="shared" si="222"/>
        <v>5.9526273429036314</v>
      </c>
      <c r="Y399" s="160">
        <f t="shared" si="223"/>
        <v>-1.4020028998714484</v>
      </c>
      <c r="Z399" s="98" t="str">
        <f t="shared" si="213"/>
        <v>-0.66747753388135+2.31775550552752i</v>
      </c>
      <c r="AA399" s="160">
        <f t="shared" si="224"/>
        <v>2.411952910327948</v>
      </c>
      <c r="AB399" s="160">
        <f t="shared" si="225"/>
        <v>1.8511935517842084</v>
      </c>
      <c r="AC399" s="171" t="str">
        <f t="shared" si="226"/>
        <v>0.0216814232685416+0.208913590813731i</v>
      </c>
      <c r="AD399" s="190">
        <f t="shared" si="227"/>
        <v>-13.554139867539076</v>
      </c>
      <c r="AE399" s="169">
        <f t="shared" si="228"/>
        <v>84.074953762243354</v>
      </c>
      <c r="AF399" s="98" t="str">
        <f t="shared" si="214"/>
        <v>-9.95024875621891E-06</v>
      </c>
      <c r="AG399" s="98" t="str">
        <f t="shared" si="215"/>
        <v>0.406082193055431i</v>
      </c>
      <c r="AH399" s="98">
        <f t="shared" si="229"/>
        <v>0.40608219305543097</v>
      </c>
      <c r="AI399" s="98">
        <f t="shared" si="230"/>
        <v>1.5707963267948966</v>
      </c>
      <c r="AJ399" s="98" t="str">
        <f t="shared" si="216"/>
        <v>1+4.05271245293598i</v>
      </c>
      <c r="AK399" s="98">
        <f t="shared" si="231"/>
        <v>4.1742637945130356</v>
      </c>
      <c r="AL399" s="98">
        <f t="shared" si="232"/>
        <v>1.3288803995986815</v>
      </c>
      <c r="AM399" s="98" t="str">
        <f t="shared" si="217"/>
        <v>1+4056.76516538892i</v>
      </c>
      <c r="AN399" s="98">
        <f t="shared" si="233"/>
        <v>4056.7652886398282</v>
      </c>
      <c r="AO399" s="98">
        <f t="shared" si="234"/>
        <v>1.5705498249790466</v>
      </c>
      <c r="AP399" s="168" t="str">
        <f t="shared" si="235"/>
        <v>-0.00569909637510971+0.0231213018912107i</v>
      </c>
      <c r="AQ399" s="98">
        <f t="shared" si="236"/>
        <v>-32.463600341534558</v>
      </c>
      <c r="AR399" s="169">
        <f t="shared" si="237"/>
        <v>103.84663811164663</v>
      </c>
      <c r="AS399" s="168" t="str">
        <f t="shared" si="238"/>
        <v>-0.0049539187231381-0.000689315955294617i</v>
      </c>
      <c r="AT399" s="190">
        <f t="shared" si="239"/>
        <v>-46.017740209073636</v>
      </c>
      <c r="AU399" s="169">
        <f t="shared" si="240"/>
        <v>-172.07840812611005</v>
      </c>
      <c r="AV399" s="225"/>
      <c r="AX399">
        <f t="shared" si="241"/>
        <v>0</v>
      </c>
      <c r="AY399">
        <f t="shared" si="242"/>
        <v>0</v>
      </c>
    </row>
    <row r="400" spans="14:51" x14ac:dyDescent="0.3">
      <c r="N400" s="170">
        <v>82</v>
      </c>
      <c r="O400" s="199">
        <f t="shared" si="243"/>
        <v>66069.344800759733</v>
      </c>
      <c r="P400" s="189" t="str">
        <f t="shared" si="209"/>
        <v>1078.86904761905</v>
      </c>
      <c r="Q400" s="160" t="str">
        <f t="shared" si="210"/>
        <v>1+12972.6855158474i</v>
      </c>
      <c r="R400" s="160">
        <f t="shared" si="218"/>
        <v>12972.685554389922</v>
      </c>
      <c r="S400" s="160">
        <f t="shared" si="219"/>
        <v>1.5707192417536537</v>
      </c>
      <c r="T400" s="160" t="str">
        <f t="shared" si="211"/>
        <v>1+0.00830251873014232i</v>
      </c>
      <c r="U400" s="160">
        <f t="shared" si="220"/>
        <v>1.0000344653147033</v>
      </c>
      <c r="V400" s="160">
        <f t="shared" si="221"/>
        <v>8.3023279687973271E-3</v>
      </c>
      <c r="W400" s="98" t="str">
        <f t="shared" si="212"/>
        <v>1-6.00471364638813i</v>
      </c>
      <c r="X400" s="160">
        <f t="shared" si="222"/>
        <v>6.0874120917775754</v>
      </c>
      <c r="Y400" s="160">
        <f t="shared" si="223"/>
        <v>-1.4057749479240735</v>
      </c>
      <c r="Z400" s="98" t="str">
        <f t="shared" si="213"/>
        <v>-0.74606332896068+2.37174296662645i</v>
      </c>
      <c r="AA400" s="160">
        <f t="shared" si="224"/>
        <v>2.4863175964791635</v>
      </c>
      <c r="AB400" s="160">
        <f t="shared" si="225"/>
        <v>1.8755598350920162</v>
      </c>
      <c r="AC400" s="171" t="str">
        <f t="shared" si="226"/>
        <v>0.0266717964169175+0.201870079517214i</v>
      </c>
      <c r="AD400" s="190">
        <f t="shared" si="227"/>
        <v>-13.82340181940689</v>
      </c>
      <c r="AE400" s="169">
        <f t="shared" si="228"/>
        <v>82.473470763974589</v>
      </c>
      <c r="AF400" s="98" t="str">
        <f t="shared" si="214"/>
        <v>-9.95024875621891E-06</v>
      </c>
      <c r="AG400" s="98" t="str">
        <f t="shared" si="215"/>
        <v>0.415541062443623i</v>
      </c>
      <c r="AH400" s="98">
        <f t="shared" si="229"/>
        <v>0.41554106244362299</v>
      </c>
      <c r="AI400" s="98">
        <f t="shared" si="230"/>
        <v>1.5707963267948966</v>
      </c>
      <c r="AJ400" s="98" t="str">
        <f t="shared" si="216"/>
        <v>1+4.14711225281834i</v>
      </c>
      <c r="AK400" s="98">
        <f t="shared" si="231"/>
        <v>4.2659746878616156</v>
      </c>
      <c r="AL400" s="98">
        <f t="shared" si="232"/>
        <v>1.3341816087928788</v>
      </c>
      <c r="AM400" s="98" t="str">
        <f t="shared" si="217"/>
        <v>1+4151.25936507116i</v>
      </c>
      <c r="AN400" s="98">
        <f t="shared" si="233"/>
        <v>4151.2594855165353</v>
      </c>
      <c r="AO400" s="98">
        <f t="shared" si="234"/>
        <v>1.5705554360451952</v>
      </c>
      <c r="AP400" s="168" t="str">
        <f t="shared" si="235"/>
        <v>-0.00545668940983834+0.0226534487953703i</v>
      </c>
      <c r="AQ400" s="98">
        <f t="shared" si="236"/>
        <v>-32.652368017443173</v>
      </c>
      <c r="AR400" s="169">
        <f t="shared" si="237"/>
        <v>103.54322268891212</v>
      </c>
      <c r="AS400" s="168" t="str">
        <f t="shared" si="238"/>
        <v>-0.0047185932187101-0.000497334150653624i</v>
      </c>
      <c r="AT400" s="190">
        <f t="shared" si="239"/>
        <v>-46.475769836850056</v>
      </c>
      <c r="AU400" s="169">
        <f t="shared" si="240"/>
        <v>-173.98330654711327</v>
      </c>
      <c r="AV400" s="225"/>
      <c r="AX400">
        <f t="shared" si="241"/>
        <v>0</v>
      </c>
      <c r="AY400">
        <f t="shared" si="242"/>
        <v>0</v>
      </c>
    </row>
    <row r="401" spans="14:51" x14ac:dyDescent="0.3">
      <c r="N401" s="170">
        <v>83</v>
      </c>
      <c r="O401" s="199">
        <f t="shared" si="243"/>
        <v>67608.297539198305</v>
      </c>
      <c r="P401" s="189" t="str">
        <f t="shared" si="209"/>
        <v>1078.86904761905</v>
      </c>
      <c r="Q401" s="160" t="str">
        <f t="shared" si="210"/>
        <v>1+13274.8581794287i</v>
      </c>
      <c r="R401" s="160">
        <f t="shared" si="218"/>
        <v>13274.858217093884</v>
      </c>
      <c r="S401" s="160">
        <f t="shared" si="219"/>
        <v>1.5707209964234086</v>
      </c>
      <c r="T401" s="160" t="str">
        <f t="shared" si="211"/>
        <v>1+0.00849590923483434i</v>
      </c>
      <c r="U401" s="160">
        <f t="shared" si="220"/>
        <v>1.0000360895856342</v>
      </c>
      <c r="V401" s="160">
        <f t="shared" si="221"/>
        <v>8.4957048307688875E-3</v>
      </c>
      <c r="W401" s="98" t="str">
        <f t="shared" si="212"/>
        <v>1-6.14458139500159i</v>
      </c>
      <c r="X401" s="160">
        <f t="shared" si="222"/>
        <v>6.2254221157926048</v>
      </c>
      <c r="Y401" s="160">
        <f t="shared" si="223"/>
        <v>-1.4094657186178101</v>
      </c>
      <c r="Z401" s="98" t="str">
        <f t="shared" si="213"/>
        <v>-0.82835275845952+2.42698795724001i</v>
      </c>
      <c r="AA401" s="160">
        <f t="shared" si="224"/>
        <v>2.5644568307997573</v>
      </c>
      <c r="AB401" s="160">
        <f t="shared" si="225"/>
        <v>1.8997076973515881</v>
      </c>
      <c r="AC401" s="171" t="str">
        <f t="shared" si="226"/>
        <v>0.0312406420470341+0.19481135278402i</v>
      </c>
      <c r="AD401" s="190">
        <f t="shared" si="227"/>
        <v>-14.097441460967698</v>
      </c>
      <c r="AE401" s="169">
        <f t="shared" si="228"/>
        <v>80.889413731211391</v>
      </c>
      <c r="AF401" s="98" t="str">
        <f t="shared" si="214"/>
        <v>-9.95024875621891E-06</v>
      </c>
      <c r="AG401" s="98" t="str">
        <f t="shared" si="215"/>
        <v>0.425220257203458i</v>
      </c>
      <c r="AH401" s="98">
        <f t="shared" si="229"/>
        <v>0.42522025720345802</v>
      </c>
      <c r="AI401" s="98">
        <f t="shared" si="230"/>
        <v>1.5707963267948966</v>
      </c>
      <c r="AJ401" s="98" t="str">
        <f t="shared" si="216"/>
        <v>1+4.24371090651066i</v>
      </c>
      <c r="AK401" s="98">
        <f t="shared" si="231"/>
        <v>4.3599406255174546</v>
      </c>
      <c r="AL401" s="98">
        <f t="shared" si="232"/>
        <v>1.3393752767033449</v>
      </c>
      <c r="AM401" s="98" t="str">
        <f t="shared" si="217"/>
        <v>1+4247.95461741717i</v>
      </c>
      <c r="AN401" s="98">
        <f t="shared" si="233"/>
        <v>4247.9547351208739</v>
      </c>
      <c r="AO401" s="98">
        <f t="shared" si="234"/>
        <v>1.5705609193878995</v>
      </c>
      <c r="AP401" s="168" t="str">
        <f t="shared" si="235"/>
        <v>-0.00522401762215673+0.022192620781747i</v>
      </c>
      <c r="AQ401" s="98">
        <f t="shared" si="236"/>
        <v>-32.841614044161211</v>
      </c>
      <c r="AR401" s="169">
        <f t="shared" si="237"/>
        <v>103.24596160984451</v>
      </c>
      <c r="AS401" s="168" t="str">
        <f t="shared" si="238"/>
        <v>-0.00448657614089609-0.000324386218011784i</v>
      </c>
      <c r="AT401" s="190">
        <f t="shared" si="239"/>
        <v>-46.939055505128891</v>
      </c>
      <c r="AU401" s="169">
        <f t="shared" si="240"/>
        <v>-175.86462465894411</v>
      </c>
      <c r="AV401" s="225"/>
      <c r="AX401">
        <f t="shared" si="241"/>
        <v>0</v>
      </c>
      <c r="AY401">
        <f t="shared" si="242"/>
        <v>0</v>
      </c>
    </row>
    <row r="402" spans="14:51" x14ac:dyDescent="0.3">
      <c r="N402" s="170">
        <v>84</v>
      </c>
      <c r="O402" s="199">
        <f t="shared" si="243"/>
        <v>69183.097091893651</v>
      </c>
      <c r="P402" s="189" t="str">
        <f t="shared" si="209"/>
        <v>1078.86904761905</v>
      </c>
      <c r="Q402" s="160" t="str">
        <f t="shared" si="210"/>
        <v>1+13584.0693485302i</v>
      </c>
      <c r="R402" s="160">
        <f t="shared" si="218"/>
        <v>13584.069385338022</v>
      </c>
      <c r="S402" s="160">
        <f t="shared" si="219"/>
        <v>1.5707227111520037</v>
      </c>
      <c r="T402" s="160" t="str">
        <f t="shared" si="211"/>
        <v>1+0.0086938043830593i</v>
      </c>
      <c r="U402" s="160">
        <f t="shared" si="220"/>
        <v>1.0000377904032682</v>
      </c>
      <c r="V402" s="160">
        <f t="shared" si="221"/>
        <v>8.6935853606041093E-3</v>
      </c>
      <c r="W402" s="98" t="str">
        <f t="shared" si="212"/>
        <v>1-6.28770708200381i</v>
      </c>
      <c r="X402" s="160">
        <f t="shared" si="222"/>
        <v>6.3667307426245747</v>
      </c>
      <c r="Y402" s="160">
        <f t="shared" si="223"/>
        <v>-1.4130767664453083</v>
      </c>
      <c r="Z402" s="98" t="str">
        <f t="shared" si="213"/>
        <v>-0.91452036929056+2.48351976899348i</v>
      </c>
      <c r="AA402" s="160">
        <f t="shared" si="224"/>
        <v>2.6465483084252917</v>
      </c>
      <c r="AB402" s="160">
        <f t="shared" si="225"/>
        <v>1.9236234078790468</v>
      </c>
      <c r="AC402" s="171" t="str">
        <f t="shared" si="226"/>
        <v>0.0353983092304627+0.187762097093396i</v>
      </c>
      <c r="AD402" s="190">
        <f t="shared" si="227"/>
        <v>-14.376161764231743</v>
      </c>
      <c r="AE402" s="169">
        <f t="shared" si="228"/>
        <v>79.323486126291684</v>
      </c>
      <c r="AF402" s="98" t="str">
        <f t="shared" si="214"/>
        <v>-9.95024875621891E-06</v>
      </c>
      <c r="AG402" s="98" t="str">
        <f t="shared" si="215"/>
        <v>0.435124909372118i</v>
      </c>
      <c r="AH402" s="98">
        <f t="shared" si="229"/>
        <v>0.43512490937211801</v>
      </c>
      <c r="AI402" s="98">
        <f t="shared" si="230"/>
        <v>1.5707963267948966</v>
      </c>
      <c r="AJ402" s="98" t="str">
        <f t="shared" si="216"/>
        <v>1+4.34255963189775i</v>
      </c>
      <c r="AK402" s="98">
        <f t="shared" si="231"/>
        <v>4.4562118617260467</v>
      </c>
      <c r="AL402" s="98">
        <f t="shared" si="232"/>
        <v>1.3444630358292211</v>
      </c>
      <c r="AM402" s="98" t="str">
        <f t="shared" si="217"/>
        <v>1+4346.90219152965i</v>
      </c>
      <c r="AN402" s="98">
        <f t="shared" si="233"/>
        <v>4346.9023065540905</v>
      </c>
      <c r="AO402" s="98">
        <f t="shared" si="234"/>
        <v>1.5705662779144991</v>
      </c>
      <c r="AP402" s="168" t="str">
        <f t="shared" si="235"/>
        <v>-0.00500073824372493+0.0217388715955827i</v>
      </c>
      <c r="AQ402" s="98">
        <f t="shared" si="236"/>
        <v>-33.031319161347156</v>
      </c>
      <c r="AR402" s="169">
        <f t="shared" si="237"/>
        <v>102.95476150571116</v>
      </c>
      <c r="AS402" s="168" t="str">
        <f t="shared" si="238"/>
        <v>-0.00425875379796264-0.00016942980059518i</v>
      </c>
      <c r="AT402" s="190">
        <f t="shared" si="239"/>
        <v>-47.407480925578909</v>
      </c>
      <c r="AU402" s="169">
        <f t="shared" si="240"/>
        <v>-177.72175236799717</v>
      </c>
      <c r="AV402" s="225"/>
      <c r="AX402">
        <f t="shared" si="241"/>
        <v>0</v>
      </c>
      <c r="AY402">
        <f t="shared" si="242"/>
        <v>0</v>
      </c>
    </row>
    <row r="403" spans="14:51" x14ac:dyDescent="0.3">
      <c r="N403" s="170">
        <v>85</v>
      </c>
      <c r="O403" s="199">
        <f t="shared" si="243"/>
        <v>70794.578438413781</v>
      </c>
      <c r="P403" s="189" t="str">
        <f t="shared" ref="P403:P466" si="244">COMPLEX(Adc,0)</f>
        <v>1078.86904761905</v>
      </c>
      <c r="Q403" s="160" t="str">
        <f t="shared" ref="Q403:Q466" si="245">IMSUM(COMPLEX(1,0),IMDIV(COMPLEX(0,2*PI()*O403),COMPLEX(wp_lf,0)))</f>
        <v>1+13900.4829710067i</v>
      </c>
      <c r="R403" s="160">
        <f t="shared" si="218"/>
        <v>13900.483006976672</v>
      </c>
      <c r="S403" s="160">
        <f t="shared" si="219"/>
        <v>1.5707243868486112</v>
      </c>
      <c r="T403" s="160" t="str">
        <f t="shared" ref="T403:T466" si="246">IMSUM(COMPLEX(1,0),IMDIV(COMPLEX(0,2*PI()*O403),COMPLEX(wz_esr,0)))</f>
        <v>1+0.00889630910144428i</v>
      </c>
      <c r="U403" s="160">
        <f t="shared" si="220"/>
        <v>1.0000395713748673</v>
      </c>
      <c r="V403" s="160">
        <f t="shared" si="221"/>
        <v>8.896074415156812E-3</v>
      </c>
      <c r="W403" s="98" t="str">
        <f t="shared" ref="W403:W466" si="247">IMSUB(COMPLEX(1,0),IMDIV(COMPLEX(0,2*PI()*O403),COMPLEX(wz_rhp,0)))</f>
        <v>1-6.43416659452856i</v>
      </c>
      <c r="X403" s="160">
        <f t="shared" si="222"/>
        <v>6.5114130391296206</v>
      </c>
      <c r="Y403" s="160">
        <f t="shared" si="223"/>
        <v>-1.4166096291452213</v>
      </c>
      <c r="Z403" s="98" t="str">
        <f t="shared" ref="Z403:Z466" si="248">IF(Dc_Mode_Loop="CCM",IMSUM(COMPLEX(1,0),IMDIV(COMPLEX(0,2*PI()*O403),COMPLEX(Q*(wsl/2),0)),IMDIV(IMPOWER(COMPLEX(0,2*PI()*O403),2),IMPOWER(COMPLEX(wsl/2,0),2))),COMPLEX(1,0))</f>
        <v>-1.00474893450909+2.54136837580175i</v>
      </c>
      <c r="AA403" s="160">
        <f t="shared" si="224"/>
        <v>2.7327776424221519</v>
      </c>
      <c r="AB403" s="160">
        <f t="shared" si="225"/>
        <v>1.9472941145371678</v>
      </c>
      <c r="AC403" s="171" t="str">
        <f t="shared" si="226"/>
        <v>0.0391566934171064+0.180745529250371i</v>
      </c>
      <c r="AD403" s="190">
        <f t="shared" si="227"/>
        <v>-14.659460468667447</v>
      </c>
      <c r="AE403" s="169">
        <f t="shared" si="228"/>
        <v>77.776342172265018</v>
      </c>
      <c r="AF403" s="98" t="str">
        <f t="shared" ref="AF403:AF466" si="249">COMPLEX(Adc_ea,0)</f>
        <v>-9.95024875621891E-06</v>
      </c>
      <c r="AG403" s="98" t="str">
        <f t="shared" ref="AG403:AG466" si="250">COMPLEX(0,2*PI()*O403*wp0_ea)</f>
        <v>0.445260270527287i</v>
      </c>
      <c r="AH403" s="98">
        <f t="shared" si="229"/>
        <v>0.44526027052728701</v>
      </c>
      <c r="AI403" s="98">
        <f t="shared" si="230"/>
        <v>1.5707963267948966</v>
      </c>
      <c r="AJ403" s="98" t="str">
        <f t="shared" ref="AJ403:AJ466" si="251">IMSUM(COMPLEX(1,0),IMDIV(COMPLEX(0,2*PI()*O403),COMPLEX(wp1_ea,0)))</f>
        <v>1+4.44371083988226i</v>
      </c>
      <c r="AK403" s="98">
        <f t="shared" si="231"/>
        <v>4.5548398466342483</v>
      </c>
      <c r="AL403" s="98">
        <f t="shared" si="232"/>
        <v>1.3494465297138432</v>
      </c>
      <c r="AM403" s="98" t="str">
        <f t="shared" ref="AM403:AM466" si="252">IMSUM(COMPLEX(1,0),IMDIV(COMPLEX(0,2*PI()*O403),COMPLEX(wz_ea,0)))</f>
        <v>1+4448.15455072214i</v>
      </c>
      <c r="AN403" s="98">
        <f t="shared" si="233"/>
        <v>4448.1546631283045</v>
      </c>
      <c r="AO403" s="98">
        <f t="shared" si="234"/>
        <v>1.5705715144661545</v>
      </c>
      <c r="AP403" s="168" t="str">
        <f t="shared" si="235"/>
        <v>-0.00478651650401616+0.0212922423134539i</v>
      </c>
      <c r="AQ403" s="98">
        <f t="shared" si="236"/>
        <v>-33.221464790981365</v>
      </c>
      <c r="AR403" s="169">
        <f t="shared" si="237"/>
        <v>102.66952837120219</v>
      </c>
      <c r="AS403" s="168" t="str">
        <f t="shared" si="238"/>
        <v>-0.00403590176515605-0.0000314076543533816i</v>
      </c>
      <c r="AT403" s="190">
        <f t="shared" si="239"/>
        <v>-47.880925259648812</v>
      </c>
      <c r="AU403" s="169">
        <f t="shared" si="240"/>
        <v>-179.55412945653279</v>
      </c>
      <c r="AV403" s="225"/>
      <c r="AX403">
        <f t="shared" si="241"/>
        <v>0</v>
      </c>
      <c r="AY403">
        <f t="shared" si="242"/>
        <v>0</v>
      </c>
    </row>
    <row r="404" spans="14:51" x14ac:dyDescent="0.3">
      <c r="N404" s="170">
        <v>86</v>
      </c>
      <c r="O404" s="199">
        <f t="shared" si="243"/>
        <v>72443.596007499116</v>
      </c>
      <c r="P404" s="189" t="str">
        <f t="shared" si="244"/>
        <v>1078.86904761905</v>
      </c>
      <c r="Q404" s="160" t="str">
        <f t="shared" si="245"/>
        <v>1+14224.2668135491i</v>
      </c>
      <c r="R404" s="160">
        <f t="shared" ref="R404:R467" si="253">IMABS(Q404)</f>
        <v>14224.266848700297</v>
      </c>
      <c r="S404" s="160">
        <f t="shared" ref="S404:S467" si="254">IMARGUMENT(Q404)</f>
        <v>1.5707260244017076</v>
      </c>
      <c r="T404" s="160" t="str">
        <f t="shared" si="246"/>
        <v>1+0.00910353076067144i</v>
      </c>
      <c r="U404" s="160">
        <f t="shared" ref="U404:U467" si="255">IMABS(T404)</f>
        <v>1.0000414362776726</v>
      </c>
      <c r="V404" s="160">
        <f t="shared" ref="V404:V467" si="256">IMARGUMENT(T404)</f>
        <v>9.1032792903464905E-3</v>
      </c>
      <c r="W404" s="98" t="str">
        <f t="shared" si="247"/>
        <v>1-6.58403758734802i</v>
      </c>
      <c r="X404" s="160">
        <f t="shared" ref="X404:X467" si="257">IMABS(W404)</f>
        <v>6.6595458517538217</v>
      </c>
      <c r="Y404" s="160">
        <f t="shared" ref="Y404:Y467" si="258">IMARGUMENT(W404)</f>
        <v>-1.4200658269548576</v>
      </c>
      <c r="Z404" s="98" t="str">
        <f t="shared" si="248"/>
        <v>-1.0992298409991+2.60056444976185i</v>
      </c>
      <c r="AA404" s="160">
        <f t="shared" ref="AA404:AA467" si="259">IMABS(Z404)</f>
        <v>2.8233387506121295</v>
      </c>
      <c r="AB404" s="160">
        <f t="shared" ref="AB404:AB467" si="260">IMARGUMENT(Z404)</f>
        <v>1.9707078616381473</v>
      </c>
      <c r="AC404" s="171" t="str">
        <f t="shared" ref="AC404:AC467" si="261">(IMDIV(IMPRODUCT(P404,T404,W404),IMPRODUCT(Q404,Z404)))</f>
        <v>0.0425290488088417+0.17378329923415i</v>
      </c>
      <c r="AD404" s="190">
        <f t="shared" ref="AD404:AD467" si="262">20*LOG(IMABS(AC404))</f>
        <v>-14.947230758002892</v>
      </c>
      <c r="AE404" s="169">
        <f t="shared" ref="AE404:AE467" si="263">(180/PI())*IMARGUMENT(AC404)</f>
        <v>76.248585873099472</v>
      </c>
      <c r="AF404" s="98" t="str">
        <f t="shared" si="249"/>
        <v>-9.95024875621891E-06</v>
      </c>
      <c r="AG404" s="98" t="str">
        <f t="shared" si="250"/>
        <v>0.455631714571606i</v>
      </c>
      <c r="AH404" s="98">
        <f t="shared" ref="AH404:AH467" si="264">IMABS(AG404)</f>
        <v>0.45563171457160601</v>
      </c>
      <c r="AI404" s="98">
        <f t="shared" ref="AI404:AI467" si="265">IMARGUMENT(AG404)</f>
        <v>1.5707963267948966</v>
      </c>
      <c r="AJ404" s="98" t="str">
        <f t="shared" si="251"/>
        <v>1+4.54721816217355i</v>
      </c>
      <c r="AK404" s="98">
        <f t="shared" ref="AK404:AK467" si="266">IMABS(AJ404)</f>
        <v>4.6558772550831913</v>
      </c>
      <c r="AL404" s="98">
        <f t="shared" ref="AL404:AL467" si="267">IMARGUMENT(AJ404)</f>
        <v>1.3543274100968608</v>
      </c>
      <c r="AM404" s="98" t="str">
        <f t="shared" si="252"/>
        <v>1+4551.76538033572i</v>
      </c>
      <c r="AN404" s="98">
        <f t="shared" ref="AN404:AN467" si="268">IMABS(AM404)</f>
        <v>4551.7654901832084</v>
      </c>
      <c r="AO404" s="98">
        <f t="shared" ref="AO404:AO467" si="269">IMARGUMENT(AM404)</f>
        <v>1.5705766318193535</v>
      </c>
      <c r="AP404" s="168" t="str">
        <f t="shared" ref="AP404:AP467" si="270">IMPRODUCT(AF404,IMDIV(AM404,IMPRODUCT(AG404,AJ404)))</f>
        <v>-0.0045810258104471+0.0208527621252154i</v>
      </c>
      <c r="AQ404" s="98">
        <f t="shared" ref="AQ404:AQ467" si="271">20*LOG(IMABS(AP404))</f>
        <v>-33.412033021069718</v>
      </c>
      <c r="AR404" s="169">
        <f t="shared" ref="AR404:AR467" si="272">(180/PI())*IMARGUMENT(AP404)</f>
        <v>102.39016772768763</v>
      </c>
      <c r="AS404" s="168" t="str">
        <f t="shared" ref="AS404:AS467" si="273">IMPRODUCT(AC404,AP404)</f>
        <v>-0.00381868847055193+0.0000907423590061585i</v>
      </c>
      <c r="AT404" s="190">
        <f t="shared" ref="AT404:AT467" si="274">20*LOG(IMABS(AS404))</f>
        <v>-48.359263779072599</v>
      </c>
      <c r="AU404" s="169">
        <f t="shared" ref="AU404:AU467" si="275">(180/PI())*IMARGUMENT(AS404)</f>
        <v>178.63875360078708</v>
      </c>
      <c r="AV404" s="225"/>
      <c r="AX404">
        <f t="shared" ref="AX404:AX467" si="276">SUM((AT405&lt;0)*(AT404&gt;0))*O404</f>
        <v>0</v>
      </c>
      <c r="AY404">
        <f t="shared" ref="AY404:AY467" si="277">IF(AX404&gt;0,AU404,0)</f>
        <v>0</v>
      </c>
    </row>
    <row r="405" spans="14:51" x14ac:dyDescent="0.3">
      <c r="N405" s="170">
        <v>87</v>
      </c>
      <c r="O405" s="199">
        <f t="shared" si="243"/>
        <v>74131.024130091857</v>
      </c>
      <c r="P405" s="189" t="str">
        <f t="shared" si="244"/>
        <v>1078.86904761905</v>
      </c>
      <c r="Q405" s="160" t="str">
        <f t="shared" si="245"/>
        <v>1+14555.5925506365i</v>
      </c>
      <c r="R405" s="160">
        <f t="shared" si="253"/>
        <v>14555.592584987557</v>
      </c>
      <c r="S405" s="160">
        <f t="shared" si="254"/>
        <v>1.570727624679545</v>
      </c>
      <c r="T405" s="160" t="str">
        <f t="shared" si="246"/>
        <v>1+0.00931557923240738i</v>
      </c>
      <c r="U405" s="160">
        <f t="shared" si="255"/>
        <v>1.000043389066912</v>
      </c>
      <c r="V405" s="160">
        <f t="shared" si="256"/>
        <v>9.3153097777309134E-3</v>
      </c>
      <c r="W405" s="98" t="str">
        <f t="shared" si="247"/>
        <v>1-6.73739952404632i</v>
      </c>
      <c r="X405" s="160">
        <f t="shared" si="257"/>
        <v>6.8112078478504507</v>
      </c>
      <c r="Y405" s="160">
        <f t="shared" si="258"/>
        <v>-1.4234468619433898</v>
      </c>
      <c r="Z405" s="98" t="str">
        <f t="shared" si="248"/>
        <v>-1.19816349543051+2.66113937741576i</v>
      </c>
      <c r="AA405" s="160">
        <f t="shared" si="259"/>
        <v>2.9184342630621298</v>
      </c>
      <c r="AB405" s="160">
        <f t="shared" si="260"/>
        <v>1.993853600411206</v>
      </c>
      <c r="AC405" s="171" t="str">
        <f t="shared" si="261"/>
        <v>0.0455297974179353+0.166895417865065i</v>
      </c>
      <c r="AD405" s="190">
        <f t="shared" si="262"/>
        <v>-15.239361929754873</v>
      </c>
      <c r="AE405" s="169">
        <f t="shared" si="263"/>
        <v>74.740770455351011</v>
      </c>
      <c r="AF405" s="98" t="str">
        <f t="shared" si="249"/>
        <v>-9.95024875621891E-06</v>
      </c>
      <c r="AG405" s="98" t="str">
        <f t="shared" si="250"/>
        <v>0.466244740581989i</v>
      </c>
      <c r="AH405" s="98">
        <f t="shared" si="264"/>
        <v>0.466244740581989</v>
      </c>
      <c r="AI405" s="98">
        <f t="shared" si="265"/>
        <v>1.5707963267948966</v>
      </c>
      <c r="AJ405" s="98" t="str">
        <f t="shared" si="251"/>
        <v>1+4.65313647972397i</v>
      </c>
      <c r="AK405" s="98">
        <f t="shared" si="266"/>
        <v>4.7593780159741437</v>
      </c>
      <c r="AL405" s="98">
        <f t="shared" si="267"/>
        <v>1.3591073342446933</v>
      </c>
      <c r="AM405" s="98" t="str">
        <f t="shared" si="252"/>
        <v>1+4657.78961620369i</v>
      </c>
      <c r="AN405" s="98">
        <f t="shared" si="268"/>
        <v>4657.7897235507435</v>
      </c>
      <c r="AO405" s="98">
        <f t="shared" si="269"/>
        <v>1.5705816326873834</v>
      </c>
      <c r="AP405" s="168" t="str">
        <f t="shared" si="270"/>
        <v>-0.00438394788586204+0.0204204490897474i</v>
      </c>
      <c r="AQ405" s="98">
        <f t="shared" si="271"/>
        <v>-33.603006589027672</v>
      </c>
      <c r="AR405" s="169">
        <f t="shared" si="272"/>
        <v>102.1165847762561</v>
      </c>
      <c r="AS405" s="168" t="str">
        <f t="shared" si="273"/>
        <v>-0.00360767964295976+0.000198078095929847i</v>
      </c>
      <c r="AT405" s="190">
        <f t="shared" si="274"/>
        <v>-48.842368518782557</v>
      </c>
      <c r="AU405" s="169">
        <f t="shared" si="275"/>
        <v>176.85735523160713</v>
      </c>
      <c r="AV405" s="225"/>
      <c r="AX405">
        <f t="shared" si="276"/>
        <v>0</v>
      </c>
      <c r="AY405">
        <f t="shared" si="277"/>
        <v>0</v>
      </c>
    </row>
    <row r="406" spans="14:51" x14ac:dyDescent="0.3">
      <c r="N406" s="170">
        <v>88</v>
      </c>
      <c r="O406" s="199">
        <f t="shared" si="243"/>
        <v>75857.757502918481</v>
      </c>
      <c r="P406" s="189" t="str">
        <f t="shared" si="244"/>
        <v>1078.86904761905</v>
      </c>
      <c r="Q406" s="160" t="str">
        <f t="shared" si="245"/>
        <v>1+14894.6358555603i</v>
      </c>
      <c r="R406" s="160">
        <f t="shared" si="253"/>
        <v>14894.635889129431</v>
      </c>
      <c r="S406" s="160">
        <f t="shared" si="254"/>
        <v>1.5707291885306118</v>
      </c>
      <c r="T406" s="160" t="str">
        <f t="shared" si="246"/>
        <v>1+0.00953256694755858i</v>
      </c>
      <c r="U406" s="160">
        <f t="shared" si="255"/>
        <v>1.000045433884186</v>
      </c>
      <c r="V406" s="160">
        <f t="shared" si="256"/>
        <v>9.5322782223793059E-3</v>
      </c>
      <c r="W406" s="98" t="str">
        <f t="shared" si="247"/>
        <v>1-6.89433371915227i</v>
      </c>
      <c r="X406" s="160">
        <f t="shared" si="257"/>
        <v>6.9664795579288086</v>
      </c>
      <c r="Y406" s="160">
        <f t="shared" si="258"/>
        <v>-1.4267542174207328</v>
      </c>
      <c r="Z406" s="98" t="str">
        <f t="shared" si="248"/>
        <v>-1.30175974934864+2.72312527639191i</v>
      </c>
      <c r="AA406" s="160">
        <f t="shared" si="259"/>
        <v>3.0182759509277393</v>
      </c>
      <c r="AB406" s="160">
        <f t="shared" si="260"/>
        <v>2.0167211924199551</v>
      </c>
      <c r="AC406" s="171" t="str">
        <f t="shared" si="261"/>
        <v>0.0481743381415743+0.160100208514636i</v>
      </c>
      <c r="AD406" s="190">
        <f t="shared" si="262"/>
        <v>-15.5357400507839</v>
      </c>
      <c r="AE406" s="169">
        <f t="shared" si="263"/>
        <v>73.253398209521222</v>
      </c>
      <c r="AF406" s="98" t="str">
        <f t="shared" si="249"/>
        <v>-9.95024875621891E-06</v>
      </c>
      <c r="AG406" s="98" t="str">
        <f t="shared" si="250"/>
        <v>0.477104975725307i</v>
      </c>
      <c r="AH406" s="98">
        <f t="shared" si="264"/>
        <v>0.47710497572530702</v>
      </c>
      <c r="AI406" s="98">
        <f t="shared" si="265"/>
        <v>1.5707963267948966</v>
      </c>
      <c r="AJ406" s="98" t="str">
        <f t="shared" si="251"/>
        <v>1+4.76152195182746i</v>
      </c>
      <c r="AK406" s="98">
        <f t="shared" si="266"/>
        <v>4.8653973422254815</v>
      </c>
      <c r="AL406" s="98">
        <f t="shared" si="267"/>
        <v>1.3637879624531279</v>
      </c>
      <c r="AM406" s="98" t="str">
        <f t="shared" si="252"/>
        <v>1+4766.28347377929i</v>
      </c>
      <c r="AN406" s="98">
        <f t="shared" si="268"/>
        <v>4766.2835786828273</v>
      </c>
      <c r="AO406" s="98">
        <f t="shared" si="269"/>
        <v>1.5705865197217697</v>
      </c>
      <c r="AP406" s="168" t="str">
        <f t="shared" si="270"/>
        <v>-0.00419497286691001+0.0199953108636327i</v>
      </c>
      <c r="AQ406" s="98">
        <f t="shared" si="271"/>
        <v>-33.794368864827689</v>
      </c>
      <c r="AR406" s="169">
        <f t="shared" si="272"/>
        <v>101.8486845408876</v>
      </c>
      <c r="AS406" s="168" t="str">
        <f t="shared" si="273"/>
        <v>-0.00340334347996781+0.000291644836085003i</v>
      </c>
      <c r="AT406" s="190">
        <f t="shared" si="274"/>
        <v>-49.330108915611596</v>
      </c>
      <c r="AU406" s="169">
        <f t="shared" si="275"/>
        <v>175.10208275040881</v>
      </c>
      <c r="AV406" s="225"/>
      <c r="AX406">
        <f t="shared" si="276"/>
        <v>0</v>
      </c>
      <c r="AY406">
        <f t="shared" si="277"/>
        <v>0</v>
      </c>
    </row>
    <row r="407" spans="14:51" x14ac:dyDescent="0.3">
      <c r="N407" s="170">
        <v>89</v>
      </c>
      <c r="O407" s="199">
        <f t="shared" si="243"/>
        <v>77624.711662869129</v>
      </c>
      <c r="P407" s="189" t="str">
        <f t="shared" si="244"/>
        <v>1078.86904761905</v>
      </c>
      <c r="Q407" s="160" t="str">
        <f t="shared" si="245"/>
        <v>1+15241.5764935685i</v>
      </c>
      <c r="R407" s="160">
        <f t="shared" si="253"/>
        <v>15241.576526373505</v>
      </c>
      <c r="S407" s="160">
        <f t="shared" si="254"/>
        <v>1.5707307167840827</v>
      </c>
      <c r="T407" s="160" t="str">
        <f t="shared" si="246"/>
        <v>1+0.00975460895588382i</v>
      </c>
      <c r="U407" s="160">
        <f t="shared" si="255"/>
        <v>1.0000475750662476</v>
      </c>
      <c r="V407" s="160">
        <f t="shared" si="256"/>
        <v>9.7542995820752085E-3</v>
      </c>
      <c r="W407" s="98" t="str">
        <f t="shared" si="247"/>
        <v>1-7.05492338125342i</v>
      </c>
      <c r="X407" s="160">
        <f t="shared" si="257"/>
        <v>7.1254434188586595</v>
      </c>
      <c r="Y407" s="160">
        <f t="shared" si="258"/>
        <v>-1.429989357417393</v>
      </c>
      <c r="Z407" s="98" t="str">
        <f t="shared" si="248"/>
        <v>-1.41023834429743+2.78655501243443i</v>
      </c>
      <c r="AA407" s="160">
        <f t="shared" si="259"/>
        <v>3.1230851773607142</v>
      </c>
      <c r="AB407" s="160">
        <f t="shared" si="260"/>
        <v>2.039301406391838</v>
      </c>
      <c r="AC407" s="171" t="str">
        <f t="shared" si="261"/>
        <v>0.050478858882762+0.153414281648899i</v>
      </c>
      <c r="AD407" s="190">
        <f t="shared" si="262"/>
        <v>-15.836248592921896</v>
      </c>
      <c r="AE407" s="169">
        <f t="shared" si="263"/>
        <v>71.786920704885944</v>
      </c>
      <c r="AF407" s="98" t="str">
        <f t="shared" si="249"/>
        <v>-9.95024875621891E-06</v>
      </c>
      <c r="AG407" s="98" t="str">
        <f t="shared" si="250"/>
        <v>0.488218178241985i</v>
      </c>
      <c r="AH407" s="98">
        <f t="shared" si="264"/>
        <v>0.48821817824198499</v>
      </c>
      <c r="AI407" s="98">
        <f t="shared" si="265"/>
        <v>1.5707963267948966</v>
      </c>
      <c r="AJ407" s="98" t="str">
        <f t="shared" si="251"/>
        <v>1+4.87243204589601i</v>
      </c>
      <c r="AK407" s="98">
        <f t="shared" si="266"/>
        <v>4.9739917613396161</v>
      </c>
      <c r="AL407" s="98">
        <f t="shared" si="267"/>
        <v>1.3683709557157147</v>
      </c>
      <c r="AM407" s="98" t="str">
        <f t="shared" si="252"/>
        <v>1+4877.30447794191i</v>
      </c>
      <c r="AN407" s="98">
        <f t="shared" si="268"/>
        <v>4877.3045804575504</v>
      </c>
      <c r="AO407" s="98">
        <f t="shared" si="269"/>
        <v>1.5705912955136818</v>
      </c>
      <c r="AP407" s="168" t="str">
        <f t="shared" si="270"/>
        <v>-0.00401379936669826+0.0195773454021506i</v>
      </c>
      <c r="AQ407" s="98">
        <f t="shared" si="271"/>
        <v>-33.986103833984473</v>
      </c>
      <c r="AR407" s="169">
        <f t="shared" si="272"/>
        <v>101.58637200212483</v>
      </c>
      <c r="AS407" s="168" t="str">
        <f t="shared" si="273"/>
        <v>-0.00320605639327859+0.00037246790932943i</v>
      </c>
      <c r="AT407" s="190">
        <f t="shared" si="274"/>
        <v>-49.822352426906363</v>
      </c>
      <c r="AU407" s="169">
        <f t="shared" si="275"/>
        <v>173.37329270701079</v>
      </c>
      <c r="AV407" s="225"/>
      <c r="AX407">
        <f t="shared" si="276"/>
        <v>0</v>
      </c>
      <c r="AY407">
        <f t="shared" si="277"/>
        <v>0</v>
      </c>
    </row>
    <row r="408" spans="14:51" x14ac:dyDescent="0.3">
      <c r="N408" s="170">
        <v>90</v>
      </c>
      <c r="O408" s="199">
        <f t="shared" si="243"/>
        <v>79432.823472428237</v>
      </c>
      <c r="P408" s="189" t="str">
        <f t="shared" si="244"/>
        <v>1078.86904761905</v>
      </c>
      <c r="Q408" s="160" t="str">
        <f t="shared" si="245"/>
        <v>1+15596.5984171797i</v>
      </c>
      <c r="R408" s="160">
        <f t="shared" si="253"/>
        <v>15596.598449237972</v>
      </c>
      <c r="S408" s="160">
        <f t="shared" si="254"/>
        <v>1.5707322102502577</v>
      </c>
      <c r="T408" s="160" t="str">
        <f t="shared" si="246"/>
        <v>1+0.00998182298699502i</v>
      </c>
      <c r="U408" s="160">
        <f t="shared" si="255"/>
        <v>1.0000498171541974</v>
      </c>
      <c r="V408" s="160">
        <f t="shared" si="256"/>
        <v>9.9814914878784307E-3</v>
      </c>
      <c r="W408" s="98" t="str">
        <f t="shared" si="247"/>
        <v>1-7.21925365711428i</v>
      </c>
      <c r="X408" s="160">
        <f t="shared" si="257"/>
        <v>7.2881838180549412</v>
      </c>
      <c r="Y408" s="160">
        <f t="shared" si="258"/>
        <v>-1.4331537262308007</v>
      </c>
      <c r="Z408" s="98" t="str">
        <f t="shared" si="248"/>
        <v>-1.52382937792078+2.85146221682897i</v>
      </c>
      <c r="AA408" s="160">
        <f t="shared" si="259"/>
        <v>3.2330933712185943</v>
      </c>
      <c r="AB408" s="160">
        <f t="shared" si="260"/>
        <v>2.0615859089830479</v>
      </c>
      <c r="AC408" s="171" t="str">
        <f t="shared" si="261"/>
        <v>0.0524601543976582+0.146852530637416i</v>
      </c>
      <c r="AD408" s="190">
        <f t="shared" si="262"/>
        <v>-16.140769043516919</v>
      </c>
      <c r="AE408" s="169">
        <f t="shared" si="263"/>
        <v>70.341739348063655</v>
      </c>
      <c r="AF408" s="98" t="str">
        <f t="shared" si="249"/>
        <v>-9.95024875621891E-06</v>
      </c>
      <c r="AG408" s="98" t="str">
        <f t="shared" si="250"/>
        <v>0.499590240499101i</v>
      </c>
      <c r="AH408" s="98">
        <f t="shared" si="264"/>
        <v>0.499590240499101</v>
      </c>
      <c r="AI408" s="98">
        <f t="shared" si="265"/>
        <v>1.5707963267948966</v>
      </c>
      <c r="AJ408" s="98" t="str">
        <f t="shared" si="251"/>
        <v>1+4.98592556792958i</v>
      </c>
      <c r="AK408" s="98">
        <f t="shared" si="266"/>
        <v>5.0852191465986891</v>
      </c>
      <c r="AL408" s="98">
        <f t="shared" si="267"/>
        <v>1.3728579735514803</v>
      </c>
      <c r="AM408" s="98" t="str">
        <f t="shared" si="252"/>
        <v>1+4990.91149349751i</v>
      </c>
      <c r="AN408" s="98">
        <f t="shared" si="268"/>
        <v>4990.9115936796106</v>
      </c>
      <c r="AO408" s="98">
        <f t="shared" si="269"/>
        <v>1.5705959625953068</v>
      </c>
      <c r="AP408" s="168" t="str">
        <f t="shared" si="270"/>
        <v>-0.00384013450494117+0.0191665416321994i</v>
      </c>
      <c r="AQ408" s="98">
        <f t="shared" si="271"/>
        <v>-34.178196080448366</v>
      </c>
      <c r="AR408" s="169">
        <f t="shared" si="272"/>
        <v>101.32955222161539</v>
      </c>
      <c r="AS408" s="168" t="str">
        <f t="shared" si="273"/>
        <v>-0.00301610919129286+0.000441546263255653i</v>
      </c>
      <c r="AT408" s="190">
        <f t="shared" si="274"/>
        <v>-50.318965123965285</v>
      </c>
      <c r="AU408" s="169">
        <f t="shared" si="275"/>
        <v>171.67129156967906</v>
      </c>
      <c r="AV408" s="225"/>
      <c r="AX408">
        <f t="shared" si="276"/>
        <v>0</v>
      </c>
      <c r="AY408">
        <f t="shared" si="277"/>
        <v>0</v>
      </c>
    </row>
    <row r="409" spans="14:51" x14ac:dyDescent="0.3">
      <c r="N409" s="170">
        <v>91</v>
      </c>
      <c r="O409" s="199">
        <f t="shared" si="243"/>
        <v>81283.051616410012</v>
      </c>
      <c r="P409" s="189" t="str">
        <f t="shared" si="244"/>
        <v>1078.86904761905</v>
      </c>
      <c r="Q409" s="160" t="str">
        <f t="shared" si="245"/>
        <v>1+15959.8898637171i</v>
      </c>
      <c r="R409" s="160">
        <f t="shared" si="253"/>
        <v>15959.889895045637</v>
      </c>
      <c r="S409" s="160">
        <f t="shared" si="254"/>
        <v>1.5707336697209926</v>
      </c>
      <c r="T409" s="160" t="str">
        <f t="shared" si="246"/>
        <v>1+0.0102143295127789i</v>
      </c>
      <c r="U409" s="160">
        <f t="shared" si="255"/>
        <v>1.0000521649031093</v>
      </c>
      <c r="V409" s="160">
        <f t="shared" si="256"/>
        <v>1.0213974306076496E-2</v>
      </c>
      <c r="W409" s="98" t="str">
        <f t="shared" si="247"/>
        <v>1-7.38741167682224i</v>
      </c>
      <c r="X409" s="160">
        <f t="shared" si="257"/>
        <v>7.4547871386679834</v>
      </c>
      <c r="Y409" s="160">
        <f t="shared" si="258"/>
        <v>-1.4362487480338393</v>
      </c>
      <c r="Z409" s="98" t="str">
        <f t="shared" si="248"/>
        <v>-1.64277379203039+2.91788130423443i</v>
      </c>
      <c r="AA409" s="160">
        <f t="shared" si="259"/>
        <v>3.3485425243503668</v>
      </c>
      <c r="AB409" s="160">
        <f t="shared" si="260"/>
        <v>2.0835672500466211</v>
      </c>
      <c r="AC409" s="171" t="str">
        <f t="shared" si="261"/>
        <v>0.0541354521670777+0.140428146982021i</v>
      </c>
      <c r="AD409" s="190">
        <f t="shared" si="262"/>
        <v>-16.449181486561983</v>
      </c>
      <c r="AE409" s="169">
        <f t="shared" si="263"/>
        <v>68.91820625304662</v>
      </c>
      <c r="AF409" s="98" t="str">
        <f t="shared" si="249"/>
        <v>-9.95024875621891E-06</v>
      </c>
      <c r="AG409" s="98" t="str">
        <f t="shared" si="250"/>
        <v>0.511227192114586i</v>
      </c>
      <c r="AH409" s="98">
        <f t="shared" si="264"/>
        <v>0.511227192114586</v>
      </c>
      <c r="AI409" s="98">
        <f t="shared" si="265"/>
        <v>1.5707963267948966</v>
      </c>
      <c r="AJ409" s="98" t="str">
        <f t="shared" si="251"/>
        <v>1+5.10206269369577i</v>
      </c>
      <c r="AK409" s="98">
        <f t="shared" si="266"/>
        <v>5.1991387489085277</v>
      </c>
      <c r="AL409" s="98">
        <f t="shared" si="267"/>
        <v>1.3772506719854349</v>
      </c>
      <c r="AM409" s="98" t="str">
        <f t="shared" si="252"/>
        <v>1+5107.16475638947i</v>
      </c>
      <c r="AN409" s="98">
        <f t="shared" si="268"/>
        <v>5107.1648542911471</v>
      </c>
      <c r="AO409" s="98">
        <f t="shared" si="269"/>
        <v>1.5706005234411926</v>
      </c>
      <c r="AP409" s="168" t="str">
        <f t="shared" si="270"/>
        <v>-0.00367369390865682+0.0187628800969733i</v>
      </c>
      <c r="AQ409" s="98">
        <f t="shared" si="271"/>
        <v>-34.370630769466544</v>
      </c>
      <c r="AR409" s="169">
        <f t="shared" si="272"/>
        <v>101.07813045789634</v>
      </c>
      <c r="AS409" s="168" t="str">
        <f t="shared" si="273"/>
        <v>-0.00283371356493238+0.000499846969834497i</v>
      </c>
      <c r="AT409" s="190">
        <f t="shared" si="274"/>
        <v>-50.819812256028527</v>
      </c>
      <c r="AU409" s="169">
        <f t="shared" si="275"/>
        <v>169.99633671094296</v>
      </c>
      <c r="AV409" s="225"/>
      <c r="AX409">
        <f t="shared" si="276"/>
        <v>0</v>
      </c>
      <c r="AY409">
        <f t="shared" si="277"/>
        <v>0</v>
      </c>
    </row>
    <row r="410" spans="14:51" x14ac:dyDescent="0.3">
      <c r="N410" s="170">
        <v>92</v>
      </c>
      <c r="O410" s="199">
        <f t="shared" si="243"/>
        <v>83176.377110267174</v>
      </c>
      <c r="P410" s="189" t="str">
        <f t="shared" si="244"/>
        <v>1078.86904761905</v>
      </c>
      <c r="Q410" s="160" t="str">
        <f t="shared" si="245"/>
        <v>1+16331.6434551143i</v>
      </c>
      <c r="R410" s="160">
        <f t="shared" si="253"/>
        <v>16331.643485729712</v>
      </c>
      <c r="S410" s="160">
        <f t="shared" si="254"/>
        <v>1.5707350959701178</v>
      </c>
      <c r="T410" s="160" t="str">
        <f t="shared" si="246"/>
        <v>1+0.0104522518112732i</v>
      </c>
      <c r="U410" s="160">
        <f t="shared" si="255"/>
        <v>1.000054623292111</v>
      </c>
      <c r="V410" s="160">
        <f t="shared" si="256"/>
        <v>1.0451871201557012E-2</v>
      </c>
      <c r="W410" s="98" t="str">
        <f t="shared" si="247"/>
        <v>1-7.55948659998522i</v>
      </c>
      <c r="X410" s="160">
        <f t="shared" si="257"/>
        <v>7.6253418058049114</v>
      </c>
      <c r="Y410" s="160">
        <f t="shared" si="258"/>
        <v>-1.4392758265414738</v>
      </c>
      <c r="Z410" s="98" t="str">
        <f t="shared" si="248"/>
        <v>-1.76732388367576+2.98584749093012i</v>
      </c>
      <c r="AA410" s="160">
        <f t="shared" si="259"/>
        <v>3.4696857132749734</v>
      </c>
      <c r="AB410" s="160">
        <f t="shared" si="260"/>
        <v>2.1052388430003601</v>
      </c>
      <c r="AC410" s="171" t="str">
        <f t="shared" si="261"/>
        <v>0.0555222481915543+0.134152652919564i</v>
      </c>
      <c r="AD410" s="190">
        <f t="shared" si="262"/>
        <v>-16.761365150903011</v>
      </c>
      <c r="AE410" s="169">
        <f t="shared" si="263"/>
        <v>67.516625388744743</v>
      </c>
      <c r="AF410" s="98" t="str">
        <f t="shared" si="249"/>
        <v>-9.95024875621891E-06</v>
      </c>
      <c r="AG410" s="98" t="str">
        <f t="shared" si="250"/>
        <v>0.523135203154223i</v>
      </c>
      <c r="AH410" s="98">
        <f t="shared" si="264"/>
        <v>0.52313520315422302</v>
      </c>
      <c r="AI410" s="98">
        <f t="shared" si="265"/>
        <v>1.5707963267948966</v>
      </c>
      <c r="AJ410" s="98" t="str">
        <f t="shared" si="251"/>
        <v>1+5.22090500063595i</v>
      </c>
      <c r="AK410" s="98">
        <f t="shared" si="266"/>
        <v>5.3158112293106745</v>
      </c>
      <c r="AL410" s="98">
        <f t="shared" si="267"/>
        <v>1.3815507016753208</v>
      </c>
      <c r="AM410" s="98" t="str">
        <f t="shared" si="252"/>
        <v>1+5226.12590563659i</v>
      </c>
      <c r="AN410" s="98">
        <f t="shared" si="268"/>
        <v>5226.1260013097526</v>
      </c>
      <c r="AO410" s="98">
        <f t="shared" si="269"/>
        <v>1.570604980469559</v>
      </c>
      <c r="AP410" s="168" t="str">
        <f t="shared" si="270"/>
        <v>-0.00351420168629326+0.018366333572386i</v>
      </c>
      <c r="AQ410" s="98">
        <f t="shared" si="271"/>
        <v>-34.563393630471985</v>
      </c>
      <c r="AR410" s="169">
        <f t="shared" si="272"/>
        <v>100.83201227379944</v>
      </c>
      <c r="AS410" s="168" t="str">
        <f t="shared" si="273"/>
        <v>-0.00265900875136279+0.000548300651864245i</v>
      </c>
      <c r="AT410" s="190">
        <f t="shared" si="274"/>
        <v>-51.324758781374989</v>
      </c>
      <c r="AU410" s="169">
        <f t="shared" si="275"/>
        <v>168.34863766254418</v>
      </c>
      <c r="AV410" s="225"/>
      <c r="AX410">
        <f t="shared" si="276"/>
        <v>0</v>
      </c>
      <c r="AY410">
        <f t="shared" si="277"/>
        <v>0</v>
      </c>
    </row>
    <row r="411" spans="14:51" x14ac:dyDescent="0.3">
      <c r="N411" s="170">
        <v>93</v>
      </c>
      <c r="O411" s="199">
        <f t="shared" si="243"/>
        <v>85113.803820237721</v>
      </c>
      <c r="P411" s="189" t="str">
        <f t="shared" si="244"/>
        <v>1078.86904761905</v>
      </c>
      <c r="Q411" s="160" t="str">
        <f t="shared" si="245"/>
        <v>1+16712.0563000463i</v>
      </c>
      <c r="R411" s="160">
        <f t="shared" si="253"/>
        <v>16712.05632996482</v>
      </c>
      <c r="S411" s="160">
        <f t="shared" si="254"/>
        <v>1.5707364897538496</v>
      </c>
      <c r="T411" s="160" t="str">
        <f t="shared" si="246"/>
        <v>1+0.0106957160320297i</v>
      </c>
      <c r="U411" s="160">
        <f t="shared" si="255"/>
        <v>1.0000571975349399</v>
      </c>
      <c r="V411" s="160">
        <f t="shared" si="256"/>
        <v>1.0695308202630819E-2</v>
      </c>
      <c r="W411" s="98" t="str">
        <f t="shared" si="247"/>
        <v>1-7.73556966300514i</v>
      </c>
      <c r="X411" s="160">
        <f t="shared" si="257"/>
        <v>7.7999383338078667</v>
      </c>
      <c r="Y411" s="160">
        <f t="shared" si="258"/>
        <v>-1.4422363447315789</v>
      </c>
      <c r="Z411" s="98" t="str">
        <f t="shared" si="248"/>
        <v>-1.89774384029997+3.05539681348786i</v>
      </c>
      <c r="AA411" s="160">
        <f t="shared" si="259"/>
        <v>3.5967876461181647</v>
      </c>
      <c r="AB411" s="160">
        <f t="shared" si="260"/>
        <v>2.1265949409051279</v>
      </c>
      <c r="AC411" s="171" t="str">
        <f t="shared" si="261"/>
        <v>0.0566381542095633+0.128035949228212i</v>
      </c>
      <c r="AD411" s="190">
        <f t="shared" si="262"/>
        <v>-17.077198922826984</v>
      </c>
      <c r="AE411" s="169">
        <f t="shared" si="263"/>
        <v>66.137253969282071</v>
      </c>
      <c r="AF411" s="98" t="str">
        <f t="shared" si="249"/>
        <v>-9.95024875621891E-06</v>
      </c>
      <c r="AG411" s="98" t="str">
        <f t="shared" si="250"/>
        <v>0.535320587403085i</v>
      </c>
      <c r="AH411" s="98">
        <f t="shared" si="264"/>
        <v>0.53532058740308497</v>
      </c>
      <c r="AI411" s="98">
        <f t="shared" si="265"/>
        <v>1.5707963267948966</v>
      </c>
      <c r="AJ411" s="98" t="str">
        <f t="shared" si="251"/>
        <v>1+5.34251550051432i</v>
      </c>
      <c r="AK411" s="98">
        <f t="shared" si="266"/>
        <v>5.4352986921820383</v>
      </c>
      <c r="AL411" s="98">
        <f t="shared" si="267"/>
        <v>1.3857597061780527</v>
      </c>
      <c r="AM411" s="98" t="str">
        <f t="shared" si="252"/>
        <v>1+5347.85801601483i</v>
      </c>
      <c r="AN411" s="98">
        <f t="shared" si="268"/>
        <v>5347.8581095102063</v>
      </c>
      <c r="AO411" s="98">
        <f t="shared" si="269"/>
        <v>1.5706093360435809</v>
      </c>
      <c r="AP411" s="168" t="str">
        <f t="shared" si="270"/>
        <v>-0.00336139037799946+0.0179768676554081i</v>
      </c>
      <c r="AQ411" s="98">
        <f t="shared" si="271"/>
        <v>-34.756470940047322</v>
      </c>
      <c r="AR411" s="169">
        <f t="shared" si="272"/>
        <v>100.59110363585015</v>
      </c>
      <c r="AS411" s="168" t="str">
        <f t="shared" si="273"/>
        <v>-0.00249206826099779+0.000587797794698175i</v>
      </c>
      <c r="AT411" s="190">
        <f t="shared" si="274"/>
        <v>-51.833669862874316</v>
      </c>
      <c r="AU411" s="169">
        <f t="shared" si="275"/>
        <v>166.7283576051322</v>
      </c>
      <c r="AV411" s="225"/>
      <c r="AX411">
        <f t="shared" si="276"/>
        <v>0</v>
      </c>
      <c r="AY411">
        <f t="shared" si="277"/>
        <v>0</v>
      </c>
    </row>
    <row r="412" spans="14:51" x14ac:dyDescent="0.3">
      <c r="N412" s="170">
        <v>94</v>
      </c>
      <c r="O412" s="199">
        <f t="shared" si="243"/>
        <v>87096.358995608127</v>
      </c>
      <c r="P412" s="189" t="str">
        <f t="shared" si="244"/>
        <v>1078.86904761905</v>
      </c>
      <c r="Q412" s="160" t="str">
        <f t="shared" si="245"/>
        <v>1+17101.3300984389i</v>
      </c>
      <c r="R412" s="160">
        <f t="shared" si="253"/>
        <v>17101.330127676389</v>
      </c>
      <c r="S412" s="160">
        <f t="shared" si="254"/>
        <v>1.5707378518111905</v>
      </c>
      <c r="T412" s="160" t="str">
        <f t="shared" si="246"/>
        <v>1+0.0109448512630009i</v>
      </c>
      <c r="U412" s="160">
        <f t="shared" si="255"/>
        <v>1.0000598930909934</v>
      </c>
      <c r="V412" s="160">
        <f t="shared" si="256"/>
        <v>1.0944414267340241E-2</v>
      </c>
      <c r="W412" s="98" t="str">
        <f t="shared" si="247"/>
        <v>1-7.91575422745276i</v>
      </c>
      <c r="X412" s="160">
        <f t="shared" si="257"/>
        <v>7.9786693746160608</v>
      </c>
      <c r="Y412" s="160">
        <f t="shared" si="258"/>
        <v>-1.4451316646162626</v>
      </c>
      <c r="Z412" s="98" t="str">
        <f t="shared" si="248"/>
        <v>-2.03431030011675+3.12656614787908i</v>
      </c>
      <c r="AA412" s="160">
        <f t="shared" si="259"/>
        <v>3.7301252357292953</v>
      </c>
      <c r="AB412" s="160">
        <f t="shared" si="260"/>
        <v>2.1476306088650854</v>
      </c>
      <c r="AC412" s="171" t="str">
        <f t="shared" si="261"/>
        <v>0.0575007574498191+0.122086376011228i</v>
      </c>
      <c r="AD412" s="190">
        <f t="shared" si="262"/>
        <v>-17.39656182110015</v>
      </c>
      <c r="AE412" s="169">
        <f t="shared" si="263"/>
        <v>64.780304052227081</v>
      </c>
      <c r="AF412" s="98" t="str">
        <f t="shared" si="249"/>
        <v>-9.95024875621891E-06</v>
      </c>
      <c r="AG412" s="98" t="str">
        <f t="shared" si="250"/>
        <v>0.547789805713194i</v>
      </c>
      <c r="AH412" s="98">
        <f t="shared" si="264"/>
        <v>0.54778980571319402</v>
      </c>
      <c r="AI412" s="98">
        <f t="shared" si="265"/>
        <v>1.5707963267948966</v>
      </c>
      <c r="AJ412" s="98" t="str">
        <f t="shared" si="251"/>
        <v>1+5.46695867282761i</v>
      </c>
      <c r="AK412" s="98">
        <f t="shared" si="266"/>
        <v>5.5576647191428368</v>
      </c>
      <c r="AL412" s="98">
        <f t="shared" si="267"/>
        <v>1.3898793203493849</v>
      </c>
      <c r="AM412" s="98" t="str">
        <f t="shared" si="252"/>
        <v>1+5472.42563150044i</v>
      </c>
      <c r="AN412" s="98">
        <f t="shared" si="268"/>
        <v>5472.4257228676015</v>
      </c>
      <c r="AO412" s="98">
        <f t="shared" si="269"/>
        <v>1.5706135924726405</v>
      </c>
      <c r="AP412" s="168" t="str">
        <f t="shared" si="270"/>
        <v>-0.0032150008845857+0.0175944413246087i</v>
      </c>
      <c r="AQ412" s="98">
        <f t="shared" si="271"/>
        <v>-34.949849505011755</v>
      </c>
      <c r="AR412" s="169">
        <f t="shared" si="272"/>
        <v>100.35531100603143</v>
      </c>
      <c r="AS412" s="168" t="str">
        <f t="shared" si="273"/>
        <v>-0.00233290656532918+0.000619185896199438i</v>
      </c>
      <c r="AT412" s="190">
        <f t="shared" si="274"/>
        <v>-52.346411326111912</v>
      </c>
      <c r="AU412" s="169">
        <f t="shared" si="275"/>
        <v>165.13561505825851</v>
      </c>
      <c r="AV412" s="225"/>
      <c r="AX412">
        <f t="shared" si="276"/>
        <v>0</v>
      </c>
      <c r="AY412">
        <f t="shared" si="277"/>
        <v>0</v>
      </c>
    </row>
    <row r="413" spans="14:51" x14ac:dyDescent="0.3">
      <c r="N413" s="170">
        <v>95</v>
      </c>
      <c r="O413" s="199">
        <f t="shared" si="243"/>
        <v>89125.093813374609</v>
      </c>
      <c r="P413" s="189" t="str">
        <f t="shared" si="244"/>
        <v>1078.86904761905</v>
      </c>
      <c r="Q413" s="160" t="str">
        <f t="shared" si="245"/>
        <v>1+17499.6712484124i</v>
      </c>
      <c r="R413" s="160">
        <f t="shared" si="253"/>
        <v>17499.671276984365</v>
      </c>
      <c r="S413" s="160">
        <f t="shared" si="254"/>
        <v>1.5707391828643211</v>
      </c>
      <c r="T413" s="160" t="str">
        <f t="shared" si="246"/>
        <v>1+0.011199789598984i</v>
      </c>
      <c r="U413" s="160">
        <f t="shared" si="255"/>
        <v>1.0000627156769026</v>
      </c>
      <c r="V413" s="160">
        <f t="shared" si="256"/>
        <v>1.119932135128324E-2</v>
      </c>
      <c r="W413" s="98" t="str">
        <f t="shared" si="247"/>
        <v>1-8.10013582956916i</v>
      </c>
      <c r="X413" s="160">
        <f t="shared" si="257"/>
        <v>8.1616297672382849</v>
      </c>
      <c r="Y413" s="160">
        <f t="shared" si="258"/>
        <v>-1.4479631270601581</v>
      </c>
      <c r="Z413" s="98" t="str">
        <f t="shared" si="248"/>
        <v>-2.17731293889714+3.19939322902689i</v>
      </c>
      <c r="AA413" s="160">
        <f t="shared" si="259"/>
        <v>3.8699881999603063</v>
      </c>
      <c r="AB413" s="160">
        <f t="shared" si="260"/>
        <v>2.1683416933505266</v>
      </c>
      <c r="AC413" s="171" t="str">
        <f t="shared" si="261"/>
        <v>0.0581274936613186+0.11631078423785i</v>
      </c>
      <c r="AD413" s="190">
        <f t="shared" si="262"/>
        <v>-17.719333433248192</v>
      </c>
      <c r="AE413" s="169">
        <f t="shared" si="263"/>
        <v>63.445944310538714</v>
      </c>
      <c r="AF413" s="98" t="str">
        <f t="shared" si="249"/>
        <v>-9.95024875621891E-06</v>
      </c>
      <c r="AG413" s="98" t="str">
        <f t="shared" si="250"/>
        <v>0.560549469429147i</v>
      </c>
      <c r="AH413" s="98">
        <f t="shared" si="264"/>
        <v>0.56054946942914696</v>
      </c>
      <c r="AI413" s="98">
        <f t="shared" si="265"/>
        <v>1.5707963267948966</v>
      </c>
      <c r="AJ413" s="98" t="str">
        <f t="shared" si="251"/>
        <v>1+5.59430049899299i</v>
      </c>
      <c r="AK413" s="98">
        <f t="shared" si="266"/>
        <v>5.682974403693299</v>
      </c>
      <c r="AL413" s="98">
        <f t="shared" si="267"/>
        <v>1.3939111688703945</v>
      </c>
      <c r="AM413" s="98" t="str">
        <f t="shared" si="252"/>
        <v>1+5599.89479949198i</v>
      </c>
      <c r="AN413" s="98">
        <f t="shared" si="268"/>
        <v>5599.8948887793704</v>
      </c>
      <c r="AO413" s="98">
        <f t="shared" si="269"/>
        <v>1.5706177520135522</v>
      </c>
      <c r="AP413" s="168" t="str">
        <f t="shared" si="270"/>
        <v>-0.00307478237755581+0.0172190074733196i</v>
      </c>
      <c r="AQ413" s="98">
        <f t="shared" si="271"/>
        <v>-35.143516645669941</v>
      </c>
      <c r="AR413" s="169">
        <f t="shared" si="272"/>
        <v>100.12454142628049</v>
      </c>
      <c r="AS413" s="168" t="str">
        <f t="shared" si="273"/>
        <v>-0.00218148565618051+0.000643267398065346i</v>
      </c>
      <c r="AT413" s="190">
        <f t="shared" si="274"/>
        <v>-52.862850078918136</v>
      </c>
      <c r="AU413" s="169">
        <f t="shared" si="275"/>
        <v>163.57048573681917</v>
      </c>
      <c r="AV413" s="225"/>
      <c r="AX413">
        <f t="shared" si="276"/>
        <v>0</v>
      </c>
      <c r="AY413">
        <f t="shared" si="277"/>
        <v>0</v>
      </c>
    </row>
    <row r="414" spans="14:51" x14ac:dyDescent="0.3">
      <c r="N414" s="170">
        <v>96</v>
      </c>
      <c r="O414" s="199">
        <f t="shared" si="243"/>
        <v>91201.083935591028</v>
      </c>
      <c r="P414" s="189" t="str">
        <f t="shared" si="244"/>
        <v>1078.86904761905</v>
      </c>
      <c r="Q414" s="160" t="str">
        <f t="shared" si="245"/>
        <v>1+17907.2909557174i</v>
      </c>
      <c r="R414" s="160">
        <f t="shared" si="253"/>
        <v>17907.290983638984</v>
      </c>
      <c r="S414" s="160">
        <f t="shared" si="254"/>
        <v>1.570740483618984</v>
      </c>
      <c r="T414" s="160" t="str">
        <f t="shared" si="246"/>
        <v>1+0.0114606662116592i</v>
      </c>
      <c r="U414" s="160">
        <f t="shared" si="255"/>
        <v>1.0000656712786491</v>
      </c>
      <c r="V414" s="160">
        <f t="shared" si="256"/>
        <v>1.1460164476987644E-2</v>
      </c>
      <c r="W414" s="98" t="str">
        <f t="shared" si="247"/>
        <v>1-8.28881223092038i</v>
      </c>
      <c r="X414" s="160">
        <f t="shared" si="257"/>
        <v>8.3489165883637426</v>
      </c>
      <c r="Y414" s="160">
        <f t="shared" si="258"/>
        <v>-1.4507320516423441</v>
      </c>
      <c r="Z414" s="98" t="str">
        <f t="shared" si="248"/>
        <v>-2.3270550844107+3.27391667081371i</v>
      </c>
      <c r="AA414" s="160">
        <f t="shared" si="259"/>
        <v>4.0166796901562387</v>
      </c>
      <c r="AB414" s="160">
        <f t="shared" si="260"/>
        <v>2.1887247890233947</v>
      </c>
      <c r="AC414" s="171" t="str">
        <f t="shared" si="261"/>
        <v>0.0585355338269944+0.110714615879336i</v>
      </c>
      <c r="AD414" s="190">
        <f t="shared" si="262"/>
        <v>-18.045394312526518</v>
      </c>
      <c r="AE414" s="169">
        <f t="shared" si="263"/>
        <v>62.134301945188064</v>
      </c>
      <c r="AF414" s="98" t="str">
        <f t="shared" si="249"/>
        <v>-9.95024875621891E-06</v>
      </c>
      <c r="AG414" s="98" t="str">
        <f t="shared" si="250"/>
        <v>0.573606343893541i</v>
      </c>
      <c r="AH414" s="98">
        <f t="shared" si="264"/>
        <v>0.57360634389354104</v>
      </c>
      <c r="AI414" s="98">
        <f t="shared" si="265"/>
        <v>1.5707963267948966</v>
      </c>
      <c r="AJ414" s="98" t="str">
        <f t="shared" si="251"/>
        <v>1+5.72460849733225i</v>
      </c>
      <c r="AK414" s="98">
        <f t="shared" si="266"/>
        <v>5.811294386599994</v>
      </c>
      <c r="AL414" s="98">
        <f t="shared" si="267"/>
        <v>1.3978568648944949</v>
      </c>
      <c r="AM414" s="98" t="str">
        <f t="shared" si="252"/>
        <v>1+5730.33310582958i</v>
      </c>
      <c r="AN414" s="98">
        <f t="shared" si="268"/>
        <v>5730.3331930845416</v>
      </c>
      <c r="AO414" s="98">
        <f t="shared" si="269"/>
        <v>1.5706218168717594</v>
      </c>
      <c r="AP414" s="168" t="str">
        <f t="shared" si="270"/>
        <v>-0.0029404921924308+0.0168505134159364i</v>
      </c>
      <c r="AQ414" s="98">
        <f t="shared" si="271"/>
        <v>-35.337460179259573</v>
      </c>
      <c r="AR414" s="169">
        <f t="shared" si="272"/>
        <v>99.898702596077584</v>
      </c>
      <c r="AS414" s="168" t="str">
        <f t="shared" si="273"/>
        <v>-0.00203772140041304+0.000660798334479605i</v>
      </c>
      <c r="AT414" s="190">
        <f t="shared" si="274"/>
        <v>-53.382854491786105</v>
      </c>
      <c r="AU414" s="169">
        <f t="shared" si="275"/>
        <v>162.03300454126568</v>
      </c>
      <c r="AV414" s="225"/>
      <c r="AX414">
        <f t="shared" si="276"/>
        <v>0</v>
      </c>
      <c r="AY414">
        <f t="shared" si="277"/>
        <v>0</v>
      </c>
    </row>
    <row r="415" spans="14:51" x14ac:dyDescent="0.3">
      <c r="N415" s="170">
        <v>97</v>
      </c>
      <c r="O415" s="199">
        <f t="shared" si="243"/>
        <v>93325.430079699145</v>
      </c>
      <c r="P415" s="189" t="str">
        <f t="shared" si="244"/>
        <v>1078.86904761905</v>
      </c>
      <c r="Q415" s="160" t="str">
        <f t="shared" si="245"/>
        <v>1+18324.4053457182i</v>
      </c>
      <c r="R415" s="160">
        <f t="shared" si="253"/>
        <v>18324.405373004214</v>
      </c>
      <c r="S415" s="160">
        <f t="shared" si="254"/>
        <v>1.5707417547648557</v>
      </c>
      <c r="T415" s="160" t="str">
        <f t="shared" si="246"/>
        <v>1+0.0117276194212596i</v>
      </c>
      <c r="U415" s="160">
        <f t="shared" si="255"/>
        <v>1.0000687661642522</v>
      </c>
      <c r="V415" s="160">
        <f t="shared" si="256"/>
        <v>1.172708180486947E-2</v>
      </c>
      <c r="W415" s="98" t="str">
        <f t="shared" si="247"/>
        <v>1-8.48188347023183i</v>
      </c>
      <c r="X415" s="160">
        <f t="shared" si="257"/>
        <v>8.540629204139</v>
      </c>
      <c r="Y415" s="160">
        <f t="shared" si="258"/>
        <v>-1.4534397365587284</v>
      </c>
      <c r="Z415" s="98" t="str">
        <f t="shared" si="248"/>
        <v>-2.48385435982434+3.35017598655481i</v>
      </c>
      <c r="AA415" s="160">
        <f t="shared" si="259"/>
        <v>4.1705169489772942</v>
      </c>
      <c r="AB415" s="160">
        <f t="shared" si="260"/>
        <v>2.2087772036167568</v>
      </c>
      <c r="AC415" s="171" t="str">
        <f t="shared" si="261"/>
        <v>0.0587416846641937+0.105301990580052i</v>
      </c>
      <c r="AD415" s="190">
        <f t="shared" si="262"/>
        <v>-18.374626335616249</v>
      </c>
      <c r="AE415" s="169">
        <f t="shared" si="263"/>
        <v>60.845464707054795</v>
      </c>
      <c r="AF415" s="98" t="str">
        <f t="shared" si="249"/>
        <v>-9.95024875621891E-06</v>
      </c>
      <c r="AG415" s="98" t="str">
        <f t="shared" si="250"/>
        <v>0.586967352034045i</v>
      </c>
      <c r="AH415" s="98">
        <f t="shared" si="264"/>
        <v>0.58696735203404504</v>
      </c>
      <c r="AI415" s="98">
        <f t="shared" si="265"/>
        <v>1.5707963267948966</v>
      </c>
      <c r="AJ415" s="98" t="str">
        <f t="shared" si="251"/>
        <v>1+5.85795175887095i</v>
      </c>
      <c r="AK415" s="98">
        <f t="shared" si="266"/>
        <v>5.9426928920531683</v>
      </c>
      <c r="AL415" s="98">
        <f t="shared" si="267"/>
        <v>1.4017180088088166</v>
      </c>
      <c r="AM415" s="98" t="str">
        <f t="shared" si="252"/>
        <v>1+5863.80971062982i</v>
      </c>
      <c r="AN415" s="98">
        <f t="shared" si="268"/>
        <v>5863.8097958986173</v>
      </c>
      <c r="AO415" s="98">
        <f t="shared" si="269"/>
        <v>1.5706257892025028</v>
      </c>
      <c r="AP415" s="168" t="str">
        <f t="shared" si="270"/>
        <v>-0.00281189570742825+0.0164889013679587i</v>
      </c>
      <c r="AQ415" s="98">
        <f t="shared" si="271"/>
        <v>-35.531668403628714</v>
      </c>
      <c r="AR415" s="169">
        <f t="shared" si="272"/>
        <v>99.677702943480753</v>
      </c>
      <c r="AS415" s="168" t="str">
        <f t="shared" si="273"/>
        <v>-0.00190148962747854+0.000672487629319924i</v>
      </c>
      <c r="AT415" s="190">
        <f t="shared" si="274"/>
        <v>-53.906294739244984</v>
      </c>
      <c r="AU415" s="169">
        <f t="shared" si="275"/>
        <v>160.5231676505355</v>
      </c>
      <c r="AV415" s="225"/>
      <c r="AX415">
        <f t="shared" si="276"/>
        <v>0</v>
      </c>
      <c r="AY415">
        <f t="shared" si="277"/>
        <v>0</v>
      </c>
    </row>
    <row r="416" spans="14:51" x14ac:dyDescent="0.3">
      <c r="N416" s="170">
        <v>98</v>
      </c>
      <c r="O416" s="199">
        <f t="shared" si="243"/>
        <v>95499.258602143804</v>
      </c>
      <c r="P416" s="189" t="str">
        <f t="shared" si="244"/>
        <v>1078.86904761905</v>
      </c>
      <c r="Q416" s="160" t="str">
        <f t="shared" si="245"/>
        <v>1+18751.2355779854i</v>
      </c>
      <c r="R416" s="160">
        <f t="shared" si="253"/>
        <v>18751.235604650308</v>
      </c>
      <c r="S416" s="160">
        <f t="shared" si="254"/>
        <v>1.5707429969759152</v>
      </c>
      <c r="T416" s="160" t="str">
        <f t="shared" si="246"/>
        <v>1+0.0120007907699107i</v>
      </c>
      <c r="U416" s="160">
        <f t="shared" si="255"/>
        <v>1.000072006897055</v>
      </c>
      <c r="V416" s="160">
        <f t="shared" si="256"/>
        <v>1.2000214705810008E-2</v>
      </c>
      <c r="W416" s="98" t="str">
        <f t="shared" si="247"/>
        <v>1-8.6794519164302i</v>
      </c>
      <c r="X416" s="160">
        <f t="shared" si="257"/>
        <v>8.7368693231399455</v>
      </c>
      <c r="Y416" s="160">
        <f t="shared" si="258"/>
        <v>-1.4560874585618997</v>
      </c>
      <c r="Z416" s="98" t="str">
        <f t="shared" si="248"/>
        <v>-2.64804335742366+3.4282116099488i</v>
      </c>
      <c r="AA416" s="160">
        <f t="shared" si="259"/>
        <v>4.3318319987487177</v>
      </c>
      <c r="AB416" s="160">
        <f t="shared" si="260"/>
        <v>2.2284969213844397</v>
      </c>
      <c r="AC416" s="171" t="str">
        <f t="shared" si="261"/>
        <v>0.0587623027512463+0.100075796939249i</v>
      </c>
      <c r="AD416" s="190">
        <f t="shared" si="262"/>
        <v>-18.706913021600712</v>
      </c>
      <c r="AE416" s="169">
        <f t="shared" si="263"/>
        <v>59.579482998690935</v>
      </c>
      <c r="AF416" s="98" t="str">
        <f t="shared" si="249"/>
        <v>-9.95024875621891E-06</v>
      </c>
      <c r="AG416" s="98" t="str">
        <f t="shared" si="250"/>
        <v>0.600639578034029i</v>
      </c>
      <c r="AH416" s="98">
        <f t="shared" si="264"/>
        <v>0.60063957803402901</v>
      </c>
      <c r="AI416" s="98">
        <f t="shared" si="265"/>
        <v>1.5707963267948966</v>
      </c>
      <c r="AJ416" s="98" t="str">
        <f t="shared" si="251"/>
        <v>1+5.99440098397137i</v>
      </c>
      <c r="AK416" s="98">
        <f t="shared" si="266"/>
        <v>6.0772397646165759</v>
      </c>
      <c r="AL416" s="98">
        <f t="shared" si="267"/>
        <v>1.4054961871039429</v>
      </c>
      <c r="AM416" s="98" t="str">
        <f t="shared" si="252"/>
        <v>1+6000.39538495534i</v>
      </c>
      <c r="AN416" s="98">
        <f t="shared" si="268"/>
        <v>6000.3954682831827</v>
      </c>
      <c r="AO416" s="98">
        <f t="shared" si="269"/>
        <v>1.5706296711119645</v>
      </c>
      <c r="AP416" s="168" t="str">
        <f t="shared" si="270"/>
        <v>-0.00268876620941027+0.0161341089004404i</v>
      </c>
      <c r="AQ416" s="98">
        <f t="shared" si="271"/>
        <v>-35.726130081170808</v>
      </c>
      <c r="AR416" s="169">
        <f t="shared" si="272"/>
        <v>99.461451689950735</v>
      </c>
      <c r="AS416" s="168" t="str">
        <f t="shared" si="273"/>
        <v>-0.00177263190014089+0.0006789969706392i</v>
      </c>
      <c r="AT416" s="190">
        <f t="shared" si="274"/>
        <v>-54.433043102771521</v>
      </c>
      <c r="AU416" s="169">
        <f t="shared" si="275"/>
        <v>159.04093468864164</v>
      </c>
      <c r="AV416" s="225"/>
      <c r="AX416">
        <f t="shared" si="276"/>
        <v>0</v>
      </c>
      <c r="AY416">
        <f t="shared" si="277"/>
        <v>0</v>
      </c>
    </row>
    <row r="417" spans="14:51" x14ac:dyDescent="0.3">
      <c r="N417" s="170">
        <v>99</v>
      </c>
      <c r="O417" s="199">
        <f t="shared" si="243"/>
        <v>97723.722095581266</v>
      </c>
      <c r="P417" s="189" t="str">
        <f t="shared" si="244"/>
        <v>1078.86904761905</v>
      </c>
      <c r="Q417" s="160" t="str">
        <f t="shared" si="245"/>
        <v>1+19188.007963558i</v>
      </c>
      <c r="R417" s="160">
        <f t="shared" si="253"/>
        <v>19188.00798961594</v>
      </c>
      <c r="S417" s="160">
        <f t="shared" si="254"/>
        <v>1.570744210910799</v>
      </c>
      <c r="T417" s="160" t="str">
        <f t="shared" si="246"/>
        <v>1+0.0122803250966771i</v>
      </c>
      <c r="U417" s="160">
        <f t="shared" si="255"/>
        <v>1.0000754003496337</v>
      </c>
      <c r="V417" s="160">
        <f t="shared" si="256"/>
        <v>1.2279707835385614E-2</v>
      </c>
      <c r="W417" s="98" t="str">
        <f t="shared" si="247"/>
        <v>1-8.88162232292078i</v>
      </c>
      <c r="X417" s="160">
        <f t="shared" si="257"/>
        <v>8.9377410505677961</v>
      </c>
      <c r="Y417" s="160">
        <f t="shared" si="258"/>
        <v>-1.4586764729356136</v>
      </c>
      <c r="Z417" s="98" t="str">
        <f t="shared" si="248"/>
        <v>-2.81997034408576+3.50806491651613i</v>
      </c>
      <c r="AA417" s="160">
        <f t="shared" si="259"/>
        <v>4.5009723616141528</v>
      </c>
      <c r="AB417" s="160">
        <f t="shared" si="260"/>
        <v>2.2478825655972603</v>
      </c>
      <c r="AC417" s="171" t="str">
        <f t="shared" si="261"/>
        <v>0.0586132218958042+0.0950377866401072i</v>
      </c>
      <c r="AD417" s="190">
        <f t="shared" si="262"/>
        <v>-19.042139813214078</v>
      </c>
      <c r="AE417" s="169">
        <f t="shared" si="263"/>
        <v>58.336372028823803</v>
      </c>
      <c r="AF417" s="98" t="str">
        <f t="shared" si="249"/>
        <v>-9.95024875621891E-06</v>
      </c>
      <c r="AG417" s="98" t="str">
        <f t="shared" si="250"/>
        <v>0.614630271088691i</v>
      </c>
      <c r="AH417" s="98">
        <f t="shared" si="264"/>
        <v>0.61463027108869095</v>
      </c>
      <c r="AI417" s="98">
        <f t="shared" si="265"/>
        <v>1.5707963267948966</v>
      </c>
      <c r="AJ417" s="98" t="str">
        <f t="shared" si="251"/>
        <v>1+6.13402851981875i</v>
      </c>
      <c r="AK417" s="98">
        <f t="shared" si="266"/>
        <v>6.2150065069917497</v>
      </c>
      <c r="AL417" s="98">
        <f t="shared" si="267"/>
        <v>1.4091929713461482</v>
      </c>
      <c r="AM417" s="98" t="str">
        <f t="shared" si="252"/>
        <v>1+6140.16254833857i</v>
      </c>
      <c r="AN417" s="98">
        <f t="shared" si="268"/>
        <v>6140.1626297696384</v>
      </c>
      <c r="AO417" s="98">
        <f t="shared" si="269"/>
        <v>1.5706334646583837</v>
      </c>
      <c r="AP417" s="168" t="str">
        <f t="shared" si="270"/>
        <v>-0.00257088474886798+0.0157860693695804i</v>
      </c>
      <c r="AQ417" s="98">
        <f t="shared" si="271"/>
        <v>-35.920834423040617</v>
      </c>
      <c r="AR417" s="169">
        <f t="shared" si="272"/>
        <v>99.249858909301082</v>
      </c>
      <c r="AS417" s="168" t="str">
        <f t="shared" si="273"/>
        <v>-0.00165096093088605+0.000680941190582553i</v>
      </c>
      <c r="AT417" s="190">
        <f t="shared" si="274"/>
        <v>-54.962974236254702</v>
      </c>
      <c r="AU417" s="169">
        <f t="shared" si="275"/>
        <v>157.58623093812488</v>
      </c>
      <c r="AV417" s="225"/>
      <c r="AX417">
        <f t="shared" si="276"/>
        <v>0</v>
      </c>
      <c r="AY417">
        <f t="shared" si="277"/>
        <v>0</v>
      </c>
    </row>
    <row r="418" spans="14:51" x14ac:dyDescent="0.3">
      <c r="N418" s="170">
        <v>100</v>
      </c>
      <c r="O418" s="199">
        <f t="shared" si="243"/>
        <v>100000</v>
      </c>
      <c r="P418" s="189" t="str">
        <f t="shared" si="244"/>
        <v>1078.86904761905</v>
      </c>
      <c r="Q418" s="160" t="str">
        <f t="shared" si="245"/>
        <v>1+19634.9540849362i</v>
      </c>
      <c r="R418" s="160">
        <f t="shared" si="253"/>
        <v>19634.954110400988</v>
      </c>
      <c r="S418" s="160">
        <f t="shared" si="254"/>
        <v>1.5707453972131513</v>
      </c>
      <c r="T418" s="160" t="str">
        <f t="shared" si="246"/>
        <v>1+0.0125663706143592i</v>
      </c>
      <c r="U418" s="160">
        <f t="shared" si="255"/>
        <v>1.0000789537183639</v>
      </c>
      <c r="V418" s="160">
        <f t="shared" si="256"/>
        <v>1.2565709209789116E-2</v>
      </c>
      <c r="W418" s="98" t="str">
        <f t="shared" si="247"/>
        <v>1-9.08850188312914i</v>
      </c>
      <c r="X418" s="160">
        <f t="shared" si="257"/>
        <v>9.1433509436990299</v>
      </c>
      <c r="Y418" s="160">
        <f t="shared" si="258"/>
        <v>-1.4612080135012466</v>
      </c>
      <c r="Z418" s="98" t="str">
        <f t="shared" si="248"/>
        <v>-3.00000000000001+3.58977824553692i</v>
      </c>
      <c r="AA418" s="160">
        <f t="shared" si="259"/>
        <v>4.6783018128515597</v>
      </c>
      <c r="AB418" s="160">
        <f t="shared" si="260"/>
        <v>2.266933360519459</v>
      </c>
      <c r="AC418" s="171" t="str">
        <f t="shared" si="261"/>
        <v>0.058309693177407+0.0901886698401284i</v>
      </c>
      <c r="AD418" s="190">
        <f t="shared" si="262"/>
        <v>-19.380194321723152</v>
      </c>
      <c r="AE418" s="169">
        <f t="shared" si="263"/>
        <v>57.116113994905767</v>
      </c>
      <c r="AF418" s="98" t="str">
        <f t="shared" si="249"/>
        <v>-9.95024875621891E-06</v>
      </c>
      <c r="AG418" s="98" t="str">
        <f t="shared" si="250"/>
        <v>0.628946849248677i</v>
      </c>
      <c r="AH418" s="98">
        <f t="shared" si="264"/>
        <v>0.62894684924867705</v>
      </c>
      <c r="AI418" s="98">
        <f t="shared" si="265"/>
        <v>1.5707963267948966</v>
      </c>
      <c r="AJ418" s="98" t="str">
        <f t="shared" si="251"/>
        <v>1+6.27690839878081i</v>
      </c>
      <c r="AK418" s="98">
        <f t="shared" si="266"/>
        <v>6.3560663186191722</v>
      </c>
      <c r="AL418" s="98">
        <f t="shared" si="267"/>
        <v>1.4128099172464677</v>
      </c>
      <c r="AM418" s="98" t="str">
        <f t="shared" si="252"/>
        <v>1+6283.18530717959i</v>
      </c>
      <c r="AN418" s="98">
        <f t="shared" si="268"/>
        <v>6283.1853867570608</v>
      </c>
      <c r="AO418" s="98">
        <f t="shared" si="269"/>
        <v>1.5706371718531484</v>
      </c>
      <c r="AP418" s="168" t="str">
        <f t="shared" si="270"/>
        <v>-0.00245803998557164+0.015444712322227i</v>
      </c>
      <c r="AQ418" s="98">
        <f t="shared" si="271"/>
        <v>-36.11577107367232</v>
      </c>
      <c r="AR418" s="169">
        <f t="shared" si="272"/>
        <v>99.042835581099439</v>
      </c>
      <c r="AS418" s="168" t="str">
        <f t="shared" si="273"/>
        <v>-0.00153626561778157+0.000678889080009819i</v>
      </c>
      <c r="AT418" s="190">
        <f t="shared" si="274"/>
        <v>-55.495965395395494</v>
      </c>
      <c r="AU418" s="169">
        <f t="shared" si="275"/>
        <v>156.15894957600514</v>
      </c>
      <c r="AV418" s="225"/>
      <c r="AX418">
        <f t="shared" si="276"/>
        <v>0</v>
      </c>
      <c r="AY418">
        <f t="shared" si="277"/>
        <v>0</v>
      </c>
    </row>
    <row r="419" spans="14:51" x14ac:dyDescent="0.3">
      <c r="N419" s="170">
        <v>1</v>
      </c>
      <c r="O419" s="199">
        <f>10^(5+(N419/100))</f>
        <v>102329.29922807543</v>
      </c>
      <c r="P419" s="189" t="str">
        <f t="shared" si="244"/>
        <v>1078.86904761905</v>
      </c>
      <c r="Q419" s="160" t="str">
        <f t="shared" si="245"/>
        <v>1+20092.3109188696i</v>
      </c>
      <c r="R419" s="160">
        <f t="shared" si="253"/>
        <v>20092.310943754739</v>
      </c>
      <c r="S419" s="160">
        <f t="shared" si="254"/>
        <v>1.5707465565119654</v>
      </c>
      <c r="T419" s="160" t="str">
        <f t="shared" si="246"/>
        <v>1+0.0128590789880765i</v>
      </c>
      <c r="U419" s="160">
        <f t="shared" si="255"/>
        <v>1.0000826745386711</v>
      </c>
      <c r="V419" s="160">
        <f t="shared" si="256"/>
        <v>1.2858370283475277E-2</v>
      </c>
      <c r="W419" s="98" t="str">
        <f t="shared" si="247"/>
        <v>1-9.30020028733648i</v>
      </c>
      <c r="X419" s="160">
        <f t="shared" si="257"/>
        <v>9.3538080686196228</v>
      </c>
      <c r="Y419" s="160">
        <f t="shared" si="258"/>
        <v>-1.4636832926536882</v>
      </c>
      <c r="Z419" s="98" t="str">
        <f t="shared" si="248"/>
        <v>-3.18851419220361+3.67339492249983i</v>
      </c>
      <c r="AA419" s="160">
        <f t="shared" si="259"/>
        <v>4.8642011687975417</v>
      </c>
      <c r="AB419" s="160">
        <f t="shared" si="260"/>
        <v>2.2856490932542997</v>
      </c>
      <c r="AC419" s="171" t="str">
        <f t="shared" si="261"/>
        <v>0.0578663369525017+0.0855282104237386i</v>
      </c>
      <c r="AD419" s="190">
        <f t="shared" si="262"/>
        <v>-19.720966537097109</v>
      </c>
      <c r="AE419" s="169">
        <f t="shared" si="263"/>
        <v>55.918660271573749</v>
      </c>
      <c r="AF419" s="98" t="str">
        <f t="shared" si="249"/>
        <v>-9.95024875621891E-06</v>
      </c>
      <c r="AG419" s="98" t="str">
        <f t="shared" si="250"/>
        <v>0.643596903353231i</v>
      </c>
      <c r="AH419" s="98">
        <f t="shared" si="264"/>
        <v>0.64359690335323105</v>
      </c>
      <c r="AI419" s="98">
        <f t="shared" si="265"/>
        <v>1.5707963267948966</v>
      </c>
      <c r="AJ419" s="98" t="str">
        <f t="shared" si="251"/>
        <v>1+6.42311637766061i</v>
      </c>
      <c r="AK419" s="98">
        <f t="shared" si="266"/>
        <v>6.5004941351386467</v>
      </c>
      <c r="AL419" s="98">
        <f t="shared" si="267"/>
        <v>1.4163485638210991</v>
      </c>
      <c r="AM419" s="98" t="str">
        <f t="shared" si="252"/>
        <v>1+6429.53949403827i</v>
      </c>
      <c r="AN419" s="98">
        <f t="shared" si="268"/>
        <v>6429.5395718043364</v>
      </c>
      <c r="AO419" s="98">
        <f t="shared" si="269"/>
        <v>1.5706407946618621</v>
      </c>
      <c r="AP419" s="168" t="str">
        <f t="shared" si="270"/>
        <v>-0.00235002802638317+0.0151099638781069i</v>
      </c>
      <c r="AQ419" s="98">
        <f t="shared" si="271"/>
        <v>-36.310930095616413</v>
      </c>
      <c r="AR419" s="169">
        <f t="shared" si="272"/>
        <v>98.840293638833927</v>
      </c>
      <c r="AS419" s="168" t="str">
        <f t="shared" si="273"/>
        <v>-0.00142831568368433+0.00067336456956848i</v>
      </c>
      <c r="AT419" s="190">
        <f t="shared" si="274"/>
        <v>-56.031896632713504</v>
      </c>
      <c r="AU419" s="169">
        <f t="shared" si="275"/>
        <v>154.75895391040771</v>
      </c>
      <c r="AV419" s="225"/>
      <c r="AX419">
        <f t="shared" si="276"/>
        <v>0</v>
      </c>
      <c r="AY419">
        <f t="shared" si="277"/>
        <v>0</v>
      </c>
    </row>
    <row r="420" spans="14:51" x14ac:dyDescent="0.3">
      <c r="N420" s="170">
        <v>2</v>
      </c>
      <c r="O420" s="199">
        <f t="shared" ref="O420:O483" si="278">10^(5+(N420/100))</f>
        <v>104712.85480508996</v>
      </c>
      <c r="P420" s="189" t="str">
        <f t="shared" si="244"/>
        <v>1078.86904761905</v>
      </c>
      <c r="Q420" s="160" t="str">
        <f t="shared" si="245"/>
        <v>1+20560.3209620053i</v>
      </c>
      <c r="R420" s="160">
        <f t="shared" si="253"/>
        <v>20560.320986323983</v>
      </c>
      <c r="S420" s="160">
        <f t="shared" si="254"/>
        <v>1.570747689421917</v>
      </c>
      <c r="T420" s="160" t="str">
        <f t="shared" si="246"/>
        <v>1+0.0131586054156834i</v>
      </c>
      <c r="U420" s="160">
        <f t="shared" si="255"/>
        <v>1.0000865707009996</v>
      </c>
      <c r="V420" s="160">
        <f t="shared" si="256"/>
        <v>1.3157846028571724E-2</v>
      </c>
      <c r="W420" s="98" t="str">
        <f t="shared" si="247"/>
        <v>1-9.51682978083888i</v>
      </c>
      <c r="X420" s="160">
        <f t="shared" si="257"/>
        <v>9.5692240582746209</v>
      </c>
      <c r="Y420" s="160">
        <f t="shared" si="258"/>
        <v>-1.4661035014243069</v>
      </c>
      <c r="Z420" s="98" t="str">
        <f t="shared" si="248"/>
        <v>-3.38591278457276+3.75895928207378i</v>
      </c>
      <c r="AA420" s="160">
        <f t="shared" si="259"/>
        <v>5.0590691109157504</v>
      </c>
      <c r="AB420" s="160">
        <f t="shared" si="260"/>
        <v>2.3040300758027805</v>
      </c>
      <c r="AC420" s="171" t="str">
        <f t="shared" si="261"/>
        <v>0.0572971060025532+0.0810553199073956i</v>
      </c>
      <c r="AD420" s="190">
        <f t="shared" si="262"/>
        <v>-20.064349005349072</v>
      </c>
      <c r="AE420" s="169">
        <f t="shared" si="263"/>
        <v>54.74393358544696</v>
      </c>
      <c r="AF420" s="98" t="str">
        <f t="shared" si="249"/>
        <v>-9.95024875621891E-06</v>
      </c>
      <c r="AG420" s="98" t="str">
        <f t="shared" si="250"/>
        <v>0.658588201054955i</v>
      </c>
      <c r="AH420" s="98">
        <f t="shared" si="264"/>
        <v>0.65858820105495497</v>
      </c>
      <c r="AI420" s="98">
        <f t="shared" si="265"/>
        <v>1.5707963267948966</v>
      </c>
      <c r="AJ420" s="98" t="str">
        <f t="shared" si="251"/>
        <v>1+6.57272997786385i</v>
      </c>
      <c r="AK420" s="98">
        <f t="shared" si="266"/>
        <v>6.6483666687322627</v>
      </c>
      <c r="AL420" s="98">
        <f t="shared" si="267"/>
        <v>1.4198104326378425</v>
      </c>
      <c r="AM420" s="98" t="str">
        <f t="shared" si="252"/>
        <v>1+6579.30270784171i</v>
      </c>
      <c r="AN420" s="98">
        <f t="shared" si="268"/>
        <v>6579.3027838376047</v>
      </c>
      <c r="AO420" s="98">
        <f t="shared" si="269"/>
        <v>1.5706443350053856</v>
      </c>
      <c r="AP420" s="168" t="str">
        <f t="shared" si="270"/>
        <v>-0.00224665225660227+0.0147817470896142i</v>
      </c>
      <c r="AQ420" s="98">
        <f t="shared" si="271"/>
        <v>-36.506301954709876</v>
      </c>
      <c r="AR420" s="169">
        <f t="shared" si="272"/>
        <v>98.642146013148547</v>
      </c>
      <c r="AS420" s="168" t="str">
        <f t="shared" si="273"/>
        <v>-0.00132686591163631+0.000664848212516988i</v>
      </c>
      <c r="AT420" s="190">
        <f t="shared" si="274"/>
        <v>-56.570650960058941</v>
      </c>
      <c r="AU420" s="169">
        <f t="shared" si="275"/>
        <v>153.38607959859553</v>
      </c>
      <c r="AV420" s="225"/>
      <c r="AX420">
        <f t="shared" si="276"/>
        <v>0</v>
      </c>
      <c r="AY420">
        <f t="shared" si="277"/>
        <v>0</v>
      </c>
    </row>
    <row r="421" spans="14:51" x14ac:dyDescent="0.3">
      <c r="N421" s="170">
        <v>3</v>
      </c>
      <c r="O421" s="199">
        <f t="shared" si="278"/>
        <v>107151.93052376082</v>
      </c>
      <c r="P421" s="189" t="str">
        <f t="shared" si="244"/>
        <v>1078.86904761905</v>
      </c>
      <c r="Q421" s="160" t="str">
        <f t="shared" si="245"/>
        <v>1+21039.2323594632i</v>
      </c>
      <c r="R421" s="160">
        <f t="shared" si="253"/>
        <v>21039.232383228325</v>
      </c>
      <c r="S421" s="160">
        <f t="shared" si="254"/>
        <v>1.5707487965436897</v>
      </c>
      <c r="T421" s="160" t="str">
        <f t="shared" si="246"/>
        <v>1+0.0134651087100564i</v>
      </c>
      <c r="U421" s="160">
        <f t="shared" si="255"/>
        <v>1.0000906504675331</v>
      </c>
      <c r="V421" s="160">
        <f t="shared" si="256"/>
        <v>1.3464295016089487E-2</v>
      </c>
      <c r="W421" s="98" t="str">
        <f t="shared" si="247"/>
        <v>1-9.73850522346123i</v>
      </c>
      <c r="X421" s="160">
        <f t="shared" si="257"/>
        <v>9.7897131718647241</v>
      </c>
      <c r="Y421" s="160">
        <f t="shared" si="258"/>
        <v>-1.468469809568749</v>
      </c>
      <c r="Z421" s="98" t="str">
        <f t="shared" si="248"/>
        <v>-3.59261448598756+3.8465166916148i</v>
      </c>
      <c r="AA421" s="160">
        <f t="shared" si="259"/>
        <v>5.2633230476381492</v>
      </c>
      <c r="AB421" s="160">
        <f t="shared" si="260"/>
        <v>2.3220771076347937</v>
      </c>
      <c r="AC421" s="171" t="str">
        <f t="shared" si="261"/>
        <v>0.0566152589317463+0.0767681489742437i</v>
      </c>
      <c r="AD421" s="190">
        <f t="shared" si="262"/>
        <v>-20.410236975099192</v>
      </c>
      <c r="AE421" s="169">
        <f t="shared" si="263"/>
        <v>53.5918301592462</v>
      </c>
      <c r="AF421" s="98" t="str">
        <f t="shared" si="249"/>
        <v>-9.95024875621891E-06</v>
      </c>
      <c r="AG421" s="98" t="str">
        <f t="shared" si="250"/>
        <v>0.673928690938325i</v>
      </c>
      <c r="AH421" s="98">
        <f t="shared" si="264"/>
        <v>0.67392869093832497</v>
      </c>
      <c r="AI421" s="98">
        <f t="shared" si="265"/>
        <v>1.5707963267948966</v>
      </c>
      <c r="AJ421" s="98" t="str">
        <f t="shared" si="251"/>
        <v>1+6.72582852650172i</v>
      </c>
      <c r="AK421" s="98">
        <f t="shared" si="266"/>
        <v>6.7997624493730893</v>
      </c>
      <c r="AL421" s="98">
        <f t="shared" si="267"/>
        <v>1.4231970271434664</v>
      </c>
      <c r="AM421" s="98" t="str">
        <f t="shared" si="252"/>
        <v>1+6732.55435502822i</v>
      </c>
      <c r="AN421" s="98">
        <f t="shared" si="268"/>
        <v>6732.5544292942368</v>
      </c>
      <c r="AO421" s="98">
        <f t="shared" si="269"/>
        <v>1.5706477947608553</v>
      </c>
      <c r="AP421" s="168" t="str">
        <f t="shared" si="270"/>
        <v>-0.00214772316609878+0.0144599822800117i</v>
      </c>
      <c r="AQ421" s="98">
        <f t="shared" si="271"/>
        <v>-36.701877505591519</v>
      </c>
      <c r="AR421" s="169">
        <f t="shared" si="272"/>
        <v>98.448306670440701</v>
      </c>
      <c r="AS421" s="168" t="str">
        <f t="shared" si="273"/>
        <v>-0.00123165997699925+0.00065377890896082i</v>
      </c>
      <c r="AT421" s="190">
        <f t="shared" si="274"/>
        <v>-57.112114480690728</v>
      </c>
      <c r="AU421" s="169">
        <f t="shared" si="275"/>
        <v>152.04013682968682</v>
      </c>
      <c r="AV421" s="225"/>
      <c r="AX421">
        <f t="shared" si="276"/>
        <v>0</v>
      </c>
      <c r="AY421">
        <f t="shared" si="277"/>
        <v>0</v>
      </c>
    </row>
    <row r="422" spans="14:51" x14ac:dyDescent="0.3">
      <c r="N422" s="170">
        <v>4</v>
      </c>
      <c r="O422" s="199">
        <f t="shared" si="278"/>
        <v>109647.81961431868</v>
      </c>
      <c r="P422" s="189" t="str">
        <f t="shared" si="244"/>
        <v>1078.86904761905</v>
      </c>
      <c r="Q422" s="160" t="str">
        <f t="shared" si="245"/>
        <v>1+21529.2990364052i</v>
      </c>
      <c r="R422" s="160">
        <f t="shared" si="253"/>
        <v>21529.29905962936</v>
      </c>
      <c r="S422" s="160">
        <f t="shared" si="254"/>
        <v>1.5707498784642941</v>
      </c>
      <c r="T422" s="160" t="str">
        <f t="shared" si="246"/>
        <v>1+0.0137787513832993i</v>
      </c>
      <c r="U422" s="160">
        <f t="shared" si="255"/>
        <v>1.0000949224897018</v>
      </c>
      <c r="V422" s="160">
        <f t="shared" si="256"/>
        <v>1.3777879498974587E-2</v>
      </c>
      <c r="W422" s="98" t="str">
        <f t="shared" si="247"/>
        <v>1-9.96534415045739i</v>
      </c>
      <c r="X422" s="160">
        <f t="shared" si="257"/>
        <v>10.015392355622186</v>
      </c>
      <c r="Y422" s="160">
        <f t="shared" si="258"/>
        <v>-1.4707833656774709</v>
      </c>
      <c r="Z422" s="98" t="str">
        <f t="shared" si="248"/>
        <v>-3.80905773846968+3.93611357522037i</v>
      </c>
      <c r="AA422" s="160">
        <f t="shared" si="259"/>
        <v>5.477400015703604</v>
      </c>
      <c r="AB422" s="160">
        <f t="shared" si="260"/>
        <v>2.3397914390289003</v>
      </c>
      <c r="AC422" s="171" t="str">
        <f t="shared" si="261"/>
        <v>0.0558333428765081+0.0726641757949747i</v>
      </c>
      <c r="AD422" s="190">
        <f t="shared" si="262"/>
        <v>-20.758528515519416</v>
      </c>
      <c r="AE422" s="169">
        <f t="shared" si="263"/>
        <v>52.462221810677001</v>
      </c>
      <c r="AF422" s="98" t="str">
        <f t="shared" si="249"/>
        <v>-9.95024875621891E-06</v>
      </c>
      <c r="AG422" s="98" t="str">
        <f t="shared" si="250"/>
        <v>0.68962650673413i</v>
      </c>
      <c r="AH422" s="98">
        <f t="shared" si="264"/>
        <v>0.68962650673412995</v>
      </c>
      <c r="AI422" s="98">
        <f t="shared" si="265"/>
        <v>1.5707963267948966</v>
      </c>
      <c r="AJ422" s="98" t="str">
        <f t="shared" si="251"/>
        <v>1+6.8824931984512i</v>
      </c>
      <c r="AK422" s="98">
        <f t="shared" si="266"/>
        <v>6.9547618670035716</v>
      </c>
      <c r="AL422" s="98">
        <f t="shared" si="267"/>
        <v>1.4265098320671006</v>
      </c>
      <c r="AM422" s="98" t="str">
        <f t="shared" si="252"/>
        <v>1+6889.37569164965i</v>
      </c>
      <c r="AN422" s="98">
        <f t="shared" si="268"/>
        <v>6889.3757642251667</v>
      </c>
      <c r="AO422" s="98">
        <f t="shared" si="269"/>
        <v>1.5706511757626791</v>
      </c>
      <c r="AP422" s="168" t="str">
        <f t="shared" si="270"/>
        <v>-0.00205305817137134+0.0141445873609069i</v>
      </c>
      <c r="AQ422" s="98">
        <f t="shared" si="271"/>
        <v>-36.897647977571879</v>
      </c>
      <c r="AR422" s="169">
        <f t="shared" si="272"/>
        <v>98.258690647101204</v>
      </c>
      <c r="AS422" s="168" t="str">
        <f t="shared" si="273"/>
        <v>-0.00114243388336791+0.000640555816086401i</v>
      </c>
      <c r="AT422" s="190">
        <f t="shared" si="274"/>
        <v>-57.656176493091287</v>
      </c>
      <c r="AU422" s="169">
        <f t="shared" si="275"/>
        <v>150.72091245777827</v>
      </c>
      <c r="AV422" s="225"/>
      <c r="AX422">
        <f t="shared" si="276"/>
        <v>0</v>
      </c>
      <c r="AY422">
        <f t="shared" si="277"/>
        <v>0</v>
      </c>
    </row>
    <row r="423" spans="14:51" x14ac:dyDescent="0.3">
      <c r="N423" s="170">
        <v>5</v>
      </c>
      <c r="O423" s="199">
        <f t="shared" si="278"/>
        <v>112201.84543019651</v>
      </c>
      <c r="P423" s="189" t="str">
        <f t="shared" si="244"/>
        <v>1078.86904761905</v>
      </c>
      <c r="Q423" s="160" t="str">
        <f t="shared" si="245"/>
        <v>1+22030.7808326702i</v>
      </c>
      <c r="R423" s="160">
        <f t="shared" si="253"/>
        <v>22030.780855365716</v>
      </c>
      <c r="S423" s="160">
        <f t="shared" si="254"/>
        <v>1.5707509357573792</v>
      </c>
      <c r="T423" s="160" t="str">
        <f t="shared" si="246"/>
        <v>1+0.0140996997329089i</v>
      </c>
      <c r="U423" s="160">
        <f t="shared" si="255"/>
        <v>1.0000993958265139</v>
      </c>
      <c r="V423" s="160">
        <f t="shared" si="256"/>
        <v>1.4098765497037712E-2</v>
      </c>
      <c r="W423" s="98" t="str">
        <f t="shared" si="247"/>
        <v>1-10.1974668348291i</v>
      </c>
      <c r="X423" s="160">
        <f t="shared" si="257"/>
        <v>10.246381304999314</v>
      </c>
      <c r="Y423" s="160">
        <f t="shared" si="258"/>
        <v>-1.473045297307038</v>
      </c>
      <c r="Z423" s="98" t="str">
        <f t="shared" si="248"/>
        <v>-4.0357016471767+4.02779743834415i</v>
      </c>
      <c r="AA423" s="160">
        <f t="shared" si="259"/>
        <v>5.7017576228174089</v>
      </c>
      <c r="AB423" s="160">
        <f t="shared" si="260"/>
        <v>2.3571747353957053</v>
      </c>
      <c r="AC423" s="171" t="str">
        <f t="shared" si="261"/>
        <v>0.0549631845707431+0.0687402904607389i</v>
      </c>
      <c r="AD423" s="190">
        <f t="shared" si="262"/>
        <v>-21.109124607880048</v>
      </c>
      <c r="AE423" s="169">
        <f t="shared" si="263"/>
        <v>51.354957993874997</v>
      </c>
      <c r="AF423" s="98" t="str">
        <f t="shared" si="249"/>
        <v>-9.95024875621891E-06</v>
      </c>
      <c r="AG423" s="98" t="str">
        <f t="shared" si="250"/>
        <v>0.705689971632091i</v>
      </c>
      <c r="AH423" s="98">
        <f t="shared" si="264"/>
        <v>0.70568997163209102</v>
      </c>
      <c r="AI423" s="98">
        <f t="shared" si="265"/>
        <v>1.5707963267948966</v>
      </c>
      <c r="AJ423" s="98" t="str">
        <f t="shared" si="251"/>
        <v>1+7.04280705939507i</v>
      </c>
      <c r="AK423" s="98">
        <f t="shared" si="266"/>
        <v>7.1134472146677972</v>
      </c>
      <c r="AL423" s="98">
        <f t="shared" si="267"/>
        <v>1.4297503128949454</v>
      </c>
      <c r="AM423" s="98" t="str">
        <f t="shared" si="252"/>
        <v>1+7049.84986645446i</v>
      </c>
      <c r="AN423" s="98">
        <f t="shared" si="268"/>
        <v>7049.8499373779568</v>
      </c>
      <c r="AO423" s="98">
        <f t="shared" si="269"/>
        <v>1.5706544798035087</v>
      </c>
      <c r="AP423" s="168" t="str">
        <f t="shared" si="270"/>
        <v>-0.00196248143456782+0.0138354781298685i</v>
      </c>
      <c r="AQ423" s="98">
        <f t="shared" si="271"/>
        <v>-37.093604960865093</v>
      </c>
      <c r="AR423" s="169">
        <f t="shared" si="272"/>
        <v>98.073214079667551</v>
      </c>
      <c r="AS423" s="168" t="str">
        <f t="shared" si="273"/>
        <v>-0.00105891901461517+0.000625540394240442i</v>
      </c>
      <c r="AT423" s="190">
        <f t="shared" si="274"/>
        <v>-58.202729568745141</v>
      </c>
      <c r="AU423" s="169">
        <f t="shared" si="275"/>
        <v>149.42817207354258</v>
      </c>
      <c r="AV423" s="225"/>
      <c r="AX423">
        <f t="shared" si="276"/>
        <v>0</v>
      </c>
      <c r="AY423">
        <f t="shared" si="277"/>
        <v>0</v>
      </c>
    </row>
    <row r="424" spans="14:51" x14ac:dyDescent="0.3">
      <c r="N424" s="170">
        <v>6</v>
      </c>
      <c r="O424" s="199">
        <f t="shared" si="278"/>
        <v>114815.36214968823</v>
      </c>
      <c r="P424" s="189" t="str">
        <f t="shared" si="244"/>
        <v>1078.86904761905</v>
      </c>
      <c r="Q424" s="160" t="str">
        <f t="shared" si="245"/>
        <v>1+22543.9436405445i</v>
      </c>
      <c r="R424" s="160">
        <f t="shared" si="253"/>
        <v>22543.943662723406</v>
      </c>
      <c r="S424" s="160">
        <f t="shared" si="254"/>
        <v>1.5707519689835354</v>
      </c>
      <c r="T424" s="160" t="str">
        <f t="shared" si="246"/>
        <v>1+0.0144281239299485i</v>
      </c>
      <c r="U424" s="160">
        <f t="shared" si="255"/>
        <v>1.0001040799637495</v>
      </c>
      <c r="V424" s="160">
        <f t="shared" si="256"/>
        <v>1.4427122883803359E-2</v>
      </c>
      <c r="W424" s="98" t="str">
        <f t="shared" si="247"/>
        <v>1-10.4349963510959i</v>
      </c>
      <c r="X424" s="160">
        <f t="shared" si="257"/>
        <v>10.482802528302475</v>
      </c>
      <c r="Y424" s="160">
        <f t="shared" si="258"/>
        <v>-1.4752567111303259</v>
      </c>
      <c r="Z424" s="98" t="str">
        <f t="shared" si="248"/>
        <v>-4.27302695422563+4.12161689298393i</v>
      </c>
      <c r="AA424" s="160">
        <f t="shared" si="259"/>
        <v>5.936875033556734</v>
      </c>
      <c r="AB424" s="160">
        <f t="shared" si="260"/>
        <v>2.3742290427612351</v>
      </c>
      <c r="AC424" s="171" t="str">
        <f t="shared" si="261"/>
        <v>0.0540158888143111+0.0649928750102181i</v>
      </c>
      <c r="AD424" s="190">
        <f t="shared" si="262"/>
        <v>-21.461929212938159</v>
      </c>
      <c r="AE424" s="169">
        <f t="shared" si="263"/>
        <v>50.269867773415619</v>
      </c>
      <c r="AF424" s="98" t="str">
        <f t="shared" si="249"/>
        <v>-9.95024875621891E-06</v>
      </c>
      <c r="AG424" s="98" t="str">
        <f t="shared" si="250"/>
        <v>0.722127602693922i</v>
      </c>
      <c r="AH424" s="98">
        <f t="shared" si="264"/>
        <v>0.72212760269392196</v>
      </c>
      <c r="AI424" s="98">
        <f t="shared" si="265"/>
        <v>1.5707963267948966</v>
      </c>
      <c r="AJ424" s="98" t="str">
        <f t="shared" si="251"/>
        <v>1+7.20685510986438i</v>
      </c>
      <c r="AK424" s="98">
        <f t="shared" si="266"/>
        <v>7.2759027326221402</v>
      </c>
      <c r="AL424" s="98">
        <f t="shared" si="267"/>
        <v>1.4329199154117915</v>
      </c>
      <c r="AM424" s="98" t="str">
        <f t="shared" si="252"/>
        <v>1+7214.06196497424i</v>
      </c>
      <c r="AN424" s="98">
        <f t="shared" si="268"/>
        <v>7214.0620342833208</v>
      </c>
      <c r="AO424" s="98">
        <f t="shared" si="269"/>
        <v>1.5706577086351898</v>
      </c>
      <c r="AP424" s="168" t="str">
        <f t="shared" si="270"/>
        <v>-0.00187582368040367+0.0135325685490496i</v>
      </c>
      <c r="AQ424" s="98">
        <f t="shared" si="271"/>
        <v>-37.289740393186371</v>
      </c>
      <c r="AR424" s="169">
        <f t="shared" si="272"/>
        <v>97.891794231146321</v>
      </c>
      <c r="AS424" s="168" t="str">
        <f t="shared" si="273"/>
        <v>-0.000980844819631526+0.000609058544115823i</v>
      </c>
      <c r="AT424" s="190">
        <f t="shared" si="274"/>
        <v>-58.75166960612453</v>
      </c>
      <c r="AU424" s="169">
        <f t="shared" si="275"/>
        <v>148.16166200456195</v>
      </c>
      <c r="AV424" s="225"/>
      <c r="AX424">
        <f t="shared" si="276"/>
        <v>0</v>
      </c>
      <c r="AY424">
        <f t="shared" si="277"/>
        <v>0</v>
      </c>
    </row>
    <row r="425" spans="14:51" x14ac:dyDescent="0.3">
      <c r="N425" s="170">
        <v>7</v>
      </c>
      <c r="O425" s="199">
        <f t="shared" si="278"/>
        <v>117489.75549395311</v>
      </c>
      <c r="P425" s="189" t="str">
        <f t="shared" si="244"/>
        <v>1078.86904761905</v>
      </c>
      <c r="Q425" s="160" t="str">
        <f t="shared" si="245"/>
        <v>1+23069.0595457415i</v>
      </c>
      <c r="R425" s="160">
        <f t="shared" si="253"/>
        <v>23069.059567415552</v>
      </c>
      <c r="S425" s="160">
        <f t="shared" si="254"/>
        <v>1.5707529786905932</v>
      </c>
      <c r="T425" s="160" t="str">
        <f t="shared" si="246"/>
        <v>1+0.0147641981092746i</v>
      </c>
      <c r="U425" s="160">
        <f t="shared" si="255"/>
        <v>1.0001089848340579</v>
      </c>
      <c r="V425" s="160">
        <f t="shared" si="256"/>
        <v>1.4763125475317584E-2</v>
      </c>
      <c r="W425" s="98" t="str">
        <f t="shared" si="247"/>
        <v>1-10.6780586405517i</v>
      </c>
      <c r="X425" s="160">
        <f t="shared" si="257"/>
        <v>10.724781411807927</v>
      </c>
      <c r="Y425" s="160">
        <f t="shared" si="258"/>
        <v>-1.4774186931039108</v>
      </c>
      <c r="Z425" s="98" t="str">
        <f t="shared" si="248"/>
        <v>-4.52153705841156+4.21762168345644i</v>
      </c>
      <c r="AA425" s="160">
        <f t="shared" si="259"/>
        <v>6.1832540005527035</v>
      </c>
      <c r="AB425" s="160">
        <f t="shared" si="260"/>
        <v>2.3909567545509742</v>
      </c>
      <c r="AC425" s="171" t="str">
        <f t="shared" si="261"/>
        <v>0.0530018434140588+0.0614178786748141i</v>
      </c>
      <c r="AD425" s="190">
        <f t="shared" si="262"/>
        <v>-21.816849316386246</v>
      </c>
      <c r="AE425" s="169">
        <f t="shared" si="263"/>
        <v>49.206761722928746</v>
      </c>
      <c r="AF425" s="98" t="str">
        <f t="shared" si="249"/>
        <v>-9.95024875621891E-06</v>
      </c>
      <c r="AG425" s="98" t="str">
        <f t="shared" si="250"/>
        <v>0.738948115369192i</v>
      </c>
      <c r="AH425" s="98">
        <f t="shared" si="264"/>
        <v>0.73894811536919203</v>
      </c>
      <c r="AI425" s="98">
        <f t="shared" si="265"/>
        <v>1.5707963267948966</v>
      </c>
      <c r="AJ425" s="98" t="str">
        <f t="shared" si="251"/>
        <v>1+7.37472433030697i</v>
      </c>
      <c r="AK425" s="98">
        <f t="shared" si="266"/>
        <v>7.4422146534497093</v>
      </c>
      <c r="AL425" s="98">
        <f t="shared" si="267"/>
        <v>1.4360200653050519</v>
      </c>
      <c r="AM425" s="98" t="str">
        <f t="shared" si="252"/>
        <v>1+7382.09905463728i</v>
      </c>
      <c r="AN425" s="98">
        <f t="shared" si="268"/>
        <v>7382.0991223686915</v>
      </c>
      <c r="AO425" s="98">
        <f t="shared" si="269"/>
        <v>1.5706608639696917</v>
      </c>
      <c r="AP425" s="168" t="str">
        <f t="shared" si="270"/>
        <v>-0.00179292201182254+0.0132357710056704i</v>
      </c>
      <c r="AQ425" s="98">
        <f t="shared" si="271"/>
        <v>-37.486046546720964</v>
      </c>
      <c r="AR425" s="169">
        <f t="shared" si="272"/>
        <v>97.714349513754513</v>
      </c>
      <c r="AS425" s="168" t="str">
        <f t="shared" si="273"/>
        <v>-0.000907941149518124+0.000591402795711362i</v>
      </c>
      <c r="AT425" s="190">
        <f t="shared" si="274"/>
        <v>-59.30289586310721</v>
      </c>
      <c r="AU425" s="169">
        <f t="shared" si="275"/>
        <v>146.92111123668323</v>
      </c>
      <c r="AV425" s="225"/>
      <c r="AX425">
        <f t="shared" si="276"/>
        <v>0</v>
      </c>
      <c r="AY425">
        <f t="shared" si="277"/>
        <v>0</v>
      </c>
    </row>
    <row r="426" spans="14:51" x14ac:dyDescent="0.3">
      <c r="N426" s="170">
        <v>8</v>
      </c>
      <c r="O426" s="199">
        <f t="shared" si="278"/>
        <v>120226.44346174144</v>
      </c>
      <c r="P426" s="189" t="str">
        <f t="shared" si="244"/>
        <v>1078.86904761905</v>
      </c>
      <c r="Q426" s="160" t="str">
        <f t="shared" si="245"/>
        <v>1+23606.4069716647i</v>
      </c>
      <c r="R426" s="160">
        <f t="shared" si="253"/>
        <v>23606.406992845386</v>
      </c>
      <c r="S426" s="160">
        <f t="shared" si="254"/>
        <v>1.5707539654139122</v>
      </c>
      <c r="T426" s="160" t="str">
        <f t="shared" si="246"/>
        <v>1+0.0151081004618654i</v>
      </c>
      <c r="U426" s="160">
        <f t="shared" si="255"/>
        <v>1.000114120838</v>
      </c>
      <c r="V426" s="160">
        <f t="shared" si="256"/>
        <v>1.5106951120956127E-2</v>
      </c>
      <c r="W426" s="98" t="str">
        <f t="shared" si="247"/>
        <v>1-10.9267825780396i</v>
      </c>
      <c r="X426" s="160">
        <f t="shared" si="257"/>
        <v>10.972446286391641</v>
      </c>
      <c r="Y426" s="160">
        <f t="shared" si="258"/>
        <v>-1.4795323086509964</v>
      </c>
      <c r="Z426" s="98" t="str">
        <f t="shared" si="248"/>
        <v>-4.78175908298373+4.31586271277233i</v>
      </c>
      <c r="AA426" s="160">
        <f t="shared" si="259"/>
        <v>6.4414199430867685</v>
      </c>
      <c r="AB426" s="160">
        <f t="shared" si="260"/>
        <v>2.4073605797825786</v>
      </c>
      <c r="AC426" s="171" t="str">
        <f t="shared" si="261"/>
        <v>0.0519307297028838+0.0580108880923669i</v>
      </c>
      <c r="AD426" s="190">
        <f t="shared" si="262"/>
        <v>-22.173794954533722</v>
      </c>
      <c r="AE426" s="169">
        <f t="shared" si="263"/>
        <v>48.165433742228146</v>
      </c>
      <c r="AF426" s="98" t="str">
        <f t="shared" si="249"/>
        <v>-9.95024875621891E-06</v>
      </c>
      <c r="AG426" s="98" t="str">
        <f t="shared" si="250"/>
        <v>0.756160428116365i</v>
      </c>
      <c r="AH426" s="98">
        <f t="shared" si="264"/>
        <v>0.75616042811636497</v>
      </c>
      <c r="AI426" s="98">
        <f t="shared" si="265"/>
        <v>1.5707963267948966</v>
      </c>
      <c r="AJ426" s="98" t="str">
        <f t="shared" si="251"/>
        <v>1+7.5465037272055i</v>
      </c>
      <c r="AK426" s="98">
        <f t="shared" si="266"/>
        <v>7.6124712482036019</v>
      </c>
      <c r="AL426" s="98">
        <f t="shared" si="267"/>
        <v>1.4390521678271861</v>
      </c>
      <c r="AM426" s="98" t="str">
        <f t="shared" si="252"/>
        <v>1+7554.05023093271i</v>
      </c>
      <c r="AN426" s="98">
        <f t="shared" si="268"/>
        <v>7554.0502971223668</v>
      </c>
      <c r="AO426" s="98">
        <f t="shared" si="269"/>
        <v>1.5706639474800141</v>
      </c>
      <c r="AP426" s="168" t="str">
        <f t="shared" si="270"/>
        <v>-0.00171361972515733+0.01294499655521i</v>
      </c>
      <c r="AQ426" s="98">
        <f t="shared" si="271"/>
        <v>-37.682516015463975</v>
      </c>
      <c r="AR426" s="169">
        <f t="shared" si="272"/>
        <v>97.54079950831273</v>
      </c>
      <c r="AS426" s="168" t="str">
        <f t="shared" si="273"/>
        <v>-0.000839940269281038+0.000572834515004398i</v>
      </c>
      <c r="AT426" s="190">
        <f t="shared" si="274"/>
        <v>-59.856310969997693</v>
      </c>
      <c r="AU426" s="169">
        <f t="shared" si="275"/>
        <v>145.70623325054089</v>
      </c>
      <c r="AV426" s="225"/>
      <c r="AX426">
        <f t="shared" si="276"/>
        <v>0</v>
      </c>
      <c r="AY426">
        <f t="shared" si="277"/>
        <v>0</v>
      </c>
    </row>
    <row r="427" spans="14:51" x14ac:dyDescent="0.3">
      <c r="N427" s="170">
        <v>9</v>
      </c>
      <c r="O427" s="199">
        <f t="shared" si="278"/>
        <v>123026.87708123829</v>
      </c>
      <c r="P427" s="189" t="str">
        <f t="shared" si="244"/>
        <v>1078.86904761905</v>
      </c>
      <c r="Q427" s="160" t="str">
        <f t="shared" si="245"/>
        <v>1+24156.270827032i</v>
      </c>
      <c r="R427" s="160">
        <f t="shared" si="253"/>
        <v>24156.270847730557</v>
      </c>
      <c r="S427" s="160">
        <f t="shared" si="254"/>
        <v>1.5707549296766663</v>
      </c>
      <c r="T427" s="160" t="str">
        <f t="shared" si="246"/>
        <v>1+0.0154600133293005i</v>
      </c>
      <c r="U427" s="160">
        <f t="shared" si="255"/>
        <v>1.0001194988660815</v>
      </c>
      <c r="V427" s="160">
        <f t="shared" si="256"/>
        <v>1.5458781796275195E-2</v>
      </c>
      <c r="W427" s="98" t="str">
        <f t="shared" si="247"/>
        <v>1-11.1813000402833i</v>
      </c>
      <c r="X427" s="160">
        <f t="shared" si="257"/>
        <v>11.225928495712029</v>
      </c>
      <c r="Y427" s="160">
        <f t="shared" si="258"/>
        <v>-1.4815986028583792</v>
      </c>
      <c r="Z427" s="98" t="str">
        <f t="shared" si="248"/>
        <v>-5.05424499374485+4.41639206962573i</v>
      </c>
      <c r="AA427" s="160">
        <f t="shared" si="259"/>
        <v>6.7119230753523924</v>
      </c>
      <c r="AB427" s="160">
        <f t="shared" si="260"/>
        <v>2.4234435127459801</v>
      </c>
      <c r="AC427" s="171" t="str">
        <f t="shared" si="261"/>
        <v>0.0508115377895839+0.0547671923506907i</v>
      </c>
      <c r="AD427" s="190">
        <f t="shared" si="262"/>
        <v>-22.532679222319167</v>
      </c>
      <c r="AE427" s="169">
        <f t="shared" si="263"/>
        <v>47.145662788530807</v>
      </c>
      <c r="AF427" s="98" t="str">
        <f t="shared" si="249"/>
        <v>-9.95024875621891E-06</v>
      </c>
      <c r="AG427" s="98" t="str">
        <f t="shared" si="250"/>
        <v>0.773773667131491i</v>
      </c>
      <c r="AH427" s="98">
        <f t="shared" si="264"/>
        <v>0.77377366713149098</v>
      </c>
      <c r="AI427" s="98">
        <f t="shared" si="265"/>
        <v>1.5707963267948966</v>
      </c>
      <c r="AJ427" s="98" t="str">
        <f t="shared" si="251"/>
        <v>1+7.72228438026998i</v>
      </c>
      <c r="AK427" s="98">
        <f t="shared" si="266"/>
        <v>7.7867628736055474</v>
      </c>
      <c r="AL427" s="98">
        <f t="shared" si="267"/>
        <v>1.4420176075126174</v>
      </c>
      <c r="AM427" s="98" t="str">
        <f t="shared" si="252"/>
        <v>1+7730.00666465025i</v>
      </c>
      <c r="AN427" s="98">
        <f t="shared" si="268"/>
        <v>7730.0067293332468</v>
      </c>
      <c r="AO427" s="98">
        <f t="shared" si="269"/>
        <v>1.5706669608010748</v>
      </c>
      <c r="AP427" s="168" t="str">
        <f t="shared" si="270"/>
        <v>-0.00163776612546988+0.0126601551481355i</v>
      </c>
      <c r="AQ427" s="98">
        <f t="shared" si="271"/>
        <v>-37.879141702933232</v>
      </c>
      <c r="AR427" s="169">
        <f t="shared" si="272"/>
        <v>97.371064980516081</v>
      </c>
      <c r="AS427" s="168" t="str">
        <f t="shared" si="273"/>
        <v>-0.000776578567562337+0.000553586099312428i</v>
      </c>
      <c r="AT427" s="190">
        <f t="shared" si="274"/>
        <v>-60.4118209252524</v>
      </c>
      <c r="AU427" s="169">
        <f t="shared" si="275"/>
        <v>144.51672776904684</v>
      </c>
      <c r="AV427" s="225"/>
      <c r="AX427">
        <f t="shared" si="276"/>
        <v>0</v>
      </c>
      <c r="AY427">
        <f t="shared" si="277"/>
        <v>0</v>
      </c>
    </row>
    <row r="428" spans="14:51" x14ac:dyDescent="0.3">
      <c r="N428" s="170">
        <v>10</v>
      </c>
      <c r="O428" s="199">
        <f t="shared" si="278"/>
        <v>125892.54117941685</v>
      </c>
      <c r="P428" s="189" t="str">
        <f t="shared" si="244"/>
        <v>1078.86904761905</v>
      </c>
      <c r="Q428" s="160" t="str">
        <f t="shared" si="245"/>
        <v>1+24718.9426569379i</v>
      </c>
      <c r="R428" s="160">
        <f t="shared" si="253"/>
        <v>24718.942677165302</v>
      </c>
      <c r="S428" s="160">
        <f t="shared" si="254"/>
        <v>1.5707558719901207</v>
      </c>
      <c r="T428" s="160" t="str">
        <f t="shared" si="246"/>
        <v>1+0.0158201233004403i</v>
      </c>
      <c r="U428" s="160">
        <f t="shared" si="255"/>
        <v>1.0001251303218219</v>
      </c>
      <c r="V428" s="160">
        <f t="shared" si="256"/>
        <v>1.5818803697945499E-2</v>
      </c>
      <c r="W428" s="98" t="str">
        <f t="shared" si="247"/>
        <v>1-11.4417459758104i</v>
      </c>
      <c r="X428" s="160">
        <f t="shared" si="257"/>
        <v>11.485362465981362</v>
      </c>
      <c r="Y428" s="160">
        <f t="shared" si="258"/>
        <v>-1.4836186006860306</v>
      </c>
      <c r="Z428" s="98" t="str">
        <f t="shared" si="248"/>
        <v>-5.33957276984448+4.51926305601231i</v>
      </c>
      <c r="AA428" s="160">
        <f t="shared" si="259"/>
        <v>6.9953395867464767</v>
      </c>
      <c r="AB428" s="160">
        <f t="shared" si="260"/>
        <v>2.4392088042233477</v>
      </c>
      <c r="AC428" s="171" t="str">
        <f t="shared" si="261"/>
        <v>0.0496525857475028+0.0516818428177338i</v>
      </c>
      <c r="AD428" s="190">
        <f t="shared" si="262"/>
        <v>-22.893418265656578</v>
      </c>
      <c r="AE428" s="169">
        <f t="shared" si="263"/>
        <v>46.147214518848152</v>
      </c>
      <c r="AF428" s="98" t="str">
        <f t="shared" si="249"/>
        <v>-9.95024875621891E-06</v>
      </c>
      <c r="AG428" s="98" t="str">
        <f t="shared" si="250"/>
        <v>0.791797171187035i</v>
      </c>
      <c r="AH428" s="98">
        <f t="shared" si="264"/>
        <v>0.79179717118703496</v>
      </c>
      <c r="AI428" s="98">
        <f t="shared" si="265"/>
        <v>1.5707963267948966</v>
      </c>
      <c r="AJ428" s="98" t="str">
        <f t="shared" si="251"/>
        <v>1+7.9021594907294i</v>
      </c>
      <c r="AK428" s="98">
        <f t="shared" si="266"/>
        <v>7.9651820203260106</v>
      </c>
      <c r="AL428" s="98">
        <f t="shared" si="267"/>
        <v>1.4449177479454069</v>
      </c>
      <c r="AM428" s="98" t="str">
        <f t="shared" si="252"/>
        <v>1+7910.06165022013i</v>
      </c>
      <c r="AN428" s="98">
        <f t="shared" si="268"/>
        <v>7910.0617134307631</v>
      </c>
      <c r="AO428" s="98">
        <f t="shared" si="269"/>
        <v>1.5706699055305764</v>
      </c>
      <c r="AP428" s="168" t="str">
        <f t="shared" si="270"/>
        <v>-0.00156521634267333+0.0123811558409849i</v>
      </c>
      <c r="AQ428" s="98">
        <f t="shared" si="271"/>
        <v>-38.075916810252323</v>
      </c>
      <c r="AR428" s="169">
        <f t="shared" si="272"/>
        <v>97.20506789429416</v>
      </c>
      <c r="AS428" s="168" t="str">
        <f t="shared" si="273"/>
        <v>-0.000717597988743629+0.000533863137049907i</v>
      </c>
      <c r="AT428" s="190">
        <f t="shared" si="274"/>
        <v>-60.969335075908901</v>
      </c>
      <c r="AU428" s="169">
        <f t="shared" si="275"/>
        <v>143.35228241314229</v>
      </c>
      <c r="AV428" s="225"/>
      <c r="AX428">
        <f t="shared" si="276"/>
        <v>0</v>
      </c>
      <c r="AY428">
        <f t="shared" si="277"/>
        <v>0</v>
      </c>
    </row>
    <row r="429" spans="14:51" x14ac:dyDescent="0.3">
      <c r="N429" s="170">
        <v>11</v>
      </c>
      <c r="O429" s="199">
        <f t="shared" si="278"/>
        <v>128824.95516931375</v>
      </c>
      <c r="P429" s="189" t="str">
        <f t="shared" si="244"/>
        <v>1078.86904761905</v>
      </c>
      <c r="Q429" s="160" t="str">
        <f t="shared" si="245"/>
        <v>1+25294.7207974344i</v>
      </c>
      <c r="R429" s="160">
        <f t="shared" si="253"/>
        <v>25294.720817201367</v>
      </c>
      <c r="S429" s="160">
        <f t="shared" si="254"/>
        <v>1.5707567928539021</v>
      </c>
      <c r="T429" s="160" t="str">
        <f t="shared" si="246"/>
        <v>1+0.016188621310358i</v>
      </c>
      <c r="U429" s="160">
        <f t="shared" si="255"/>
        <v>1.0001310271459085</v>
      </c>
      <c r="V429" s="160">
        <f t="shared" si="256"/>
        <v>1.6187207340814292E-2</v>
      </c>
      <c r="W429" s="98" t="str">
        <f t="shared" si="247"/>
        <v>1-11.7082584765033i</v>
      </c>
      <c r="X429" s="160">
        <f t="shared" si="257"/>
        <v>11.75088577736212</v>
      </c>
      <c r="Y429" s="160">
        <f t="shared" si="258"/>
        <v>-1.4855933071879492</v>
      </c>
      <c r="Z429" s="98" t="str">
        <f t="shared" si="248"/>
        <v>-5.63834762975028+4.62453021549071i</v>
      </c>
      <c r="AA429" s="160">
        <f t="shared" si="259"/>
        <v>7.2922728766754981</v>
      </c>
      <c r="AB429" s="160">
        <f t="shared" si="260"/>
        <v>2.4546599342784665</v>
      </c>
      <c r="AC429" s="171" t="str">
        <f t="shared" si="261"/>
        <v>0.0484615420105618+0.0487497077958226i</v>
      </c>
      <c r="AD429" s="190">
        <f t="shared" si="262"/>
        <v>-23.2559312600184</v>
      </c>
      <c r="AE429" s="169">
        <f t="shared" si="263"/>
        <v>45.169842841930581</v>
      </c>
      <c r="AF429" s="98" t="str">
        <f t="shared" si="249"/>
        <v>-9.95024875621891E-06</v>
      </c>
      <c r="AG429" s="98" t="str">
        <f t="shared" si="250"/>
        <v>0.810240496583419i</v>
      </c>
      <c r="AH429" s="98">
        <f t="shared" si="264"/>
        <v>0.81024049658341901</v>
      </c>
      <c r="AI429" s="98">
        <f t="shared" si="265"/>
        <v>1.5707963267948966</v>
      </c>
      <c r="AJ429" s="98" t="str">
        <f t="shared" si="251"/>
        <v>1+8.08622443074826i</v>
      </c>
      <c r="AK429" s="98">
        <f t="shared" si="266"/>
        <v>8.1478233623729253</v>
      </c>
      <c r="AL429" s="98">
        <f t="shared" si="267"/>
        <v>1.4477539315741594</v>
      </c>
      <c r="AM429" s="98" t="str">
        <f t="shared" si="252"/>
        <v>1+8094.31065517901i</v>
      </c>
      <c r="AN429" s="98">
        <f t="shared" si="268"/>
        <v>8094.310716950793</v>
      </c>
      <c r="AO429" s="98">
        <f t="shared" si="269"/>
        <v>1.5706727832298528</v>
      </c>
      <c r="AP429" s="168" t="str">
        <f t="shared" si="270"/>
        <v>-0.00149583114897285+0.0121079069925936i</v>
      </c>
      <c r="AQ429" s="98">
        <f t="shared" si="271"/>
        <v>-38.272834824604203</v>
      </c>
      <c r="AR429" s="169">
        <f t="shared" si="272"/>
        <v>97.042731422465934</v>
      </c>
      <c r="AS429" s="168" t="str">
        <f t="shared" si="273"/>
        <v>-0.00066274721197459+0.000513846511957234i</v>
      </c>
      <c r="AT429" s="190">
        <f t="shared" si="274"/>
        <v>-61.528766084622603</v>
      </c>
      <c r="AU429" s="169">
        <f t="shared" si="275"/>
        <v>142.21257426439652</v>
      </c>
      <c r="AV429" s="225"/>
      <c r="AX429">
        <f t="shared" si="276"/>
        <v>0</v>
      </c>
      <c r="AY429">
        <f t="shared" si="277"/>
        <v>0</v>
      </c>
    </row>
    <row r="430" spans="14:51" x14ac:dyDescent="0.3">
      <c r="N430" s="170">
        <v>12</v>
      </c>
      <c r="O430" s="199">
        <f t="shared" si="278"/>
        <v>131825.67385564081</v>
      </c>
      <c r="P430" s="189" t="str">
        <f t="shared" si="244"/>
        <v>1078.86904761905</v>
      </c>
      <c r="Q430" s="160" t="str">
        <f t="shared" si="245"/>
        <v>1+25883.9105337128i</v>
      </c>
      <c r="R430" s="160">
        <f t="shared" si="253"/>
        <v>25883.910553029815</v>
      </c>
      <c r="S430" s="160">
        <f t="shared" si="254"/>
        <v>1.5707576927562648</v>
      </c>
      <c r="T430" s="160" t="str">
        <f t="shared" si="246"/>
        <v>1+0.0165657027415762i</v>
      </c>
      <c r="U430" s="160">
        <f t="shared" si="255"/>
        <v>1.0001372018414885</v>
      </c>
      <c r="V430" s="160">
        <f t="shared" si="256"/>
        <v>1.6564187657138376E-2</v>
      </c>
      <c r="W430" s="98" t="str">
        <f t="shared" si="247"/>
        <v>1-11.9809788508176i</v>
      </c>
      <c r="X430" s="160">
        <f t="shared" si="257"/>
        <v>12.022639237028558</v>
      </c>
      <c r="Y430" s="160">
        <f t="shared" si="258"/>
        <v>-1.4875237077430694</v>
      </c>
      <c r="Z430" s="98" t="str">
        <f t="shared" si="248"/>
        <v>-5.95120331499752+4.73224936210224i</v>
      </c>
      <c r="AA430" s="160">
        <f t="shared" si="259"/>
        <v>7.6033548464841845</v>
      </c>
      <c r="AB430" s="160">
        <f t="shared" si="260"/>
        <v>2.4698005866251611</v>
      </c>
      <c r="AC430" s="171" t="str">
        <f t="shared" si="261"/>
        <v>0.0472454503089501+0.0459655221043071i</v>
      </c>
      <c r="AD430" s="190">
        <f t="shared" si="262"/>
        <v>-23.620140377034119</v>
      </c>
      <c r="AE430" s="169">
        <f t="shared" si="263"/>
        <v>44.21329137928965</v>
      </c>
      <c r="AF430" s="98" t="str">
        <f t="shared" si="249"/>
        <v>-9.95024875621891E-06</v>
      </c>
      <c r="AG430" s="98" t="str">
        <f t="shared" si="250"/>
        <v>0.829113422215889i</v>
      </c>
      <c r="AH430" s="98">
        <f t="shared" si="264"/>
        <v>0.82911342221588902</v>
      </c>
      <c r="AI430" s="98">
        <f t="shared" si="265"/>
        <v>1.5707963267948966</v>
      </c>
      <c r="AJ430" s="98" t="str">
        <f t="shared" si="251"/>
        <v>1+8.27457679399411i</v>
      </c>
      <c r="AK430" s="98">
        <f t="shared" si="266"/>
        <v>8.3347838076164766</v>
      </c>
      <c r="AL430" s="98">
        <f t="shared" si="267"/>
        <v>1.4505274795707961</v>
      </c>
      <c r="AM430" s="98" t="str">
        <f t="shared" si="252"/>
        <v>1+8282.8513707881i</v>
      </c>
      <c r="AN430" s="98">
        <f t="shared" si="268"/>
        <v>8282.8514311537856</v>
      </c>
      <c r="AO430" s="98">
        <f t="shared" si="269"/>
        <v>1.5706755954246987</v>
      </c>
      <c r="AP430" s="168" t="str">
        <f t="shared" si="270"/>
        <v>-0.00142947677809666+0.0118403164462412i</v>
      </c>
      <c r="AQ430" s="98">
        <f t="shared" si="271"/>
        <v>-38.469889508048816</v>
      </c>
      <c r="AR430" s="169">
        <f t="shared" si="272"/>
        <v>96.883979954877532</v>
      </c>
      <c r="AS430" s="168" t="str">
        <f t="shared" si="273"/>
        <v>-0.000611782601419055+0.000493694435861938i</v>
      </c>
      <c r="AT430" s="190">
        <f t="shared" si="274"/>
        <v>-62.09002988508292</v>
      </c>
      <c r="AU430" s="169">
        <f t="shared" si="275"/>
        <v>141.09727133416717</v>
      </c>
      <c r="AV430" s="225"/>
      <c r="AX430">
        <f t="shared" si="276"/>
        <v>0</v>
      </c>
      <c r="AY430">
        <f t="shared" si="277"/>
        <v>0</v>
      </c>
    </row>
    <row r="431" spans="14:51" x14ac:dyDescent="0.3">
      <c r="N431" s="170">
        <v>13</v>
      </c>
      <c r="O431" s="199">
        <f t="shared" si="278"/>
        <v>134896.28825916545</v>
      </c>
      <c r="P431" s="189" t="str">
        <f t="shared" si="244"/>
        <v>1078.86904761905</v>
      </c>
      <c r="Q431" s="160" t="str">
        <f t="shared" si="245"/>
        <v>1+26486.8242619703i</v>
      </c>
      <c r="R431" s="160">
        <f t="shared" si="253"/>
        <v>26486.82428084761</v>
      </c>
      <c r="S431" s="160">
        <f t="shared" si="254"/>
        <v>1.5707585721743489</v>
      </c>
      <c r="T431" s="160" t="str">
        <f t="shared" si="246"/>
        <v>1+0.016951567527661i</v>
      </c>
      <c r="U431" s="160">
        <f t="shared" si="255"/>
        <v>1.0001436675006472</v>
      </c>
      <c r="V431" s="160">
        <f t="shared" si="256"/>
        <v>1.6949944098031539E-2</v>
      </c>
      <c r="W431" s="98" t="str">
        <f t="shared" si="247"/>
        <v>1-12.2600516987055i</v>
      </c>
      <c r="X431" s="160">
        <f t="shared" si="257"/>
        <v>12.300766953931433</v>
      </c>
      <c r="Y431" s="160">
        <f t="shared" si="258"/>
        <v>-1.4894107682950555</v>
      </c>
      <c r="Z431" s="98" t="str">
        <f t="shared" si="248"/>
        <v>-6.27880343443995+4.84247760996429i</v>
      </c>
      <c r="AA431" s="160">
        <f t="shared" si="259"/>
        <v>7.9292472512427281</v>
      </c>
      <c r="AB431" s="160">
        <f t="shared" si="260"/>
        <v>2.4846346245673718</v>
      </c>
      <c r="AC431" s="171" t="str">
        <f t="shared" si="261"/>
        <v>0.0460107565414848+0.0433239317488485i</v>
      </c>
      <c r="AD431" s="190">
        <f t="shared" si="262"/>
        <v>-23.98597074076616</v>
      </c>
      <c r="AE431" s="169">
        <f t="shared" si="263"/>
        <v>43.277294835788219</v>
      </c>
      <c r="AF431" s="98" t="str">
        <f t="shared" si="249"/>
        <v>-9.95024875621891E-06</v>
      </c>
      <c r="AG431" s="98" t="str">
        <f t="shared" si="250"/>
        <v>0.848425954759434i</v>
      </c>
      <c r="AH431" s="98">
        <f t="shared" si="264"/>
        <v>0.84842595475943405</v>
      </c>
      <c r="AI431" s="98">
        <f t="shared" si="265"/>
        <v>1.5707963267948966</v>
      </c>
      <c r="AJ431" s="98" t="str">
        <f t="shared" si="251"/>
        <v>1+8.46731644738312i</v>
      </c>
      <c r="AK431" s="98">
        <f t="shared" si="266"/>
        <v>8.5261625494782063</v>
      </c>
      <c r="AL431" s="98">
        <f t="shared" si="267"/>
        <v>1.4532396917300259</v>
      </c>
      <c r="AM431" s="98" t="str">
        <f t="shared" si="252"/>
        <v>1+8475.7837638305i</v>
      </c>
      <c r="AN431" s="98">
        <f t="shared" si="268"/>
        <v>8475.7838228220935</v>
      </c>
      <c r="AO431" s="98">
        <f t="shared" si="269"/>
        <v>1.5706783436061764</v>
      </c>
      <c r="AP431" s="168" t="str">
        <f t="shared" si="270"/>
        <v>-0.00136602474673144+0.0115782916984612i</v>
      </c>
      <c r="AQ431" s="98">
        <f t="shared" si="271"/>
        <v>-38.667074886704611</v>
      </c>
      <c r="AR431" s="169">
        <f t="shared" si="272"/>
        <v>96.728739104209552</v>
      </c>
      <c r="AS431" s="168" t="str">
        <f t="shared" si="273"/>
        <v>-0.000564468951363896+0.000473544397609562i</v>
      </c>
      <c r="AT431" s="190">
        <f t="shared" si="274"/>
        <v>-62.653045627470767</v>
      </c>
      <c r="AU431" s="169">
        <f t="shared" si="275"/>
        <v>140.00603393999779</v>
      </c>
      <c r="AV431" s="225"/>
      <c r="AX431">
        <f t="shared" si="276"/>
        <v>0</v>
      </c>
      <c r="AY431">
        <f t="shared" si="277"/>
        <v>0</v>
      </c>
    </row>
    <row r="432" spans="14:51" x14ac:dyDescent="0.3">
      <c r="N432" s="170">
        <v>14</v>
      </c>
      <c r="O432" s="199">
        <f t="shared" si="278"/>
        <v>138038.42646028858</v>
      </c>
      <c r="P432" s="189" t="str">
        <f t="shared" si="244"/>
        <v>1078.86904761905</v>
      </c>
      <c r="Q432" s="160" t="str">
        <f t="shared" si="245"/>
        <v>1+27103.7816550461i</v>
      </c>
      <c r="R432" s="160">
        <f t="shared" si="253"/>
        <v>27103.781673493711</v>
      </c>
      <c r="S432" s="160">
        <f t="shared" si="254"/>
        <v>1.5707594315744335</v>
      </c>
      <c r="T432" s="160" t="str">
        <f t="shared" si="246"/>
        <v>1+0.0173464202592295i</v>
      </c>
      <c r="U432" s="160">
        <f t="shared" si="255"/>
        <v>1.0001504378321342</v>
      </c>
      <c r="V432" s="160">
        <f t="shared" si="256"/>
        <v>1.7344680737172102E-2</v>
      </c>
      <c r="W432" s="98" t="str">
        <f t="shared" si="247"/>
        <v>1-12.5456249882851i</v>
      </c>
      <c r="X432" s="160">
        <f t="shared" si="257"/>
        <v>12.585416415307185</v>
      </c>
      <c r="Y432" s="160">
        <f t="shared" si="258"/>
        <v>-1.4912554355999217</v>
      </c>
      <c r="Z432" s="98" t="str">
        <f t="shared" si="248"/>
        <v>-6.62184287185301+4.95527340355291i</v>
      </c>
      <c r="AA432" s="160">
        <f t="shared" si="259"/>
        <v>8.2706431142607855</v>
      </c>
      <c r="AB432" s="160">
        <f t="shared" si="260"/>
        <v>2.4991660684891479</v>
      </c>
      <c r="AC432" s="171" t="str">
        <f t="shared" si="261"/>
        <v>0.044763337045988+0.0408195338779413i</v>
      </c>
      <c r="AD432" s="190">
        <f t="shared" si="262"/>
        <v>-24.353350375194857</v>
      </c>
      <c r="AE432" s="169">
        <f t="shared" si="263"/>
        <v>42.3615802811089</v>
      </c>
      <c r="AF432" s="98" t="str">
        <f t="shared" si="249"/>
        <v>-9.95024875621891E-06</v>
      </c>
      <c r="AG432" s="98" t="str">
        <f t="shared" si="250"/>
        <v>0.868188333974437i</v>
      </c>
      <c r="AH432" s="98">
        <f t="shared" si="264"/>
        <v>0.86818833397443695</v>
      </c>
      <c r="AI432" s="98">
        <f t="shared" si="265"/>
        <v>1.5707963267948966</v>
      </c>
      <c r="AJ432" s="98" t="str">
        <f t="shared" si="251"/>
        <v>1+8.66454558403072i</v>
      </c>
      <c r="AK432" s="98">
        <f t="shared" si="266"/>
        <v>8.7220611198125777</v>
      </c>
      <c r="AL432" s="98">
        <f t="shared" si="267"/>
        <v>1.4558918464064972</v>
      </c>
      <c r="AM432" s="98" t="str">
        <f t="shared" si="252"/>
        <v>1+8673.21012961475i</v>
      </c>
      <c r="AN432" s="98">
        <f t="shared" si="268"/>
        <v>8673.2101872635321</v>
      </c>
      <c r="AO432" s="98">
        <f t="shared" si="269"/>
        <v>1.570681029231408</v>
      </c>
      <c r="AP432" s="168" t="str">
        <f t="shared" si="270"/>
        <v>-0.0013053516785223+0.0113217400552418i</v>
      </c>
      <c r="AQ432" s="98">
        <f t="shared" si="271"/>
        <v>-38.864385240285927</v>
      </c>
      <c r="AR432" s="169">
        <f t="shared" si="272"/>
        <v>96.576935709622987</v>
      </c>
      <c r="AS432" s="168" t="str">
        <f t="shared" si="273"/>
        <v>-0.000520580048891427+0.000453515018975783i</v>
      </c>
      <c r="AT432" s="190">
        <f t="shared" si="274"/>
        <v>-63.217735615480784</v>
      </c>
      <c r="AU432" s="169">
        <f t="shared" si="275"/>
        <v>138.93851599073184</v>
      </c>
      <c r="AV432" s="225"/>
      <c r="AX432">
        <f t="shared" si="276"/>
        <v>0</v>
      </c>
      <c r="AY432">
        <f t="shared" si="277"/>
        <v>0</v>
      </c>
    </row>
    <row r="433" spans="14:51" x14ac:dyDescent="0.3">
      <c r="N433" s="170">
        <v>15</v>
      </c>
      <c r="O433" s="199">
        <f t="shared" si="278"/>
        <v>141253.75446227577</v>
      </c>
      <c r="P433" s="189" t="str">
        <f t="shared" si="244"/>
        <v>1078.86904761905</v>
      </c>
      <c r="Q433" s="160" t="str">
        <f t="shared" si="245"/>
        <v>1+27735.1098319164i</v>
      </c>
      <c r="R433" s="160">
        <f t="shared" si="253"/>
        <v>27735.109849944089</v>
      </c>
      <c r="S433" s="160">
        <f t="shared" si="254"/>
        <v>1.570760271412184</v>
      </c>
      <c r="T433" s="160" t="str">
        <f t="shared" si="246"/>
        <v>1+0.0177504702924265i</v>
      </c>
      <c r="U433" s="160">
        <f t="shared" si="255"/>
        <v>1.0001575271903933</v>
      </c>
      <c r="V433" s="160">
        <f t="shared" si="256"/>
        <v>1.7748606376815333E-2</v>
      </c>
      <c r="W433" s="98" t="str">
        <f t="shared" si="247"/>
        <v>1-12.8378501342945i</v>
      </c>
      <c r="X433" s="160">
        <f t="shared" si="257"/>
        <v>12.876738564970761</v>
      </c>
      <c r="Y433" s="160">
        <f t="shared" si="258"/>
        <v>-1.4930586374804617</v>
      </c>
      <c r="Z433" s="98" t="str">
        <f t="shared" si="248"/>
        <v>-6.98104925987557+5.07069654869091i</v>
      </c>
      <c r="AA433" s="160">
        <f t="shared" si="259"/>
        <v>8.6282682073354184</v>
      </c>
      <c r="AB433" s="160">
        <f t="shared" si="260"/>
        <v>2.513399074861006</v>
      </c>
      <c r="AC433" s="171" t="str">
        <f t="shared" si="261"/>
        <v>0.0435085277916261+0.0384469122591668i</v>
      </c>
      <c r="AD433" s="190">
        <f t="shared" si="262"/>
        <v>-24.722210144321238</v>
      </c>
      <c r="AE433" s="169">
        <f t="shared" si="263"/>
        <v>41.465868344083823</v>
      </c>
      <c r="AF433" s="98" t="str">
        <f t="shared" si="249"/>
        <v>-9.95024875621891E-06</v>
      </c>
      <c r="AG433" s="98" t="str">
        <f t="shared" si="250"/>
        <v>0.888411038135946i</v>
      </c>
      <c r="AH433" s="98">
        <f t="shared" si="264"/>
        <v>0.88841103813594602</v>
      </c>
      <c r="AI433" s="98">
        <f t="shared" si="265"/>
        <v>1.5707963267948966</v>
      </c>
      <c r="AJ433" s="98" t="str">
        <f t="shared" si="251"/>
        <v>1+8.8663687774358i</v>
      </c>
      <c r="AK433" s="98">
        <f t="shared" si="266"/>
        <v>8.9225834430106836</v>
      </c>
      <c r="AL433" s="98">
        <f t="shared" si="267"/>
        <v>1.4584852004867945</v>
      </c>
      <c r="AM433" s="98" t="str">
        <f t="shared" si="252"/>
        <v>1+8875.23514621324i</v>
      </c>
      <c r="AN433" s="98">
        <f t="shared" si="268"/>
        <v>8875.2352025497748</v>
      </c>
      <c r="AO433" s="98">
        <f t="shared" si="269"/>
        <v>1.5706836537243476</v>
      </c>
      <c r="AP433" s="168" t="str">
        <f t="shared" si="270"/>
        <v>-0.00124733913094855+0.0110705687763136i</v>
      </c>
      <c r="AQ433" s="98">
        <f t="shared" si="271"/>
        <v>-39.061815091992166</v>
      </c>
      <c r="AR433" s="169">
        <f t="shared" si="272"/>
        <v>96.42849783840775</v>
      </c>
      <c r="AS433" s="168" t="str">
        <f t="shared" si="273"/>
        <v>-0.000479899075646458+0.000433707811148344i</v>
      </c>
      <c r="AT433" s="190">
        <f t="shared" si="274"/>
        <v>-63.784025236313404</v>
      </c>
      <c r="AU433" s="169">
        <f t="shared" si="275"/>
        <v>137.89436618249158</v>
      </c>
      <c r="AV433" s="225"/>
      <c r="AX433">
        <f t="shared" si="276"/>
        <v>0</v>
      </c>
      <c r="AY433">
        <f t="shared" si="277"/>
        <v>0</v>
      </c>
    </row>
    <row r="434" spans="14:51" x14ac:dyDescent="0.3">
      <c r="N434" s="170">
        <v>16</v>
      </c>
      <c r="O434" s="199">
        <f t="shared" si="278"/>
        <v>144543.97707459307</v>
      </c>
      <c r="P434" s="189" t="str">
        <f t="shared" si="244"/>
        <v>1078.86904761905</v>
      </c>
      <c r="Q434" s="160" t="str">
        <f t="shared" si="245"/>
        <v>1+28381.1435311371i</v>
      </c>
      <c r="R434" s="160">
        <f t="shared" si="253"/>
        <v>28381.143548754426</v>
      </c>
      <c r="S434" s="160">
        <f t="shared" si="254"/>
        <v>1.5707610921328934</v>
      </c>
      <c r="T434" s="160" t="str">
        <f t="shared" si="246"/>
        <v>1+0.0181639318599277i</v>
      </c>
      <c r="U434" s="160">
        <f t="shared" si="255"/>
        <v>1.0001649506059549</v>
      </c>
      <c r="V434" s="160">
        <f t="shared" si="256"/>
        <v>1.8161934656156481E-2</v>
      </c>
      <c r="W434" s="98" t="str">
        <f t="shared" si="247"/>
        <v>1-13.1368820783741i</v>
      </c>
      <c r="X434" s="160">
        <f t="shared" si="257"/>
        <v>13.174887883435918</v>
      </c>
      <c r="Y434" s="160">
        <f t="shared" si="258"/>
        <v>-1.494821283086575</v>
      </c>
      <c r="Z434" s="98" t="str">
        <f t="shared" si="248"/>
        <v>-7.35718452341621+5.18880824425761i</v>
      </c>
      <c r="AA434" s="160">
        <f t="shared" si="259"/>
        <v>9.0028825998827031</v>
      </c>
      <c r="AB434" s="160">
        <f t="shared" si="260"/>
        <v>2.5273379167194818</v>
      </c>
      <c r="AC434" s="171" t="str">
        <f t="shared" si="261"/>
        <v>0.0422511540771327+0.0362006685304803i</v>
      </c>
      <c r="AD434" s="190">
        <f t="shared" si="262"/>
        <v>-25.092483686168002</v>
      </c>
      <c r="AE434" s="169">
        <f t="shared" si="263"/>
        <v>40.589874322411951</v>
      </c>
      <c r="AF434" s="98" t="str">
        <f t="shared" si="249"/>
        <v>-9.95024875621891E-06</v>
      </c>
      <c r="AG434" s="98" t="str">
        <f t="shared" si="250"/>
        <v>0.909104789589383i</v>
      </c>
      <c r="AH434" s="98">
        <f t="shared" si="264"/>
        <v>0.90910478958938301</v>
      </c>
      <c r="AI434" s="98">
        <f t="shared" si="265"/>
        <v>1.5707963267948966</v>
      </c>
      <c r="AJ434" s="98" t="str">
        <f t="shared" si="251"/>
        <v>1+9.07289303692693i</v>
      </c>
      <c r="AK434" s="98">
        <f t="shared" si="266"/>
        <v>9.1278358913554722</v>
      </c>
      <c r="AL434" s="98">
        <f t="shared" si="267"/>
        <v>1.461020989393593</v>
      </c>
      <c r="AM434" s="98" t="str">
        <f t="shared" si="252"/>
        <v>1+9081.96592996386i</v>
      </c>
      <c r="AN434" s="98">
        <f t="shared" si="268"/>
        <v>9081.9659850180196</v>
      </c>
      <c r="AO434" s="98">
        <f t="shared" si="269"/>
        <v>1.5706862184765358</v>
      </c>
      <c r="AP434" s="168" t="str">
        <f t="shared" si="270"/>
        <v>-0.00119187342534163+0.0108246852081962i</v>
      </c>
      <c r="AQ434" s="98">
        <f t="shared" si="271"/>
        <v>-39.259359198742807</v>
      </c>
      <c r="AR434" s="169">
        <f t="shared" si="272"/>
        <v>96.283354785787992</v>
      </c>
      <c r="AS434" s="168" t="str">
        <f t="shared" si="273"/>
        <v>-0.000442218868903253+0.000414208827766876i</v>
      </c>
      <c r="AT434" s="190">
        <f t="shared" si="274"/>
        <v>-64.351842884910809</v>
      </c>
      <c r="AU434" s="169">
        <f t="shared" si="275"/>
        <v>136.87322910819998</v>
      </c>
      <c r="AV434" s="225"/>
      <c r="AX434">
        <f t="shared" si="276"/>
        <v>0</v>
      </c>
      <c r="AY434">
        <f t="shared" si="277"/>
        <v>0</v>
      </c>
    </row>
    <row r="435" spans="14:51" x14ac:dyDescent="0.3">
      <c r="N435" s="170">
        <v>17</v>
      </c>
      <c r="O435" s="199">
        <f t="shared" si="278"/>
        <v>147910.83881682079</v>
      </c>
      <c r="P435" s="189" t="str">
        <f t="shared" si="244"/>
        <v>1078.86904761905</v>
      </c>
      <c r="Q435" s="160" t="str">
        <f t="shared" si="245"/>
        <v>1+29042.2252883268i</v>
      </c>
      <c r="R435" s="160">
        <f t="shared" si="253"/>
        <v>29042.22530554311</v>
      </c>
      <c r="S435" s="160">
        <f t="shared" si="254"/>
        <v>1.5707618941717185</v>
      </c>
      <c r="T435" s="160" t="str">
        <f t="shared" si="246"/>
        <v>1+0.0185870241845291i</v>
      </c>
      <c r="U435" s="160">
        <f t="shared" si="255"/>
        <v>1.0001727238172595</v>
      </c>
      <c r="V435" s="160">
        <f t="shared" si="256"/>
        <v>1.8584884162091444E-2</v>
      </c>
      <c r="W435" s="98" t="str">
        <f t="shared" si="247"/>
        <v>1-13.4428793712188i</v>
      </c>
      <c r="X435" s="160">
        <f t="shared" si="257"/>
        <v>13.480022469904862</v>
      </c>
      <c r="Y435" s="160">
        <f t="shared" si="258"/>
        <v>-1.4965442631606205</v>
      </c>
      <c r="Z435" s="98" t="str">
        <f t="shared" si="248"/>
        <v>-7.75104649579822+5.3096711146374i</v>
      </c>
      <c r="AA435" s="160">
        <f t="shared" si="259"/>
        <v>9.3952822802532463</v>
      </c>
      <c r="AB435" s="160">
        <f t="shared" si="260"/>
        <v>2.5409869655691271</v>
      </c>
      <c r="AC435" s="171" t="str">
        <f t="shared" si="261"/>
        <v>0.040995560375404+0.0340754494966971i</v>
      </c>
      <c r="AD435" s="190">
        <f t="shared" si="262"/>
        <v>-25.464107341840744</v>
      </c>
      <c r="AE435" s="169">
        <f t="shared" si="263"/>
        <v>39.733309210729068</v>
      </c>
      <c r="AF435" s="98" t="str">
        <f t="shared" si="249"/>
        <v>-9.95024875621891E-06</v>
      </c>
      <c r="AG435" s="98" t="str">
        <f t="shared" si="250"/>
        <v>0.930280560435683i</v>
      </c>
      <c r="AH435" s="98">
        <f t="shared" si="264"/>
        <v>0.93028056043568297</v>
      </c>
      <c r="AI435" s="98">
        <f t="shared" si="265"/>
        <v>1.5707963267948966</v>
      </c>
      <c r="AJ435" s="98" t="str">
        <f t="shared" si="251"/>
        <v>1+9.28422786440016i</v>
      </c>
      <c r="AK435" s="98">
        <f t="shared" si="266"/>
        <v>9.3379273416590873</v>
      </c>
      <c r="AL435" s="98">
        <f t="shared" si="267"/>
        <v>1.4635004271194394</v>
      </c>
      <c r="AM435" s="98" t="str">
        <f t="shared" si="252"/>
        <v>1+9293.51209226456i</v>
      </c>
      <c r="AN435" s="98">
        <f t="shared" si="268"/>
        <v>9293.5121460655319</v>
      </c>
      <c r="AO435" s="98">
        <f t="shared" si="269"/>
        <v>1.5706887248478381</v>
      </c>
      <c r="AP435" s="168" t="str">
        <f t="shared" si="270"/>
        <v>-0.00113884548027064+0.0105839969066496i</v>
      </c>
      <c r="AQ435" s="98">
        <f t="shared" si="271"/>
        <v>-39.457012541751205</v>
      </c>
      <c r="AR435" s="169">
        <f t="shared" si="272"/>
        <v>96.141437073028925</v>
      </c>
      <c r="AS435" s="168" t="str">
        <f t="shared" si="273"/>
        <v>-0.000407342060710428+0.000395090212552139i</v>
      </c>
      <c r="AT435" s="190">
        <f t="shared" si="274"/>
        <v>-64.921119883591956</v>
      </c>
      <c r="AU435" s="169">
        <f t="shared" si="275"/>
        <v>135.87474628375801</v>
      </c>
      <c r="AV435" s="225"/>
      <c r="AX435">
        <f t="shared" si="276"/>
        <v>0</v>
      </c>
      <c r="AY435">
        <f t="shared" si="277"/>
        <v>0</v>
      </c>
    </row>
    <row r="436" spans="14:51" x14ac:dyDescent="0.3">
      <c r="N436" s="170">
        <v>18</v>
      </c>
      <c r="O436" s="199">
        <f t="shared" si="278"/>
        <v>151356.12484362084</v>
      </c>
      <c r="P436" s="189" t="str">
        <f t="shared" si="244"/>
        <v>1078.86904761905</v>
      </c>
      <c r="Q436" s="160" t="str">
        <f t="shared" si="245"/>
        <v>1+29718.7056177837i</v>
      </c>
      <c r="R436" s="160">
        <f t="shared" si="253"/>
        <v>29718.705634608123</v>
      </c>
      <c r="S436" s="160">
        <f t="shared" si="254"/>
        <v>1.5707626779539112</v>
      </c>
      <c r="T436" s="160" t="str">
        <f t="shared" si="246"/>
        <v>1+0.0190199715953816i</v>
      </c>
      <c r="U436" s="160">
        <f t="shared" si="255"/>
        <v>1.0001808633039773</v>
      </c>
      <c r="V436" s="160">
        <f t="shared" si="256"/>
        <v>1.9017678542420643E-2</v>
      </c>
      <c r="W436" s="98" t="str">
        <f t="shared" si="247"/>
        <v>1-13.7560042566438i</v>
      </c>
      <c r="X436" s="160">
        <f t="shared" si="257"/>
        <v>13.792304126171318</v>
      </c>
      <c r="Y436" s="160">
        <f t="shared" si="258"/>
        <v>-1.4982284503069991</v>
      </c>
      <c r="Z436" s="98" t="str">
        <f t="shared" si="248"/>
        <v>-8.16347061107111+5.433349242924i</v>
      </c>
      <c r="AA436" s="160">
        <f t="shared" si="259"/>
        <v>9.8063008526867321</v>
      </c>
      <c r="AB436" s="160">
        <f t="shared" si="260"/>
        <v>2.5543506746504336</v>
      </c>
      <c r="AC436" s="171" t="str">
        <f t="shared" si="261"/>
        <v>0.039745640017722+0.0320659707494702i</v>
      </c>
      <c r="AD436" s="190">
        <f t="shared" si="262"/>
        <v>-25.837020080692639</v>
      </c>
      <c r="AE436" s="169">
        <f t="shared" si="263"/>
        <v>38.895880650310026</v>
      </c>
      <c r="AF436" s="98" t="str">
        <f t="shared" si="249"/>
        <v>-9.95024875621891E-06</v>
      </c>
      <c r="AG436" s="98" t="str">
        <f t="shared" si="250"/>
        <v>0.951949578348847i</v>
      </c>
      <c r="AH436" s="98">
        <f t="shared" si="264"/>
        <v>0.95194957834884697</v>
      </c>
      <c r="AI436" s="98">
        <f t="shared" si="265"/>
        <v>1.5707963267948966</v>
      </c>
      <c r="AJ436" s="98" t="str">
        <f t="shared" si="251"/>
        <v>1+9.5004853123784i</v>
      </c>
      <c r="AK436" s="98">
        <f t="shared" si="266"/>
        <v>9.5529692332131848</v>
      </c>
      <c r="AL436" s="98">
        <f t="shared" si="267"/>
        <v>1.465924706287774</v>
      </c>
      <c r="AM436" s="98" t="str">
        <f t="shared" si="252"/>
        <v>1+9509.98579769078i</v>
      </c>
      <c r="AN436" s="98">
        <f t="shared" si="268"/>
        <v>9509.9858502670941</v>
      </c>
      <c r="AO436" s="98">
        <f t="shared" si="269"/>
        <v>1.5706911741671654</v>
      </c>
      <c r="AP436" s="168" t="str">
        <f t="shared" si="270"/>
        <v>-0.00108815064848348+0.0103484117491484i</v>
      </c>
      <c r="AQ436" s="98">
        <f t="shared" si="271"/>
        <v>-39.654770317430923</v>
      </c>
      <c r="AR436" s="169">
        <f t="shared" si="272"/>
        <v>96.002676443981969</v>
      </c>
      <c r="AS436" s="168" t="str">
        <f t="shared" si="273"/>
        <v>-0.000375081112411341+0.000376411641271529i</v>
      </c>
      <c r="AT436" s="190">
        <f t="shared" si="274"/>
        <v>-65.49179039812357</v>
      </c>
      <c r="AU436" s="169">
        <f t="shared" si="275"/>
        <v>134.89855709429193</v>
      </c>
      <c r="AV436" s="225"/>
      <c r="AX436">
        <f t="shared" si="276"/>
        <v>0</v>
      </c>
      <c r="AY436">
        <f t="shared" si="277"/>
        <v>0</v>
      </c>
    </row>
    <row r="437" spans="14:51" x14ac:dyDescent="0.3">
      <c r="N437" s="170">
        <v>19</v>
      </c>
      <c r="O437" s="199">
        <f t="shared" si="278"/>
        <v>154881.66189124843</v>
      </c>
      <c r="P437" s="189" t="str">
        <f t="shared" si="244"/>
        <v>1078.86904761905</v>
      </c>
      <c r="Q437" s="160" t="str">
        <f t="shared" si="245"/>
        <v>1+30410.9431983328i</v>
      </c>
      <c r="R437" s="160">
        <f t="shared" si="253"/>
        <v>30410.943214774245</v>
      </c>
      <c r="S437" s="160">
        <f t="shared" si="254"/>
        <v>1.5707634438950431</v>
      </c>
      <c r="T437" s="160" t="str">
        <f t="shared" si="246"/>
        <v>1+0.019463003646933i</v>
      </c>
      <c r="U437" s="160">
        <f t="shared" si="255"/>
        <v>1.0001893863218909</v>
      </c>
      <c r="V437" s="160">
        <f t="shared" si="256"/>
        <v>1.9460546621544002E-2</v>
      </c>
      <c r="W437" s="98" t="str">
        <f t="shared" si="247"/>
        <v>1-14.0764227576078i</v>
      </c>
      <c r="X437" s="160">
        <f t="shared" si="257"/>
        <v>14.11189844248104</v>
      </c>
      <c r="Y437" s="160">
        <f t="shared" si="258"/>
        <v>-1.4998746992652234</v>
      </c>
      <c r="Z437" s="98" t="str">
        <f t="shared" si="248"/>
        <v>-8.59533167607802+5.55990820489808i</v>
      </c>
      <c r="AA437" s="160">
        <f t="shared" si="259"/>
        <v>10.236811313523521</v>
      </c>
      <c r="AB437" s="160">
        <f t="shared" si="260"/>
        <v>2.5674335635129464</v>
      </c>
      <c r="AC437" s="171" t="str">
        <f t="shared" si="261"/>
        <v>0.038504864459448+0.0301670368915312i</v>
      </c>
      <c r="AD437" s="190">
        <f t="shared" si="262"/>
        <v>-26.211163422525487</v>
      </c>
      <c r="AE437" s="169">
        <f t="shared" si="263"/>
        <v>38.077293803935916</v>
      </c>
      <c r="AF437" s="98" t="str">
        <f t="shared" si="249"/>
        <v>-9.95024875621891E-06</v>
      </c>
      <c r="AG437" s="98" t="str">
        <f t="shared" si="250"/>
        <v>0.974123332528995i</v>
      </c>
      <c r="AH437" s="98">
        <f t="shared" si="264"/>
        <v>0.97412333252899497</v>
      </c>
      <c r="AI437" s="98">
        <f t="shared" si="265"/>
        <v>1.5707963267948966</v>
      </c>
      <c r="AJ437" s="98" t="str">
        <f t="shared" si="251"/>
        <v>1+9.72178004342307i</v>
      </c>
      <c r="AK437" s="98">
        <f t="shared" si="266"/>
        <v>9.7730756270837826</v>
      </c>
      <c r="AL437" s="98">
        <f t="shared" si="267"/>
        <v>1.4682949982389493</v>
      </c>
      <c r="AM437" s="98" t="str">
        <f t="shared" si="252"/>
        <v>1+9731.50182346649i</v>
      </c>
      <c r="AN437" s="98">
        <f t="shared" si="268"/>
        <v>9731.5018748460207</v>
      </c>
      <c r="AO437" s="98">
        <f t="shared" si="269"/>
        <v>1.5706935677331793</v>
      </c>
      <c r="AP437" s="168" t="str">
        <f t="shared" si="270"/>
        <v>-0.00103968855755817+0.010117838037973i</v>
      </c>
      <c r="AQ437" s="98">
        <f t="shared" si="271"/>
        <v>-39.852627928625658</v>
      </c>
      <c r="AR437" s="169">
        <f t="shared" si="272"/>
        <v>95.867005860196457</v>
      </c>
      <c r="AS437" s="168" t="str">
        <f t="shared" si="273"/>
        <v>-0.000345258260342885+0.000358221659203237i</v>
      </c>
      <c r="AT437" s="190">
        <f t="shared" si="274"/>
        <v>-66.063791351151167</v>
      </c>
      <c r="AU437" s="169">
        <f t="shared" si="275"/>
        <v>133.94429966413239</v>
      </c>
      <c r="AV437" s="225"/>
      <c r="AX437">
        <f t="shared" si="276"/>
        <v>0</v>
      </c>
      <c r="AY437">
        <f t="shared" si="277"/>
        <v>0</v>
      </c>
    </row>
    <row r="438" spans="14:51" x14ac:dyDescent="0.3">
      <c r="N438" s="170">
        <v>20</v>
      </c>
      <c r="O438" s="199">
        <f t="shared" si="278"/>
        <v>158489.31924611164</v>
      </c>
      <c r="P438" s="189" t="str">
        <f t="shared" si="244"/>
        <v>1078.86904761905</v>
      </c>
      <c r="Q438" s="160" t="str">
        <f t="shared" si="245"/>
        <v>1+31119.305063502i</v>
      </c>
      <c r="R438" s="160">
        <f t="shared" si="253"/>
        <v>31119.3050795692</v>
      </c>
      <c r="S438" s="160">
        <f t="shared" si="254"/>
        <v>1.5707641924012263</v>
      </c>
      <c r="T438" s="160" t="str">
        <f t="shared" si="246"/>
        <v>1+0.0199163552406413i</v>
      </c>
      <c r="U438" s="160">
        <f t="shared" si="255"/>
        <v>1.0001983109394215</v>
      </c>
      <c r="V438" s="160">
        <f t="shared" si="256"/>
        <v>1.9913722518695331E-2</v>
      </c>
      <c r="W438" s="98" t="str">
        <f t="shared" si="247"/>
        <v>1-14.4043047642414i</v>
      </c>
      <c r="X438" s="160">
        <f t="shared" si="257"/>
        <v>14.438974885397768</v>
      </c>
      <c r="Y438" s="160">
        <f t="shared" si="258"/>
        <v>-1.5014838471857974</v>
      </c>
      <c r="Z438" s="98" t="str">
        <f t="shared" si="248"/>
        <v>-9.0475457260384+5.68941510379647i</v>
      </c>
      <c r="AA438" s="160">
        <f t="shared" si="259"/>
        <v>10.687727910461753</v>
      </c>
      <c r="AB438" s="160">
        <f t="shared" si="260"/>
        <v>2.5802402038299901</v>
      </c>
      <c r="AC438" s="171" t="str">
        <f t="shared" si="261"/>
        <v>0.0372763119133511+0.0283735586437664i</v>
      </c>
      <c r="AD438" s="190">
        <f t="shared" si="262"/>
        <v>-26.586481357656162</v>
      </c>
      <c r="AE438" s="169">
        <f t="shared" si="263"/>
        <v>37.277252159604664</v>
      </c>
      <c r="AF438" s="98" t="str">
        <f t="shared" si="249"/>
        <v>-9.95024875621891E-06</v>
      </c>
      <c r="AG438" s="98" t="str">
        <f t="shared" si="250"/>
        <v>0.996813579794096i</v>
      </c>
      <c r="AH438" s="98">
        <f t="shared" si="264"/>
        <v>0.99681357979409602</v>
      </c>
      <c r="AI438" s="98">
        <f t="shared" si="265"/>
        <v>1.5707963267948966</v>
      </c>
      <c r="AJ438" s="98" t="str">
        <f t="shared" si="251"/>
        <v>1+9.9482293909297i</v>
      </c>
      <c r="AK438" s="98">
        <f t="shared" si="266"/>
        <v>9.9983632667830946</v>
      </c>
      <c r="AL438" s="98">
        <f t="shared" si="267"/>
        <v>1.4706124531391367</v>
      </c>
      <c r="AM438" s="98" t="str">
        <f t="shared" si="252"/>
        <v>1+9958.17762032063i</v>
      </c>
      <c r="AN438" s="98">
        <f t="shared" si="268"/>
        <v>9958.1776705306183</v>
      </c>
      <c r="AO438" s="98">
        <f t="shared" si="269"/>
        <v>1.5706959068149799</v>
      </c>
      <c r="AP438" s="168" t="str">
        <f t="shared" si="270"/>
        <v>-0.000993362954387765+0.00989218459448157i</v>
      </c>
      <c r="AQ438" s="98">
        <f t="shared" si="271"/>
        <v>-40.050580976156965</v>
      </c>
      <c r="AR438" s="169">
        <f t="shared" si="272"/>
        <v>95.734359494718902</v>
      </c>
      <c r="AS438" s="168" t="str">
        <f t="shared" si="273"/>
        <v>-0.000317705387037412+0.000340558916407475i</v>
      </c>
      <c r="AT438" s="190">
        <f t="shared" si="274"/>
        <v>-66.637062333813134</v>
      </c>
      <c r="AU438" s="169">
        <f t="shared" si="275"/>
        <v>133.01161165432362</v>
      </c>
      <c r="AV438" s="225"/>
      <c r="AX438">
        <f t="shared" si="276"/>
        <v>0</v>
      </c>
      <c r="AY438">
        <f t="shared" si="277"/>
        <v>0</v>
      </c>
    </row>
    <row r="439" spans="14:51" x14ac:dyDescent="0.3">
      <c r="N439" s="170">
        <v>21</v>
      </c>
      <c r="O439" s="199">
        <f t="shared" si="278"/>
        <v>162181.00973589328</v>
      </c>
      <c r="P439" s="189" t="str">
        <f t="shared" si="244"/>
        <v>1078.86904761905</v>
      </c>
      <c r="Q439" s="160" t="str">
        <f t="shared" si="245"/>
        <v>1+31844.1667961284i</v>
      </c>
      <c r="R439" s="160">
        <f t="shared" si="253"/>
        <v>31844.166811829862</v>
      </c>
      <c r="S439" s="160">
        <f t="shared" si="254"/>
        <v>1.5707649238693286</v>
      </c>
      <c r="T439" s="160" t="str">
        <f t="shared" si="246"/>
        <v>1+0.0203802667495222i</v>
      </c>
      <c r="U439" s="160">
        <f t="shared" si="255"/>
        <v>1.0002076560758679</v>
      </c>
      <c r="V439" s="160">
        <f t="shared" si="256"/>
        <v>2.0377445768762669E-2</v>
      </c>
      <c r="W439" s="98" t="str">
        <f t="shared" si="247"/>
        <v>1-14.7398241239244i</v>
      </c>
      <c r="X439" s="160">
        <f t="shared" si="257"/>
        <v>14.773706887718589</v>
      </c>
      <c r="Y439" s="160">
        <f t="shared" si="258"/>
        <v>-1.5030567139082616</v>
      </c>
      <c r="Z439" s="98" t="str">
        <f t="shared" si="248"/>
        <v>-9.5210719675815+5.82193860589118i</v>
      </c>
      <c r="AA439" s="160">
        <f t="shared" si="259"/>
        <v>11.160008088824686</v>
      </c>
      <c r="AB439" s="160">
        <f t="shared" si="260"/>
        <v>2.5927752063897795</v>
      </c>
      <c r="AC439" s="171" t="str">
        <f t="shared" si="261"/>
        <v>0.0360626951767499+0.026680567107771i</v>
      </c>
      <c r="AD439" s="190">
        <f t="shared" si="262"/>
        <v>-26.962920265578383</v>
      </c>
      <c r="AE439" s="169">
        <f t="shared" si="263"/>
        <v>36.495458266865199</v>
      </c>
      <c r="AF439" s="98" t="str">
        <f t="shared" si="249"/>
        <v>-9.95024875621891E-06</v>
      </c>
      <c r="AG439" s="98" t="str">
        <f t="shared" si="250"/>
        <v>1.02003235081359i</v>
      </c>
      <c r="AH439" s="98">
        <f t="shared" si="264"/>
        <v>1.02003235081359</v>
      </c>
      <c r="AI439" s="98">
        <f t="shared" si="265"/>
        <v>1.5707963267948966</v>
      </c>
      <c r="AJ439" s="98" t="str">
        <f t="shared" si="251"/>
        <v>1+10.1799534213398i</v>
      </c>
      <c r="AK439" s="98">
        <f t="shared" si="266"/>
        <v>10.228951640351413</v>
      </c>
      <c r="AL439" s="98">
        <f t="shared" si="267"/>
        <v>1.472878200110139</v>
      </c>
      <c r="AM439" s="98" t="str">
        <f t="shared" si="252"/>
        <v>1+10190.1333747611i</v>
      </c>
      <c r="AN439" s="98">
        <f t="shared" si="268"/>
        <v>10190.133423828172</v>
      </c>
      <c r="AO439" s="98">
        <f t="shared" si="269"/>
        <v>1.5706981926527797</v>
      </c>
      <c r="AP439" s="168" t="str">
        <f t="shared" si="270"/>
        <v>-0.000949081553595247+0.00967136084510276i</v>
      </c>
      <c r="AQ439" s="98">
        <f t="shared" si="271"/>
        <v>-40.248625250681926</v>
      </c>
      <c r="AR439" s="169">
        <f t="shared" si="272"/>
        <v>95.604672724694481</v>
      </c>
      <c r="AS439" s="168" t="str">
        <f t="shared" si="273"/>
        <v>-0.000292263830816415+0.00032345330401985i</v>
      </c>
      <c r="AT439" s="190">
        <f t="shared" si="274"/>
        <v>-67.211545516260301</v>
      </c>
      <c r="AU439" s="169">
        <f t="shared" si="275"/>
        <v>132.10013099155969</v>
      </c>
      <c r="AV439" s="225"/>
      <c r="AX439">
        <f t="shared" si="276"/>
        <v>0</v>
      </c>
      <c r="AY439">
        <f t="shared" si="277"/>
        <v>0</v>
      </c>
    </row>
    <row r="440" spans="14:51" x14ac:dyDescent="0.3">
      <c r="N440" s="170">
        <v>22</v>
      </c>
      <c r="O440" s="199">
        <f t="shared" si="278"/>
        <v>165958.69074375604</v>
      </c>
      <c r="P440" s="189" t="str">
        <f t="shared" si="244"/>
        <v>1078.86904761905</v>
      </c>
      <c r="Q440" s="160" t="str">
        <f t="shared" si="245"/>
        <v>1+32585.9127274978i</v>
      </c>
      <c r="R440" s="160">
        <f t="shared" si="253"/>
        <v>32585.912742841854</v>
      </c>
      <c r="S440" s="160">
        <f t="shared" si="254"/>
        <v>1.5707656386871842</v>
      </c>
      <c r="T440" s="160" t="str">
        <f t="shared" si="246"/>
        <v>1+0.0208549841455986i</v>
      </c>
      <c r="U440" s="160">
        <f t="shared" si="255"/>
        <v>1.0002174415414447</v>
      </c>
      <c r="V440" s="160">
        <f t="shared" si="256"/>
        <v>2.0851961445744541E-2</v>
      </c>
      <c r="W440" s="98" t="str">
        <f t="shared" si="247"/>
        <v>1-15.0831587334627i</v>
      </c>
      <c r="X440" s="160">
        <f t="shared" si="257"/>
        <v>15.116271940489563</v>
      </c>
      <c r="Y440" s="160">
        <f t="shared" si="258"/>
        <v>-1.5045941022408322</v>
      </c>
      <c r="Z440" s="98" t="str">
        <f t="shared" si="248"/>
        <v>-10.0169148133527+5.95754897689725i</v>
      </c>
      <c r="AA440" s="160">
        <f t="shared" si="259"/>
        <v>11.654654528989447</v>
      </c>
      <c r="AB440" s="160">
        <f t="shared" si="260"/>
        <v>2.6050432091970057</v>
      </c>
      <c r="AC440" s="171" t="str">
        <f t="shared" si="261"/>
        <v>0.0348663885144271+0.0250832254476177i</v>
      </c>
      <c r="AD440" s="190">
        <f t="shared" si="262"/>
        <v>-27.340428832860809</v>
      </c>
      <c r="AE440" s="169">
        <f t="shared" si="263"/>
        <v>35.731614409585028</v>
      </c>
      <c r="AF440" s="98" t="str">
        <f t="shared" si="249"/>
        <v>-9.95024875621891E-06</v>
      </c>
      <c r="AG440" s="98" t="str">
        <f t="shared" si="250"/>
        <v>1.04379195648721i</v>
      </c>
      <c r="AH440" s="98">
        <f t="shared" si="264"/>
        <v>1.04379195648721</v>
      </c>
      <c r="AI440" s="98">
        <f t="shared" si="265"/>
        <v>1.5707963267948966</v>
      </c>
      <c r="AJ440" s="98" t="str">
        <f t="shared" si="251"/>
        <v>1+10.4170749978015i</v>
      </c>
      <c r="AK440" s="98">
        <f t="shared" si="266"/>
        <v>10.464963043882243</v>
      </c>
      <c r="AL440" s="98">
        <f t="shared" si="267"/>
        <v>1.4750933473782444</v>
      </c>
      <c r="AM440" s="98" t="str">
        <f t="shared" si="252"/>
        <v>1+10427.4920727993i</v>
      </c>
      <c r="AN440" s="98">
        <f t="shared" si="268"/>
        <v>10427.492120749466</v>
      </c>
      <c r="AO440" s="98">
        <f t="shared" si="269"/>
        <v>1.5707004264585596</v>
      </c>
      <c r="AP440" s="168" t="str">
        <f t="shared" si="270"/>
        <v>-0.000906755889949552+0.00945527689956629i</v>
      </c>
      <c r="AQ440" s="98">
        <f t="shared" si="271"/>
        <v>-40.446756724850353</v>
      </c>
      <c r="AR440" s="169">
        <f t="shared" si="272"/>
        <v>95.47788212287557</v>
      </c>
      <c r="AS440" s="168" t="str">
        <f t="shared" si="273"/>
        <v>-0.000268784145288199+0.000306926995478206i</v>
      </c>
      <c r="AT440" s="190">
        <f t="shared" si="274"/>
        <v>-67.787185557711169</v>
      </c>
      <c r="AU440" s="169">
        <f t="shared" si="275"/>
        <v>131.20949653246061</v>
      </c>
      <c r="AV440" s="225"/>
      <c r="AX440">
        <f t="shared" si="276"/>
        <v>0</v>
      </c>
      <c r="AY440">
        <f t="shared" si="277"/>
        <v>0</v>
      </c>
    </row>
    <row r="441" spans="14:51" x14ac:dyDescent="0.3">
      <c r="N441" s="170">
        <v>23</v>
      </c>
      <c r="O441" s="199">
        <f t="shared" si="278"/>
        <v>169824.36524617471</v>
      </c>
      <c r="P441" s="189" t="str">
        <f t="shared" si="244"/>
        <v>1078.86904761905</v>
      </c>
      <c r="Q441" s="160" t="str">
        <f t="shared" si="245"/>
        <v>1+33344.9361411206i</v>
      </c>
      <c r="R441" s="160">
        <f t="shared" si="253"/>
        <v>33344.936156115371</v>
      </c>
      <c r="S441" s="160">
        <f t="shared" si="254"/>
        <v>1.570766337233799</v>
      </c>
      <c r="T441" s="160" t="str">
        <f t="shared" si="246"/>
        <v>1+0.0213407591303172i</v>
      </c>
      <c r="U441" s="160">
        <f t="shared" si="255"/>
        <v>1.0002276880791985</v>
      </c>
      <c r="V441" s="160">
        <f t="shared" si="256"/>
        <v>2.1337520288888353E-2</v>
      </c>
      <c r="W441" s="98" t="str">
        <f t="shared" si="247"/>
        <v>1-15.4344906334106i</v>
      </c>
      <c r="X441" s="160">
        <f t="shared" si="257"/>
        <v>15.466851687167612</v>
      </c>
      <c r="Y441" s="160">
        <f t="shared" si="258"/>
        <v>-1.5060967982410831</v>
      </c>
      <c r="Z441" s="98" t="str">
        <f t="shared" si="248"/>
        <v>-10.5361260125064+6.09631811922831i</v>
      </c>
      <c r="AA441" s="160">
        <f t="shared" si="259"/>
        <v>12.172717279319578</v>
      </c>
      <c r="AB441" s="160">
        <f t="shared" si="260"/>
        <v>2.6170488666190868</v>
      </c>
      <c r="AC441" s="171" t="str">
        <f t="shared" si="261"/>
        <v>0.0336894534910002+0.0235768382434462i</v>
      </c>
      <c r="AD441" s="190">
        <f t="shared" si="262"/>
        <v>-27.718957970835842</v>
      </c>
      <c r="AE441" s="169">
        <f t="shared" si="263"/>
        <v>34.985423218958935</v>
      </c>
      <c r="AF441" s="98" t="str">
        <f t="shared" si="249"/>
        <v>-9.95024875621891E-06</v>
      </c>
      <c r="AG441" s="98" t="str">
        <f t="shared" si="250"/>
        <v>1.06810499447238i</v>
      </c>
      <c r="AH441" s="98">
        <f t="shared" si="264"/>
        <v>1.0681049944723799</v>
      </c>
      <c r="AI441" s="98">
        <f t="shared" si="265"/>
        <v>1.5707963267948966</v>
      </c>
      <c r="AJ441" s="98" t="str">
        <f t="shared" si="251"/>
        <v>1+10.6597198453133i</v>
      </c>
      <c r="AK441" s="98">
        <f t="shared" si="266"/>
        <v>10.706522646525631</v>
      </c>
      <c r="AL441" s="98">
        <f t="shared" si="267"/>
        <v>1.4772589824403852</v>
      </c>
      <c r="AM441" s="98" t="str">
        <f t="shared" si="252"/>
        <v>1+10670.3795651586i</v>
      </c>
      <c r="AN441" s="98">
        <f t="shared" si="268"/>
        <v>10670.379612017288</v>
      </c>
      <c r="AO441" s="98">
        <f t="shared" si="269"/>
        <v>1.5707026094167129</v>
      </c>
      <c r="AP441" s="168" t="str">
        <f t="shared" si="270"/>
        <v>-0.000866301174831433+0.00924384362185677i</v>
      </c>
      <c r="AQ441" s="98">
        <f t="shared" si="271"/>
        <v>-40.644971545757144</v>
      </c>
      <c r="AR441" s="169">
        <f t="shared" si="272"/>
        <v>95.353925448138369</v>
      </c>
      <c r="AS441" s="168" t="str">
        <f t="shared" si="273"/>
        <v>-0.000247125818958911+0.000290995397107514i</v>
      </c>
      <c r="AT441" s="190">
        <f t="shared" si="274"/>
        <v>-68.363929516593004</v>
      </c>
      <c r="AU441" s="169">
        <f t="shared" si="275"/>
        <v>130.33934866709731</v>
      </c>
      <c r="AV441" s="225"/>
      <c r="AX441">
        <f t="shared" si="276"/>
        <v>0</v>
      </c>
      <c r="AY441">
        <f t="shared" si="277"/>
        <v>0</v>
      </c>
    </row>
    <row r="442" spans="14:51" x14ac:dyDescent="0.3">
      <c r="N442" s="170">
        <v>24</v>
      </c>
      <c r="O442" s="199">
        <f t="shared" si="278"/>
        <v>173780.0828749378</v>
      </c>
      <c r="P442" s="189" t="str">
        <f t="shared" si="244"/>
        <v>1078.86904761905</v>
      </c>
      <c r="Q442" s="160" t="str">
        <f t="shared" si="245"/>
        <v>1+34121.6394812581i</v>
      </c>
      <c r="R442" s="160">
        <f t="shared" si="253"/>
        <v>34121.639495911557</v>
      </c>
      <c r="S442" s="160">
        <f t="shared" si="254"/>
        <v>1.5707670198795516</v>
      </c>
      <c r="T442" s="160" t="str">
        <f t="shared" si="246"/>
        <v>1+0.0218378492680052i</v>
      </c>
      <c r="U442" s="160">
        <f t="shared" si="255"/>
        <v>1.0002384174088956</v>
      </c>
      <c r="V442" s="160">
        <f t="shared" si="256"/>
        <v>2.1834378831563583E-2</v>
      </c>
      <c r="W442" s="98" t="str">
        <f t="shared" si="247"/>
        <v>1-15.7940061045921i</v>
      </c>
      <c r="X442" s="160">
        <f t="shared" si="257"/>
        <v>15.825632019982409</v>
      </c>
      <c r="Y442" s="160">
        <f t="shared" si="258"/>
        <v>-1.5075655714971905</v>
      </c>
      <c r="Z442" s="98" t="str">
        <f t="shared" si="248"/>
        <v>-11.0798068816081+6.23831961012054i</v>
      </c>
      <c r="AA442" s="160">
        <f t="shared" si="259"/>
        <v>12.715295989151992</v>
      </c>
      <c r="AB442" s="160">
        <f t="shared" si="260"/>
        <v>2.6287968395122632</v>
      </c>
      <c r="AC442" s="171" t="str">
        <f t="shared" si="261"/>
        <v>0.0325336636742686+0.0221568587566658i</v>
      </c>
      <c r="AD442" s="190">
        <f t="shared" si="262"/>
        <v>-28.098460733562099</v>
      </c>
      <c r="AE442" s="169">
        <f t="shared" si="263"/>
        <v>34.256588230498863</v>
      </c>
      <c r="AF442" s="98" t="str">
        <f t="shared" si="249"/>
        <v>-9.95024875621891E-06</v>
      </c>
      <c r="AG442" s="98" t="str">
        <f t="shared" si="250"/>
        <v>1.09298435586366i</v>
      </c>
      <c r="AH442" s="98">
        <f t="shared" si="264"/>
        <v>1.0929843558636601</v>
      </c>
      <c r="AI442" s="98">
        <f t="shared" si="265"/>
        <v>1.5707963267948966</v>
      </c>
      <c r="AJ442" s="98" t="str">
        <f t="shared" si="251"/>
        <v>1+10.9080166173852i</v>
      </c>
      <c r="AK442" s="98">
        <f t="shared" si="266"/>
        <v>10.953758557004608</v>
      </c>
      <c r="AL442" s="98">
        <f t="shared" si="267"/>
        <v>1.479376172245966</v>
      </c>
      <c r="AM442" s="98" t="str">
        <f t="shared" si="252"/>
        <v>1+10918.9246340026i</v>
      </c>
      <c r="AN442" s="98">
        <f t="shared" si="268"/>
        <v>10918.924679794654</v>
      </c>
      <c r="AO442" s="98">
        <f t="shared" si="269"/>
        <v>1.570704742684673</v>
      </c>
      <c r="AP442" s="168" t="str">
        <f t="shared" si="270"/>
        <v>-0.000827636156778519+0.00903697269435975i</v>
      </c>
      <c r="AQ442" s="98">
        <f t="shared" si="271"/>
        <v>-40.843266027677714</v>
      </c>
      <c r="AR442" s="169">
        <f t="shared" si="272"/>
        <v>95.232741635101149</v>
      </c>
      <c r="AS442" s="168" t="str">
        <f t="shared" si="273"/>
        <v>-0.000227156963946071+0.000275668012844198i</v>
      </c>
      <c r="AT442" s="190">
        <f t="shared" si="274"/>
        <v>-68.941726761239806</v>
      </c>
      <c r="AU442" s="169">
        <f t="shared" si="275"/>
        <v>129.48932986559998</v>
      </c>
      <c r="AV442" s="225"/>
      <c r="AX442">
        <f t="shared" si="276"/>
        <v>0</v>
      </c>
      <c r="AY442">
        <f t="shared" si="277"/>
        <v>0</v>
      </c>
    </row>
    <row r="443" spans="14:51" x14ac:dyDescent="0.3">
      <c r="N443" s="170">
        <v>25</v>
      </c>
      <c r="O443" s="199">
        <f t="shared" si="278"/>
        <v>177827.94100389251</v>
      </c>
      <c r="P443" s="189" t="str">
        <f t="shared" si="244"/>
        <v>1078.86904761905</v>
      </c>
      <c r="Q443" s="160" t="str">
        <f t="shared" si="245"/>
        <v>1+34916.4345663019i</v>
      </c>
      <c r="R443" s="160">
        <f t="shared" si="253"/>
        <v>34916.434580621797</v>
      </c>
      <c r="S443" s="160">
        <f t="shared" si="254"/>
        <v>1.5707676869863896</v>
      </c>
      <c r="T443" s="160" t="str">
        <f t="shared" si="246"/>
        <v>1+0.0223465181224332i</v>
      </c>
      <c r="U443" s="160">
        <f t="shared" si="255"/>
        <v>1.0002496522729694</v>
      </c>
      <c r="V443" s="160">
        <f t="shared" si="256"/>
        <v>2.2342799532914123E-2</v>
      </c>
      <c r="W443" s="98" t="str">
        <f t="shared" si="247"/>
        <v>1-16.1618957668686i</v>
      </c>
      <c r="X443" s="160">
        <f t="shared" si="257"/>
        <v>16.192803178545869</v>
      </c>
      <c r="Y443" s="160">
        <f t="shared" si="258"/>
        <v>-1.5090011754092703</v>
      </c>
      <c r="Z443" s="98" t="str">
        <f t="shared" si="248"/>
        <v>-11.6491106406737+6.38362874064398i</v>
      </c>
      <c r="AA443" s="160">
        <f t="shared" si="259"/>
        <v>13.283542246593454</v>
      </c>
      <c r="AB443" s="160">
        <f t="shared" si="260"/>
        <v>2.6402917862639423</v>
      </c>
      <c r="AC443" s="171" t="str">
        <f t="shared" si="261"/>
        <v>0.031400528155299+0.0208188943326823i</v>
      </c>
      <c r="AD443" s="190">
        <f t="shared" si="262"/>
        <v>-28.478892236468578</v>
      </c>
      <c r="AE443" s="169">
        <f t="shared" si="263"/>
        <v>33.544814388683541</v>
      </c>
      <c r="AF443" s="98" t="str">
        <f t="shared" si="249"/>
        <v>-9.95024875621891E-06</v>
      </c>
      <c r="AG443" s="98" t="str">
        <f t="shared" si="250"/>
        <v>1.11844323202778i</v>
      </c>
      <c r="AH443" s="98">
        <f t="shared" si="264"/>
        <v>1.11844323202778</v>
      </c>
      <c r="AI443" s="98">
        <f t="shared" si="265"/>
        <v>1.5707963267948966</v>
      </c>
      <c r="AJ443" s="98" t="str">
        <f t="shared" si="251"/>
        <v>1+11.1620969642523i</v>
      </c>
      <c r="AK443" s="98">
        <f t="shared" si="266"/>
        <v>11.206801891680355</v>
      </c>
      <c r="AL443" s="98">
        <f t="shared" si="267"/>
        <v>1.4814459633928287</v>
      </c>
      <c r="AM443" s="98" t="str">
        <f t="shared" si="252"/>
        <v>1+11173.2590612166i</v>
      </c>
      <c r="AN443" s="98">
        <f t="shared" si="268"/>
        <v>11173.259105966301</v>
      </c>
      <c r="AO443" s="98">
        <f t="shared" si="269"/>
        <v>1.5707068273935267</v>
      </c>
      <c r="AP443" s="168" t="str">
        <f t="shared" si="270"/>
        <v>-0.000790682986120271+0.00883457667563784i</v>
      </c>
      <c r="AQ443" s="98">
        <f t="shared" si="271"/>
        <v>-41.041636645081695</v>
      </c>
      <c r="AR443" s="169">
        <f t="shared" si="272"/>
        <v>95.114270782931214</v>
      </c>
      <c r="AS443" s="168" t="str">
        <f t="shared" si="273"/>
        <v>-0.000208753981651669+0.000260949228104826i</v>
      </c>
      <c r="AT443" s="190">
        <f t="shared" si="274"/>
        <v>-69.520528881550277</v>
      </c>
      <c r="AU443" s="169">
        <f t="shared" si="275"/>
        <v>128.65908517161475</v>
      </c>
      <c r="AV443" s="225"/>
      <c r="AX443">
        <f t="shared" si="276"/>
        <v>0</v>
      </c>
      <c r="AY443">
        <f t="shared" si="277"/>
        <v>0</v>
      </c>
    </row>
    <row r="444" spans="14:51" x14ac:dyDescent="0.3">
      <c r="N444" s="170">
        <v>26</v>
      </c>
      <c r="O444" s="199">
        <f t="shared" si="278"/>
        <v>181970.08586099857</v>
      </c>
      <c r="P444" s="189" t="str">
        <f t="shared" si="244"/>
        <v>1078.86904761905</v>
      </c>
      <c r="Q444" s="160" t="str">
        <f t="shared" si="245"/>
        <v>1+35729.7428071259i</v>
      </c>
      <c r="R444" s="160">
        <f t="shared" si="253"/>
        <v>35729.742821119842</v>
      </c>
      <c r="S444" s="160">
        <f t="shared" si="254"/>
        <v>1.5707683389080223</v>
      </c>
      <c r="T444" s="160" t="str">
        <f t="shared" si="246"/>
        <v>1+0.0228670353965606i</v>
      </c>
      <c r="U444" s="160">
        <f t="shared" si="255"/>
        <v>1.0002614164846246</v>
      </c>
      <c r="V444" s="160">
        <f t="shared" si="256"/>
        <v>2.2863050912342787E-2</v>
      </c>
      <c r="W444" s="98" t="str">
        <f t="shared" si="247"/>
        <v>1-16.5383546802085i</v>
      </c>
      <c r="X444" s="160">
        <f t="shared" si="257"/>
        <v>16.568559850764771</v>
      </c>
      <c r="Y444" s="160">
        <f t="shared" si="258"/>
        <v>-1.5104043474704028</v>
      </c>
      <c r="Z444" s="98" t="str">
        <f t="shared" si="248"/>
        <v>-12.2452448593036+6.53232255562295i</v>
      </c>
      <c r="AA444" s="160">
        <f t="shared" si="259"/>
        <v>13.878662026110499</v>
      </c>
      <c r="AB444" s="160">
        <f t="shared" si="260"/>
        <v>2.6515383546896496</v>
      </c>
      <c r="AC444" s="171" t="str">
        <f t="shared" si="261"/>
        <v>0.0302913138518843+0.0195587101524431i</v>
      </c>
      <c r="AD444" s="190">
        <f t="shared" si="262"/>
        <v>-28.86020957602895</v>
      </c>
      <c r="AE444" s="169">
        <f t="shared" si="263"/>
        <v>32.849808502820991</v>
      </c>
      <c r="AF444" s="98" t="str">
        <f t="shared" si="249"/>
        <v>-9.95024875621891E-06</v>
      </c>
      <c r="AG444" s="98" t="str">
        <f t="shared" si="250"/>
        <v>1.14449512159786i</v>
      </c>
      <c r="AH444" s="98">
        <f t="shared" si="264"/>
        <v>1.14449512159786</v>
      </c>
      <c r="AI444" s="98">
        <f t="shared" si="265"/>
        <v>1.5707963267948966</v>
      </c>
      <c r="AJ444" s="98" t="str">
        <f t="shared" si="251"/>
        <v>1+11.4220956026776i</v>
      </c>
      <c r="AK444" s="98">
        <f t="shared" si="266"/>
        <v>11.465786844203366</v>
      </c>
      <c r="AL444" s="98">
        <f t="shared" si="267"/>
        <v>1.4834693823359353</v>
      </c>
      <c r="AM444" s="98" t="str">
        <f t="shared" si="252"/>
        <v>1+11433.5176982803i</v>
      </c>
      <c r="AN444" s="98">
        <f t="shared" si="268"/>
        <v>11433.517742011374</v>
      </c>
      <c r="AO444" s="98">
        <f t="shared" si="269"/>
        <v>1.5707088646486143</v>
      </c>
      <c r="AP444" s="168" t="str">
        <f t="shared" si="270"/>
        <v>-0.000755367083698485+0.00863656905225756i</v>
      </c>
      <c r="AQ444" s="98">
        <f t="shared" si="271"/>
        <v>-41.24008002591448</v>
      </c>
      <c r="AR444" s="169">
        <f t="shared" si="272"/>
        <v>94.998454143422691</v>
      </c>
      <c r="AS444" s="168" t="str">
        <f t="shared" si="273"/>
        <v>-0.000191801212210359+0.00024683901791665i</v>
      </c>
      <c r="AT444" s="190">
        <f t="shared" si="274"/>
        <v>-70.10028960194343</v>
      </c>
      <c r="AU444" s="169">
        <f t="shared" si="275"/>
        <v>127.84826264624364</v>
      </c>
      <c r="AV444" s="225"/>
      <c r="AX444">
        <f t="shared" si="276"/>
        <v>0</v>
      </c>
      <c r="AY444">
        <f t="shared" si="277"/>
        <v>0</v>
      </c>
    </row>
    <row r="445" spans="14:51" x14ac:dyDescent="0.3">
      <c r="N445" s="170">
        <v>27</v>
      </c>
      <c r="O445" s="199">
        <f t="shared" si="278"/>
        <v>186208.71366628664</v>
      </c>
      <c r="P445" s="189" t="str">
        <f t="shared" si="244"/>
        <v>1078.86904761905</v>
      </c>
      <c r="Q445" s="160" t="str">
        <f t="shared" si="245"/>
        <v>1+36561.9954305256i</v>
      </c>
      <c r="R445" s="160">
        <f t="shared" si="253"/>
        <v>36561.995444201006</v>
      </c>
      <c r="S445" s="160">
        <f t="shared" si="254"/>
        <v>1.5707689759901067</v>
      </c>
      <c r="T445" s="160" t="str">
        <f t="shared" si="246"/>
        <v>1+0.0233996770755364i</v>
      </c>
      <c r="U445" s="160">
        <f t="shared" si="255"/>
        <v>1.0002737349782005</v>
      </c>
      <c r="V445" s="160">
        <f t="shared" si="256"/>
        <v>2.3395407686875893E-2</v>
      </c>
      <c r="W445" s="98" t="str">
        <f t="shared" si="247"/>
        <v>1-16.923582448111i</v>
      </c>
      <c r="X445" s="160">
        <f t="shared" si="257"/>
        <v>16.953101276109059</v>
      </c>
      <c r="Y445" s="160">
        <f t="shared" si="258"/>
        <v>-1.5117758095469571</v>
      </c>
      <c r="Z445" s="98" t="str">
        <f t="shared" si="248"/>
        <v>-12.8694740181012+6.68447989448647i</v>
      </c>
      <c r="AA445" s="160">
        <f t="shared" si="259"/>
        <v>14.501918251127185</v>
      </c>
      <c r="AB445" s="160">
        <f t="shared" si="260"/>
        <v>2.6625411747251357</v>
      </c>
      <c r="AC445" s="171" t="str">
        <f t="shared" si="261"/>
        <v>0.0292070665798089+0.01837223152918i</v>
      </c>
      <c r="AD445" s="190">
        <f t="shared" si="262"/>
        <v>-29.24237175075913</v>
      </c>
      <c r="AE445" s="169">
        <f t="shared" si="263"/>
        <v>32.171279657558173</v>
      </c>
      <c r="AF445" s="98" t="str">
        <f t="shared" si="249"/>
        <v>-9.95024875621891E-06</v>
      </c>
      <c r="AG445" s="98" t="str">
        <f t="shared" si="250"/>
        <v>1.1711538376306i</v>
      </c>
      <c r="AH445" s="98">
        <f t="shared" si="264"/>
        <v>1.1711538376306001</v>
      </c>
      <c r="AI445" s="98">
        <f t="shared" si="265"/>
        <v>1.5707963267948966</v>
      </c>
      <c r="AJ445" s="98" t="str">
        <f t="shared" si="251"/>
        <v>1+11.6881503873808i</v>
      </c>
      <c r="AK445" s="98">
        <f t="shared" si="266"/>
        <v>11.730850756787845</v>
      </c>
      <c r="AL445" s="98">
        <f t="shared" si="267"/>
        <v>1.4854474356074299</v>
      </c>
      <c r="AM445" s="98" t="str">
        <f t="shared" si="252"/>
        <v>1+11699.8385377682i</v>
      </c>
      <c r="AN445" s="98">
        <f t="shared" si="268"/>
        <v>11699.838580503834</v>
      </c>
      <c r="AO445" s="98">
        <f t="shared" si="269"/>
        <v>1.5707108555301148</v>
      </c>
      <c r="AP445" s="168" t="str">
        <f t="shared" si="270"/>
        <v>-0.000721617013654659+0.00844286428506248i</v>
      </c>
      <c r="AQ445" s="98">
        <f t="shared" si="271"/>
        <v>-41.438592945138836</v>
      </c>
      <c r="AR445" s="169">
        <f t="shared" si="272"/>
        <v>94.885234108421514</v>
      </c>
      <c r="AS445" s="168" t="str">
        <f t="shared" si="273"/>
        <v>-0.000176190573577547+0.000233333584447852i</v>
      </c>
      <c r="AT445" s="190">
        <f t="shared" si="274"/>
        <v>-70.680964695897956</v>
      </c>
      <c r="AU445" s="169">
        <f t="shared" si="275"/>
        <v>127.05651376597962</v>
      </c>
      <c r="AV445" s="225"/>
      <c r="AX445">
        <f t="shared" si="276"/>
        <v>0</v>
      </c>
      <c r="AY445">
        <f t="shared" si="277"/>
        <v>0</v>
      </c>
    </row>
    <row r="446" spans="14:51" x14ac:dyDescent="0.3">
      <c r="N446" s="170">
        <v>28</v>
      </c>
      <c r="O446" s="199">
        <f t="shared" si="278"/>
        <v>190546.07179632492</v>
      </c>
      <c r="P446" s="189" t="str">
        <f t="shared" si="244"/>
        <v>1078.86904761905</v>
      </c>
      <c r="Q446" s="160" t="str">
        <f t="shared" si="245"/>
        <v>1+37413.6337078581i</v>
      </c>
      <c r="R446" s="160">
        <f t="shared" si="253"/>
        <v>37413.633721222206</v>
      </c>
      <c r="S446" s="160">
        <f t="shared" si="254"/>
        <v>1.5707695985704324</v>
      </c>
      <c r="T446" s="160" t="str">
        <f t="shared" si="246"/>
        <v>1+0.0239447255730292i</v>
      </c>
      <c r="U446" s="160">
        <f t="shared" si="255"/>
        <v>1.0002866338618983</v>
      </c>
      <c r="V446" s="160">
        <f t="shared" si="256"/>
        <v>2.3940150911455051E-2</v>
      </c>
      <c r="W446" s="98" t="str">
        <f t="shared" si="247"/>
        <v>1-17.3177833234376i</v>
      </c>
      <c r="X446" s="160">
        <f t="shared" si="257"/>
        <v>17.346631351289318</v>
      </c>
      <c r="Y446" s="160">
        <f t="shared" si="258"/>
        <v>-1.5131162681578636</v>
      </c>
      <c r="Z446" s="98" t="str">
        <f t="shared" si="248"/>
        <v>-13.5231221908043+6.84018143306965i</v>
      </c>
      <c r="AA446" s="160">
        <f t="shared" si="259"/>
        <v>15.154633477083321</v>
      </c>
      <c r="AB446" s="160">
        <f t="shared" si="260"/>
        <v>2.6733048518564568</v>
      </c>
      <c r="AC446" s="171" t="str">
        <f t="shared" si="261"/>
        <v>0.0281486308913937+0.0172555449318039i</v>
      </c>
      <c r="AD446" s="190">
        <f t="shared" si="262"/>
        <v>-29.625339583774245</v>
      </c>
      <c r="AE446" s="169">
        <f t="shared" si="263"/>
        <v>31.508939581336584</v>
      </c>
      <c r="AF446" s="98" t="str">
        <f t="shared" si="249"/>
        <v>-9.95024875621891E-06</v>
      </c>
      <c r="AG446" s="98" t="str">
        <f t="shared" si="250"/>
        <v>1.19843351493011i</v>
      </c>
      <c r="AH446" s="98">
        <f t="shared" si="264"/>
        <v>1.19843351493011</v>
      </c>
      <c r="AI446" s="98">
        <f t="shared" si="265"/>
        <v>1.5707963267948966</v>
      </c>
      <c r="AJ446" s="98" t="str">
        <f t="shared" si="251"/>
        <v>1+11.9604023841305i</v>
      </c>
      <c r="AK446" s="98">
        <f t="shared" si="266"/>
        <v>12.002134193147258</v>
      </c>
      <c r="AL446" s="98">
        <f t="shared" si="267"/>
        <v>1.4873811100468322</v>
      </c>
      <c r="AM446" s="98" t="str">
        <f t="shared" si="252"/>
        <v>1+11972.3627865146i</v>
      </c>
      <c r="AN446" s="98">
        <f t="shared" si="268"/>
        <v>11972.362828277452</v>
      </c>
      <c r="AO446" s="98">
        <f t="shared" si="269"/>
        <v>1.5707128010936207</v>
      </c>
      <c r="AP446" s="168" t="str">
        <f t="shared" si="270"/>
        <v>-0.000689364360253223+0.00825337785026657i</v>
      </c>
      <c r="AQ446" s="98">
        <f t="shared" si="271"/>
        <v>-41.637172318529352</v>
      </c>
      <c r="AR446" s="169">
        <f t="shared" si="272"/>
        <v>94.774554196669072</v>
      </c>
      <c r="AS446" s="168" t="str">
        <f t="shared" si="273"/>
        <v>-0.00016182119526088+0.000220425929021624i</v>
      </c>
      <c r="AT446" s="190">
        <f t="shared" si="274"/>
        <v>-71.262511902303601</v>
      </c>
      <c r="AU446" s="169">
        <f t="shared" si="275"/>
        <v>126.28349377800576</v>
      </c>
      <c r="AV446" s="225"/>
      <c r="AX446">
        <f t="shared" si="276"/>
        <v>0</v>
      </c>
      <c r="AY446">
        <f t="shared" si="277"/>
        <v>0</v>
      </c>
    </row>
    <row r="447" spans="14:51" x14ac:dyDescent="0.3">
      <c r="N447" s="170">
        <v>29</v>
      </c>
      <c r="O447" s="199">
        <f t="shared" si="278"/>
        <v>194984.45997580473</v>
      </c>
      <c r="P447" s="189" t="str">
        <f t="shared" si="244"/>
        <v>1078.86904761905</v>
      </c>
      <c r="Q447" s="160" t="str">
        <f t="shared" si="245"/>
        <v>1+38285.10918901i</v>
      </c>
      <c r="R447" s="160">
        <f t="shared" si="253"/>
        <v>38285.1092020699</v>
      </c>
      <c r="S447" s="160">
        <f t="shared" si="254"/>
        <v>1.5707702069790999</v>
      </c>
      <c r="T447" s="160" t="str">
        <f t="shared" si="246"/>
        <v>1+0.0245024698809664i</v>
      </c>
      <c r="U447" s="160">
        <f t="shared" si="255"/>
        <v>1.0003001404729821</v>
      </c>
      <c r="V447" s="160">
        <f t="shared" si="256"/>
        <v>2.4497568122207478E-2</v>
      </c>
      <c r="W447" s="98" t="str">
        <f t="shared" si="247"/>
        <v>1-17.7211663167101i</v>
      </c>
      <c r="X447" s="160">
        <f t="shared" si="257"/>
        <v>17.749358738402371</v>
      </c>
      <c r="Y447" s="160">
        <f t="shared" si="258"/>
        <v>-1.514426414752521</v>
      </c>
      <c r="Z447" s="98" t="str">
        <f t="shared" si="248"/>
        <v>-14.2075758528224+6.99950972638906i</v>
      </c>
      <c r="AA447" s="160">
        <f t="shared" si="259"/>
        <v>15.83819270066876</v>
      </c>
      <c r="AB447" s="160">
        <f t="shared" si="260"/>
        <v>2.6838339612336628</v>
      </c>
      <c r="AC447" s="171" t="str">
        <f t="shared" si="261"/>
        <v>0.0271166686932778+0.0162048979016476i</v>
      </c>
      <c r="AD447" s="190">
        <f t="shared" si="262"/>
        <v>-30.009075647103622</v>
      </c>
      <c r="AE447" s="169">
        <f t="shared" si="263"/>
        <v>30.862502975929065</v>
      </c>
      <c r="AF447" s="98" t="str">
        <f t="shared" si="249"/>
        <v>-9.95024875621891E-06</v>
      </c>
      <c r="AG447" s="98" t="str">
        <f t="shared" si="250"/>
        <v>1.22634861754237i</v>
      </c>
      <c r="AH447" s="98">
        <f t="shared" si="264"/>
        <v>1.2263486175423699</v>
      </c>
      <c r="AI447" s="98">
        <f t="shared" si="265"/>
        <v>1.5707963267948966</v>
      </c>
      <c r="AJ447" s="98" t="str">
        <f t="shared" si="251"/>
        <v>1+12.2389959445387i</v>
      </c>
      <c r="AK447" s="98">
        <f t="shared" si="266"/>
        <v>12.279781013130272</v>
      </c>
      <c r="AL447" s="98">
        <f t="shared" si="267"/>
        <v>1.4892713730402072</v>
      </c>
      <c r="AM447" s="98" t="str">
        <f t="shared" si="252"/>
        <v>1+12251.2349404832i</v>
      </c>
      <c r="AN447" s="98">
        <f t="shared" si="268"/>
        <v>12251.234981295411</v>
      </c>
      <c r="AO447" s="98">
        <f t="shared" si="269"/>
        <v>1.5707147023706947</v>
      </c>
      <c r="AP447" s="168" t="str">
        <f t="shared" si="270"/>
        <v>-0.000658543608699179+0.00806802627572355i</v>
      </c>
      <c r="AQ447" s="98">
        <f t="shared" si="271"/>
        <v>-41.835815196709945</v>
      </c>
      <c r="AR447" s="169">
        <f t="shared" si="272"/>
        <v>94.666359040130942</v>
      </c>
      <c r="AS447" s="168" t="str">
        <f t="shared" si="273"/>
        <v>-0.000148599050923081+0.000208106363584703i</v>
      </c>
      <c r="AT447" s="190">
        <f t="shared" si="274"/>
        <v>-71.844890843813559</v>
      </c>
      <c r="AU447" s="169">
        <f t="shared" si="275"/>
        <v>125.52886201605988</v>
      </c>
      <c r="AV447" s="225"/>
      <c r="AX447">
        <f t="shared" si="276"/>
        <v>0</v>
      </c>
      <c r="AY447">
        <f t="shared" si="277"/>
        <v>0</v>
      </c>
    </row>
    <row r="448" spans="14:51" x14ac:dyDescent="0.3">
      <c r="N448" s="170">
        <v>30</v>
      </c>
      <c r="O448" s="199">
        <f t="shared" si="278"/>
        <v>199526.23149688813</v>
      </c>
      <c r="P448" s="189" t="str">
        <f t="shared" si="244"/>
        <v>1078.86904761905</v>
      </c>
      <c r="Q448" s="160" t="str">
        <f t="shared" si="245"/>
        <v>1+39176.8839418175i</v>
      </c>
      <c r="R448" s="160">
        <f t="shared" si="253"/>
        <v>39176.883954580117</v>
      </c>
      <c r="S448" s="160">
        <f t="shared" si="254"/>
        <v>1.5707708015386954</v>
      </c>
      <c r="T448" s="160" t="str">
        <f t="shared" si="246"/>
        <v>1+0.0250732057227632i</v>
      </c>
      <c r="U448" s="160">
        <f t="shared" si="255"/>
        <v>1.0003142834355689</v>
      </c>
      <c r="V448" s="160">
        <f t="shared" si="256"/>
        <v>2.5067953482744845E-2</v>
      </c>
      <c r="W448" s="98" t="str">
        <f t="shared" si="247"/>
        <v>1-18.1339453069313i</v>
      </c>
      <c r="X448" s="160">
        <f t="shared" si="257"/>
        <v>18.161496975601317</v>
      </c>
      <c r="Y448" s="160">
        <f t="shared" si="258"/>
        <v>-1.5157069259870497</v>
      </c>
      <c r="Z448" s="98" t="str">
        <f t="shared" si="248"/>
        <v>-14.9242868221399+7.16254925241491i</v>
      </c>
      <c r="AA448" s="160">
        <f t="shared" si="259"/>
        <v>16.554046301214942</v>
      </c>
      <c r="AB448" s="160">
        <f t="shared" si="260"/>
        <v>2.6941330424163992</v>
      </c>
      <c r="AC448" s="171" t="str">
        <f t="shared" si="261"/>
        <v>0.0261116766656692+0.0152166980149277i</v>
      </c>
      <c r="AD448" s="190">
        <f t="shared" si="262"/>
        <v>-30.393544187921005</v>
      </c>
      <c r="AE448" s="169">
        <f t="shared" si="263"/>
        <v>30.231687810037439</v>
      </c>
      <c r="AF448" s="98" t="str">
        <f t="shared" si="249"/>
        <v>-9.95024875621891E-06</v>
      </c>
      <c r="AG448" s="98" t="str">
        <f t="shared" si="250"/>
        <v>1.2549139464243i</v>
      </c>
      <c r="AH448" s="98">
        <f t="shared" si="264"/>
        <v>1.2549139464243</v>
      </c>
      <c r="AI448" s="98">
        <f t="shared" si="265"/>
        <v>1.5707963267948966</v>
      </c>
      <c r="AJ448" s="98" t="str">
        <f t="shared" si="251"/>
        <v>1+12.524078782599i</v>
      </c>
      <c r="AK448" s="98">
        <f t="shared" si="266"/>
        <v>12.563938449098931</v>
      </c>
      <c r="AL448" s="98">
        <f t="shared" si="267"/>
        <v>1.4911191727672393</v>
      </c>
      <c r="AM448" s="98" t="str">
        <f t="shared" si="252"/>
        <v>1+12536.6028613816i</v>
      </c>
      <c r="AN448" s="98">
        <f t="shared" si="268"/>
        <v>12536.60290126481</v>
      </c>
      <c r="AO448" s="98">
        <f t="shared" si="269"/>
        <v>1.5707165603694195</v>
      </c>
      <c r="AP448" s="168" t="str">
        <f t="shared" si="270"/>
        <v>-0.000629092029898761+0.00788672717270424i</v>
      </c>
      <c r="AQ448" s="98">
        <f t="shared" si="271"/>
        <v>-42.034518759428835</v>
      </c>
      <c r="AR448" s="169">
        <f t="shared" si="272"/>
        <v>94.560594369871865</v>
      </c>
      <c r="AS448" s="168" t="str">
        <f t="shared" si="273"/>
        <v>-0.000136436593390831+0.000196362966441433i</v>
      </c>
      <c r="AT448" s="190">
        <f t="shared" si="274"/>
        <v>-72.428062947349844</v>
      </c>
      <c r="AU448" s="169">
        <f t="shared" si="275"/>
        <v>124.79228217990934</v>
      </c>
      <c r="AV448" s="225"/>
      <c r="AX448">
        <f t="shared" si="276"/>
        <v>0</v>
      </c>
      <c r="AY448">
        <f t="shared" si="277"/>
        <v>0</v>
      </c>
    </row>
    <row r="449" spans="14:51" x14ac:dyDescent="0.3">
      <c r="N449" s="170">
        <v>31</v>
      </c>
      <c r="O449" s="199">
        <f t="shared" si="278"/>
        <v>204173.79446695308</v>
      </c>
      <c r="P449" s="189" t="str">
        <f t="shared" si="244"/>
        <v>1078.86904761905</v>
      </c>
      <c r="Q449" s="160" t="str">
        <f t="shared" si="245"/>
        <v>1+40089.4307970581i</v>
      </c>
      <c r="R449" s="160">
        <f t="shared" si="253"/>
        <v>40089.430809530219</v>
      </c>
      <c r="S449" s="160">
        <f t="shared" si="254"/>
        <v>1.570771382564462</v>
      </c>
      <c r="T449" s="160" t="str">
        <f t="shared" si="246"/>
        <v>1+0.0256572357101172i</v>
      </c>
      <c r="U449" s="160">
        <f t="shared" si="255"/>
        <v>1.0003290927211328</v>
      </c>
      <c r="V449" s="160">
        <f t="shared" si="256"/>
        <v>2.5651607933533563E-2</v>
      </c>
      <c r="W449" s="98" t="str">
        <f t="shared" si="247"/>
        <v>1-18.5563391549852i</v>
      </c>
      <c r="X449" s="160">
        <f t="shared" si="257"/>
        <v>18.58326459034679</v>
      </c>
      <c r="Y449" s="160">
        <f t="shared" si="258"/>
        <v>-1.5169584639986151</v>
      </c>
      <c r="Z449" s="98" t="str">
        <f t="shared" si="248"/>
        <v>-15.6747753388133+7.32938645686191i</v>
      </c>
      <c r="AA449" s="160">
        <f t="shared" si="259"/>
        <v>17.303713120492386</v>
      </c>
      <c r="AB449" s="160">
        <f t="shared" si="260"/>
        <v>2.7042065947022751</v>
      </c>
      <c r="AC449" s="171" t="str">
        <f t="shared" si="261"/>
        <v>0.0251340025136007+0.0142875110295254i</v>
      </c>
      <c r="AD449" s="190">
        <f t="shared" si="262"/>
        <v>-30.77871105680407</v>
      </c>
      <c r="AE449" s="169">
        <f t="shared" si="263"/>
        <v>29.616215579789365</v>
      </c>
      <c r="AF449" s="98" t="str">
        <f t="shared" si="249"/>
        <v>-9.95024875621891E-06</v>
      </c>
      <c r="AG449" s="98" t="str">
        <f t="shared" si="250"/>
        <v>1.28414464729137i</v>
      </c>
      <c r="AH449" s="98">
        <f t="shared" si="264"/>
        <v>1.28414464729137</v>
      </c>
      <c r="AI449" s="98">
        <f t="shared" si="265"/>
        <v>1.5707963267948966</v>
      </c>
      <c r="AJ449" s="98" t="str">
        <f t="shared" si="251"/>
        <v>1+12.8158020530056i</v>
      </c>
      <c r="AK449" s="98">
        <f t="shared" si="266"/>
        <v>12.854757184086463</v>
      </c>
      <c r="AL449" s="98">
        <f t="shared" si="267"/>
        <v>1.4929254384551827</v>
      </c>
      <c r="AM449" s="98" t="str">
        <f t="shared" si="252"/>
        <v>1+12828.6178550586i</v>
      </c>
      <c r="AN449" s="98">
        <f t="shared" si="268"/>
        <v>12828.617894033958</v>
      </c>
      <c r="AO449" s="98">
        <f t="shared" si="269"/>
        <v>1.5707183760749304</v>
      </c>
      <c r="AP449" s="168" t="str">
        <f t="shared" si="270"/>
        <v>-0.000600949569104529+0.00770939926350026i</v>
      </c>
      <c r="AQ449" s="98">
        <f t="shared" si="271"/>
        <v>-42.233280310060117</v>
      </c>
      <c r="AR449" s="169">
        <f t="shared" si="272"/>
        <v>94.45720700153602</v>
      </c>
      <c r="AS449" s="168" t="str">
        <f t="shared" si="273"/>
        <v>-0.000125252394988695+0.000185181986870397i</v>
      </c>
      <c r="AT449" s="190">
        <f t="shared" si="274"/>
        <v>-73.011991366864208</v>
      </c>
      <c r="AU449" s="169">
        <f t="shared" si="275"/>
        <v>124.07342258132536</v>
      </c>
      <c r="AV449" s="225"/>
      <c r="AX449">
        <f t="shared" si="276"/>
        <v>0</v>
      </c>
      <c r="AY449">
        <f t="shared" si="277"/>
        <v>0</v>
      </c>
    </row>
    <row r="450" spans="14:51" x14ac:dyDescent="0.3">
      <c r="N450" s="170">
        <v>32</v>
      </c>
      <c r="O450" s="199">
        <f t="shared" si="278"/>
        <v>208929.61308540447</v>
      </c>
      <c r="P450" s="189" t="str">
        <f t="shared" si="244"/>
        <v>1078.86904761905</v>
      </c>
      <c r="Q450" s="160" t="str">
        <f t="shared" si="245"/>
        <v>1+41023.2335991541i</v>
      </c>
      <c r="R450" s="160">
        <f t="shared" si="253"/>
        <v>41023.233611342315</v>
      </c>
      <c r="S450" s="160">
        <f t="shared" si="254"/>
        <v>1.5707719503644677</v>
      </c>
      <c r="T450" s="160" t="str">
        <f t="shared" si="246"/>
        <v>1+0.0262548695034586i</v>
      </c>
      <c r="U450" s="160">
        <f t="shared" si="255"/>
        <v>1.0003445997118412</v>
      </c>
      <c r="V450" s="160">
        <f t="shared" si="256"/>
        <v>2.6248839344391425E-2</v>
      </c>
      <c r="W450" s="98" t="str">
        <f t="shared" si="247"/>
        <v>1-18.9885718196814i</v>
      </c>
      <c r="X450" s="160">
        <f t="shared" si="257"/>
        <v>19.014885215304314</v>
      </c>
      <c r="Y450" s="160">
        <f t="shared" si="258"/>
        <v>-1.5181816766776053</v>
      </c>
      <c r="Z450" s="98" t="str">
        <f t="shared" si="248"/>
        <v>-16.4606332896068+7.5001097990243i</v>
      </c>
      <c r="AA450" s="160">
        <f t="shared" si="259"/>
        <v>18.088783687476941</v>
      </c>
      <c r="AB450" s="160">
        <f t="shared" si="260"/>
        <v>2.7140590729920842</v>
      </c>
      <c r="AC450" s="171" t="str">
        <f t="shared" si="261"/>
        <v>0.0241838600872346+0.0134140583414915i</v>
      </c>
      <c r="AD450" s="190">
        <f t="shared" si="262"/>
        <v>-31.164543638120328</v>
      </c>
      <c r="AE450" s="169">
        <f t="shared" si="263"/>
        <v>29.015811538777054</v>
      </c>
      <c r="AF450" s="98" t="str">
        <f t="shared" si="249"/>
        <v>-9.95024875621891E-06</v>
      </c>
      <c r="AG450" s="98" t="str">
        <f t="shared" si="250"/>
        <v>1.3140562186481i</v>
      </c>
      <c r="AH450" s="98">
        <f t="shared" si="264"/>
        <v>1.3140562186481</v>
      </c>
      <c r="AI450" s="98">
        <f t="shared" si="265"/>
        <v>1.5707963267948966</v>
      </c>
      <c r="AJ450" s="98" t="str">
        <f t="shared" si="251"/>
        <v>1+13.114320431298i</v>
      </c>
      <c r="AK450" s="98">
        <f t="shared" si="266"/>
        <v>13.152391431780007</v>
      </c>
      <c r="AL450" s="98">
        <f t="shared" si="267"/>
        <v>1.4946910806387823</v>
      </c>
      <c r="AM450" s="98" t="str">
        <f t="shared" si="252"/>
        <v>1+13127.4347517293i</v>
      </c>
      <c r="AN450" s="98">
        <f t="shared" si="268"/>
        <v>13127.434789817473</v>
      </c>
      <c r="AO450" s="98">
        <f t="shared" si="269"/>
        <v>1.5707201504499382</v>
      </c>
      <c r="AP450" s="168" t="str">
        <f t="shared" si="270"/>
        <v>-0.000574058738378383+0.00753596240514854i</v>
      </c>
      <c r="AQ450" s="98">
        <f t="shared" si="271"/>
        <v>-42.432097270326985</v>
      </c>
      <c r="AR450" s="169">
        <f t="shared" si="272"/>
        <v>94.35614482048473</v>
      </c>
      <c r="AS450" s="168" t="str">
        <f t="shared" si="273"/>
        <v>-0.000114970795572746+0.000174548203020722i</v>
      </c>
      <c r="AT450" s="190">
        <f t="shared" si="274"/>
        <v>-73.596640908447299</v>
      </c>
      <c r="AU450" s="169">
        <f t="shared" si="275"/>
        <v>123.37195635926165</v>
      </c>
      <c r="AV450" s="225"/>
      <c r="AX450">
        <f t="shared" si="276"/>
        <v>0</v>
      </c>
      <c r="AY450">
        <f t="shared" si="277"/>
        <v>0</v>
      </c>
    </row>
    <row r="451" spans="14:51" x14ac:dyDescent="0.3">
      <c r="N451" s="170">
        <v>33</v>
      </c>
      <c r="O451" s="199">
        <f t="shared" si="278"/>
        <v>213796.20895022334</v>
      </c>
      <c r="P451" s="189" t="str">
        <f t="shared" si="244"/>
        <v>1078.86904761905</v>
      </c>
      <c r="Q451" s="160" t="str">
        <f t="shared" si="245"/>
        <v>1+41978.7874627106i</v>
      </c>
      <c r="R451" s="160">
        <f t="shared" si="253"/>
        <v>41978.787474621378</v>
      </c>
      <c r="S451" s="160">
        <f t="shared" si="254"/>
        <v>1.5707725052397672</v>
      </c>
      <c r="T451" s="160" t="str">
        <f t="shared" si="246"/>
        <v>1+0.0268664239761348i</v>
      </c>
      <c r="U451" s="160">
        <f t="shared" si="255"/>
        <v>1.0003608372668662</v>
      </c>
      <c r="V451" s="160">
        <f t="shared" si="256"/>
        <v>2.6859962670151689E-2</v>
      </c>
      <c r="W451" s="98" t="str">
        <f t="shared" si="247"/>
        <v>1-19.4308724764997i</v>
      </c>
      <c r="X451" s="160">
        <f t="shared" si="257"/>
        <v>19.456587706943726</v>
      </c>
      <c r="Y451" s="160">
        <f t="shared" si="258"/>
        <v>-1.5193771979374218</v>
      </c>
      <c r="Z451" s="98" t="str">
        <f t="shared" si="248"/>
        <v>-17.2835275845951+7.67480979867777i</v>
      </c>
      <c r="AA451" s="160">
        <f t="shared" si="259"/>
        <v>18.910923594931582</v>
      </c>
      <c r="AB451" s="160">
        <f t="shared" si="260"/>
        <v>2.7236948841483071</v>
      </c>
      <c r="AC451" s="171" t="str">
        <f t="shared" si="261"/>
        <v>0.0232613434133184+0.0125932138642873i</v>
      </c>
      <c r="AD451" s="190">
        <f t="shared" si="262"/>
        <v>-31.551010782595384</v>
      </c>
      <c r="AE451" s="169">
        <f t="shared" si="263"/>
        <v>28.430204900149899</v>
      </c>
      <c r="AF451" s="98" t="str">
        <f t="shared" si="249"/>
        <v>-9.95024875621891E-06</v>
      </c>
      <c r="AG451" s="98" t="str">
        <f t="shared" si="250"/>
        <v>1.34466452000555i</v>
      </c>
      <c r="AH451" s="98">
        <f t="shared" si="264"/>
        <v>1.34466452000555</v>
      </c>
      <c r="AI451" s="98">
        <f t="shared" si="265"/>
        <v>1.5707963267948966</v>
      </c>
      <c r="AJ451" s="98" t="str">
        <f t="shared" si="251"/>
        <v>1+13.4197921958715i</v>
      </c>
      <c r="AK451" s="98">
        <f t="shared" si="266"/>
        <v>13.456999018368606</v>
      </c>
      <c r="AL451" s="98">
        <f t="shared" si="267"/>
        <v>1.4964169914252743</v>
      </c>
      <c r="AM451" s="98" t="str">
        <f t="shared" si="252"/>
        <v>1+13433.2119880674i</v>
      </c>
      <c r="AN451" s="98">
        <f t="shared" si="268"/>
        <v>13433.21202528858</v>
      </c>
      <c r="AO451" s="98">
        <f t="shared" si="269"/>
        <v>1.5707218844352404</v>
      </c>
      <c r="AP451" s="168" t="str">
        <f t="shared" si="270"/>
        <v>-0.000548364512800972+0.00736633760955866i</v>
      </c>
      <c r="AQ451" s="98">
        <f t="shared" si="271"/>
        <v>-42.630967175236989</v>
      </c>
      <c r="AR451" s="169">
        <f t="shared" si="272"/>
        <v>94.257356766642189</v>
      </c>
      <c r="AS451" s="168" t="str">
        <f t="shared" si="273"/>
        <v>-0.000105521560161656+0.000164445237249099i</v>
      </c>
      <c r="AT451" s="190">
        <f t="shared" si="274"/>
        <v>-74.181977957832345</v>
      </c>
      <c r="AU451" s="169">
        <f t="shared" si="275"/>
        <v>122.68756166679215</v>
      </c>
      <c r="AV451" s="225"/>
      <c r="AX451">
        <f t="shared" si="276"/>
        <v>0</v>
      </c>
      <c r="AY451">
        <f t="shared" si="277"/>
        <v>0</v>
      </c>
    </row>
    <row r="452" spans="14:51" x14ac:dyDescent="0.3">
      <c r="N452" s="170">
        <v>34</v>
      </c>
      <c r="O452" s="199">
        <f t="shared" si="278"/>
        <v>218776.16239495538</v>
      </c>
      <c r="P452" s="189" t="str">
        <f t="shared" si="244"/>
        <v>1078.86904761905</v>
      </c>
      <c r="Q452" s="160" t="str">
        <f t="shared" si="245"/>
        <v>1+42956.599035035i</v>
      </c>
      <c r="R452" s="160">
        <f t="shared" si="253"/>
        <v>42956.599046674659</v>
      </c>
      <c r="S452" s="160">
        <f t="shared" si="254"/>
        <v>1.5707730474845629</v>
      </c>
      <c r="T452" s="160" t="str">
        <f t="shared" si="246"/>
        <v>1+0.0274922233824224i</v>
      </c>
      <c r="U452" s="160">
        <f t="shared" si="255"/>
        <v>1.0003778397918004</v>
      </c>
      <c r="V452" s="160">
        <f t="shared" si="256"/>
        <v>2.7485300109547361E-2</v>
      </c>
      <c r="W452" s="98" t="str">
        <f t="shared" si="247"/>
        <v>1-19.8834756391032i</v>
      </c>
      <c r="X452" s="160">
        <f t="shared" si="257"/>
        <v>19.908606266909054</v>
      </c>
      <c r="Y452" s="160">
        <f t="shared" si="258"/>
        <v>-1.520545647981715</v>
      </c>
      <c r="Z452" s="98" t="str">
        <f t="shared" si="248"/>
        <v>-18.1452036929056+7.85357908407463i</v>
      </c>
      <c r="AA452" s="160">
        <f t="shared" si="259"/>
        <v>19.771877034992141</v>
      </c>
      <c r="AB452" s="160">
        <f t="shared" si="260"/>
        <v>2.7331183838064161</v>
      </c>
      <c r="AC452" s="171" t="str">
        <f t="shared" si="261"/>
        <v>0.0223664396835652+0.0118220004320659i</v>
      </c>
      <c r="AD452" s="190">
        <f t="shared" si="262"/>
        <v>-31.93808274210998</v>
      </c>
      <c r="AE452" s="169">
        <f t="shared" si="263"/>
        <v>27.859129013097988</v>
      </c>
      <c r="AF452" s="98" t="str">
        <f t="shared" si="249"/>
        <v>-9.95024875621891E-06</v>
      </c>
      <c r="AG452" s="98" t="str">
        <f t="shared" si="250"/>
        <v>1.37598578029024i</v>
      </c>
      <c r="AH452" s="98">
        <f t="shared" si="264"/>
        <v>1.37598578029024</v>
      </c>
      <c r="AI452" s="98">
        <f t="shared" si="265"/>
        <v>1.5707963267948966</v>
      </c>
      <c r="AJ452" s="98" t="str">
        <f t="shared" si="251"/>
        <v>1+13.7323793118993i</v>
      </c>
      <c r="AK452" s="98">
        <f t="shared" si="266"/>
        <v>13.76874146630257</v>
      </c>
      <c r="AL452" s="98">
        <f t="shared" si="267"/>
        <v>1.4981040447636855</v>
      </c>
      <c r="AM452" s="98" t="str">
        <f t="shared" si="252"/>
        <v>1+13746.1116912112i</v>
      </c>
      <c r="AN452" s="98">
        <f t="shared" si="268"/>
        <v>13746.111727585121</v>
      </c>
      <c r="AO452" s="98">
        <f t="shared" si="269"/>
        <v>1.5707235789502187</v>
      </c>
      <c r="AP452" s="168" t="str">
        <f t="shared" si="270"/>
        <v>-0.000523814230350405+0.00720044706030519i</v>
      </c>
      <c r="AQ452" s="98">
        <f t="shared" si="271"/>
        <v>-42.829887668223009</v>
      </c>
      <c r="AR452" s="169">
        <f t="shared" si="272"/>
        <v>94.160792819094354</v>
      </c>
      <c r="AS452" s="168" t="str">
        <f t="shared" si="273"/>
        <v>-0.0000968395476465211+0.000154855832811496i</v>
      </c>
      <c r="AT452" s="190">
        <f t="shared" si="274"/>
        <v>-74.767970410332978</v>
      </c>
      <c r="AU452" s="169">
        <f t="shared" si="275"/>
        <v>122.0199218321923</v>
      </c>
      <c r="AV452" s="225"/>
      <c r="AX452">
        <f t="shared" si="276"/>
        <v>0</v>
      </c>
      <c r="AY452">
        <f t="shared" si="277"/>
        <v>0</v>
      </c>
    </row>
    <row r="453" spans="14:51" x14ac:dyDescent="0.3">
      <c r="N453" s="170">
        <v>35</v>
      </c>
      <c r="O453" s="199">
        <f t="shared" si="278"/>
        <v>223872.11385683404</v>
      </c>
      <c r="P453" s="189" t="str">
        <f t="shared" si="244"/>
        <v>1078.86904761905</v>
      </c>
      <c r="Q453" s="160" t="str">
        <f t="shared" si="245"/>
        <v>1+43957.1867647656i</v>
      </c>
      <c r="R453" s="160">
        <f t="shared" si="253"/>
        <v>43957.186776140305</v>
      </c>
      <c r="S453" s="160">
        <f t="shared" si="254"/>
        <v>1.57077357738636</v>
      </c>
      <c r="T453" s="160" t="str">
        <f t="shared" si="246"/>
        <v>1+0.02813259952945i</v>
      </c>
      <c r="U453" s="160">
        <f t="shared" si="255"/>
        <v>1.0003956433113272</v>
      </c>
      <c r="V453" s="160">
        <f t="shared" si="256"/>
        <v>2.81251812673558E-2</v>
      </c>
      <c r="W453" s="98" t="str">
        <f t="shared" si="247"/>
        <v>1-20.3466212836794i</v>
      </c>
      <c r="X453" s="160">
        <f t="shared" si="257"/>
        <v>20.371180566218435</v>
      </c>
      <c r="Y453" s="160">
        <f t="shared" si="258"/>
        <v>-1.5216876335688698</v>
      </c>
      <c r="Z453" s="98" t="str">
        <f t="shared" si="248"/>
        <v>-19.0474893450911+8.03651244105629i</v>
      </c>
      <c r="AA453" s="160">
        <f t="shared" si="259"/>
        <v>20.673470501263484</v>
      </c>
      <c r="AB453" s="160">
        <f t="shared" si="260"/>
        <v>2.7423338736008898</v>
      </c>
      <c r="AC453" s="171" t="str">
        <f t="shared" si="261"/>
        <v>0.0214990412483493+0.0110975858174342i</v>
      </c>
      <c r="AD453" s="190">
        <f t="shared" si="262"/>
        <v>-32.325731106738587</v>
      </c>
      <c r="AE453" s="169">
        <f t="shared" si="263"/>
        <v>27.302321515916102</v>
      </c>
      <c r="AF453" s="98" t="str">
        <f t="shared" si="249"/>
        <v>-9.95024875621891E-06</v>
      </c>
      <c r="AG453" s="98" t="str">
        <f t="shared" si="250"/>
        <v>1.40803660644897i</v>
      </c>
      <c r="AH453" s="98">
        <f t="shared" si="264"/>
        <v>1.40803660644897</v>
      </c>
      <c r="AI453" s="98">
        <f t="shared" si="265"/>
        <v>1.5707963267948966</v>
      </c>
      <c r="AJ453" s="98" t="str">
        <f t="shared" si="251"/>
        <v>1+14.0522475172078i</v>
      </c>
      <c r="AK453" s="98">
        <f t="shared" si="266"/>
        <v>14.087784080006079</v>
      </c>
      <c r="AL453" s="98">
        <f t="shared" si="267"/>
        <v>1.4997530967176644</v>
      </c>
      <c r="AM453" s="98" t="str">
        <f t="shared" si="252"/>
        <v>1+14066.299764725i</v>
      </c>
      <c r="AN453" s="98">
        <f t="shared" si="268"/>
        <v>14066.29980027095</v>
      </c>
      <c r="AO453" s="98">
        <f t="shared" si="269"/>
        <v>1.5707252348933276</v>
      </c>
      <c r="AP453" s="168" t="str">
        <f t="shared" si="270"/>
        <v>-0.00050035749536961+0.00703821412633317i</v>
      </c>
      <c r="AQ453" s="98">
        <f t="shared" si="271"/>
        <v>-43.028856496482206</v>
      </c>
      <c r="AR453" s="169">
        <f t="shared" si="272"/>
        <v>94.066403980484807</v>
      </c>
      <c r="AS453" s="168" t="str">
        <f t="shared" si="273"/>
        <v>-0.000088864391700332+0.000145762095572491i</v>
      </c>
      <c r="AT453" s="190">
        <f t="shared" si="274"/>
        <v>-75.354587603220779</v>
      </c>
      <c r="AU453" s="169">
        <f t="shared" si="275"/>
        <v>121.36872549640088</v>
      </c>
      <c r="AV453" s="225"/>
      <c r="AX453">
        <f t="shared" si="276"/>
        <v>0</v>
      </c>
      <c r="AY453">
        <f t="shared" si="277"/>
        <v>0</v>
      </c>
    </row>
    <row r="454" spans="14:51" x14ac:dyDescent="0.3">
      <c r="N454" s="170">
        <v>36</v>
      </c>
      <c r="O454" s="199">
        <f t="shared" si="278"/>
        <v>229086.76527677779</v>
      </c>
      <c r="P454" s="189" t="str">
        <f t="shared" si="244"/>
        <v>1078.86904761905</v>
      </c>
      <c r="Q454" s="160" t="str">
        <f t="shared" si="245"/>
        <v>1+44981.0811767609i</v>
      </c>
      <c r="R454" s="160">
        <f t="shared" si="253"/>
        <v>44981.081187876684</v>
      </c>
      <c r="S454" s="160">
        <f t="shared" si="254"/>
        <v>1.5707740952261198</v>
      </c>
      <c r="T454" s="160" t="str">
        <f t="shared" si="246"/>
        <v>1+0.028787891953127i</v>
      </c>
      <c r="U454" s="160">
        <f t="shared" si="255"/>
        <v>1.000414285545296</v>
      </c>
      <c r="V454" s="160">
        <f t="shared" si="256"/>
        <v>2.8779943319852775E-2</v>
      </c>
      <c r="W454" s="98" t="str">
        <f t="shared" si="247"/>
        <v>1-20.8205549761796i</v>
      </c>
      <c r="X454" s="160">
        <f t="shared" si="257"/>
        <v>20.844555872364303</v>
      </c>
      <c r="Y454" s="160">
        <f t="shared" si="258"/>
        <v>-1.5228037482736019</v>
      </c>
      <c r="Z454" s="98" t="str">
        <f t="shared" si="248"/>
        <v>-19.9922984099911+8.22370686330999i</v>
      </c>
      <c r="AA454" s="160">
        <f t="shared" si="259"/>
        <v>21.617616665298343</v>
      </c>
      <c r="AB454" s="160">
        <f t="shared" si="260"/>
        <v>2.7513455987705973</v>
      </c>
      <c r="AC454" s="171" t="str">
        <f t="shared" si="261"/>
        <v>0.0206589566656961+0.0104172784440183i</v>
      </c>
      <c r="AD454" s="190">
        <f t="shared" si="262"/>
        <v>-32.71392874403648</v>
      </c>
      <c r="AE454" s="169">
        <f t="shared" si="263"/>
        <v>26.759524467686848</v>
      </c>
      <c r="AF454" s="98" t="str">
        <f t="shared" si="249"/>
        <v>-9.95024875621891E-06</v>
      </c>
      <c r="AG454" s="98" t="str">
        <f t="shared" si="250"/>
        <v>1.44083399225401i</v>
      </c>
      <c r="AH454" s="98">
        <f t="shared" si="264"/>
        <v>1.4408339922540101</v>
      </c>
      <c r="AI454" s="98">
        <f t="shared" si="265"/>
        <v>1.5707963267948966</v>
      </c>
      <c r="AJ454" s="98" t="str">
        <f t="shared" si="251"/>
        <v>1+14.3795664101533i</v>
      </c>
      <c r="AK454" s="98">
        <f t="shared" si="266"/>
        <v>14.414296033591411</v>
      </c>
      <c r="AL454" s="98">
        <f t="shared" si="267"/>
        <v>1.5013649857411717</v>
      </c>
      <c r="AM454" s="98" t="str">
        <f t="shared" si="252"/>
        <v>1+14393.9459765635i</v>
      </c>
      <c r="AN454" s="98">
        <f t="shared" si="268"/>
        <v>14393.946011300326</v>
      </c>
      <c r="AO454" s="98">
        <f t="shared" si="269"/>
        <v>1.5707268531425695</v>
      </c>
      <c r="AP454" s="168" t="str">
        <f t="shared" si="270"/>
        <v>-0.000477946085538051+0.00687956337280956i</v>
      </c>
      <c r="AQ454" s="98">
        <f t="shared" si="271"/>
        <v>-43.227871506505593</v>
      </c>
      <c r="AR454" s="169">
        <f t="shared" si="272"/>
        <v>93.974142261246143</v>
      </c>
      <c r="AS454" s="168" t="str">
        <f t="shared" si="273"/>
        <v>-0.0000815401946974966+0.000137145704143504i</v>
      </c>
      <c r="AT454" s="190">
        <f t="shared" si="274"/>
        <v>-75.941800250542087</v>
      </c>
      <c r="AU454" s="169">
        <f t="shared" si="275"/>
        <v>120.73366672893307</v>
      </c>
      <c r="AV454" s="225"/>
      <c r="AX454">
        <f t="shared" si="276"/>
        <v>0</v>
      </c>
      <c r="AY454">
        <f t="shared" si="277"/>
        <v>0</v>
      </c>
    </row>
    <row r="455" spans="14:51" x14ac:dyDescent="0.3">
      <c r="N455" s="170">
        <v>37</v>
      </c>
      <c r="O455" s="199">
        <f t="shared" si="278"/>
        <v>234422.88153199267</v>
      </c>
      <c r="P455" s="189" t="str">
        <f t="shared" si="244"/>
        <v>1078.86904761905</v>
      </c>
      <c r="Q455" s="160" t="str">
        <f t="shared" si="245"/>
        <v>1+46028.8251533912i</v>
      </c>
      <c r="R455" s="160">
        <f t="shared" si="253"/>
        <v>46028.825164253954</v>
      </c>
      <c r="S455" s="160">
        <f t="shared" si="254"/>
        <v>1.5707746012784076</v>
      </c>
      <c r="T455" s="160" t="str">
        <f t="shared" si="246"/>
        <v>1+0.0294584480981704i</v>
      </c>
      <c r="U455" s="160">
        <f t="shared" si="255"/>
        <v>1.0004338059883584</v>
      </c>
      <c r="V455" s="160">
        <f t="shared" si="256"/>
        <v>2.9449931183618307E-2</v>
      </c>
      <c r="W455" s="98" t="str">
        <f t="shared" si="247"/>
        <v>1-21.3055280025208i</v>
      </c>
      <c r="X455" s="160">
        <f t="shared" si="257"/>
        <v>21.328983179378191</v>
      </c>
      <c r="Y455" s="160">
        <f t="shared" si="258"/>
        <v>-1.5238945727455209</v>
      </c>
      <c r="Z455" s="98" t="str">
        <f t="shared" si="248"/>
        <v>-20.9816349543052+8.41526160379627i</v>
      </c>
      <c r="AA455" s="160">
        <f t="shared" si="259"/>
        <v>22.606318435695133</v>
      </c>
      <c r="AB455" s="160">
        <f t="shared" si="260"/>
        <v>2.7601577461106555</v>
      </c>
      <c r="AC455" s="171" t="str">
        <f t="shared" si="261"/>
        <v>0.0198459208563717+0.00977852286485035i</v>
      </c>
      <c r="AD455" s="190">
        <f t="shared" si="262"/>
        <v>-33.102649740562292</v>
      </c>
      <c r="AE455" s="169">
        <f t="shared" si="263"/>
        <v>26.230484460482021</v>
      </c>
      <c r="AF455" s="98" t="str">
        <f t="shared" si="249"/>
        <v>-9.95024875621891E-06</v>
      </c>
      <c r="AG455" s="98" t="str">
        <f t="shared" si="250"/>
        <v>1.47439532731343i</v>
      </c>
      <c r="AH455" s="98">
        <f t="shared" si="264"/>
        <v>1.47439532731343</v>
      </c>
      <c r="AI455" s="98">
        <f t="shared" si="265"/>
        <v>1.5707963267948966</v>
      </c>
      <c r="AJ455" s="98" t="str">
        <f t="shared" si="251"/>
        <v>1+14.7145095395457i</v>
      </c>
      <c r="AK455" s="98">
        <f t="shared" si="266"/>
        <v>14.748450460620649</v>
      </c>
      <c r="AL455" s="98">
        <f t="shared" si="267"/>
        <v>1.5029405329563896</v>
      </c>
      <c r="AM455" s="98" t="str">
        <f t="shared" si="252"/>
        <v>1+14729.2240490852i</v>
      </c>
      <c r="AN455" s="98">
        <f t="shared" si="268"/>
        <v>14729.224083031319</v>
      </c>
      <c r="AO455" s="98">
        <f t="shared" si="269"/>
        <v>1.570728434555962</v>
      </c>
      <c r="AP455" s="168" t="str">
        <f t="shared" si="270"/>
        <v>-0.00045653386226106+0.0067244205693386i</v>
      </c>
      <c r="AQ455" s="98">
        <f t="shared" si="271"/>
        <v>-43.426930639791976</v>
      </c>
      <c r="AR455" s="169">
        <f t="shared" si="272"/>
        <v>93.883960663703604</v>
      </c>
      <c r="AS455" s="168" t="str">
        <f t="shared" si="273"/>
        <v>-0.0000748152351888342+0.000128988091613354i</v>
      </c>
      <c r="AT455" s="190">
        <f t="shared" si="274"/>
        <v>-76.529580380354247</v>
      </c>
      <c r="AU455" s="169">
        <f t="shared" si="275"/>
        <v>120.11444512418555</v>
      </c>
      <c r="AV455" s="225"/>
      <c r="AX455">
        <f t="shared" si="276"/>
        <v>0</v>
      </c>
      <c r="AY455">
        <f t="shared" si="277"/>
        <v>0</v>
      </c>
    </row>
    <row r="456" spans="14:51" x14ac:dyDescent="0.3">
      <c r="N456" s="170">
        <v>38</v>
      </c>
      <c r="O456" s="199">
        <f t="shared" si="278"/>
        <v>239883.29190194907</v>
      </c>
      <c r="P456" s="189" t="str">
        <f t="shared" si="244"/>
        <v>1078.86904761905</v>
      </c>
      <c r="Q456" s="160" t="str">
        <f t="shared" si="245"/>
        <v>1+47100.9742223813i</v>
      </c>
      <c r="R456" s="160">
        <f t="shared" si="253"/>
        <v>47100.974232996792</v>
      </c>
      <c r="S456" s="160">
        <f t="shared" si="254"/>
        <v>1.570775095811539</v>
      </c>
      <c r="T456" s="160" t="str">
        <f t="shared" si="246"/>
        <v>1+0.030144623502324i</v>
      </c>
      <c r="U456" s="160">
        <f t="shared" si="255"/>
        <v>1.0004542459933372</v>
      </c>
      <c r="V456" s="160">
        <f t="shared" si="256"/>
        <v>3.0135497687735859E-2</v>
      </c>
      <c r="W456" s="98" t="str">
        <f t="shared" si="247"/>
        <v>1-21.8017975018208i</v>
      </c>
      <c r="X456" s="160">
        <f t="shared" si="257"/>
        <v>21.824719340930816</v>
      </c>
      <c r="Y456" s="160">
        <f t="shared" si="258"/>
        <v>-1.524960674964537</v>
      </c>
      <c r="Z456" s="98" t="str">
        <f t="shared" si="248"/>
        <v>-22.0175974934864+8.611278227374i</v>
      </c>
      <c r="AA456" s="160">
        <f t="shared" si="259"/>
        <v>23.641673208434803</v>
      </c>
      <c r="AB456" s="160">
        <f t="shared" si="260"/>
        <v>2.7687744422401486</v>
      </c>
      <c r="AC456" s="171" t="str">
        <f t="shared" si="261"/>
        <v>0.0190596044160156+0.00917889506904141i</v>
      </c>
      <c r="AD456" s="190">
        <f t="shared" si="262"/>
        <v>-33.491869345610311</v>
      </c>
      <c r="AE456" s="169">
        <f t="shared" si="263"/>
        <v>25.714952713836528</v>
      </c>
      <c r="AF456" s="98" t="str">
        <f t="shared" si="249"/>
        <v>-9.95024875621891E-06</v>
      </c>
      <c r="AG456" s="98" t="str">
        <f t="shared" si="250"/>
        <v>1.50873840629131i</v>
      </c>
      <c r="AH456" s="98">
        <f t="shared" si="264"/>
        <v>1.5087384062913101</v>
      </c>
      <c r="AI456" s="98">
        <f t="shared" si="265"/>
        <v>1.5707963267948966</v>
      </c>
      <c r="AJ456" s="98" t="str">
        <f t="shared" si="251"/>
        <v>1+15.0572544966653i</v>
      </c>
      <c r="AK456" s="98">
        <f t="shared" si="266"/>
        <v>15.090424545961168</v>
      </c>
      <c r="AL456" s="98">
        <f t="shared" si="267"/>
        <v>1.5044805424332532</v>
      </c>
      <c r="AM456" s="98" t="str">
        <f t="shared" si="252"/>
        <v>1+15072.311751162i</v>
      </c>
      <c r="AN456" s="98">
        <f t="shared" si="268"/>
        <v>15072.31178433541</v>
      </c>
      <c r="AO456" s="98">
        <f t="shared" si="269"/>
        <v>1.5707299799719909</v>
      </c>
      <c r="AP456" s="168" t="str">
        <f t="shared" si="270"/>
        <v>-0.000436076684388195+0.00657271269574686i</v>
      </c>
      <c r="AQ456" s="98">
        <f t="shared" si="271"/>
        <v>-43.626031928738158</v>
      </c>
      <c r="AR456" s="169">
        <f t="shared" si="272"/>
        <v>93.795813166085225</v>
      </c>
      <c r="AS456" s="168" t="str">
        <f t="shared" si="273"/>
        <v>-0.0000686416892527034+0.000121270601793004i</v>
      </c>
      <c r="AT456" s="190">
        <f t="shared" si="274"/>
        <v>-77.117901274348469</v>
      </c>
      <c r="AU456" s="169">
        <f t="shared" si="275"/>
        <v>119.51076587992172</v>
      </c>
      <c r="AV456" s="225"/>
      <c r="AX456">
        <f t="shared" si="276"/>
        <v>0</v>
      </c>
      <c r="AY456">
        <f t="shared" si="277"/>
        <v>0</v>
      </c>
    </row>
    <row r="457" spans="14:51" x14ac:dyDescent="0.3">
      <c r="N457" s="170">
        <v>39</v>
      </c>
      <c r="O457" s="199">
        <f t="shared" si="278"/>
        <v>245470.89156850305</v>
      </c>
      <c r="P457" s="189" t="str">
        <f t="shared" si="244"/>
        <v>1078.86904761905</v>
      </c>
      <c r="Q457" s="160" t="str">
        <f t="shared" si="245"/>
        <v>1+48198.0968513591i</v>
      </c>
      <c r="R457" s="160">
        <f t="shared" si="253"/>
        <v>48198.096861732949</v>
      </c>
      <c r="S457" s="160">
        <f t="shared" si="254"/>
        <v>1.5707755790877218</v>
      </c>
      <c r="T457" s="160" t="str">
        <f t="shared" si="246"/>
        <v>1+0.0308467819848698i</v>
      </c>
      <c r="U457" s="160">
        <f t="shared" si="255"/>
        <v>1.0004756488584927</v>
      </c>
      <c r="V457" s="160">
        <f t="shared" si="256"/>
        <v>3.083700374942781E-2</v>
      </c>
      <c r="W457" s="98" t="str">
        <f t="shared" si="247"/>
        <v>1-22.3096266027372i</v>
      </c>
      <c r="X457" s="160">
        <f t="shared" si="257"/>
        <v>22.332027206538132</v>
      </c>
      <c r="Y457" s="160">
        <f t="shared" si="258"/>
        <v>-1.5260026104930129</v>
      </c>
      <c r="Z457" s="98" t="str">
        <f t="shared" si="248"/>
        <v>-23.1023834429743+8.81186066465163i</v>
      </c>
      <c r="AA457" s="160">
        <f t="shared" si="259"/>
        <v>24.725877317487598</v>
      </c>
      <c r="AB457" s="160">
        <f t="shared" si="260"/>
        <v>2.7771997521574474</v>
      </c>
      <c r="AC457" s="171" t="str">
        <f t="shared" si="261"/>
        <v>0.0182996221348307+0.00861609767139378i</v>
      </c>
      <c r="AD457" s="190">
        <f t="shared" si="262"/>
        <v>-33.881563917119983</v>
      </c>
      <c r="AE457" s="169">
        <f t="shared" si="263"/>
        <v>25.212685153131254</v>
      </c>
      <c r="AF457" s="98" t="str">
        <f t="shared" si="249"/>
        <v>-9.95024875621891E-06</v>
      </c>
      <c r="AG457" s="98" t="str">
        <f t="shared" si="250"/>
        <v>1.54388143834274i</v>
      </c>
      <c r="AH457" s="98">
        <f t="shared" si="264"/>
        <v>1.5438814383427399</v>
      </c>
      <c r="AI457" s="98">
        <f t="shared" si="265"/>
        <v>1.5707963267948966</v>
      </c>
      <c r="AJ457" s="98" t="str">
        <f t="shared" si="251"/>
        <v>1+15.4079830094255i</v>
      </c>
      <c r="AK457" s="98">
        <f t="shared" si="266"/>
        <v>15.440399619787852</v>
      </c>
      <c r="AL457" s="98">
        <f t="shared" si="267"/>
        <v>1.5059858014700827</v>
      </c>
      <c r="AM457" s="98" t="str">
        <f t="shared" si="252"/>
        <v>1+15423.3909924349i</v>
      </c>
      <c r="AN457" s="98">
        <f t="shared" si="268"/>
        <v>15423.391024853192</v>
      </c>
      <c r="AO457" s="98">
        <f t="shared" si="269"/>
        <v>1.5707314902100569</v>
      </c>
      <c r="AP457" s="168" t="str">
        <f t="shared" si="270"/>
        <v>-0.000416532325170226+0.00642436794562845i</v>
      </c>
      <c r="AQ457" s="98">
        <f t="shared" si="271"/>
        <v>-43.825173492701246</v>
      </c>
      <c r="AR457" s="169">
        <f t="shared" si="272"/>
        <v>93.709654706468214</v>
      </c>
      <c r="AS457" s="168" t="str">
        <f t="shared" si="273"/>
        <v>-0.0000629753658540637+0.00011397462266316i</v>
      </c>
      <c r="AT457" s="190">
        <f t="shared" si="274"/>
        <v>-77.706737409821216</v>
      </c>
      <c r="AU457" s="169">
        <f t="shared" si="275"/>
        <v>118.92233985959942</v>
      </c>
      <c r="AV457" s="225"/>
      <c r="AX457">
        <f t="shared" si="276"/>
        <v>0</v>
      </c>
      <c r="AY457">
        <f t="shared" si="277"/>
        <v>0</v>
      </c>
    </row>
    <row r="458" spans="14:51" x14ac:dyDescent="0.3">
      <c r="N458" s="170">
        <v>40</v>
      </c>
      <c r="O458" s="199">
        <f t="shared" si="278"/>
        <v>251188.64315095844</v>
      </c>
      <c r="P458" s="189" t="str">
        <f t="shared" si="244"/>
        <v>1078.86904761905</v>
      </c>
      <c r="Q458" s="160" t="str">
        <f t="shared" si="245"/>
        <v>1+49320.774749265i</v>
      </c>
      <c r="R458" s="160">
        <f t="shared" si="253"/>
        <v>49320.774759402724</v>
      </c>
      <c r="S458" s="160">
        <f t="shared" si="254"/>
        <v>1.5707760513631956</v>
      </c>
      <c r="T458" s="160" t="str">
        <f t="shared" si="246"/>
        <v>1+0.0315652958395296i</v>
      </c>
      <c r="U458" s="160">
        <f t="shared" si="255"/>
        <v>1.0004980599188771</v>
      </c>
      <c r="V458" s="160">
        <f t="shared" si="256"/>
        <v>3.1554818553164533E-2</v>
      </c>
      <c r="W458" s="98" t="str">
        <f t="shared" si="247"/>
        <v>1-22.8292845629814i</v>
      </c>
      <c r="X458" s="160">
        <f t="shared" si="257"/>
        <v>22.851175760944574</v>
      </c>
      <c r="Y458" s="160">
        <f t="shared" si="258"/>
        <v>-1.5270209227245595</v>
      </c>
      <c r="Z458" s="98" t="str">
        <f t="shared" si="248"/>
        <v>-24.2382937792079+9.01711526709247i</v>
      </c>
      <c r="AA458" s="160">
        <f t="shared" si="259"/>
        <v>25.861230695139405</v>
      </c>
      <c r="AB458" s="160">
        <f t="shared" si="260"/>
        <v>2.7854376780569448</v>
      </c>
      <c r="AC458" s="171" t="str">
        <f t="shared" si="261"/>
        <v>0.0175655407744821+0.00808795503249973i</v>
      </c>
      <c r="AD458" s="190">
        <f t="shared" si="262"/>
        <v>-34.271710869718675</v>
      </c>
      <c r="AE458" s="169">
        <f t="shared" si="263"/>
        <v>24.723442473388992</v>
      </c>
      <c r="AF458" s="98" t="str">
        <f t="shared" si="249"/>
        <v>-9.95024875621891E-06</v>
      </c>
      <c r="AG458" s="98" t="str">
        <f t="shared" si="250"/>
        <v>1.57984305676845i</v>
      </c>
      <c r="AH458" s="98">
        <f t="shared" si="264"/>
        <v>1.57984305676845</v>
      </c>
      <c r="AI458" s="98">
        <f t="shared" si="265"/>
        <v>1.5707963267948966</v>
      </c>
      <c r="AJ458" s="98" t="str">
        <f t="shared" si="251"/>
        <v>1+15.7668810387261i</v>
      </c>
      <c r="AK458" s="98">
        <f t="shared" si="266"/>
        <v>15.798561253776896</v>
      </c>
      <c r="AL458" s="98">
        <f t="shared" si="267"/>
        <v>1.507457080874792</v>
      </c>
      <c r="AM458" s="98" t="str">
        <f t="shared" si="252"/>
        <v>1+15782.6479197648i</v>
      </c>
      <c r="AN458" s="98">
        <f t="shared" si="268"/>
        <v>15782.64795144516</v>
      </c>
      <c r="AO458" s="98">
        <f t="shared" si="269"/>
        <v>1.5707329660709075</v>
      </c>
      <c r="AP458" s="168" t="str">
        <f t="shared" si="270"/>
        <v>-0.000397860392364089+0.00627931572783318i</v>
      </c>
      <c r="AQ458" s="98">
        <f t="shared" si="271"/>
        <v>-44.024353534222776</v>
      </c>
      <c r="AR458" s="169">
        <f t="shared" si="272"/>
        <v>93.625441166691729</v>
      </c>
      <c r="AS458" s="168" t="str">
        <f t="shared" si="273"/>
        <v>-0.0000577754561862059+0.000107081699490447i</v>
      </c>
      <c r="AT458" s="190">
        <f t="shared" si="274"/>
        <v>-78.296064403941457</v>
      </c>
      <c r="AU458" s="169">
        <f t="shared" si="275"/>
        <v>118.34888364008073</v>
      </c>
      <c r="AV458" s="225"/>
      <c r="AX458">
        <f t="shared" si="276"/>
        <v>0</v>
      </c>
      <c r="AY458">
        <f t="shared" si="277"/>
        <v>0</v>
      </c>
    </row>
    <row r="459" spans="14:51" x14ac:dyDescent="0.3">
      <c r="N459" s="170">
        <v>41</v>
      </c>
      <c r="O459" s="199">
        <f t="shared" si="278"/>
        <v>257039.57827688678</v>
      </c>
      <c r="P459" s="189" t="str">
        <f t="shared" si="244"/>
        <v>1078.86904761905</v>
      </c>
      <c r="Q459" s="160" t="str">
        <f t="shared" si="245"/>
        <v>1+50469.6031747803i</v>
      </c>
      <c r="R459" s="160">
        <f t="shared" si="253"/>
        <v>50469.60318468725</v>
      </c>
      <c r="S459" s="160">
        <f t="shared" si="254"/>
        <v>1.5707765128883675</v>
      </c>
      <c r="T459" s="160" t="str">
        <f t="shared" si="246"/>
        <v>1+0.0323005460318594i</v>
      </c>
      <c r="U459" s="160">
        <f t="shared" si="255"/>
        <v>1.0005215266419589</v>
      </c>
      <c r="V459" s="160">
        <f t="shared" si="256"/>
        <v>3.2289319733284645E-2</v>
      </c>
      <c r="W459" s="98" t="str">
        <f t="shared" si="247"/>
        <v>1-23.361046912082i</v>
      </c>
      <c r="X459" s="160">
        <f t="shared" si="257"/>
        <v>23.382440266757783</v>
      </c>
      <c r="Y459" s="160">
        <f t="shared" si="258"/>
        <v>-1.5280161431293999</v>
      </c>
      <c r="Z459" s="98" t="str">
        <f t="shared" si="248"/>
        <v>-25.4277379203039+9.2271508634035i</v>
      </c>
      <c r="AA459" s="160">
        <f t="shared" si="259"/>
        <v>27.050141751933001</v>
      </c>
      <c r="AB459" s="160">
        <f t="shared" si="260"/>
        <v>2.7934921583830219</v>
      </c>
      <c r="AC459" s="171" t="str">
        <f t="shared" si="261"/>
        <v>0.0168568861506195+0.00759240835043499i</v>
      </c>
      <c r="AD459" s="190">
        <f t="shared" si="262"/>
        <v>-34.662288624848465</v>
      </c>
      <c r="AE459" s="169">
        <f t="shared" si="263"/>
        <v>24.246990189874882</v>
      </c>
      <c r="AF459" s="98" t="str">
        <f t="shared" si="249"/>
        <v>-9.95024875621891E-06</v>
      </c>
      <c r="AG459" s="98" t="str">
        <f t="shared" si="250"/>
        <v>1.61664232889457i</v>
      </c>
      <c r="AH459" s="98">
        <f t="shared" si="264"/>
        <v>1.6166423288945699</v>
      </c>
      <c r="AI459" s="98">
        <f t="shared" si="265"/>
        <v>1.5707963267948966</v>
      </c>
      <c r="AJ459" s="98" t="str">
        <f t="shared" si="251"/>
        <v>1+16.1341388770526i</v>
      </c>
      <c r="AK459" s="98">
        <f t="shared" si="266"/>
        <v>16.165099359546794</v>
      </c>
      <c r="AL459" s="98">
        <f t="shared" si="267"/>
        <v>1.5088951352462407</v>
      </c>
      <c r="AM459" s="98" t="str">
        <f t="shared" si="252"/>
        <v>1+16150.2730159297i</v>
      </c>
      <c r="AN459" s="98">
        <f t="shared" si="268"/>
        <v>16150.273046888929</v>
      </c>
      <c r="AO459" s="98">
        <f t="shared" si="269"/>
        <v>1.570734408337064</v>
      </c>
      <c r="AP459" s="168" t="str">
        <f t="shared" si="270"/>
        <v>-0.000380022251393961+0.00613748666606289i</v>
      </c>
      <c r="AQ459" s="98">
        <f t="shared" si="271"/>
        <v>-44.223570335412667</v>
      </c>
      <c r="AR459" s="169">
        <f t="shared" si="272"/>
        <v>93.543129356261076</v>
      </c>
      <c r="AS459" s="168" t="str">
        <f t="shared" si="273"/>
        <v>-0.0000530042968405494+0.000100573629865933i</v>
      </c>
      <c r="AT459" s="190">
        <f t="shared" si="274"/>
        <v>-78.885858960261118</v>
      </c>
      <c r="AU459" s="169">
        <f t="shared" si="275"/>
        <v>117.79011954613593</v>
      </c>
      <c r="AV459" s="225"/>
      <c r="AX459">
        <f t="shared" si="276"/>
        <v>0</v>
      </c>
      <c r="AY459">
        <f t="shared" si="277"/>
        <v>0</v>
      </c>
    </row>
    <row r="460" spans="14:51" x14ac:dyDescent="0.3">
      <c r="N460" s="170">
        <v>42</v>
      </c>
      <c r="O460" s="199">
        <f t="shared" si="278"/>
        <v>263026.79918953858</v>
      </c>
      <c r="P460" s="189" t="str">
        <f t="shared" si="244"/>
        <v>1078.86904761905</v>
      </c>
      <c r="Q460" s="160" t="str">
        <f t="shared" si="245"/>
        <v>1+51645.1912519431i</v>
      </c>
      <c r="R460" s="160">
        <f t="shared" si="253"/>
        <v>51645.191261624546</v>
      </c>
      <c r="S460" s="160">
        <f t="shared" si="254"/>
        <v>1.5707769639079436</v>
      </c>
      <c r="T460" s="160" t="str">
        <f t="shared" si="246"/>
        <v>1+0.0330529224012436i</v>
      </c>
      <c r="U460" s="160">
        <f t="shared" si="255"/>
        <v>1.000546098727721</v>
      </c>
      <c r="V460" s="160">
        <f t="shared" si="256"/>
        <v>3.3040893560163695E-2</v>
      </c>
      <c r="W460" s="98" t="str">
        <f t="shared" si="247"/>
        <v>1-23.9051955974754i</v>
      </c>
      <c r="X460" s="160">
        <f t="shared" si="257"/>
        <v>23.926102410412721</v>
      </c>
      <c r="Y460" s="160">
        <f t="shared" si="258"/>
        <v>-1.5289887914962381</v>
      </c>
      <c r="Z460" s="98" t="str">
        <f t="shared" si="248"/>
        <v>-26.6732388367575+9.4420788172381i</v>
      </c>
      <c r="AA460" s="160">
        <f t="shared" si="259"/>
        <v>28.295132486589367</v>
      </c>
      <c r="AB460" s="160">
        <f t="shared" si="260"/>
        <v>2.8013670670990054</v>
      </c>
      <c r="AC460" s="171" t="str">
        <f t="shared" si="261"/>
        <v>0.0161731495679231+0.00712751075934594i</v>
      </c>
      <c r="AD460" s="190">
        <f t="shared" si="262"/>
        <v>-35.053276562922242</v>
      </c>
      <c r="AE460" s="169">
        <f t="shared" si="263"/>
        <v>23.783098676782593</v>
      </c>
      <c r="AF460" s="98" t="str">
        <f t="shared" si="249"/>
        <v>-9.95024875621891E-06</v>
      </c>
      <c r="AG460" s="98" t="str">
        <f t="shared" si="250"/>
        <v>1.65429876618225i</v>
      </c>
      <c r="AH460" s="98">
        <f t="shared" si="264"/>
        <v>1.6542987661822499</v>
      </c>
      <c r="AI460" s="98">
        <f t="shared" si="265"/>
        <v>1.5707963267948966</v>
      </c>
      <c r="AJ460" s="98" t="str">
        <f t="shared" si="251"/>
        <v>1+16.5099512493724i</v>
      </c>
      <c r="AK460" s="98">
        <f t="shared" si="266"/>
        <v>16.540208289397484</v>
      </c>
      <c r="AL460" s="98">
        <f t="shared" si="267"/>
        <v>1.5103007032552949</v>
      </c>
      <c r="AM460" s="98" t="str">
        <f t="shared" si="252"/>
        <v>1+16526.4612006218i</v>
      </c>
      <c r="AN460" s="98">
        <f t="shared" si="268"/>
        <v>16526.46123087631</v>
      </c>
      <c r="AO460" s="98">
        <f t="shared" si="269"/>
        <v>1.5707358177732349</v>
      </c>
      <c r="AP460" s="168" t="str">
        <f t="shared" si="270"/>
        <v>-0.000362980951477046+0.00599881259673608i</v>
      </c>
      <c r="AQ460" s="98">
        <f t="shared" si="271"/>
        <v>-44.422822254483961</v>
      </c>
      <c r="AR460" s="169">
        <f t="shared" si="272"/>
        <v>93.462676996267774</v>
      </c>
      <c r="AS460" s="168" t="str">
        <f t="shared" si="273"/>
        <v>-0.0000486271465450817+0.0000944325427198635i</v>
      </c>
      <c r="AT460" s="190">
        <f t="shared" si="274"/>
        <v>-79.476098817406211</v>
      </c>
      <c r="AU460" s="169">
        <f t="shared" si="275"/>
        <v>117.24577567305037</v>
      </c>
      <c r="AV460" s="225"/>
      <c r="AX460">
        <f t="shared" si="276"/>
        <v>0</v>
      </c>
      <c r="AY460">
        <f t="shared" si="277"/>
        <v>0</v>
      </c>
    </row>
    <row r="461" spans="14:51" x14ac:dyDescent="0.3">
      <c r="N461" s="170">
        <v>43</v>
      </c>
      <c r="O461" s="199">
        <f t="shared" si="278"/>
        <v>269153.48039269145</v>
      </c>
      <c r="P461" s="189" t="str">
        <f t="shared" si="244"/>
        <v>1078.86904761905</v>
      </c>
      <c r="Q461" s="160" t="str">
        <f t="shared" si="245"/>
        <v>1+52848.1622931128i</v>
      </c>
      <c r="R461" s="160">
        <f t="shared" si="253"/>
        <v>52848.162302573859</v>
      </c>
      <c r="S461" s="160">
        <f t="shared" si="254"/>
        <v>1.570777404661061</v>
      </c>
      <c r="T461" s="160" t="str">
        <f t="shared" si="246"/>
        <v>1+0.0338228238675922i</v>
      </c>
      <c r="U461" s="160">
        <f t="shared" si="255"/>
        <v>1.0005718282134364</v>
      </c>
      <c r="V461" s="160">
        <f t="shared" si="256"/>
        <v>3.3809935129960181E-2</v>
      </c>
      <c r="W461" s="98" t="str">
        <f t="shared" si="247"/>
        <v>1-24.4620191339974i</v>
      </c>
      <c r="X461" s="160">
        <f t="shared" si="257"/>
        <v>24.482450451538856</v>
      </c>
      <c r="Y461" s="160">
        <f t="shared" si="258"/>
        <v>-1.5299393761705666</v>
      </c>
      <c r="Z461" s="98" t="str">
        <f t="shared" si="248"/>
        <v>-27.9774384029997+9.66201308624232i</v>
      </c>
      <c r="AA461" s="160">
        <f t="shared" si="259"/>
        <v>29.598843836750788</v>
      </c>
      <c r="AB461" s="160">
        <f t="shared" si="260"/>
        <v>2.8090662131505635</v>
      </c>
      <c r="AC461" s="171" t="str">
        <f t="shared" si="261"/>
        <v>0.0155137936528437+0.00669142246500978i</v>
      </c>
      <c r="AD461" s="190">
        <f t="shared" si="262"/>
        <v>-35.444654977449368</v>
      </c>
      <c r="AE461" s="169">
        <f t="shared" si="263"/>
        <v>23.331543195190708</v>
      </c>
      <c r="AF461" s="98" t="str">
        <f t="shared" si="249"/>
        <v>-9.95024875621891E-06</v>
      </c>
      <c r="AG461" s="98" t="str">
        <f t="shared" si="250"/>
        <v>1.69283233457299i</v>
      </c>
      <c r="AH461" s="98">
        <f t="shared" si="264"/>
        <v>1.6928323345729901</v>
      </c>
      <c r="AI461" s="98">
        <f t="shared" si="265"/>
        <v>1.5707963267948966</v>
      </c>
      <c r="AJ461" s="98" t="str">
        <f t="shared" si="251"/>
        <v>1+16.8945174163797i</v>
      </c>
      <c r="AK461" s="98">
        <f t="shared" si="266"/>
        <v>16.924086939399626</v>
      </c>
      <c r="AL461" s="98">
        <f t="shared" si="267"/>
        <v>1.5116745079252121</v>
      </c>
      <c r="AM461" s="98" t="str">
        <f t="shared" si="252"/>
        <v>1+16911.4119337961i</v>
      </c>
      <c r="AN461" s="98">
        <f t="shared" si="268"/>
        <v>16911.411963361934</v>
      </c>
      <c r="AO461" s="98">
        <f t="shared" si="269"/>
        <v>1.5707371951267219</v>
      </c>
      <c r="AP461" s="168" t="str">
        <f t="shared" si="270"/>
        <v>-0.000346701154622784+0.0058632265652673i</v>
      </c>
      <c r="AQ461" s="98">
        <f t="shared" si="271"/>
        <v>-44.622107722433341</v>
      </c>
      <c r="AR461" s="169">
        <f t="shared" si="272"/>
        <v>93.384042703347859</v>
      </c>
      <c r="AS461" s="168" t="str">
        <f t="shared" si="273"/>
        <v>-0.0000446119761282923+0.0000886409631787407i</v>
      </c>
      <c r="AT461" s="190">
        <f t="shared" si="274"/>
        <v>-80.066762699882702</v>
      </c>
      <c r="AU461" s="169">
        <f t="shared" si="275"/>
        <v>116.71558589853859</v>
      </c>
      <c r="AV461" s="225"/>
      <c r="AX461">
        <f t="shared" si="276"/>
        <v>0</v>
      </c>
      <c r="AY461">
        <f t="shared" si="277"/>
        <v>0</v>
      </c>
    </row>
    <row r="462" spans="14:51" x14ac:dyDescent="0.3">
      <c r="N462" s="170">
        <v>44</v>
      </c>
      <c r="O462" s="199">
        <f t="shared" si="278"/>
        <v>275422.87033381703</v>
      </c>
      <c r="P462" s="189" t="str">
        <f t="shared" si="244"/>
        <v>1078.86904761905</v>
      </c>
      <c r="Q462" s="160" t="str">
        <f t="shared" si="245"/>
        <v>1+54079.1541294584i</v>
      </c>
      <c r="R462" s="160">
        <f t="shared" si="253"/>
        <v>54079.154138704114</v>
      </c>
      <c r="S462" s="160">
        <f t="shared" si="254"/>
        <v>1.5707778353814124</v>
      </c>
      <c r="T462" s="160" t="str">
        <f t="shared" si="246"/>
        <v>1+0.0346106586428534i</v>
      </c>
      <c r="U462" s="160">
        <f t="shared" si="255"/>
        <v>1.0005987695833392</v>
      </c>
      <c r="V462" s="160">
        <f t="shared" si="256"/>
        <v>3.4596848557971231E-2</v>
      </c>
      <c r="W462" s="98" t="str">
        <f t="shared" si="247"/>
        <v>1-25.0318127568573i</v>
      </c>
      <c r="X462" s="160">
        <f t="shared" si="257"/>
        <v>25.051779375812085</v>
      </c>
      <c r="Y462" s="160">
        <f t="shared" si="258"/>
        <v>-1.5308683942893735</v>
      </c>
      <c r="Z462" s="98" t="str">
        <f t="shared" si="248"/>
        <v>-29.3431030011676+9.88707028247673i</v>
      </c>
      <c r="AA462" s="160">
        <f t="shared" si="259"/>
        <v>30.964041281909012</v>
      </c>
      <c r="AB462" s="160">
        <f t="shared" si="260"/>
        <v>2.8165933401047134</v>
      </c>
      <c r="AC462" s="171" t="str">
        <f t="shared" si="261"/>
        <v>0.0148782576273201+0.00628240594276771i</v>
      </c>
      <c r="AD462" s="190">
        <f t="shared" si="262"/>
        <v>-35.836405031068786</v>
      </c>
      <c r="AE462" s="169">
        <f t="shared" si="263"/>
        <v>22.892103911368842</v>
      </c>
      <c r="AF462" s="98" t="str">
        <f t="shared" si="249"/>
        <v>-9.95024875621891E-06</v>
      </c>
      <c r="AG462" s="98" t="str">
        <f t="shared" si="250"/>
        <v>1.73226346507481i</v>
      </c>
      <c r="AH462" s="98">
        <f t="shared" si="264"/>
        <v>1.7322634650748101</v>
      </c>
      <c r="AI462" s="98">
        <f t="shared" si="265"/>
        <v>1.5707963267948966</v>
      </c>
      <c r="AJ462" s="98" t="str">
        <f t="shared" si="251"/>
        <v>1+17.2880412801466i</v>
      </c>
      <c r="AK462" s="98">
        <f t="shared" si="266"/>
        <v>17.316938854891557</v>
      </c>
      <c r="AL462" s="98">
        <f t="shared" si="267"/>
        <v>1.5130172569110081</v>
      </c>
      <c r="AM462" s="98" t="str">
        <f t="shared" si="252"/>
        <v>1+17305.3293214267i</v>
      </c>
      <c r="AN462" s="98">
        <f t="shared" si="268"/>
        <v>17305.329350319531</v>
      </c>
      <c r="AO462" s="98">
        <f t="shared" si="269"/>
        <v>1.5707385411278161</v>
      </c>
      <c r="AP462" s="168" t="str">
        <f t="shared" si="270"/>
        <v>-0.00033114906741461+0.00573066282089863i</v>
      </c>
      <c r="AQ462" s="98">
        <f t="shared" si="271"/>
        <v>-44.821425239862492</v>
      </c>
      <c r="AR462" s="169">
        <f t="shared" si="272"/>
        <v>93.307185973698196</v>
      </c>
      <c r="AS462" s="168" t="str">
        <f t="shared" si="273"/>
        <v>-0.0000409292713000529+0.0000831818649555672i</v>
      </c>
      <c r="AT462" s="190">
        <f t="shared" si="274"/>
        <v>-80.657830270931299</v>
      </c>
      <c r="AU462" s="169">
        <f t="shared" si="275"/>
        <v>116.19928988506706</v>
      </c>
      <c r="AV462" s="225"/>
      <c r="AX462">
        <f t="shared" si="276"/>
        <v>0</v>
      </c>
      <c r="AY462">
        <f t="shared" si="277"/>
        <v>0</v>
      </c>
    </row>
    <row r="463" spans="14:51" x14ac:dyDescent="0.3">
      <c r="N463" s="170">
        <v>45</v>
      </c>
      <c r="O463" s="199">
        <f t="shared" si="278"/>
        <v>281838.29312644573</v>
      </c>
      <c r="P463" s="189" t="str">
        <f t="shared" si="244"/>
        <v>1078.86904761905</v>
      </c>
      <c r="Q463" s="160" t="str">
        <f t="shared" si="245"/>
        <v>1+55338.8194491456i</v>
      </c>
      <c r="R463" s="160">
        <f t="shared" si="253"/>
        <v>55338.819458180849</v>
      </c>
      <c r="S463" s="160">
        <f t="shared" si="254"/>
        <v>1.5707782562973716</v>
      </c>
      <c r="T463" s="160" t="str">
        <f t="shared" si="246"/>
        <v>1+0.0354168444474532i</v>
      </c>
      <c r="U463" s="160">
        <f t="shared" si="255"/>
        <v>1.0006269798834204</v>
      </c>
      <c r="V463" s="160">
        <f t="shared" si="256"/>
        <v>3.5402047175624382E-2</v>
      </c>
      <c r="W463" s="98" t="str">
        <f t="shared" si="247"/>
        <v>1-25.6148785781761i</v>
      </c>
      <c r="X463" s="160">
        <f t="shared" si="257"/>
        <v>25.634391051372862</v>
      </c>
      <c r="Y463" s="160">
        <f t="shared" si="258"/>
        <v>-1.5317763320122091</v>
      </c>
      <c r="Z463" s="98" t="str">
        <f t="shared" si="248"/>
        <v>-30.7731293889715+10.1173697342457i</v>
      </c>
      <c r="AA463" s="160">
        <f t="shared" si="259"/>
        <v>32.393620710408591</v>
      </c>
      <c r="AB463" s="160">
        <f t="shared" si="260"/>
        <v>2.823952125947109</v>
      </c>
      <c r="AC463" s="171" t="str">
        <f t="shared" si="261"/>
        <v>0.0142659620647595+0.0058988212190627i</v>
      </c>
      <c r="AD463" s="190">
        <f t="shared" si="262"/>
        <v>-36.228508713425441</v>
      </c>
      <c r="AE463" s="169">
        <f t="shared" si="263"/>
        <v>22.464565906433037</v>
      </c>
      <c r="AF463" s="98" t="str">
        <f t="shared" si="249"/>
        <v>-9.95024875621891E-06</v>
      </c>
      <c r="AG463" s="98" t="str">
        <f t="shared" si="250"/>
        <v>1.77261306459503i</v>
      </c>
      <c r="AH463" s="98">
        <f t="shared" si="264"/>
        <v>1.77261306459503</v>
      </c>
      <c r="AI463" s="98">
        <f t="shared" si="265"/>
        <v>1.5707963267948966</v>
      </c>
      <c r="AJ463" s="98" t="str">
        <f t="shared" si="251"/>
        <v>1+17.6907314922344i</v>
      </c>
      <c r="AK463" s="98">
        <f t="shared" si="266"/>
        <v>17.718972338438082</v>
      </c>
      <c r="AL463" s="98">
        <f t="shared" si="267"/>
        <v>1.5143296427774748</v>
      </c>
      <c r="AM463" s="98" t="str">
        <f t="shared" si="252"/>
        <v>1+17708.4222237266i</v>
      </c>
      <c r="AN463" s="98">
        <f t="shared" si="268"/>
        <v>17708.422251961754</v>
      </c>
      <c r="AO463" s="98">
        <f t="shared" si="269"/>
        <v>1.5707398564901849</v>
      </c>
      <c r="AP463" s="168" t="str">
        <f t="shared" si="270"/>
        <v>-0.000316292375484496+0.00560105681021289i</v>
      </c>
      <c r="AQ463" s="98">
        <f t="shared" si="271"/>
        <v>-45.020773373933324</v>
      </c>
      <c r="AR463" s="169">
        <f t="shared" si="272"/>
        <v>93.232067167169305</v>
      </c>
      <c r="AS463" s="168" t="str">
        <f t="shared" si="273"/>
        <v>-0.0000375518477912939+0.0000780387118011242i</v>
      </c>
      <c r="AT463" s="190">
        <f t="shared" si="274"/>
        <v>-81.249282087358779</v>
      </c>
      <c r="AU463" s="169">
        <f t="shared" si="275"/>
        <v>115.69663307360233</v>
      </c>
      <c r="AV463" s="225"/>
      <c r="AX463">
        <f t="shared" si="276"/>
        <v>0</v>
      </c>
      <c r="AY463">
        <f t="shared" si="277"/>
        <v>0</v>
      </c>
    </row>
    <row r="464" spans="14:51" x14ac:dyDescent="0.3">
      <c r="N464" s="170">
        <v>46</v>
      </c>
      <c r="O464" s="199">
        <f t="shared" si="278"/>
        <v>288403.1503126609</v>
      </c>
      <c r="P464" s="189" t="str">
        <f t="shared" si="244"/>
        <v>1078.86904761905</v>
      </c>
      <c r="Q464" s="160" t="str">
        <f t="shared" si="245"/>
        <v>1+56627.8261434006i</v>
      </c>
      <c r="R464" s="160">
        <f t="shared" si="253"/>
        <v>56627.826152230184</v>
      </c>
      <c r="S464" s="160">
        <f t="shared" si="254"/>
        <v>1.5707786676321138</v>
      </c>
      <c r="T464" s="160" t="str">
        <f t="shared" si="246"/>
        <v>1+0.0362418087317764i</v>
      </c>
      <c r="U464" s="160">
        <f t="shared" si="255"/>
        <v>1.0006565188415806</v>
      </c>
      <c r="V464" s="160">
        <f t="shared" si="256"/>
        <v>3.622595373112826E-2</v>
      </c>
      <c r="W464" s="98" t="str">
        <f t="shared" si="247"/>
        <v>1-26.21152574717i</v>
      </c>
      <c r="X464" s="160">
        <f t="shared" si="257"/>
        <v>26.230594388891681</v>
      </c>
      <c r="Y464" s="160">
        <f t="shared" si="258"/>
        <v>-1.5326636647485823</v>
      </c>
      <c r="Z464" s="98" t="str">
        <f t="shared" si="248"/>
        <v>-32.2705508441071+10.3530335493671i</v>
      </c>
      <c r="AA464" s="160">
        <f t="shared" si="259"/>
        <v>33.890614562979266</v>
      </c>
      <c r="AB464" s="160">
        <f t="shared" si="260"/>
        <v>2.831146183021731</v>
      </c>
      <c r="AC464" s="171" t="str">
        <f t="shared" si="261"/>
        <v>0.0136763131675082+0.00553912125410651i</v>
      </c>
      <c r="AD464" s="190">
        <f t="shared" si="262"/>
        <v>-36.620948800822781</v>
      </c>
      <c r="AE464" s="169">
        <f t="shared" si="263"/>
        <v>22.048719178261805</v>
      </c>
      <c r="AF464" s="98" t="str">
        <f t="shared" si="249"/>
        <v>-9.95024875621891E-06</v>
      </c>
      <c r="AG464" s="98" t="str">
        <f t="shared" si="250"/>
        <v>1.81390252702541i</v>
      </c>
      <c r="AH464" s="98">
        <f t="shared" si="264"/>
        <v>1.8139025270254101</v>
      </c>
      <c r="AI464" s="98">
        <f t="shared" si="265"/>
        <v>1.5707963267948966</v>
      </c>
      <c r="AJ464" s="98" t="str">
        <f t="shared" si="251"/>
        <v>1+18.1028015643239i</v>
      </c>
      <c r="AK464" s="98">
        <f t="shared" si="266"/>
        <v>18.130400560309965</v>
      </c>
      <c r="AL464" s="98">
        <f t="shared" si="267"/>
        <v>1.5156123432755653</v>
      </c>
      <c r="AM464" s="98" t="str">
        <f t="shared" si="252"/>
        <v>1+18120.9043658882i</v>
      </c>
      <c r="AN464" s="98">
        <f t="shared" si="268"/>
        <v>18120.90439348064</v>
      </c>
      <c r="AO464" s="98">
        <f t="shared" si="269"/>
        <v>1.5707411419112509</v>
      </c>
      <c r="AP464" s="168" t="str">
        <f t="shared" si="270"/>
        <v>-0.000302100180591306+0.00547434516944731i</v>
      </c>
      <c r="AQ464" s="98">
        <f t="shared" si="271"/>
        <v>-45.220150755453339</v>
      </c>
      <c r="AR464" s="169">
        <f t="shared" si="272"/>
        <v>93.158647491451362</v>
      </c>
      <c r="AS464" s="168" t="str">
        <f t="shared" si="273"/>
        <v>-0.0000344546783581284+0.0000731954893932144i</v>
      </c>
      <c r="AT464" s="190">
        <f t="shared" si="274"/>
        <v>-81.84109955627612</v>
      </c>
      <c r="AU464" s="169">
        <f t="shared" si="275"/>
        <v>115.2073666697132</v>
      </c>
      <c r="AV464" s="225"/>
      <c r="AX464">
        <f t="shared" si="276"/>
        <v>0</v>
      </c>
      <c r="AY464">
        <f t="shared" si="277"/>
        <v>0</v>
      </c>
    </row>
    <row r="465" spans="14:51" x14ac:dyDescent="0.3">
      <c r="N465" s="170">
        <v>47</v>
      </c>
      <c r="O465" s="199">
        <f t="shared" si="278"/>
        <v>295120.92266663886</v>
      </c>
      <c r="P465" s="189" t="str">
        <f t="shared" si="244"/>
        <v>1078.86904761905</v>
      </c>
      <c r="Q465" s="160" t="str">
        <f t="shared" si="245"/>
        <v>1+57946.8576606347i</v>
      </c>
      <c r="R465" s="160">
        <f t="shared" si="253"/>
        <v>57946.857669263292</v>
      </c>
      <c r="S465" s="160">
        <f t="shared" si="254"/>
        <v>1.5707790696037345</v>
      </c>
      <c r="T465" s="160" t="str">
        <f t="shared" si="246"/>
        <v>1+0.0370859889028062i</v>
      </c>
      <c r="U465" s="160">
        <f t="shared" si="255"/>
        <v>1.0006874489933903</v>
      </c>
      <c r="V465" s="160">
        <f t="shared" si="256"/>
        <v>3.7069000593801728E-2</v>
      </c>
      <c r="W465" s="98" t="str">
        <f t="shared" si="247"/>
        <v>1-26.8220706140656i</v>
      </c>
      <c r="X465" s="160">
        <f t="shared" si="257"/>
        <v>26.840705505368543</v>
      </c>
      <c r="Y465" s="160">
        <f t="shared" si="258"/>
        <v>-1.5335308573816682</v>
      </c>
      <c r="Z465" s="98" t="str">
        <f t="shared" si="248"/>
        <v>-33.8385435982434+10.5941866799148i</v>
      </c>
      <c r="AA465" s="160">
        <f t="shared" si="259"/>
        <v>35.458198265832735</v>
      </c>
      <c r="AB465" s="160">
        <f t="shared" si="260"/>
        <v>2.8381790580984427</v>
      </c>
      <c r="AC465" s="171" t="str">
        <f t="shared" si="261"/>
        <v>0.0131087066029407+0.00520184743991828i</v>
      </c>
      <c r="AD465" s="190">
        <f t="shared" si="262"/>
        <v>-37.013708817585382</v>
      </c>
      <c r="AE465" s="169">
        <f t="shared" si="263"/>
        <v>21.644358636508514</v>
      </c>
      <c r="AF465" s="98" t="str">
        <f t="shared" si="249"/>
        <v>-9.95024875621891E-06</v>
      </c>
      <c r="AG465" s="98" t="str">
        <f t="shared" si="250"/>
        <v>1.85615374458545i</v>
      </c>
      <c r="AH465" s="98">
        <f t="shared" si="264"/>
        <v>1.8561537445854499</v>
      </c>
      <c r="AI465" s="98">
        <f t="shared" si="265"/>
        <v>1.5707963267948966</v>
      </c>
      <c r="AJ465" s="98" t="str">
        <f t="shared" si="251"/>
        <v>1+18.5244699814217i</v>
      </c>
      <c r="AK465" s="98">
        <f t="shared" si="266"/>
        <v>18.551441671541152</v>
      </c>
      <c r="AL465" s="98">
        <f t="shared" si="267"/>
        <v>1.5168660216168735</v>
      </c>
      <c r="AM465" s="98" t="str">
        <f t="shared" si="252"/>
        <v>1+18542.9944514031i</v>
      </c>
      <c r="AN465" s="98">
        <f t="shared" si="268"/>
        <v>18542.994478367462</v>
      </c>
      <c r="AO465" s="98">
        <f t="shared" si="269"/>
        <v>1.5707423980725614</v>
      </c>
      <c r="AP465" s="168" t="str">
        <f t="shared" si="270"/>
        <v>-0.00028854294021552+0.00535046571572081i</v>
      </c>
      <c r="AQ465" s="98">
        <f t="shared" si="271"/>
        <v>-45.419556076084262</v>
      </c>
      <c r="AR465" s="169">
        <f t="shared" si="272"/>
        <v>93.086888986368905</v>
      </c>
      <c r="AS465" s="168" t="str">
        <f t="shared" si="273"/>
        <v>-0.0000316147311313279+0.0000686367289016106i</v>
      </c>
      <c r="AT465" s="190">
        <f t="shared" si="274"/>
        <v>-82.433264893669644</v>
      </c>
      <c r="AU465" s="169">
        <f t="shared" si="275"/>
        <v>114.73124762287739</v>
      </c>
      <c r="AV465" s="225"/>
      <c r="AX465">
        <f t="shared" si="276"/>
        <v>0</v>
      </c>
      <c r="AY465">
        <f t="shared" si="277"/>
        <v>0</v>
      </c>
    </row>
    <row r="466" spans="14:51" x14ac:dyDescent="0.3">
      <c r="N466" s="170">
        <v>48</v>
      </c>
      <c r="O466" s="199">
        <f t="shared" si="278"/>
        <v>301995.17204020242</v>
      </c>
      <c r="P466" s="189" t="str">
        <f t="shared" si="244"/>
        <v>1078.86904761905</v>
      </c>
      <c r="Q466" s="160" t="str">
        <f t="shared" si="245"/>
        <v>1+59296.6133688178i</v>
      </c>
      <c r="R466" s="160">
        <f t="shared" si="253"/>
        <v>59296.613377249989</v>
      </c>
      <c r="S466" s="160">
        <f t="shared" si="254"/>
        <v>1.5707794624253637</v>
      </c>
      <c r="T466" s="160" t="str">
        <f t="shared" si="246"/>
        <v>1+0.0379498325560434i</v>
      </c>
      <c r="U466" s="160">
        <f t="shared" si="255"/>
        <v>1.0007198358137164</v>
      </c>
      <c r="V466" s="160">
        <f t="shared" si="256"/>
        <v>3.7931629962097528E-2</v>
      </c>
      <c r="W466" s="98" t="str">
        <f t="shared" si="247"/>
        <v>1-27.4468368978328i</v>
      </c>
      <c r="X466" s="160">
        <f t="shared" si="257"/>
        <v>27.465047891752089</v>
      </c>
      <c r="Y466" s="160">
        <f t="shared" si="258"/>
        <v>-1.5343783644883109</v>
      </c>
      <c r="Z466" s="98" t="str">
        <f t="shared" si="248"/>
        <v>-35.4804335742366+10.840956988471i</v>
      </c>
      <c r="AA466" s="160">
        <f t="shared" si="259"/>
        <v>37.099696966979309</v>
      </c>
      <c r="AB466" s="160">
        <f t="shared" si="260"/>
        <v>2.8450542325550341</v>
      </c>
      <c r="AC466" s="171" t="str">
        <f t="shared" si="261"/>
        <v>0.0125625309331995+0.00488562522508626i</v>
      </c>
      <c r="AD466" s="190">
        <f t="shared" si="262"/>
        <v>-37.406772999063691</v>
      </c>
      <c r="AE466" s="169">
        <f t="shared" si="263"/>
        <v>21.25128409147765</v>
      </c>
      <c r="AF466" s="98" t="str">
        <f t="shared" si="249"/>
        <v>-9.95024875621891E-06</v>
      </c>
      <c r="AG466" s="98" t="str">
        <f t="shared" si="250"/>
        <v>1.89938911942997i</v>
      </c>
      <c r="AH466" s="98">
        <f t="shared" si="264"/>
        <v>1.8993891194299699</v>
      </c>
      <c r="AI466" s="98">
        <f t="shared" si="265"/>
        <v>1.5707963267948966</v>
      </c>
      <c r="AJ466" s="98" t="str">
        <f t="shared" si="251"/>
        <v>1+18.955960317704i</v>
      </c>
      <c r="AK466" s="98">
        <f t="shared" si="266"/>
        <v>18.98231891962541</v>
      </c>
      <c r="AL466" s="98">
        <f t="shared" si="267"/>
        <v>1.5180913267459741</v>
      </c>
      <c r="AM466" s="98" t="str">
        <f t="shared" si="252"/>
        <v>1+18974.9162780217i</v>
      </c>
      <c r="AN466" s="98">
        <f t="shared" si="268"/>
        <v>18974.916304372276</v>
      </c>
      <c r="AO466" s="98">
        <f t="shared" si="269"/>
        <v>1.5707436256401499</v>
      </c>
      <c r="AP466" s="168" t="str">
        <f t="shared" si="270"/>
        <v>-0.000275592409584042+0.00522935743727775i</v>
      </c>
      <c r="AQ466" s="98">
        <f t="shared" si="271"/>
        <v>-45.618988085671042</v>
      </c>
      <c r="AR466" s="169">
        <f t="shared" si="272"/>
        <v>93.016754508297595</v>
      </c>
      <c r="AS466" s="168" t="str">
        <f t="shared" si="273"/>
        <v>-0.0000290108187769111+0.0000643475233384525i</v>
      </c>
      <c r="AT466" s="190">
        <f t="shared" si="274"/>
        <v>-83.025761084734739</v>
      </c>
      <c r="AU466" s="169">
        <f t="shared" si="275"/>
        <v>114.26803859977522</v>
      </c>
      <c r="AV466" s="225"/>
      <c r="AX466">
        <f t="shared" si="276"/>
        <v>0</v>
      </c>
      <c r="AY466">
        <f t="shared" si="277"/>
        <v>0</v>
      </c>
    </row>
    <row r="467" spans="14:51" x14ac:dyDescent="0.3">
      <c r="N467" s="170">
        <v>49</v>
      </c>
      <c r="O467" s="199">
        <f t="shared" si="278"/>
        <v>309029.54325135931</v>
      </c>
      <c r="P467" s="189" t="str">
        <f t="shared" ref="P467:P530" si="279">COMPLEX(Adc,0)</f>
        <v>1078.86904761905</v>
      </c>
      <c r="Q467" s="160" t="str">
        <f t="shared" ref="Q467:Q530" si="280">IMSUM(COMPLEX(1,0),IMDIV(COMPLEX(0,2*PI()*O467),COMPLEX(wp_lf,0)))</f>
        <v>1+60677.8089262925i</v>
      </c>
      <c r="R467" s="160">
        <f t="shared" si="253"/>
        <v>60677.808934532746</v>
      </c>
      <c r="S467" s="160">
        <f t="shared" si="254"/>
        <v>1.5707798463052809</v>
      </c>
      <c r="T467" s="160" t="str">
        <f t="shared" ref="T467:T530" si="281">IMSUM(COMPLEX(1,0),IMDIV(COMPLEX(0,2*PI()*O467),COMPLEX(wz_esr,0)))</f>
        <v>1+0.0388337977128272i</v>
      </c>
      <c r="U467" s="160">
        <f t="shared" si="255"/>
        <v>1.0007537478544863</v>
      </c>
      <c r="V467" s="160">
        <f t="shared" si="256"/>
        <v>3.881429407533063E-2</v>
      </c>
      <c r="W467" s="98" t="str">
        <f t="shared" ref="W467:W530" si="282">IMSUB(COMPLEX(1,0),IMDIV(COMPLEX(0,2*PI()*O467),COMPLEX(wz_rhp,0)))</f>
        <v>1-28.0861558578252i</v>
      </c>
      <c r="X467" s="160">
        <f t="shared" si="257"/>
        <v>28.103952584468416</v>
      </c>
      <c r="Y467" s="160">
        <f t="shared" si="258"/>
        <v>-1.5352066305553167</v>
      </c>
      <c r="Z467" s="98" t="str">
        <f t="shared" ref="Z467:Z530" si="283">IF(Dc_Mode_Loop="CCM",IMSUM(COMPLEX(1,0),IMDIV(COMPLEX(0,2*PI()*O467),COMPLEX(Q*(wsl/2),0)),IMDIV(IMPOWER(COMPLEX(0,2*PI()*O467),2),IMPOWER(COMPLEX(wsl/2,0),2))),COMPLEX(1,0))</f>
        <v>-37.1997034408576+11.0934753159194i</v>
      </c>
      <c r="AA467" s="160">
        <f t="shared" si="259"/>
        <v>38.818592590054898</v>
      </c>
      <c r="AB467" s="160">
        <f t="shared" si="260"/>
        <v>2.8517751226616705</v>
      </c>
      <c r="AC467" s="171" t="str">
        <f t="shared" si="261"/>
        <v>0.0120371706715375+0.00458915987506205i</v>
      </c>
      <c r="AD467" s="190">
        <f t="shared" si="262"/>
        <v>-37.800126256213545</v>
      </c>
      <c r="AE467" s="169">
        <f t="shared" si="263"/>
        <v>20.869300237559475</v>
      </c>
      <c r="AF467" s="98" t="str">
        <f t="shared" ref="AF467:AF530" si="284">COMPLEX(Adc_ea,0)</f>
        <v>-9.95024875621891E-06</v>
      </c>
      <c r="AG467" s="98" t="str">
        <f t="shared" ref="AG467:AG530" si="285">COMPLEX(0,2*PI()*O467*wp0_ea)</f>
        <v>1.943631575527i</v>
      </c>
      <c r="AH467" s="98">
        <f t="shared" si="264"/>
        <v>1.9436315755269999</v>
      </c>
      <c r="AI467" s="98">
        <f t="shared" si="265"/>
        <v>1.5707963267948966</v>
      </c>
      <c r="AJ467" s="98" t="str">
        <f t="shared" ref="AJ467:AJ530" si="286">IMSUM(COMPLEX(1,0),IMDIV(COMPLEX(0,2*PI()*O467),COMPLEX(wp1_ea,0)))</f>
        <v>1+19.3975013550585i</v>
      </c>
      <c r="AK467" s="98">
        <f t="shared" si="266"/>
        <v>19.423260766912861</v>
      </c>
      <c r="AL467" s="98">
        <f t="shared" si="267"/>
        <v>1.5192888936104041</v>
      </c>
      <c r="AM467" s="98" t="str">
        <f t="shared" ref="AM467:AM530" si="287">IMSUM(COMPLEX(1,0),IMDIV(COMPLEX(0,2*PI()*O467),COMPLEX(wz_ea,0)))</f>
        <v>1+19416.8988564136i</v>
      </c>
      <c r="AN467" s="98">
        <f t="shared" si="268"/>
        <v>19416.898882164365</v>
      </c>
      <c r="AO467" s="98">
        <f t="shared" si="269"/>
        <v>1.5707448252648886</v>
      </c>
      <c r="AP467" s="168" t="str">
        <f t="shared" si="270"/>
        <v>-0.000263221586040649+0.00511096048284677i</v>
      </c>
      <c r="AQ467" s="98">
        <f t="shared" si="271"/>
        <v>-45.818445589683883</v>
      </c>
      <c r="AR467" s="169">
        <f t="shared" si="272"/>
        <v>92.948207714715593</v>
      </c>
      <c r="AS467" s="168" t="str">
        <f t="shared" si="273"/>
        <v>-0.0000266234579265122+0.0000603135376866023i</v>
      </c>
      <c r="AT467" s="190">
        <f t="shared" si="274"/>
        <v>-83.618571845897449</v>
      </c>
      <c r="AU467" s="169">
        <f t="shared" si="275"/>
        <v>113.81750795227504</v>
      </c>
      <c r="AV467" s="225"/>
      <c r="AX467">
        <f t="shared" si="276"/>
        <v>0</v>
      </c>
      <c r="AY467">
        <f t="shared" si="277"/>
        <v>0</v>
      </c>
    </row>
    <row r="468" spans="14:51" x14ac:dyDescent="0.3">
      <c r="N468" s="170">
        <v>50</v>
      </c>
      <c r="O468" s="199">
        <f t="shared" si="278"/>
        <v>316227.7660168382</v>
      </c>
      <c r="P468" s="189" t="str">
        <f t="shared" si="279"/>
        <v>1078.86904761905</v>
      </c>
      <c r="Q468" s="160" t="str">
        <f t="shared" si="280"/>
        <v>1+62091.1766612256i</v>
      </c>
      <c r="R468" s="160">
        <f t="shared" ref="R468:R531" si="288">IMABS(Q468)</f>
        <v>62091.176669278277</v>
      </c>
      <c r="S468" s="160">
        <f t="shared" ref="S468:S531" si="289">IMARGUMENT(Q468)</f>
        <v>1.5707802214470246</v>
      </c>
      <c r="T468" s="160" t="str">
        <f t="shared" si="281"/>
        <v>1+0.0397383530631844i</v>
      </c>
      <c r="U468" s="160">
        <f t="shared" ref="U468:U531" si="290">IMABS(T468)</f>
        <v>1.0007892568888688</v>
      </c>
      <c r="V468" s="160">
        <f t="shared" ref="V468:V531" si="291">IMARGUMENT(T468)</f>
        <v>3.9717455429117983E-2</v>
      </c>
      <c r="W468" s="98" t="str">
        <f t="shared" si="282"/>
        <v>1-28.7403664694175i</v>
      </c>
      <c r="X468" s="160">
        <f t="shared" ref="X468:X531" si="292">IMABS(W468)</f>
        <v>28.757758340948925</v>
      </c>
      <c r="Y468" s="160">
        <f t="shared" ref="Y468:Y531" si="293">IMARGUMENT(W468)</f>
        <v>-1.5360160901920334</v>
      </c>
      <c r="Z468" s="98" t="str">
        <f t="shared" si="283"/>
        <v>-39+11.3518755508198i</v>
      </c>
      <c r="AA468" s="160">
        <f t="shared" ref="AA468:AA531" si="294">IMABS(Z468)</f>
        <v>40.618531220630075</v>
      </c>
      <c r="AB468" s="160">
        <f t="shared" ref="AB468:AB531" si="295">IMARGUMENT(Z468)</f>
        <v>2.8583450799565107</v>
      </c>
      <c r="AC468" s="171" t="str">
        <f t="shared" ref="AC468:AC531" si="296">(IMDIV(IMPRODUCT(P468,T468,W468),IMPRODUCT(Q468,Z468)))</f>
        <v>0.0115320089961702+0.00431123237457806i</v>
      </c>
      <c r="AD468" s="190">
        <f t="shared" ref="AD468:AD531" si="297">20*LOG(IMABS(AC468))</f>
        <v>-38.193754141685147</v>
      </c>
      <c r="AE468" s="169">
        <f t="shared" ref="AE468:AE531" si="298">(180/PI())*IMARGUMENT(AC468)</f>
        <v>20.498216631866686</v>
      </c>
      <c r="AF468" s="98" t="str">
        <f t="shared" si="284"/>
        <v>-9.95024875621891E-06</v>
      </c>
      <c r="AG468" s="98" t="str">
        <f t="shared" si="285"/>
        <v>1.98890457081238i</v>
      </c>
      <c r="AH468" s="98">
        <f t="shared" ref="AH468:AH531" si="299">IMABS(AG468)</f>
        <v>1.98890457081238</v>
      </c>
      <c r="AI468" s="98">
        <f t="shared" ref="AI468:AI531" si="300">IMARGUMENT(AG468)</f>
        <v>1.5707963267948966</v>
      </c>
      <c r="AJ468" s="98" t="str">
        <f t="shared" si="286"/>
        <v>1+19.8493272043878i</v>
      </c>
      <c r="AK468" s="98">
        <f t="shared" ref="AK468:AK531" si="301">IMABS(AJ468)</f>
        <v>19.874501011770072</v>
      </c>
      <c r="AL468" s="98">
        <f t="shared" ref="AL468:AL531" si="302">IMARGUMENT(AJ468)</f>
        <v>1.5204593434280902</v>
      </c>
      <c r="AM468" s="98" t="str">
        <f t="shared" si="287"/>
        <v>1+19869.1765315922i</v>
      </c>
      <c r="AN468" s="98">
        <f t="shared" ref="AN468:AN531" si="303">IMABS(AM468)</f>
        <v>19869.176556756804</v>
      </c>
      <c r="AO468" s="98">
        <f t="shared" ref="AO468:AO531" si="304">IMARGUMENT(AM468)</f>
        <v>1.5707459975828346</v>
      </c>
      <c r="AP468" s="168" t="str">
        <f t="shared" ref="AP468:AP531" si="305">IMPRODUCT(AF468,IMDIV(AM468,IMPRODUCT(AG468,AJ468)))</f>
        <v>-0.000251404655679106+0.00499521615020353i</v>
      </c>
      <c r="AQ468" s="98">
        <f t="shared" ref="AQ468:AQ531" si="306">20*LOG(IMABS(AP468))</f>
        <v>-46.017927446771203</v>
      </c>
      <c r="AR468" s="169">
        <f t="shared" ref="AR468:AR531" si="307">(180/PI())*IMARGUMENT(AP468)</f>
        <v>92.881213048900875</v>
      </c>
      <c r="AS468" s="168" t="str">
        <f t="shared" ref="AS468:AS531" si="308">IMPRODUCT(AC468,AP468)</f>
        <v>-0.0000244347383357432+0.0000565210136912784i</v>
      </c>
      <c r="AT468" s="190">
        <f t="shared" ref="AT468:AT531" si="309">20*LOG(IMABS(AS468))</f>
        <v>-84.211681588456344</v>
      </c>
      <c r="AU468" s="169">
        <f t="shared" ref="AU468:AU531" si="310">(180/PI())*IMARGUMENT(AS468)</f>
        <v>113.37942968076759</v>
      </c>
      <c r="AV468" s="225"/>
      <c r="AX468">
        <f t="shared" ref="AX468:AX531" si="311">SUM((AT469&lt;0)*(AT468&gt;0))*O468</f>
        <v>0</v>
      </c>
      <c r="AY468">
        <f t="shared" ref="AY468:AY531" si="312">IF(AX468&gt;0,AU468,0)</f>
        <v>0</v>
      </c>
    </row>
    <row r="469" spans="14:51" x14ac:dyDescent="0.3">
      <c r="N469" s="170">
        <v>51</v>
      </c>
      <c r="O469" s="199">
        <f t="shared" si="278"/>
        <v>323593.65692962846</v>
      </c>
      <c r="P469" s="189" t="str">
        <f t="shared" si="279"/>
        <v>1078.86904761905</v>
      </c>
      <c r="Q469" s="160" t="str">
        <f t="shared" si="280"/>
        <v>1+63537.4659598984i</v>
      </c>
      <c r="R469" s="160">
        <f t="shared" si="288"/>
        <v>63537.46596776777</v>
      </c>
      <c r="S469" s="160">
        <f t="shared" si="289"/>
        <v>1.5707805880494996</v>
      </c>
      <c r="T469" s="160" t="str">
        <f t="shared" si="281"/>
        <v>1+0.040663978214335i</v>
      </c>
      <c r="U469" s="160">
        <f t="shared" si="290"/>
        <v>1.0008264380621728</v>
      </c>
      <c r="V469" s="160">
        <f t="shared" si="291"/>
        <v>4.0641586994529445E-2</v>
      </c>
      <c r="W469" s="98" t="str">
        <f t="shared" si="282"/>
        <v>1-29.4098156037357i</v>
      </c>
      <c r="X469" s="160">
        <f t="shared" si="292"/>
        <v>29.426811819253135</v>
      </c>
      <c r="Y469" s="160">
        <f t="shared" si="293"/>
        <v>-1.536807168339227</v>
      </c>
      <c r="Z469" s="98" t="str">
        <f t="shared" si="283"/>
        <v>-40.885141922036+11.6162947003971i</v>
      </c>
      <c r="AA469" s="160">
        <f t="shared" si="294"/>
        <v>42.503330840670593</v>
      </c>
      <c r="AB469" s="160">
        <f t="shared" si="295"/>
        <v>2.8647673917024203</v>
      </c>
      <c r="AC469" s="171" t="str">
        <f t="shared" si="296"/>
        <v>0.0110464301505617+0.00405069547684635i</v>
      </c>
      <c r="AD469" s="190">
        <f t="shared" si="297"/>
        <v>-38.587642817353178</v>
      </c>
      <c r="AE469" s="169">
        <f t="shared" si="298"/>
        <v>20.137847668647911</v>
      </c>
      <c r="AF469" s="98" t="str">
        <f t="shared" si="284"/>
        <v>-9.95024875621891E-06</v>
      </c>
      <c r="AG469" s="98" t="str">
        <f t="shared" si="285"/>
        <v>2.03523210962747i</v>
      </c>
      <c r="AH469" s="98">
        <f t="shared" si="299"/>
        <v>2.0352321096274699</v>
      </c>
      <c r="AI469" s="98">
        <f t="shared" si="300"/>
        <v>1.5707963267948966</v>
      </c>
      <c r="AJ469" s="98" t="str">
        <f t="shared" si="286"/>
        <v>1+20.3116774297378i</v>
      </c>
      <c r="AK469" s="98">
        <f t="shared" si="301"/>
        <v>20.336278912567064</v>
      </c>
      <c r="AL469" s="98">
        <f t="shared" si="302"/>
        <v>1.5216032839520492</v>
      </c>
      <c r="AM469" s="98" t="str">
        <f t="shared" si="287"/>
        <v>1+20331.9891071675i</v>
      </c>
      <c r="AN469" s="98">
        <f t="shared" si="303"/>
        <v>20331.989131759292</v>
      </c>
      <c r="AO469" s="98">
        <f t="shared" si="304"/>
        <v>1.5707471432155664</v>
      </c>
      <c r="AP469" s="168" t="str">
        <f t="shared" si="305"/>
        <v>-0.000240116942157959+0.0048820668740225i</v>
      </c>
      <c r="AQ469" s="98">
        <f t="shared" si="306"/>
        <v>-46.217432566417116</v>
      </c>
      <c r="AR469" s="169">
        <f t="shared" si="307"/>
        <v>92.815735724784417</v>
      </c>
      <c r="AS469" s="168" t="str">
        <f t="shared" si="308"/>
        <v>-0.0000224282012337787+0.0000529567701027472i</v>
      </c>
      <c r="AT469" s="190">
        <f t="shared" si="309"/>
        <v>-84.805075383770316</v>
      </c>
      <c r="AU469" s="169">
        <f t="shared" si="310"/>
        <v>112.95358339343235</v>
      </c>
      <c r="AV469" s="225"/>
      <c r="AX469">
        <f t="shared" si="311"/>
        <v>0</v>
      </c>
      <c r="AY469">
        <f t="shared" si="312"/>
        <v>0</v>
      </c>
    </row>
    <row r="470" spans="14:51" x14ac:dyDescent="0.3">
      <c r="N470" s="170">
        <v>52</v>
      </c>
      <c r="O470" s="199">
        <f t="shared" si="278"/>
        <v>331131.12148259126</v>
      </c>
      <c r="P470" s="189" t="str">
        <f t="shared" si="279"/>
        <v>1078.86904761905</v>
      </c>
      <c r="Q470" s="160" t="str">
        <f t="shared" si="280"/>
        <v>1+65017.4436640413i</v>
      </c>
      <c r="R470" s="160">
        <f t="shared" si="288"/>
        <v>65017.443671731533</v>
      </c>
      <c r="S470" s="160">
        <f t="shared" si="289"/>
        <v>1.5707809463070834</v>
      </c>
      <c r="T470" s="160" t="str">
        <f t="shared" si="281"/>
        <v>1+0.0416111639449864i</v>
      </c>
      <c r="U470" s="160">
        <f t="shared" si="290"/>
        <v>1.0008653700497667</v>
      </c>
      <c r="V470" s="160">
        <f t="shared" si="291"/>
        <v>4.1587172440944738E-2</v>
      </c>
      <c r="W470" s="98" t="str">
        <f t="shared" si="282"/>
        <v>1-30.094858211572i</v>
      </c>
      <c r="X470" s="160">
        <f t="shared" si="292"/>
        <v>30.111467761878075</v>
      </c>
      <c r="Y470" s="160">
        <f t="shared" si="293"/>
        <v>-1.537580280474256</v>
      </c>
      <c r="Z470" s="98" t="str">
        <f t="shared" si="283"/>
        <v>-42.8591278457277+11.8868729631845i</v>
      </c>
      <c r="AA470" s="160">
        <f t="shared" si="294"/>
        <v>44.476989427560383</v>
      </c>
      <c r="AB470" s="160">
        <f t="shared" si="295"/>
        <v>2.871045281415471</v>
      </c>
      <c r="AC470" s="171" t="str">
        <f t="shared" si="296"/>
        <v>0.010579821557135+0.00380646990252516i</v>
      </c>
      <c r="AD470" s="190">
        <f t="shared" si="297"/>
        <v>-38.981779023225997</v>
      </c>
      <c r="AE470" s="169">
        <f t="shared" si="298"/>
        <v>19.788012550014951</v>
      </c>
      <c r="AF470" s="98" t="str">
        <f t="shared" si="284"/>
        <v>-9.95024875621891E-06</v>
      </c>
      <c r="AG470" s="98" t="str">
        <f t="shared" si="285"/>
        <v>2.08263875544657i</v>
      </c>
      <c r="AH470" s="98">
        <f t="shared" si="299"/>
        <v>2.08263875544657</v>
      </c>
      <c r="AI470" s="98">
        <f t="shared" si="300"/>
        <v>1.5707963267948966</v>
      </c>
      <c r="AJ470" s="98" t="str">
        <f t="shared" si="286"/>
        <v>1+20.7847971753179i</v>
      </c>
      <c r="AK470" s="98">
        <f t="shared" si="301"/>
        <v>20.808839314558202</v>
      </c>
      <c r="AL470" s="98">
        <f t="shared" si="302"/>
        <v>1.5227213097322032</v>
      </c>
      <c r="AM470" s="98" t="str">
        <f t="shared" si="287"/>
        <v>1+20805.5819724932i</v>
      </c>
      <c r="AN470" s="98">
        <f t="shared" si="303"/>
        <v>20805.581996525212</v>
      </c>
      <c r="AO470" s="98">
        <f t="shared" si="304"/>
        <v>1.5707482627705136</v>
      </c>
      <c r="AP470" s="168" t="str">
        <f t="shared" si="305"/>
        <v>-0.000229334857617752+0.00477145621309517i</v>
      </c>
      <c r="AQ470" s="98">
        <f t="shared" si="306"/>
        <v>-46.416959906700235</v>
      </c>
      <c r="AR470" s="169">
        <f t="shared" si="307"/>
        <v>92.751741711968165</v>
      </c>
      <c r="AS470" s="168" t="str">
        <f t="shared" si="308"/>
        <v>-0.0000205887263367902+0.0000496081990691081i</v>
      </c>
      <c r="AT470" s="190">
        <f t="shared" si="309"/>
        <v>-85.398738929926239</v>
      </c>
      <c r="AU470" s="169">
        <f t="shared" si="310"/>
        <v>112.53975426198312</v>
      </c>
      <c r="AV470" s="225"/>
      <c r="AX470">
        <f t="shared" si="311"/>
        <v>0</v>
      </c>
      <c r="AY470">
        <f t="shared" si="312"/>
        <v>0</v>
      </c>
    </row>
    <row r="471" spans="14:51" x14ac:dyDescent="0.3">
      <c r="N471" s="170">
        <v>53</v>
      </c>
      <c r="O471" s="199">
        <f t="shared" si="278"/>
        <v>338844.15613920329</v>
      </c>
      <c r="P471" s="189" t="str">
        <f t="shared" si="279"/>
        <v>1078.86904761905</v>
      </c>
      <c r="Q471" s="160" t="str">
        <f t="shared" si="280"/>
        <v>1+66531.8944774222i</v>
      </c>
      <c r="R471" s="160">
        <f t="shared" si="288"/>
        <v>66531.894484937395</v>
      </c>
      <c r="S471" s="160">
        <f t="shared" si="289"/>
        <v>1.570781296409729</v>
      </c>
      <c r="T471" s="160" t="str">
        <f t="shared" si="281"/>
        <v>1+0.0425804124655502i</v>
      </c>
      <c r="U471" s="160">
        <f t="shared" si="290"/>
        <v>1.0009061352223476</v>
      </c>
      <c r="V471" s="160">
        <f t="shared" si="291"/>
        <v>4.2554706362603591E-2</v>
      </c>
      <c r="W471" s="98" t="str">
        <f t="shared" si="282"/>
        <v>1-30.7958575115845i</v>
      </c>
      <c r="X471" s="160">
        <f t="shared" si="292"/>
        <v>30.812089183854692</v>
      </c>
      <c r="Y471" s="160">
        <f t="shared" si="293"/>
        <v>-1.5383358328125674</v>
      </c>
      <c r="Z471" s="98" t="str">
        <f t="shared" si="283"/>
        <v>-44.9261448598757+12.1637538033583i</v>
      </c>
      <c r="AA471" s="160">
        <f t="shared" si="294"/>
        <v>46.543693434870946</v>
      </c>
      <c r="AB471" s="160">
        <f t="shared" si="295"/>
        <v>2.8771819094568043</v>
      </c>
      <c r="AC471" s="171" t="str">
        <f t="shared" si="296"/>
        <v>0.0101315756695508+0.00357754068999979i</v>
      </c>
      <c r="AD471" s="190">
        <f t="shared" si="297"/>
        <v>-39.376150047668659</v>
      </c>
      <c r="AE471" s="169">
        <f t="shared" si="298"/>
        <v>19.448535253461195</v>
      </c>
      <c r="AF471" s="98" t="str">
        <f t="shared" si="284"/>
        <v>-9.95024875621891E-06</v>
      </c>
      <c r="AG471" s="98" t="str">
        <f t="shared" si="285"/>
        <v>2.13114964390079i</v>
      </c>
      <c r="AH471" s="98">
        <f t="shared" si="299"/>
        <v>2.1311496439007902</v>
      </c>
      <c r="AI471" s="98">
        <f t="shared" si="300"/>
        <v>1.5707963267948966</v>
      </c>
      <c r="AJ471" s="98" t="str">
        <f t="shared" si="286"/>
        <v>1+21.2689372954796i</v>
      </c>
      <c r="AK471" s="98">
        <f t="shared" si="301"/>
        <v>21.292432779723484</v>
      </c>
      <c r="AL471" s="98">
        <f t="shared" si="302"/>
        <v>1.5238140023741731</v>
      </c>
      <c r="AM471" s="98" t="str">
        <f t="shared" si="287"/>
        <v>1+21290.2062327751i</v>
      </c>
      <c r="AN471" s="98">
        <f t="shared" si="303"/>
        <v>21290.206256260077</v>
      </c>
      <c r="AO471" s="98">
        <f t="shared" si="304"/>
        <v>1.5707493568412789</v>
      </c>
      <c r="AP471" s="168" t="str">
        <f t="shared" si="305"/>
        <v>-0.000219035855623439+0.00466332883698744i</v>
      </c>
      <c r="AQ471" s="98">
        <f t="shared" si="306"/>
        <v>-46.616508472149071</v>
      </c>
      <c r="AR471" s="169">
        <f t="shared" si="307"/>
        <v>92.689197720915672</v>
      </c>
      <c r="AS471" s="168" t="str">
        <f t="shared" si="308"/>
        <v>-0.0000189024270107656+0.0000464632592978748i</v>
      </c>
      <c r="AT471" s="190">
        <f t="shared" si="309"/>
        <v>-85.992658519817724</v>
      </c>
      <c r="AU471" s="169">
        <f t="shared" si="310"/>
        <v>112.13773297437683</v>
      </c>
      <c r="AV471" s="225"/>
      <c r="AX471">
        <f t="shared" si="311"/>
        <v>0</v>
      </c>
      <c r="AY471">
        <f t="shared" si="312"/>
        <v>0</v>
      </c>
    </row>
    <row r="472" spans="14:51" x14ac:dyDescent="0.3">
      <c r="N472" s="170">
        <v>54</v>
      </c>
      <c r="O472" s="199">
        <f t="shared" si="278"/>
        <v>346736.85045253241</v>
      </c>
      <c r="P472" s="189" t="str">
        <f t="shared" si="279"/>
        <v>1078.86904761905</v>
      </c>
      <c r="Q472" s="160" t="str">
        <f t="shared" si="280"/>
        <v>1+68081.6213819088i</v>
      </c>
      <c r="R472" s="160">
        <f t="shared" si="288"/>
        <v>68081.621389252934</v>
      </c>
      <c r="S472" s="160">
        <f t="shared" si="289"/>
        <v>1.5707816385430655</v>
      </c>
      <c r="T472" s="160" t="str">
        <f t="shared" si="281"/>
        <v>1+0.0435722376844216i</v>
      </c>
      <c r="U472" s="160">
        <f t="shared" si="290"/>
        <v>1.0009488198188894</v>
      </c>
      <c r="V472" s="160">
        <f t="shared" si="291"/>
        <v>4.3544694508831895E-2</v>
      </c>
      <c r="W472" s="98" t="str">
        <f t="shared" si="282"/>
        <v>1-31.5131851828811i</v>
      </c>
      <c r="X472" s="160">
        <f t="shared" si="292"/>
        <v>31.529047565230332</v>
      </c>
      <c r="Y472" s="160">
        <f t="shared" si="293"/>
        <v>-1.5390742225055265</v>
      </c>
      <c r="Z472" s="98" t="str">
        <f t="shared" si="283"/>
        <v>-47.090577384697+12.4470840268049i</v>
      </c>
      <c r="AA472" s="160">
        <f t="shared" si="294"/>
        <v>48.707826672871356</v>
      </c>
      <c r="AB472" s="160">
        <f t="shared" si="295"/>
        <v>2.8831803736801711</v>
      </c>
      <c r="AC472" s="171" t="str">
        <f t="shared" si="296"/>
        <v>0.00970109158692123+0.00336295369729335i</v>
      </c>
      <c r="AD472" s="190">
        <f t="shared" si="297"/>
        <v>-39.770743698878455</v>
      </c>
      <c r="AE472" s="169">
        <f t="shared" si="298"/>
        <v>19.119244496610275</v>
      </c>
      <c r="AF472" s="98" t="str">
        <f t="shared" si="284"/>
        <v>-9.95024875621891E-06</v>
      </c>
      <c r="AG472" s="98" t="str">
        <f t="shared" si="285"/>
        <v>2.1807904961053i</v>
      </c>
      <c r="AH472" s="98">
        <f t="shared" si="299"/>
        <v>2.1807904961053</v>
      </c>
      <c r="AI472" s="98">
        <f t="shared" si="300"/>
        <v>1.5707963267948966</v>
      </c>
      <c r="AJ472" s="98" t="str">
        <f t="shared" si="286"/>
        <v>1+21.7643544877231i</v>
      </c>
      <c r="AK472" s="98">
        <f t="shared" si="301"/>
        <v>21.787315719640009</v>
      </c>
      <c r="AL472" s="98">
        <f t="shared" si="302"/>
        <v>1.5248819307949262</v>
      </c>
      <c r="AM472" s="98" t="str">
        <f t="shared" si="287"/>
        <v>1+21786.1188422108i</v>
      </c>
      <c r="AN472" s="98">
        <f t="shared" si="303"/>
        <v>21786.118865161192</v>
      </c>
      <c r="AO472" s="98">
        <f t="shared" si="304"/>
        <v>1.5707504260079532</v>
      </c>
      <c r="AP472" s="168" t="str">
        <f t="shared" si="305"/>
        <v>-0.000209198386056717+0.00455763051220326i</v>
      </c>
      <c r="AQ472" s="98">
        <f t="shared" si="306"/>
        <v>-46.816077311690442</v>
      </c>
      <c r="AR472" s="169">
        <f t="shared" si="307"/>
        <v>92.628071188322465</v>
      </c>
      <c r="AS472" s="168" t="str">
        <f t="shared" si="308"/>
        <v>-0.0000173565530848833+0.0000435104665323733i</v>
      </c>
      <c r="AT472" s="190">
        <f t="shared" si="309"/>
        <v>-86.586821010568897</v>
      </c>
      <c r="AU472" s="169">
        <f t="shared" si="310"/>
        <v>111.74731568493281</v>
      </c>
      <c r="AV472" s="225"/>
      <c r="AX472">
        <f t="shared" si="311"/>
        <v>0</v>
      </c>
      <c r="AY472">
        <f t="shared" si="312"/>
        <v>0</v>
      </c>
    </row>
    <row r="473" spans="14:51" x14ac:dyDescent="0.3">
      <c r="N473" s="170">
        <v>55</v>
      </c>
      <c r="O473" s="199">
        <f t="shared" si="278"/>
        <v>354813.38923357555</v>
      </c>
      <c r="P473" s="189" t="str">
        <f t="shared" si="279"/>
        <v>1078.86904761905</v>
      </c>
      <c r="Q473" s="160" t="str">
        <f t="shared" si="280"/>
        <v>1+69667.4460632184i</v>
      </c>
      <c r="R473" s="160">
        <f t="shared" si="288"/>
        <v>69667.446070395352</v>
      </c>
      <c r="S473" s="160">
        <f t="shared" si="289"/>
        <v>1.5707819728884964</v>
      </c>
      <c r="T473" s="160" t="str">
        <f t="shared" si="281"/>
        <v>1+0.0445871654804598i</v>
      </c>
      <c r="U473" s="160">
        <f t="shared" si="290"/>
        <v>1.00099351412763</v>
      </c>
      <c r="V473" s="160">
        <f t="shared" si="291"/>
        <v>4.4557654017914158E-2</v>
      </c>
      <c r="W473" s="98" t="str">
        <f t="shared" si="282"/>
        <v>1-32.2472215620878i</v>
      </c>
      <c r="X473" s="160">
        <f t="shared" si="292"/>
        <v>32.262723048037657</v>
      </c>
      <c r="Y473" s="160">
        <f t="shared" si="293"/>
        <v>-1.5397958378346062</v>
      </c>
      <c r="Z473" s="98" t="str">
        <f t="shared" si="283"/>
        <v>-49.3570164717666+12.7370138589591i</v>
      </c>
      <c r="AA473" s="160">
        <f t="shared" si="294"/>
        <v>50.97397960761505</v>
      </c>
      <c r="AB473" s="160">
        <f t="shared" si="295"/>
        <v>2.8890437101281443</v>
      </c>
      <c r="AC473" s="171" t="str">
        <f t="shared" si="296"/>
        <v>0.00928777645163417+0.0031618122548775i</v>
      </c>
      <c r="AD473" s="190">
        <f t="shared" si="297"/>
        <v>-40.165548277552546</v>
      </c>
      <c r="AE473" s="169">
        <f t="shared" si="298"/>
        <v>18.799973699593956</v>
      </c>
      <c r="AF473" s="98" t="str">
        <f t="shared" si="284"/>
        <v>-9.95024875621891E-06</v>
      </c>
      <c r="AG473" s="98" t="str">
        <f t="shared" si="285"/>
        <v>2.23158763229702i</v>
      </c>
      <c r="AH473" s="98">
        <f t="shared" si="299"/>
        <v>2.2315876322970198</v>
      </c>
      <c r="AI473" s="98">
        <f t="shared" si="300"/>
        <v>1.5707963267948966</v>
      </c>
      <c r="AJ473" s="98" t="str">
        <f t="shared" si="286"/>
        <v>1+22.2713114288011i</v>
      </c>
      <c r="AK473" s="98">
        <f t="shared" si="301"/>
        <v>22.293750531452677</v>
      </c>
      <c r="AL473" s="98">
        <f t="shared" si="302"/>
        <v>1.5259256514751725</v>
      </c>
      <c r="AM473" s="98" t="str">
        <f t="shared" si="287"/>
        <v>1+22293.5827402299i</v>
      </c>
      <c r="AN473" s="98">
        <f t="shared" si="303"/>
        <v>22293.582762657876</v>
      </c>
      <c r="AO473" s="98">
        <f t="shared" si="304"/>
        <v>1.5707514708374231</v>
      </c>
      <c r="AP473" s="168" t="str">
        <f t="shared" si="305"/>
        <v>-0.000199801851885084+0.00445430808791696i</v>
      </c>
      <c r="AQ473" s="98">
        <f t="shared" si="306"/>
        <v>-47.01566551668666</v>
      </c>
      <c r="AR473" s="169">
        <f t="shared" si="307"/>
        <v>92.568330262672774</v>
      </c>
      <c r="AS473" s="168" t="str">
        <f t="shared" si="308"/>
        <v>-0.000015939400834307+0.0000407388818234413i</v>
      </c>
      <c r="AT473" s="190">
        <f t="shared" si="309"/>
        <v>-87.181213794239198</v>
      </c>
      <c r="AU473" s="169">
        <f t="shared" si="310"/>
        <v>111.36830396226674</v>
      </c>
      <c r="AV473" s="225"/>
      <c r="AX473">
        <f t="shared" si="311"/>
        <v>0</v>
      </c>
      <c r="AY473">
        <f t="shared" si="312"/>
        <v>0</v>
      </c>
    </row>
    <row r="474" spans="14:51" x14ac:dyDescent="0.3">
      <c r="N474" s="170">
        <v>56</v>
      </c>
      <c r="O474" s="199">
        <f t="shared" si="278"/>
        <v>363078.05477010203</v>
      </c>
      <c r="P474" s="189" t="str">
        <f t="shared" si="279"/>
        <v>1078.86904761905</v>
      </c>
      <c r="Q474" s="160" t="str">
        <f t="shared" si="280"/>
        <v>1+71290.2093465891i</v>
      </c>
      <c r="R474" s="160">
        <f t="shared" si="288"/>
        <v>71290.20935360268</v>
      </c>
      <c r="S474" s="160">
        <f t="shared" si="289"/>
        <v>1.5707822996232963</v>
      </c>
      <c r="T474" s="160" t="str">
        <f t="shared" si="281"/>
        <v>1+0.045625733981817i</v>
      </c>
      <c r="U474" s="160">
        <f t="shared" si="290"/>
        <v>1.0010403126754583</v>
      </c>
      <c r="V474" s="160">
        <f t="shared" si="291"/>
        <v>4.5594113654580035E-2</v>
      </c>
      <c r="W474" s="98" t="str">
        <f t="shared" si="282"/>
        <v>1-32.9983558450093i</v>
      </c>
      <c r="X474" s="160">
        <f t="shared" si="292"/>
        <v>33.013504637857814</v>
      </c>
      <c r="Y474" s="160">
        <f t="shared" si="293"/>
        <v>-1.5405010584019598</v>
      </c>
      <c r="Z474" s="98" t="str">
        <f t="shared" si="283"/>
        <v>-51.7302695422566+13.0336970244557i</v>
      </c>
      <c r="AA474" s="160">
        <f t="shared" si="294"/>
        <v>53.346959098338743</v>
      </c>
      <c r="AB474" s="160">
        <f t="shared" si="295"/>
        <v>2.8947748937706854</v>
      </c>
      <c r="AC474" s="171" t="str">
        <f t="shared" si="296"/>
        <v>0.00889104665085728+0.0029732739677717i</v>
      </c>
      <c r="AD474" s="190">
        <f t="shared" si="297"/>
        <v>-40.560552550689479</v>
      </c>
      <c r="AE474" s="169">
        <f t="shared" si="298"/>
        <v>18.490560945418292</v>
      </c>
      <c r="AF474" s="98" t="str">
        <f t="shared" si="284"/>
        <v>-9.95024875621891E-06</v>
      </c>
      <c r="AG474" s="98" t="str">
        <f t="shared" si="285"/>
        <v>2.28356798578994i</v>
      </c>
      <c r="AH474" s="98">
        <f t="shared" si="299"/>
        <v>2.28356798578994</v>
      </c>
      <c r="AI474" s="98">
        <f t="shared" si="300"/>
        <v>1.5707963267948966</v>
      </c>
      <c r="AJ474" s="98" t="str">
        <f t="shared" si="286"/>
        <v>1+22.7900769139945i</v>
      </c>
      <c r="AK474" s="98">
        <f t="shared" si="301"/>
        <v>22.812005737018943</v>
      </c>
      <c r="AL474" s="98">
        <f t="shared" si="302"/>
        <v>1.5269457087084157</v>
      </c>
      <c r="AM474" s="98" t="str">
        <f t="shared" si="287"/>
        <v>1+22812.8669909085i</v>
      </c>
      <c r="AN474" s="98">
        <f t="shared" si="303"/>
        <v>22812.867012825955</v>
      </c>
      <c r="AO474" s="98">
        <f t="shared" si="304"/>
        <v>1.5707524918836706</v>
      </c>
      <c r="AP474" s="168" t="str">
        <f t="shared" si="305"/>
        <v>-0.000190826567736368+0.00435330948133188i</v>
      </c>
      <c r="AQ474" s="98">
        <f t="shared" si="306"/>
        <v>-47.215272219058086</v>
      </c>
      <c r="AR474" s="169">
        <f t="shared" si="307"/>
        <v>92.509943789986792</v>
      </c>
      <c r="AS474" s="168" t="str">
        <f t="shared" si="308"/>
        <v>-0.0000146402296704648+0.0000381380980179313i</v>
      </c>
      <c r="AT474" s="190">
        <f t="shared" si="309"/>
        <v>-87.775824769747572</v>
      </c>
      <c r="AU474" s="169">
        <f t="shared" si="310"/>
        <v>111.00050473540506</v>
      </c>
      <c r="AV474" s="225"/>
      <c r="AX474">
        <f t="shared" si="311"/>
        <v>0</v>
      </c>
      <c r="AY474">
        <f t="shared" si="312"/>
        <v>0</v>
      </c>
    </row>
    <row r="475" spans="14:51" x14ac:dyDescent="0.3">
      <c r="N475" s="170">
        <v>57</v>
      </c>
      <c r="O475" s="199">
        <f t="shared" si="278"/>
        <v>371535.2290971732</v>
      </c>
      <c r="P475" s="189" t="str">
        <f t="shared" si="279"/>
        <v>1078.86904761905</v>
      </c>
      <c r="Q475" s="160" t="str">
        <f t="shared" si="280"/>
        <v>1+72950.7716425925i</v>
      </c>
      <c r="R475" s="160">
        <f t="shared" si="288"/>
        <v>72950.77164944644</v>
      </c>
      <c r="S475" s="160">
        <f t="shared" si="289"/>
        <v>1.5707826189207039</v>
      </c>
      <c r="T475" s="160" t="str">
        <f t="shared" si="281"/>
        <v>1+0.0466884938512592i</v>
      </c>
      <c r="U475" s="160">
        <f t="shared" si="290"/>
        <v>1.0010893144260899</v>
      </c>
      <c r="V475" s="160">
        <f t="shared" si="291"/>
        <v>4.6654614051055844E-2</v>
      </c>
      <c r="W475" s="98" t="str">
        <f t="shared" si="282"/>
        <v>1-33.7669862929847i</v>
      </c>
      <c r="X475" s="160">
        <f t="shared" si="292"/>
        <v>33.781790410080646</v>
      </c>
      <c r="Y475" s="160">
        <f t="shared" si="293"/>
        <v>-1.5411902553174095</v>
      </c>
      <c r="Z475" s="98" t="str">
        <f t="shared" si="283"/>
        <v>-54.2153705841157+13.3372908286361i</v>
      </c>
      <c r="AA475" s="160">
        <f t="shared" si="294"/>
        <v>55.831798593817652</v>
      </c>
      <c r="AB475" s="160">
        <f t="shared" si="295"/>
        <v>2.9003768392802316</v>
      </c>
      <c r="AC475" s="171" t="str">
        <f t="shared" si="296"/>
        <v>0.00851032884027361+0.0027965476645862i</v>
      </c>
      <c r="AD475" s="190">
        <f t="shared" si="297"/>
        <v>-40.955745726465302</v>
      </c>
      <c r="AE475" s="169">
        <f t="shared" si="298"/>
        <v>18.190848938646475</v>
      </c>
      <c r="AF475" s="98" t="str">
        <f t="shared" si="284"/>
        <v>-9.95024875621891E-06</v>
      </c>
      <c r="AG475" s="98" t="str">
        <f t="shared" si="285"/>
        <v>2.33675911725552i</v>
      </c>
      <c r="AH475" s="98">
        <f t="shared" si="299"/>
        <v>2.3367591172555202</v>
      </c>
      <c r="AI475" s="98">
        <f t="shared" si="300"/>
        <v>1.5707963267948966</v>
      </c>
      <c r="AJ475" s="98" t="str">
        <f t="shared" si="286"/>
        <v>1+23.32092599963i</v>
      </c>
      <c r="AK475" s="98">
        <f t="shared" si="301"/>
        <v>23.342356125297599</v>
      </c>
      <c r="AL475" s="98">
        <f t="shared" si="302"/>
        <v>1.5279426348465754</v>
      </c>
      <c r="AM475" s="98" t="str">
        <f t="shared" si="287"/>
        <v>1+23344.2469256296i</v>
      </c>
      <c r="AN475" s="98">
        <f t="shared" si="303"/>
        <v>23344.246947048148</v>
      </c>
      <c r="AO475" s="98">
        <f t="shared" si="304"/>
        <v>1.5707534896880679</v>
      </c>
      <c r="AP475" s="168" t="str">
        <f t="shared" si="305"/>
        <v>-0.000182253720209688+0.00425458366271889i</v>
      </c>
      <c r="AQ475" s="98">
        <f t="shared" si="306"/>
        <v>-47.414896589487086</v>
      </c>
      <c r="AR475" s="169">
        <f t="shared" si="307"/>
        <v>92.452881299764712</v>
      </c>
      <c r="AS475" s="168" t="str">
        <f t="shared" si="308"/>
        <v>-0.0000134491850971108+0.000035698224832579i</v>
      </c>
      <c r="AT475" s="190">
        <f t="shared" si="309"/>
        <v>-88.370642315952367</v>
      </c>
      <c r="AU475" s="169">
        <f t="shared" si="310"/>
        <v>110.64373023841119</v>
      </c>
      <c r="AV475" s="225"/>
      <c r="AX475">
        <f t="shared" si="311"/>
        <v>0</v>
      </c>
      <c r="AY475">
        <f t="shared" si="312"/>
        <v>0</v>
      </c>
    </row>
    <row r="476" spans="14:51" x14ac:dyDescent="0.3">
      <c r="N476" s="170">
        <v>58</v>
      </c>
      <c r="O476" s="199">
        <f t="shared" si="278"/>
        <v>380189.39632056188</v>
      </c>
      <c r="P476" s="189" t="str">
        <f t="shared" si="279"/>
        <v>1078.86904761905</v>
      </c>
      <c r="Q476" s="160" t="str">
        <f t="shared" si="280"/>
        <v>1+74650.0134033384i</v>
      </c>
      <c r="R476" s="160">
        <f t="shared" si="288"/>
        <v>74650.013410036307</v>
      </c>
      <c r="S476" s="160">
        <f t="shared" si="289"/>
        <v>1.5707829309500152</v>
      </c>
      <c r="T476" s="160" t="str">
        <f t="shared" si="281"/>
        <v>1+0.0477760085781366i</v>
      </c>
      <c r="U476" s="160">
        <f t="shared" si="290"/>
        <v>1.0011406229874293</v>
      </c>
      <c r="V476" s="160">
        <f t="shared" si="291"/>
        <v>4.7739707951633056E-2</v>
      </c>
      <c r="W476" s="98" t="str">
        <f t="shared" si="282"/>
        <v>1-34.5535204440515i</v>
      </c>
      <c r="X476" s="160">
        <f t="shared" si="292"/>
        <v>34.567987720975097</v>
      </c>
      <c r="Y476" s="160">
        <f t="shared" si="293"/>
        <v>-1.5418637913818773</v>
      </c>
      <c r="Z476" s="98" t="str">
        <f t="shared" si="283"/>
        <v>-56.8175908298374+13.6479562409537i</v>
      </c>
      <c r="AA476" s="160">
        <f t="shared" si="294"/>
        <v>58.433768809326423</v>
      </c>
      <c r="AB476" s="160">
        <f t="shared" si="295"/>
        <v>2.9058524018381529</v>
      </c>
      <c r="AC476" s="171" t="str">
        <f t="shared" si="296"/>
        <v>0.00814506080716064+0.00263089049055475i</v>
      </c>
      <c r="AD476" s="190">
        <f t="shared" si="297"/>
        <v>-41.351117430133151</v>
      </c>
      <c r="AE476" s="169">
        <f t="shared" si="298"/>
        <v>17.900684962689727</v>
      </c>
      <c r="AF476" s="98" t="str">
        <f t="shared" si="284"/>
        <v>-9.95024875621891E-06</v>
      </c>
      <c r="AG476" s="98" t="str">
        <f t="shared" si="285"/>
        <v>2.39118922933574i</v>
      </c>
      <c r="AH476" s="98">
        <f t="shared" si="299"/>
        <v>2.39118922933574</v>
      </c>
      <c r="AI476" s="98">
        <f t="shared" si="300"/>
        <v>1.5707963267948966</v>
      </c>
      <c r="AJ476" s="98" t="str">
        <f t="shared" si="286"/>
        <v>1+23.8641401489194i</v>
      </c>
      <c r="AK476" s="98">
        <f t="shared" si="301"/>
        <v>23.885082898061441</v>
      </c>
      <c r="AL476" s="98">
        <f t="shared" si="302"/>
        <v>1.5289169505421181</v>
      </c>
      <c r="AM476" s="98" t="str">
        <f t="shared" si="287"/>
        <v>1+23888.0042890683i</v>
      </c>
      <c r="AN476" s="98">
        <f t="shared" si="303"/>
        <v>23888.004309999309</v>
      </c>
      <c r="AO476" s="98">
        <f t="shared" si="304"/>
        <v>1.5707544647796645</v>
      </c>
      <c r="AP476" s="168" t="str">
        <f t="shared" si="305"/>
        <v>-0.000174065329855723+0.00415808064018383i</v>
      </c>
      <c r="AQ476" s="98">
        <f t="shared" si="306"/>
        <v>-47.614537835700681</v>
      </c>
      <c r="AR476" s="169">
        <f t="shared" si="307"/>
        <v>92.397112991129887</v>
      </c>
      <c r="AS476" s="168" t="str">
        <f t="shared" si="308"/>
        <v>-0.0000123572275113128+0.000033409872834322i</v>
      </c>
      <c r="AT476" s="190">
        <f t="shared" si="309"/>
        <v>-88.965655265833846</v>
      </c>
      <c r="AU476" s="169">
        <f t="shared" si="310"/>
        <v>110.29779795381967</v>
      </c>
      <c r="AV476" s="225"/>
      <c r="AX476">
        <f t="shared" si="311"/>
        <v>0</v>
      </c>
      <c r="AY476">
        <f t="shared" si="312"/>
        <v>0</v>
      </c>
    </row>
    <row r="477" spans="14:51" x14ac:dyDescent="0.3">
      <c r="N477" s="170">
        <v>59</v>
      </c>
      <c r="O477" s="199">
        <f t="shared" si="278"/>
        <v>389045.14499428123</v>
      </c>
      <c r="P477" s="189" t="str">
        <f t="shared" si="279"/>
        <v>1078.86904761905</v>
      </c>
      <c r="Q477" s="160" t="str">
        <f t="shared" si="280"/>
        <v>1+76388.8355893006i</v>
      </c>
      <c r="R477" s="160">
        <f t="shared" si="288"/>
        <v>76388.83559584606</v>
      </c>
      <c r="S477" s="160">
        <f t="shared" si="289"/>
        <v>1.5707832358766725</v>
      </c>
      <c r="T477" s="160" t="str">
        <f t="shared" si="281"/>
        <v>1+0.0488888547771524i</v>
      </c>
      <c r="U477" s="160">
        <f t="shared" si="290"/>
        <v>1.0011943468285374</v>
      </c>
      <c r="V477" s="160">
        <f t="shared" si="291"/>
        <v>4.8849960460682726E-2</v>
      </c>
      <c r="W477" s="98" t="str">
        <f t="shared" si="282"/>
        <v>1-35.3583753290277i</v>
      </c>
      <c r="X477" s="160">
        <f t="shared" si="292"/>
        <v>35.372513423679621</v>
      </c>
      <c r="Y477" s="160">
        <f t="shared" si="293"/>
        <v>-1.5425220212672996</v>
      </c>
      <c r="Z477" s="98" t="str">
        <f t="shared" si="283"/>
        <v>-59.5424499374486+13.9658579803223i</v>
      </c>
      <c r="AA477" s="160">
        <f t="shared" si="294"/>
        <v>61.158388906838482</v>
      </c>
      <c r="AB477" s="160">
        <f t="shared" si="295"/>
        <v>2.9112043779677386</v>
      </c>
      <c r="AC477" s="171" t="str">
        <f t="shared" si="296"/>
        <v>0.00779469218858431+0.00247560514111467i</v>
      </c>
      <c r="AD477" s="190">
        <f t="shared" si="297"/>
        <v>-41.746657680888674</v>
      </c>
      <c r="AE477" s="169">
        <f t="shared" si="298"/>
        <v>17.619920835977499</v>
      </c>
      <c r="AF477" s="98" t="str">
        <f t="shared" si="284"/>
        <v>-9.95024875621891E-06</v>
      </c>
      <c r="AG477" s="98" t="str">
        <f t="shared" si="285"/>
        <v>2.44688718159648i</v>
      </c>
      <c r="AH477" s="98">
        <f t="shared" si="299"/>
        <v>2.4468871815964799</v>
      </c>
      <c r="AI477" s="98">
        <f t="shared" si="300"/>
        <v>1.5707963267948966</v>
      </c>
      <c r="AJ477" s="98" t="str">
        <f t="shared" si="286"/>
        <v>1+24.420007381195i</v>
      </c>
      <c r="AK477" s="98">
        <f t="shared" si="301"/>
        <v>24.440473819008055</v>
      </c>
      <c r="AL477" s="98">
        <f t="shared" si="302"/>
        <v>1.5298691649866323</v>
      </c>
      <c r="AM477" s="98" t="str">
        <f t="shared" si="287"/>
        <v>1+24444.4273885762i</v>
      </c>
      <c r="AN477" s="98">
        <f t="shared" si="303"/>
        <v>24444.427409030759</v>
      </c>
      <c r="AO477" s="98">
        <f t="shared" si="304"/>
        <v>1.5707554176754663</v>
      </c>
      <c r="AP477" s="168" t="str">
        <f t="shared" si="305"/>
        <v>-0.000166244214761348+0.00406375144420999i</v>
      </c>
      <c r="AQ477" s="98">
        <f t="shared" si="306"/>
        <v>-47.814195200827569</v>
      </c>
      <c r="AR477" s="169">
        <f t="shared" si="307"/>
        <v>92.342609719175599</v>
      </c>
      <c r="AS477" s="168" t="str">
        <f t="shared" si="308"/>
        <v>-0.000011356066449696+0.0000312641366057881i</v>
      </c>
      <c r="AT477" s="190">
        <f t="shared" si="309"/>
        <v>-89.560852881716229</v>
      </c>
      <c r="AU477" s="169">
        <f t="shared" si="310"/>
        <v>109.96253055515302</v>
      </c>
      <c r="AV477" s="225"/>
      <c r="AX477">
        <f t="shared" si="311"/>
        <v>0</v>
      </c>
      <c r="AY477">
        <f t="shared" si="312"/>
        <v>0</v>
      </c>
    </row>
    <row r="478" spans="14:51" x14ac:dyDescent="0.3">
      <c r="N478" s="170">
        <v>60</v>
      </c>
      <c r="O478" s="199">
        <f t="shared" si="278"/>
        <v>398107.17055349716</v>
      </c>
      <c r="P478" s="189" t="str">
        <f t="shared" si="279"/>
        <v>1078.86904761905</v>
      </c>
      <c r="Q478" s="160" t="str">
        <f t="shared" si="280"/>
        <v>1+78168.1601470178i</v>
      </c>
      <c r="R478" s="160">
        <f t="shared" si="288"/>
        <v>78168.160153414268</v>
      </c>
      <c r="S478" s="160">
        <f t="shared" si="289"/>
        <v>1.5707835338623515</v>
      </c>
      <c r="T478" s="160" t="str">
        <f t="shared" si="281"/>
        <v>1+0.0500276224940914i</v>
      </c>
      <c r="U478" s="160">
        <f t="shared" si="290"/>
        <v>1.0012505995066425</v>
      </c>
      <c r="V478" s="160">
        <f t="shared" si="291"/>
        <v>4.9985949294042008E-2</v>
      </c>
      <c r="W478" s="98" t="str">
        <f t="shared" si="282"/>
        <v>1-36.1819776926267i</v>
      </c>
      <c r="X478" s="160">
        <f t="shared" si="292"/>
        <v>36.195794089227228</v>
      </c>
      <c r="Y478" s="160">
        <f t="shared" si="293"/>
        <v>-1.5431652916930567</v>
      </c>
      <c r="Z478" s="98" t="str">
        <f t="shared" si="283"/>
        <v>-62.3957276984446+14.291164602452i</v>
      </c>
      <c r="AA478" s="160">
        <f t="shared" si="294"/>
        <v>64.011438202190277</v>
      </c>
      <c r="AB478" s="160">
        <f t="shared" si="295"/>
        <v>2.9164355063894889</v>
      </c>
      <c r="AC478" s="171" t="str">
        <f t="shared" si="296"/>
        <v>0.00745868505920818+0.00233003723219478i</v>
      </c>
      <c r="AD478" s="190">
        <f t="shared" si="297"/>
        <v>-42.142356869652133</v>
      </c>
      <c r="AE478" s="169">
        <f t="shared" si="298"/>
        <v>17.34841286724253</v>
      </c>
      <c r="AF478" s="98" t="str">
        <f t="shared" si="284"/>
        <v>-9.95024875621891E-06</v>
      </c>
      <c r="AG478" s="98" t="str">
        <f t="shared" si="285"/>
        <v>2.50388250582928i</v>
      </c>
      <c r="AH478" s="98">
        <f t="shared" si="299"/>
        <v>2.5038825058292802</v>
      </c>
      <c r="AI478" s="98">
        <f t="shared" si="300"/>
        <v>1.5707963267948966</v>
      </c>
      <c r="AJ478" s="98" t="str">
        <f t="shared" si="286"/>
        <v>1+24.9888224246211i</v>
      </c>
      <c r="AK478" s="98">
        <f t="shared" si="301"/>
        <v>25.008823366349056</v>
      </c>
      <c r="AL478" s="98">
        <f t="shared" si="302"/>
        <v>1.5307997761458072</v>
      </c>
      <c r="AM478" s="98" t="str">
        <f t="shared" si="287"/>
        <v>1+25013.8112470457i</v>
      </c>
      <c r="AN478" s="98">
        <f t="shared" si="303"/>
        <v>25013.811267034656</v>
      </c>
      <c r="AO478" s="98">
        <f t="shared" si="304"/>
        <v>1.5707563488807119</v>
      </c>
      <c r="AP478" s="168" t="str">
        <f t="shared" si="305"/>
        <v>-0.000158773955675674+0.00397154811201714i</v>
      </c>
      <c r="AQ478" s="98">
        <f t="shared" si="306"/>
        <v>-48.0138679618276</v>
      </c>
      <c r="AR478" s="169">
        <f t="shared" si="307"/>
        <v>92.289342981517521</v>
      </c>
      <c r="AS478" s="168" t="str">
        <f t="shared" si="308"/>
        <v>-0.0000104380999014424+0.0000292525773368015i</v>
      </c>
      <c r="AT478" s="190">
        <f t="shared" si="309"/>
        <v>-90.156224831479733</v>
      </c>
      <c r="AU478" s="169">
        <f t="shared" si="310"/>
        <v>109.63775584876016</v>
      </c>
      <c r="AV478" s="225"/>
      <c r="AX478">
        <f t="shared" si="311"/>
        <v>0</v>
      </c>
      <c r="AY478">
        <f t="shared" si="312"/>
        <v>0</v>
      </c>
    </row>
    <row r="479" spans="14:51" x14ac:dyDescent="0.3">
      <c r="N479" s="170">
        <v>61</v>
      </c>
      <c r="O479" s="199">
        <f t="shared" si="278"/>
        <v>407380.27780411334</v>
      </c>
      <c r="P479" s="189" t="str">
        <f t="shared" si="279"/>
        <v>1078.86904761905</v>
      </c>
      <c r="Q479" s="160" t="str">
        <f t="shared" si="280"/>
        <v>1+79988.9304979231i</v>
      </c>
      <c r="R479" s="160">
        <f t="shared" si="288"/>
        <v>79988.930504173957</v>
      </c>
      <c r="S479" s="160">
        <f t="shared" si="289"/>
        <v>1.5707838250650483</v>
      </c>
      <c r="T479" s="160" t="str">
        <f t="shared" si="281"/>
        <v>1+0.0511929155186708i</v>
      </c>
      <c r="U479" s="160">
        <f t="shared" si="290"/>
        <v>1.0013094999046508</v>
      </c>
      <c r="V479" s="160">
        <f t="shared" si="291"/>
        <v>5.1148265033683582E-2</v>
      </c>
      <c r="W479" s="98" t="str">
        <f t="shared" si="282"/>
        <v>1-37.0247642197235i</v>
      </c>
      <c r="X479" s="160">
        <f t="shared" si="292"/>
        <v>37.038266232723657</v>
      </c>
      <c r="Y479" s="160">
        <f t="shared" si="293"/>
        <v>-1.5437939415989579</v>
      </c>
      <c r="Z479" s="98" t="str">
        <f t="shared" si="283"/>
        <v>-65.3834762975025+14.6240485892199i</v>
      </c>
      <c r="AA479" s="160">
        <f t="shared" si="294"/>
        <v>66.998968424043184</v>
      </c>
      <c r="AB479" s="160">
        <f t="shared" si="295"/>
        <v>2.9215484688947715</v>
      </c>
      <c r="AC479" s="171" t="str">
        <f t="shared" si="296"/>
        <v>0.00713651440203718+0.0021935728030676i</v>
      </c>
      <c r="AD479" s="190">
        <f t="shared" si="297"/>
        <v>-42.538205737716687</v>
      </c>
      <c r="AE479" s="169">
        <f t="shared" si="298"/>
        <v>17.086021810139339</v>
      </c>
      <c r="AF479" s="98" t="str">
        <f t="shared" si="284"/>
        <v>-9.95024875621891E-06</v>
      </c>
      <c r="AG479" s="98" t="str">
        <f t="shared" si="285"/>
        <v>2.56220542170948i</v>
      </c>
      <c r="AH479" s="98">
        <f t="shared" si="299"/>
        <v>2.5622054217094798</v>
      </c>
      <c r="AI479" s="98">
        <f t="shared" si="300"/>
        <v>1.5707963267948966</v>
      </c>
      <c r="AJ479" s="98" t="str">
        <f t="shared" si="286"/>
        <v>1+25.5708868724629i</v>
      </c>
      <c r="AK479" s="98">
        <f t="shared" si="301"/>
        <v>25.590432888958627</v>
      </c>
      <c r="AL479" s="98">
        <f t="shared" si="302"/>
        <v>1.5317092709907711</v>
      </c>
      <c r="AM479" s="98" t="str">
        <f t="shared" si="287"/>
        <v>1+25596.4577593354i</v>
      </c>
      <c r="AN479" s="98">
        <f t="shared" si="303"/>
        <v>25596.457778869353</v>
      </c>
      <c r="AO479" s="98">
        <f t="shared" si="304"/>
        <v>1.5707572588891381</v>
      </c>
      <c r="AP479" s="168" t="str">
        <f t="shared" si="305"/>
        <v>-0.000151638862616598+0.00388142367177643i</v>
      </c>
      <c r="AQ479" s="98">
        <f t="shared" si="306"/>
        <v>-48.213555427989391</v>
      </c>
      <c r="AR479" s="169">
        <f t="shared" si="307"/>
        <v>92.237284905054338</v>
      </c>
      <c r="AS479" s="168" t="str">
        <f t="shared" si="308"/>
        <v>-9.59635833056345E-06+0.0000273672050491166i</v>
      </c>
      <c r="AT479" s="190">
        <f t="shared" si="309"/>
        <v>-90.751761165706085</v>
      </c>
      <c r="AU479" s="169">
        <f t="shared" si="310"/>
        <v>109.32330671519371</v>
      </c>
      <c r="AV479" s="225"/>
      <c r="AX479">
        <f t="shared" si="311"/>
        <v>0</v>
      </c>
      <c r="AY479">
        <f t="shared" si="312"/>
        <v>0</v>
      </c>
    </row>
    <row r="480" spans="14:51" x14ac:dyDescent="0.3">
      <c r="N480" s="170">
        <v>62</v>
      </c>
      <c r="O480" s="199">
        <f t="shared" si="278"/>
        <v>416869.38347033598</v>
      </c>
      <c r="P480" s="189" t="str">
        <f t="shared" si="279"/>
        <v>1078.86904761905</v>
      </c>
      <c r="Q480" s="160" t="str">
        <f t="shared" si="280"/>
        <v>1+81852.1120385572i</v>
      </c>
      <c r="R480" s="160">
        <f t="shared" si="288"/>
        <v>81852.112044665773</v>
      </c>
      <c r="S480" s="160">
        <f t="shared" si="289"/>
        <v>1.5707841096391624</v>
      </c>
      <c r="T480" s="160" t="str">
        <f t="shared" si="281"/>
        <v>1+0.0523853517046766i</v>
      </c>
      <c r="U480" s="160">
        <f t="shared" si="290"/>
        <v>1.0013711724796268</v>
      </c>
      <c r="V480" s="160">
        <f t="shared" si="291"/>
        <v>5.2337511385562731E-2</v>
      </c>
      <c r="W480" s="98" t="str">
        <f t="shared" si="282"/>
        <v>1-37.8871817668903i</v>
      </c>
      <c r="X480" s="160">
        <f t="shared" si="292"/>
        <v>37.900376544796821</v>
      </c>
      <c r="Y480" s="160">
        <f t="shared" si="293"/>
        <v>-1.5444083023148234</v>
      </c>
      <c r="Z480" s="98" t="str">
        <f t="shared" si="283"/>
        <v>-68.5120331499755+14.964686440122i</v>
      </c>
      <c r="AA480" s="160">
        <f t="shared" si="294"/>
        <v>70.127316550646029</v>
      </c>
      <c r="AB480" s="160">
        <f t="shared" si="295"/>
        <v>2.9265458912343516</v>
      </c>
      <c r="AC480" s="171" t="str">
        <f t="shared" si="296"/>
        <v>0.00682766847430972+0.00206563594739033i</v>
      </c>
      <c r="AD480" s="190">
        <f t="shared" si="297"/>
        <v>-42.93419535621419</v>
      </c>
      <c r="AE480" s="169">
        <f t="shared" si="298"/>
        <v>16.83261281738751</v>
      </c>
      <c r="AF480" s="98" t="str">
        <f t="shared" si="284"/>
        <v>-9.95024875621891E-06</v>
      </c>
      <c r="AG480" s="98" t="str">
        <f t="shared" si="285"/>
        <v>2.62188685281906i</v>
      </c>
      <c r="AH480" s="98">
        <f t="shared" si="299"/>
        <v>2.6218868528190602</v>
      </c>
      <c r="AI480" s="98">
        <f t="shared" si="300"/>
        <v>1.5707963267948966</v>
      </c>
      <c r="AJ480" s="98" t="str">
        <f t="shared" si="286"/>
        <v>1+26.1665093429953i</v>
      </c>
      <c r="AK480" s="98">
        <f t="shared" si="301"/>
        <v>26.185610766164316</v>
      </c>
      <c r="AL480" s="98">
        <f t="shared" si="302"/>
        <v>1.5325981257257624</v>
      </c>
      <c r="AM480" s="98" t="str">
        <f t="shared" si="287"/>
        <v>1+26192.6758523383i</v>
      </c>
      <c r="AN480" s="98">
        <f t="shared" si="303"/>
        <v>26192.675871427607</v>
      </c>
      <c r="AO480" s="98">
        <f t="shared" si="304"/>
        <v>1.5707581481832438</v>
      </c>
      <c r="AP480" s="168" t="str">
        <f t="shared" si="305"/>
        <v>-0.00014482394289897+0.00379333212671654i</v>
      </c>
      <c r="AQ480" s="98">
        <f t="shared" si="306"/>
        <v>-48.413256939494083</v>
      </c>
      <c r="AR480" s="169">
        <f t="shared" si="307"/>
        <v>92.186408232938106</v>
      </c>
      <c r="AS480" s="168" t="str">
        <f t="shared" si="308"/>
        <v>-8.82445307059282E-06+0.0000256004606316738i</v>
      </c>
      <c r="AT480" s="190">
        <f t="shared" si="309"/>
        <v>-91.34745229570828</v>
      </c>
      <c r="AU480" s="169">
        <f t="shared" si="310"/>
        <v>109.01902105032565</v>
      </c>
      <c r="AV480" s="225"/>
      <c r="AX480">
        <f t="shared" si="311"/>
        <v>0</v>
      </c>
      <c r="AY480">
        <f t="shared" si="312"/>
        <v>0</v>
      </c>
    </row>
    <row r="481" spans="14:51" x14ac:dyDescent="0.3">
      <c r="N481" s="170">
        <v>63</v>
      </c>
      <c r="O481" s="199">
        <f t="shared" si="278"/>
        <v>426579.51880159322</v>
      </c>
      <c r="P481" s="189" t="str">
        <f t="shared" si="279"/>
        <v>1078.86904761905</v>
      </c>
      <c r="Q481" s="160" t="str">
        <f t="shared" si="280"/>
        <v>1+83758.6926524347i</v>
      </c>
      <c r="R481" s="160">
        <f t="shared" si="288"/>
        <v>83758.692658404238</v>
      </c>
      <c r="S481" s="160">
        <f t="shared" si="289"/>
        <v>1.5707843877355789</v>
      </c>
      <c r="T481" s="160" t="str">
        <f t="shared" si="281"/>
        <v>1+0.0536055632975582i</v>
      </c>
      <c r="U481" s="160">
        <f t="shared" si="290"/>
        <v>1.0014357475227498</v>
      </c>
      <c r="V481" s="160">
        <f t="shared" si="291"/>
        <v>5.3554305440527063E-2</v>
      </c>
      <c r="W481" s="98" t="str">
        <f t="shared" si="282"/>
        <v>1-38.769687599326i</v>
      </c>
      <c r="X481" s="160">
        <f t="shared" si="292"/>
        <v>38.782582128441788</v>
      </c>
      <c r="Y481" s="160">
        <f t="shared" si="293"/>
        <v>-1.5450086977267043</v>
      </c>
      <c r="Z481" s="98" t="str">
        <f t="shared" si="283"/>
        <v>-71.7880343443998+15.3132587658557i</v>
      </c>
      <c r="AA481" s="160">
        <f t="shared" si="294"/>
        <v>73.403118251630033</v>
      </c>
      <c r="AB481" s="160">
        <f t="shared" si="295"/>
        <v>2.9314303440185983</v>
      </c>
      <c r="AC481" s="171" t="str">
        <f t="shared" si="296"/>
        <v>0.00653164907972142+0.00194568656789409i</v>
      </c>
      <c r="AD481" s="190">
        <f t="shared" si="297"/>
        <v>-43.330317106352638</v>
      </c>
      <c r="AE481" s="169">
        <f t="shared" si="298"/>
        <v>16.588055394614582</v>
      </c>
      <c r="AF481" s="98" t="str">
        <f t="shared" si="284"/>
        <v>-9.95024875621891E-06</v>
      </c>
      <c r="AG481" s="98" t="str">
        <f t="shared" si="285"/>
        <v>2.68295844304279i</v>
      </c>
      <c r="AH481" s="98">
        <f t="shared" si="299"/>
        <v>2.6829584430427902</v>
      </c>
      <c r="AI481" s="98">
        <f t="shared" si="300"/>
        <v>1.5707963267948966</v>
      </c>
      <c r="AJ481" s="98" t="str">
        <f t="shared" si="286"/>
        <v>1+26.776005643136i</v>
      </c>
      <c r="AK481" s="98">
        <f t="shared" si="301"/>
        <v>26.794672571264066</v>
      </c>
      <c r="AL481" s="98">
        <f t="shared" si="302"/>
        <v>1.5334668060121137</v>
      </c>
      <c r="AM481" s="98" t="str">
        <f t="shared" si="287"/>
        <v>1+26802.7816487791i</v>
      </c>
      <c r="AN481" s="98">
        <f t="shared" si="303"/>
        <v>26802.781667433879</v>
      </c>
      <c r="AO481" s="98">
        <f t="shared" si="304"/>
        <v>1.5707590172345443</v>
      </c>
      <c r="AP481" s="168" t="str">
        <f t="shared" si="305"/>
        <v>-0.000138314870527458+0.00370722843915408i</v>
      </c>
      <c r="AQ481" s="98">
        <f t="shared" si="306"/>
        <v>-48.61297186604201</v>
      </c>
      <c r="AR481" s="169">
        <f t="shared" si="307"/>
        <v>92.136686311755668</v>
      </c>
      <c r="AS481" s="168" t="str">
        <f t="shared" si="308"/>
        <v>-8.11652877496952E-06+0.0000239451978371925i</v>
      </c>
      <c r="AT481" s="190">
        <f t="shared" si="309"/>
        <v>-91.943288972394654</v>
      </c>
      <c r="AU481" s="169">
        <f t="shared" si="310"/>
        <v>108.72474170637028</v>
      </c>
      <c r="AV481" s="225"/>
      <c r="AX481">
        <f t="shared" si="311"/>
        <v>0</v>
      </c>
      <c r="AY481">
        <f t="shared" si="312"/>
        <v>0</v>
      </c>
    </row>
    <row r="482" spans="14:51" x14ac:dyDescent="0.3">
      <c r="N482" s="170">
        <v>64</v>
      </c>
      <c r="O482" s="199">
        <f t="shared" si="278"/>
        <v>436515.83224016649</v>
      </c>
      <c r="P482" s="189" t="str">
        <f t="shared" si="279"/>
        <v>1078.86904761905</v>
      </c>
      <c r="Q482" s="160" t="str">
        <f t="shared" si="280"/>
        <v>1+85709.6832338338i</v>
      </c>
      <c r="R482" s="160">
        <f t="shared" si="288"/>
        <v>85709.683239667444</v>
      </c>
      <c r="S482" s="160">
        <f t="shared" si="289"/>
        <v>1.5707846595017481</v>
      </c>
      <c r="T482" s="160" t="str">
        <f t="shared" si="281"/>
        <v>1+0.0548541972696536i</v>
      </c>
      <c r="U482" s="160">
        <f t="shared" si="290"/>
        <v>1.0015033614312525</v>
      </c>
      <c r="V482" s="160">
        <f t="shared" si="291"/>
        <v>5.479927793815427E-2</v>
      </c>
      <c r="W482" s="98" t="str">
        <f t="shared" si="282"/>
        <v>1-39.6727496333043i</v>
      </c>
      <c r="X482" s="160">
        <f t="shared" si="292"/>
        <v>39.685350741386252</v>
      </c>
      <c r="Y482" s="160">
        <f t="shared" si="293"/>
        <v>-1.5455954444397852</v>
      </c>
      <c r="Z482" s="98" t="str">
        <f t="shared" si="283"/>
        <v>-75.21842871853+15.6699503840819i</v>
      </c>
      <c r="AA482" s="160">
        <f t="shared" si="294"/>
        <v>76.83332196335239</v>
      </c>
      <c r="AB482" s="160">
        <f t="shared" si="295"/>
        <v>2.9362043436265211</v>
      </c>
      <c r="AC482" s="171" t="str">
        <f t="shared" si="296"/>
        <v>0.00624797175720607+0.0018332182500713i</v>
      </c>
      <c r="AD482" s="190">
        <f t="shared" si="297"/>
        <v>-43.72656266038048</v>
      </c>
      <c r="AE482" s="169">
        <f t="shared" si="298"/>
        <v>16.352223354050238</v>
      </c>
      <c r="AF482" s="98" t="str">
        <f t="shared" si="284"/>
        <v>-9.95024875621891E-06</v>
      </c>
      <c r="AG482" s="98" t="str">
        <f t="shared" si="285"/>
        <v>2.74545257334617i</v>
      </c>
      <c r="AH482" s="98">
        <f t="shared" si="299"/>
        <v>2.7454525733461699</v>
      </c>
      <c r="AI482" s="98">
        <f t="shared" si="300"/>
        <v>1.5707963267948966</v>
      </c>
      <c r="AJ482" s="98" t="str">
        <f t="shared" si="286"/>
        <v>1+27.3996989358909i</v>
      </c>
      <c r="AK482" s="98">
        <f t="shared" si="301"/>
        <v>27.417941238857829</v>
      </c>
      <c r="AL482" s="98">
        <f t="shared" si="302"/>
        <v>1.534315767188531</v>
      </c>
      <c r="AM482" s="98" t="str">
        <f t="shared" si="287"/>
        <v>1+27427.0986348268i</v>
      </c>
      <c r="AN482" s="98">
        <f t="shared" si="303"/>
        <v>27427.098653056946</v>
      </c>
      <c r="AO482" s="98">
        <f t="shared" si="304"/>
        <v>1.570759866503822</v>
      </c>
      <c r="AP482" s="168" t="str">
        <f t="shared" si="305"/>
        <v>-0.000132097956899148+0.00362306851447834i</v>
      </c>
      <c r="AQ482" s="98">
        <f t="shared" si="306"/>
        <v>-48.812699605539578</v>
      </c>
      <c r="AR482" s="169">
        <f t="shared" si="307"/>
        <v>92.088093078921773</v>
      </c>
      <c r="AS482" s="168" t="str">
        <f t="shared" si="308"/>
        <v>-7.46721962589091E-06+0.0000223946653674986i</v>
      </c>
      <c r="AT482" s="190">
        <f t="shared" si="309"/>
        <v>-92.53926226592003</v>
      </c>
      <c r="AU482" s="169">
        <f t="shared" si="310"/>
        <v>108.44031643297198</v>
      </c>
      <c r="AV482" s="225"/>
      <c r="AX482">
        <f t="shared" si="311"/>
        <v>0</v>
      </c>
      <c r="AY482">
        <f t="shared" si="312"/>
        <v>0</v>
      </c>
    </row>
    <row r="483" spans="14:51" x14ac:dyDescent="0.3">
      <c r="N483" s="170">
        <v>65</v>
      </c>
      <c r="O483" s="199">
        <f t="shared" si="278"/>
        <v>446683.59215096442</v>
      </c>
      <c r="P483" s="189" t="str">
        <f t="shared" si="279"/>
        <v>1078.86904761905</v>
      </c>
      <c r="Q483" s="160" t="str">
        <f t="shared" si="280"/>
        <v>1+87706.1182237856i</v>
      </c>
      <c r="R483" s="160">
        <f t="shared" si="288"/>
        <v>87706.118229486456</v>
      </c>
      <c r="S483" s="160">
        <f t="shared" si="289"/>
        <v>1.570784925081764</v>
      </c>
      <c r="T483" s="160" t="str">
        <f t="shared" si="281"/>
        <v>1+0.0561319156632228i</v>
      </c>
      <c r="U483" s="160">
        <f t="shared" si="290"/>
        <v>1.0015741569928924</v>
      </c>
      <c r="V483" s="160">
        <f t="shared" si="291"/>
        <v>5.6073073533367226E-2</v>
      </c>
      <c r="W483" s="98" t="str">
        <f t="shared" si="282"/>
        <v>1-40.5968466842693i</v>
      </c>
      <c r="X483" s="160">
        <f t="shared" si="292"/>
        <v>40.60916104410515</v>
      </c>
      <c r="Y483" s="160">
        <f t="shared" si="293"/>
        <v>-1.5461688519380119</v>
      </c>
      <c r="Z483" s="98" t="str">
        <f t="shared" si="283"/>
        <v>-78.8104925987559+16.0349504174182i</v>
      </c>
      <c r="AA483" s="160">
        <f t="shared" si="294"/>
        <v>80.425203627641622</v>
      </c>
      <c r="AB483" s="160">
        <f t="shared" si="295"/>
        <v>2.9408703531210341</v>
      </c>
      <c r="AC483" s="171" t="str">
        <f t="shared" si="296"/>
        <v>0.00597616589561079+0.00172775625015127i</v>
      </c>
      <c r="AD483" s="190">
        <f t="shared" si="297"/>
        <v>-44.122923963234292</v>
      </c>
      <c r="AE483" s="169">
        <f t="shared" si="298"/>
        <v>16.124994768211049</v>
      </c>
      <c r="AF483" s="98" t="str">
        <f t="shared" si="284"/>
        <v>-9.95024875621891E-06</v>
      </c>
      <c r="AG483" s="98" t="str">
        <f t="shared" si="285"/>
        <v>2.8094023789443i</v>
      </c>
      <c r="AH483" s="98">
        <f t="shared" si="299"/>
        <v>2.8094023789442999</v>
      </c>
      <c r="AI483" s="98">
        <f t="shared" si="300"/>
        <v>1.5707963267948966</v>
      </c>
      <c r="AJ483" s="98" t="str">
        <f t="shared" si="286"/>
        <v>1+28.0379199116997i</v>
      </c>
      <c r="AK483" s="98">
        <f t="shared" si="301"/>
        <v>28.055747236081352</v>
      </c>
      <c r="AL483" s="98">
        <f t="shared" si="302"/>
        <v>1.5351454544876644</v>
      </c>
      <c r="AM483" s="98" t="str">
        <f t="shared" si="287"/>
        <v>1+28065.9578316114i</v>
      </c>
      <c r="AN483" s="98">
        <f t="shared" si="303"/>
        <v>28065.95784942657</v>
      </c>
      <c r="AO483" s="98">
        <f t="shared" si="304"/>
        <v>1.570760696441371</v>
      </c>
      <c r="AP483" s="168" t="str">
        <f t="shared" si="305"/>
        <v>-0.00012616012276285+0.00354080918511798i</v>
      </c>
      <c r="AQ483" s="98">
        <f t="shared" si="306"/>
        <v>-49.012439582844209</v>
      </c>
      <c r="AR483" s="169">
        <f t="shared" si="307"/>
        <v>92.040603050284645</v>
      </c>
      <c r="AS483" s="168" t="str">
        <f t="shared" si="308"/>
        <v>-6.87160902322203E-06+0.0000209424891543441i</v>
      </c>
      <c r="AT483" s="190">
        <f t="shared" si="309"/>
        <v>-93.135363546078509</v>
      </c>
      <c r="AU483" s="169">
        <f t="shared" si="310"/>
        <v>108.16559781849571</v>
      </c>
      <c r="AV483" s="225"/>
      <c r="AX483">
        <f t="shared" si="311"/>
        <v>0</v>
      </c>
      <c r="AY483">
        <f t="shared" si="312"/>
        <v>0</v>
      </c>
    </row>
    <row r="484" spans="14:51" x14ac:dyDescent="0.3">
      <c r="N484" s="170">
        <v>66</v>
      </c>
      <c r="O484" s="199">
        <f t="shared" ref="O484:O518" si="313">10^(5+(N484/100))</f>
        <v>457088.18961487547</v>
      </c>
      <c r="P484" s="189" t="str">
        <f t="shared" si="279"/>
        <v>1078.86904761905</v>
      </c>
      <c r="Q484" s="160" t="str">
        <f t="shared" si="280"/>
        <v>1+89749.0561585469i</v>
      </c>
      <c r="R484" s="160">
        <f t="shared" si="288"/>
        <v>89749.056164117996</v>
      </c>
      <c r="S484" s="160">
        <f t="shared" si="289"/>
        <v>1.5707851846164409</v>
      </c>
      <c r="T484" s="160" t="str">
        <f t="shared" si="281"/>
        <v>1+0.05743939594147i</v>
      </c>
      <c r="U484" s="160">
        <f t="shared" si="290"/>
        <v>1.0016482836835099</v>
      </c>
      <c r="V484" s="160">
        <f t="shared" si="291"/>
        <v>5.7376351065656188E-2</v>
      </c>
      <c r="W484" s="98" t="str">
        <f t="shared" si="282"/>
        <v>1-41.5424687207088i</v>
      </c>
      <c r="X484" s="160">
        <f t="shared" si="292"/>
        <v>41.554502853614657</v>
      </c>
      <c r="Y484" s="160">
        <f t="shared" si="293"/>
        <v>-1.5467292227404925</v>
      </c>
      <c r="Z484" s="98" t="str">
        <f t="shared" si="283"/>
        <v>-82.5718452341618+16.4084523937133i</v>
      </c>
      <c r="AA484" s="160">
        <f t="shared" si="294"/>
        <v>84.186382125205512</v>
      </c>
      <c r="AB484" s="160">
        <f t="shared" si="295"/>
        <v>2.945430783168133</v>
      </c>
      <c r="AC484" s="171" t="str">
        <f t="shared" si="296"/>
        <v>0.00571577478277786+0.00162885559263404i</v>
      </c>
      <c r="AD484" s="190">
        <f t="shared" si="297"/>
        <v>-44.519393214827801</v>
      </c>
      <c r="AE484" s="169">
        <f t="shared" si="298"/>
        <v>15.90625192369596</v>
      </c>
      <c r="AF484" s="98" t="str">
        <f t="shared" si="284"/>
        <v>-9.95024875621891E-06</v>
      </c>
      <c r="AG484" s="98" t="str">
        <f t="shared" si="285"/>
        <v>2.87484176687058i</v>
      </c>
      <c r="AH484" s="98">
        <f t="shared" si="299"/>
        <v>2.8748417668705799</v>
      </c>
      <c r="AI484" s="98">
        <f t="shared" si="300"/>
        <v>1.5707963267948966</v>
      </c>
      <c r="AJ484" s="98" t="str">
        <f t="shared" si="286"/>
        <v>1+28.6910069637712i</v>
      </c>
      <c r="AK484" s="98">
        <f t="shared" si="301"/>
        <v>28.708428737831817</v>
      </c>
      <c r="AL484" s="98">
        <f t="shared" si="302"/>
        <v>1.5359563032489647</v>
      </c>
      <c r="AM484" s="98" t="str">
        <f t="shared" si="287"/>
        <v>1+28719.697970735i</v>
      </c>
      <c r="AN484" s="98">
        <f t="shared" si="303"/>
        <v>28719.69798814465</v>
      </c>
      <c r="AO484" s="98">
        <f t="shared" si="304"/>
        <v>1.5707615074872348</v>
      </c>
      <c r="AP484" s="168" t="str">
        <f t="shared" si="305"/>
        <v>-0.000120488871383916+0.00346040819451523i</v>
      </c>
      <c r="AQ484" s="98">
        <f t="shared" si="306"/>
        <v>-49.212191248564103</v>
      </c>
      <c r="AR484" s="169">
        <f t="shared" si="307"/>
        <v>91.994191307943723</v>
      </c>
      <c r="AS484" s="168" t="str">
        <f t="shared" si="308"/>
        <v>-6.32519249309435E-06+0.0000195826549243242i</v>
      </c>
      <c r="AT484" s="190">
        <f t="shared" si="309"/>
        <v>-93.731584463391883</v>
      </c>
      <c r="AU484" s="169">
        <f t="shared" si="310"/>
        <v>107.90044323163964</v>
      </c>
      <c r="AV484" s="225"/>
      <c r="AX484">
        <f t="shared" si="311"/>
        <v>0</v>
      </c>
      <c r="AY484">
        <f t="shared" si="312"/>
        <v>0</v>
      </c>
    </row>
    <row r="485" spans="14:51" x14ac:dyDescent="0.3">
      <c r="N485" s="170">
        <v>67</v>
      </c>
      <c r="O485" s="199">
        <f t="shared" si="313"/>
        <v>467735.14128719864</v>
      </c>
      <c r="P485" s="189" t="str">
        <f t="shared" si="279"/>
        <v>1078.86904761905</v>
      </c>
      <c r="Q485" s="160" t="str">
        <f t="shared" si="280"/>
        <v>1+91839.5802308528i</v>
      </c>
      <c r="R485" s="160">
        <f t="shared" si="288"/>
        <v>91839.580236297057</v>
      </c>
      <c r="S485" s="160">
        <f t="shared" si="289"/>
        <v>1.570785438243387</v>
      </c>
      <c r="T485" s="160" t="str">
        <f t="shared" si="281"/>
        <v>1+0.0587773313477458i</v>
      </c>
      <c r="U485" s="160">
        <f t="shared" si="290"/>
        <v>1.0017258979782655</v>
      </c>
      <c r="V485" s="160">
        <f t="shared" si="291"/>
        <v>5.8709783830724567E-2</v>
      </c>
      <c r="W485" s="98" t="str">
        <f t="shared" si="282"/>
        <v>1-42.5101171239437i</v>
      </c>
      <c r="X485" s="160">
        <f t="shared" si="292"/>
        <v>42.521877403184021</v>
      </c>
      <c r="Y485" s="160">
        <f t="shared" si="293"/>
        <v>-1.5472768525547165</v>
      </c>
      <c r="Z485" s="98" t="str">
        <f t="shared" si="283"/>
        <v>-86.5104649579821+16.7906543486592i</v>
      </c>
      <c r="AA485" s="160">
        <f t="shared" si="294"/>
        <v>88.124835436455683</v>
      </c>
      <c r="AB485" s="160">
        <f t="shared" si="295"/>
        <v>2.9498879929579016</v>
      </c>
      <c r="AC485" s="171" t="str">
        <f t="shared" si="296"/>
        <v>0.00546635559678223+0.00153609927266769i</v>
      </c>
      <c r="AD485" s="190">
        <f t="shared" si="297"/>
        <v>-44.915962852943771</v>
      </c>
      <c r="AE485" s="169">
        <f t="shared" si="298"/>
        <v>15.695881275196493</v>
      </c>
      <c r="AF485" s="98" t="str">
        <f t="shared" si="284"/>
        <v>-9.95024875621891E-06</v>
      </c>
      <c r="AG485" s="98" t="str">
        <f t="shared" si="285"/>
        <v>2.94180543395468i</v>
      </c>
      <c r="AH485" s="98">
        <f t="shared" si="299"/>
        <v>2.9418054339546802</v>
      </c>
      <c r="AI485" s="98">
        <f t="shared" si="300"/>
        <v>1.5707963267948966</v>
      </c>
      <c r="AJ485" s="98" t="str">
        <f t="shared" si="286"/>
        <v>1+29.3593063675054i</v>
      </c>
      <c r="AK485" s="98">
        <f t="shared" si="301"/>
        <v>29.376331806082309</v>
      </c>
      <c r="AL485" s="98">
        <f t="shared" si="302"/>
        <v>1.5367487391278349</v>
      </c>
      <c r="AM485" s="98" t="str">
        <f t="shared" si="287"/>
        <v>1+29388.6656738729i</v>
      </c>
      <c r="AN485" s="98">
        <f t="shared" si="303"/>
        <v>29388.665690886261</v>
      </c>
      <c r="AO485" s="98">
        <f t="shared" si="304"/>
        <v>1.570762300071441</v>
      </c>
      <c r="AP485" s="168" t="str">
        <f t="shared" si="305"/>
        <v>-0.000115072262865249+0.00338182418113042i</v>
      </c>
      <c r="AQ485" s="98">
        <f t="shared" si="306"/>
        <v>-49.411954077911261</v>
      </c>
      <c r="AR485" s="169">
        <f t="shared" si="307"/>
        <v>91.948833488279632</v>
      </c>
      <c r="AS485" s="168" t="str">
        <f t="shared" si="308"/>
        <v>-5.82384357307229E-06+0.0000183094911205642i</v>
      </c>
      <c r="AT485" s="190">
        <f t="shared" si="309"/>
        <v>-94.327916930855039</v>
      </c>
      <c r="AU485" s="169">
        <f t="shared" si="310"/>
        <v>107.64471476347613</v>
      </c>
      <c r="AV485" s="225"/>
      <c r="AX485">
        <f t="shared" si="311"/>
        <v>0</v>
      </c>
      <c r="AY485">
        <f t="shared" si="312"/>
        <v>0</v>
      </c>
    </row>
    <row r="486" spans="14:51" x14ac:dyDescent="0.3">
      <c r="N486" s="170">
        <v>68</v>
      </c>
      <c r="O486" s="199">
        <f t="shared" si="313"/>
        <v>478630.09232263872</v>
      </c>
      <c r="P486" s="189" t="str">
        <f t="shared" si="279"/>
        <v>1078.86904761905</v>
      </c>
      <c r="Q486" s="160" t="str">
        <f t="shared" si="280"/>
        <v>1+93978.7988642378i</v>
      </c>
      <c r="R486" s="160">
        <f t="shared" si="288"/>
        <v>93978.798869558159</v>
      </c>
      <c r="S486" s="160">
        <f t="shared" si="289"/>
        <v>1.5707856860970792</v>
      </c>
      <c r="T486" s="160" t="str">
        <f t="shared" si="281"/>
        <v>1+0.0601464312731122i</v>
      </c>
      <c r="U486" s="160">
        <f t="shared" si="290"/>
        <v>1.0018071636771675</v>
      </c>
      <c r="V486" s="160">
        <f t="shared" si="291"/>
        <v>6.0074059854340771E-2</v>
      </c>
      <c r="W486" s="98" t="str">
        <f t="shared" si="282"/>
        <v>1-43.5003049539657i</v>
      </c>
      <c r="X486" s="160">
        <f t="shared" si="292"/>
        <v>43.511797608097197</v>
      </c>
      <c r="Y486" s="160">
        <f t="shared" si="293"/>
        <v>-1.547812030426641</v>
      </c>
      <c r="Z486" s="98" t="str">
        <f t="shared" si="283"/>
        <v>-90.634706110711+17.1817589307913i</v>
      </c>
      <c r="AA486" s="160">
        <f t="shared" si="294"/>
        <v>92.248917564006007</v>
      </c>
      <c r="AB486" s="160">
        <f t="shared" si="295"/>
        <v>2.9542442911254669</v>
      </c>
      <c r="AC486" s="171" t="str">
        <f t="shared" si="296"/>
        <v>0.00522747934637152+0.00144909655860049i</v>
      </c>
      <c r="AD486" s="190">
        <f t="shared" si="297"/>
        <v>-45.312625536687804</v>
      </c>
      <c r="AE486" s="169">
        <f t="shared" si="298"/>
        <v>15.493773399817982</v>
      </c>
      <c r="AF486" s="98" t="str">
        <f t="shared" si="284"/>
        <v>-9.95024875621891E-06</v>
      </c>
      <c r="AG486" s="98" t="str">
        <f t="shared" si="285"/>
        <v>3.01032888521927i</v>
      </c>
      <c r="AH486" s="98">
        <f t="shared" si="299"/>
        <v>3.0103288852192698</v>
      </c>
      <c r="AI486" s="98">
        <f t="shared" si="300"/>
        <v>1.5707963267948966</v>
      </c>
      <c r="AJ486" s="98" t="str">
        <f t="shared" si="286"/>
        <v>1+30.043172464092i</v>
      </c>
      <c r="AK486" s="98">
        <f t="shared" si="301"/>
        <v>30.059810573374808</v>
      </c>
      <c r="AL486" s="98">
        <f t="shared" si="302"/>
        <v>1.5375231783010828</v>
      </c>
      <c r="AM486" s="98" t="str">
        <f t="shared" si="287"/>
        <v>1+30073.2156365561i</v>
      </c>
      <c r="AN486" s="98">
        <f t="shared" si="303"/>
        <v>30073.215653182189</v>
      </c>
      <c r="AO486" s="98">
        <f t="shared" si="304"/>
        <v>1.570763074614228</v>
      </c>
      <c r="AP486" s="168" t="str">
        <f t="shared" si="305"/>
        <v>-0.000109898889576967+0.00330501666249831i</v>
      </c>
      <c r="AQ486" s="98">
        <f t="shared" si="306"/>
        <v>-49.61172756960476</v>
      </c>
      <c r="AR486" s="169">
        <f t="shared" si="307"/>
        <v>91.904505770195684</v>
      </c>
      <c r="AS486" s="168" t="str">
        <f t="shared" si="308"/>
        <v>-5.36378244719634E-06+0.0000171176522399437i</v>
      </c>
      <c r="AT486" s="190">
        <f t="shared" si="309"/>
        <v>-94.924353106292543</v>
      </c>
      <c r="AU486" s="169">
        <f t="shared" si="310"/>
        <v>107.39827917001362</v>
      </c>
      <c r="AV486" s="225"/>
      <c r="AX486">
        <f t="shared" si="311"/>
        <v>0</v>
      </c>
      <c r="AY486">
        <f t="shared" si="312"/>
        <v>0</v>
      </c>
    </row>
    <row r="487" spans="14:51" x14ac:dyDescent="0.3">
      <c r="N487" s="170">
        <v>69</v>
      </c>
      <c r="O487" s="199">
        <f t="shared" si="313"/>
        <v>489778.81936844654</v>
      </c>
      <c r="P487" s="189" t="str">
        <f t="shared" si="279"/>
        <v>1078.86904761905</v>
      </c>
      <c r="Q487" s="160" t="str">
        <f t="shared" si="280"/>
        <v>1+96167.8463007372i</v>
      </c>
      <c r="R487" s="160">
        <f t="shared" si="288"/>
        <v>96167.846305936459</v>
      </c>
      <c r="S487" s="160">
        <f t="shared" si="289"/>
        <v>1.5707859283089325</v>
      </c>
      <c r="T487" s="160" t="str">
        <f t="shared" si="281"/>
        <v>1+0.0615474216324718i</v>
      </c>
      <c r="U487" s="160">
        <f t="shared" si="290"/>
        <v>1.0018922522455223</v>
      </c>
      <c r="V487" s="160">
        <f t="shared" si="291"/>
        <v>6.1469882168169745E-2</v>
      </c>
      <c r="W487" s="98" t="str">
        <f t="shared" si="282"/>
        <v>1-44.5135572214689i</v>
      </c>
      <c r="X487" s="160">
        <f t="shared" si="292"/>
        <v>44.524788337610168</v>
      </c>
      <c r="Y487" s="160">
        <f t="shared" si="293"/>
        <v>-1.5483350388876893</v>
      </c>
      <c r="Z487" s="98" t="str">
        <f t="shared" si="283"/>
        <v>-94.95331676078+17.5819735089361i</v>
      </c>
      <c r="AA487" s="160">
        <f t="shared" si="294"/>
        <v>96.567376252759175</v>
      </c>
      <c r="AB487" s="160">
        <f t="shared" si="295"/>
        <v>2.9585019366702179</v>
      </c>
      <c r="AC487" s="171" t="str">
        <f t="shared" si="296"/>
        <v>0.00499873076700279+0.00136748139010709i</v>
      </c>
      <c r="AD487" s="190">
        <f t="shared" si="297"/>
        <v>-45.709374130468667</v>
      </c>
      <c r="AE487" s="169">
        <f t="shared" si="298"/>
        <v>15.299822951789007</v>
      </c>
      <c r="AF487" s="98" t="str">
        <f t="shared" si="284"/>
        <v>-9.95024875621891E-06</v>
      </c>
      <c r="AG487" s="98" t="str">
        <f t="shared" si="285"/>
        <v>3.08044845270521i</v>
      </c>
      <c r="AH487" s="98">
        <f t="shared" si="299"/>
        <v>3.0804484527052098</v>
      </c>
      <c r="AI487" s="98">
        <f t="shared" si="300"/>
        <v>1.5707963267948966</v>
      </c>
      <c r="AJ487" s="98" t="str">
        <f t="shared" si="286"/>
        <v>1+30.7429678483875i</v>
      </c>
      <c r="AK487" s="98">
        <f t="shared" si="301"/>
        <v>30.759227430593697</v>
      </c>
      <c r="AL487" s="98">
        <f t="shared" si="302"/>
        <v>1.5382800276686883</v>
      </c>
      <c r="AM487" s="98" t="str">
        <f t="shared" si="287"/>
        <v>1+30773.7108162359i</v>
      </c>
      <c r="AN487" s="98">
        <f t="shared" si="303"/>
        <v>30773.710832483535</v>
      </c>
      <c r="AO487" s="98">
        <f t="shared" si="304"/>
        <v>1.5707638315262689</v>
      </c>
      <c r="AP487" s="168" t="str">
        <f t="shared" si="305"/>
        <v>-0.000104957852648917+0.00322994601935515i</v>
      </c>
      <c r="AQ487" s="98">
        <f t="shared" si="306"/>
        <v>-49.811511244822768</v>
      </c>
      <c r="AR487" s="169">
        <f t="shared" si="307"/>
        <v>91.861184863570116</v>
      </c>
      <c r="AS487" s="168" t="str">
        <f t="shared" si="308"/>
        <v>-4.94154711979333E-06+0.0000160021026324658i</v>
      </c>
      <c r="AT487" s="190">
        <f t="shared" si="309"/>
        <v>-95.520885375291428</v>
      </c>
      <c r="AU487" s="169">
        <f t="shared" si="310"/>
        <v>107.16100781535911</v>
      </c>
      <c r="AV487" s="225"/>
      <c r="AX487">
        <f t="shared" si="311"/>
        <v>0</v>
      </c>
      <c r="AY487">
        <f t="shared" si="312"/>
        <v>0</v>
      </c>
    </row>
    <row r="488" spans="14:51" x14ac:dyDescent="0.3">
      <c r="N488" s="170">
        <v>70</v>
      </c>
      <c r="O488" s="199">
        <f t="shared" si="313"/>
        <v>501187.23362727347</v>
      </c>
      <c r="P488" s="189" t="str">
        <f t="shared" si="279"/>
        <v>1078.86904761905</v>
      </c>
      <c r="Q488" s="160" t="str">
        <f t="shared" si="280"/>
        <v>1+98407.8832022772i</v>
      </c>
      <c r="R488" s="160">
        <f t="shared" si="288"/>
        <v>98407.883207358085</v>
      </c>
      <c r="S488" s="160">
        <f t="shared" si="289"/>
        <v>1.5707861650073709</v>
      </c>
      <c r="T488" s="160" t="str">
        <f t="shared" si="281"/>
        <v>1+0.0629810452494574i</v>
      </c>
      <c r="U488" s="160">
        <f t="shared" si="290"/>
        <v>1.0019813431699784</v>
      </c>
      <c r="V488" s="160">
        <f t="shared" si="291"/>
        <v>6.2897969087323868E-2</v>
      </c>
      <c r="W488" s="98" t="str">
        <f t="shared" si="282"/>
        <v>1-45.5504111662176i</v>
      </c>
      <c r="X488" s="160">
        <f t="shared" si="292"/>
        <v>45.561386693245865</v>
      </c>
      <c r="Y488" s="160">
        <f t="shared" si="293"/>
        <v>-1.5488461540987137</v>
      </c>
      <c r="Z488" s="98" t="str">
        <f t="shared" si="283"/>
        <v>-99.475457260384+17.9915102821602i</v>
      </c>
      <c r="AA488" s="160">
        <f t="shared" si="294"/>
        <v>101.08937154516077</v>
      </c>
      <c r="AB488" s="160">
        <f t="shared" si="295"/>
        <v>2.9626631398718155</v>
      </c>
      <c r="AC488" s="171" t="str">
        <f t="shared" si="296"/>
        <v>0.00477970817827342+0.0012909108673783i</v>
      </c>
      <c r="AD488" s="190">
        <f t="shared" si="297"/>
        <v>-46.106201688468019</v>
      </c>
      <c r="AE488" s="169">
        <f t="shared" si="298"/>
        <v>15.113928617628366</v>
      </c>
      <c r="AF488" s="98" t="str">
        <f t="shared" si="284"/>
        <v>-9.95024875621891E-06</v>
      </c>
      <c r="AG488" s="98" t="str">
        <f t="shared" si="285"/>
        <v>3.15220131473534i</v>
      </c>
      <c r="AH488" s="98">
        <f t="shared" si="299"/>
        <v>3.1522013147353398</v>
      </c>
      <c r="AI488" s="98">
        <f t="shared" si="300"/>
        <v>1.5707963267948966</v>
      </c>
      <c r="AJ488" s="98" t="str">
        <f t="shared" si="286"/>
        <v>1+31.4590635611675i</v>
      </c>
      <c r="AK488" s="98">
        <f t="shared" si="301"/>
        <v>31.474953219116575</v>
      </c>
      <c r="AL488" s="98">
        <f t="shared" si="302"/>
        <v>1.5390196850519087</v>
      </c>
      <c r="AM488" s="98" t="str">
        <f t="shared" si="287"/>
        <v>1+31490.5226247287i</v>
      </c>
      <c r="AN488" s="98">
        <f t="shared" si="303"/>
        <v>31490.522640606494</v>
      </c>
      <c r="AO488" s="98">
        <f t="shared" si="304"/>
        <v>1.570764571208888</v>
      </c>
      <c r="AP488" s="168" t="str">
        <f t="shared" si="305"/>
        <v>-0.000100238739481967+0.00315657347985422i</v>
      </c>
      <c r="AQ488" s="98">
        <f t="shared" si="306"/>
        <v>-50.011304646200536</v>
      </c>
      <c r="AR488" s="169">
        <f t="shared" si="307"/>
        <v>91.818847997918184</v>
      </c>
      <c r="AS488" s="168" t="str">
        <f t="shared" si="308"/>
        <v>-4.55396693170373E-06+0.0000149581007988506i</v>
      </c>
      <c r="AT488" s="190">
        <f t="shared" si="309"/>
        <v>-96.117506334668576</v>
      </c>
      <c r="AU488" s="169">
        <f t="shared" si="310"/>
        <v>106.9327766155466</v>
      </c>
      <c r="AV488" s="225"/>
      <c r="AX488">
        <f t="shared" si="311"/>
        <v>0</v>
      </c>
      <c r="AY488">
        <f t="shared" si="312"/>
        <v>0</v>
      </c>
    </row>
    <row r="489" spans="14:51" x14ac:dyDescent="0.3">
      <c r="N489" s="170">
        <v>71</v>
      </c>
      <c r="O489" s="199">
        <f t="shared" si="313"/>
        <v>512861.38399136515</v>
      </c>
      <c r="P489" s="189" t="str">
        <f t="shared" si="279"/>
        <v>1078.86904761905</v>
      </c>
      <c r="Q489" s="160" t="str">
        <f t="shared" si="280"/>
        <v>1+100700.097266073i</v>
      </c>
      <c r="R489" s="160">
        <f t="shared" si="288"/>
        <v>100700.09727103825</v>
      </c>
      <c r="S489" s="160">
        <f t="shared" si="289"/>
        <v>1.570786396317895</v>
      </c>
      <c r="T489" s="160" t="str">
        <f t="shared" si="281"/>
        <v>1+0.0644480622502866i</v>
      </c>
      <c r="U489" s="160">
        <f t="shared" si="290"/>
        <v>1.0020746243308514</v>
      </c>
      <c r="V489" s="160">
        <f t="shared" si="291"/>
        <v>6.4359054489350087E-2</v>
      </c>
      <c r="W489" s="98" t="str">
        <f t="shared" si="282"/>
        <v>1-46.6114165418973i</v>
      </c>
      <c r="X489" s="160">
        <f t="shared" si="292"/>
        <v>46.622142293573951</v>
      </c>
      <c r="Y489" s="160">
        <f t="shared" si="293"/>
        <v>-1.5493456459909674</v>
      </c>
      <c r="Z489" s="98" t="str">
        <f t="shared" si="283"/>
        <v>-104.210719675815+18.4105863922816i</v>
      </c>
      <c r="AA489" s="160">
        <f t="shared" si="294"/>
        <v>105.8244952109811</v>
      </c>
      <c r="AB489" s="160">
        <f t="shared" si="295"/>
        <v>2.9667300632016178</v>
      </c>
      <c r="AC489" s="171" t="str">
        <f t="shared" si="296"/>
        <v>0.00457002330799136+0.00121906382696938i</v>
      </c>
      <c r="AD489" s="190">
        <f t="shared" si="297"/>
        <v>-46.503101439565661</v>
      </c>
      <c r="AE489" s="169">
        <f t="shared" si="298"/>
        <v>14.935993071827788</v>
      </c>
      <c r="AF489" s="98" t="str">
        <f t="shared" si="284"/>
        <v>-9.95024875621891E-06</v>
      </c>
      <c r="AG489" s="98" t="str">
        <f t="shared" si="285"/>
        <v>3.22562551562685i</v>
      </c>
      <c r="AH489" s="98">
        <f t="shared" si="299"/>
        <v>3.2256255156268501</v>
      </c>
      <c r="AI489" s="98">
        <f t="shared" si="300"/>
        <v>1.5707963267948966</v>
      </c>
      <c r="AJ489" s="98" t="str">
        <f t="shared" si="286"/>
        <v>1+32.1918392858574i</v>
      </c>
      <c r="AK489" s="98">
        <f t="shared" si="301"/>
        <v>32.207367427445412</v>
      </c>
      <c r="AL489" s="98">
        <f t="shared" si="302"/>
        <v>1.539742539387736</v>
      </c>
      <c r="AM489" s="98" t="str">
        <f t="shared" si="287"/>
        <v>1+32224.0311251433i</v>
      </c>
      <c r="AN489" s="98">
        <f t="shared" si="303"/>
        <v>32224.03114065967</v>
      </c>
      <c r="AO489" s="98">
        <f t="shared" si="304"/>
        <v>1.5707652940542753</v>
      </c>
      <c r="AP489" s="168" t="str">
        <f t="shared" si="305"/>
        <v>-0.0000957316022356295+0.00308486110388554i</v>
      </c>
      <c r="AQ489" s="98">
        <f t="shared" si="306"/>
        <v>-50.211107336872978</v>
      </c>
      <c r="AR489" s="169">
        <f t="shared" si="307"/>
        <v>91.777472911262478</v>
      </c>
      <c r="AS489" s="168" t="str">
        <f t="shared" si="308"/>
        <v>-4.19813823649988E-06+0.0000139811842132896i</v>
      </c>
      <c r="AT489" s="190">
        <f t="shared" si="309"/>
        <v>-96.714208776438625</v>
      </c>
      <c r="AU489" s="169">
        <f t="shared" si="310"/>
        <v>106.71346598309029</v>
      </c>
      <c r="AV489" s="225"/>
      <c r="AX489">
        <f t="shared" si="311"/>
        <v>0</v>
      </c>
      <c r="AY489">
        <f t="shared" si="312"/>
        <v>0</v>
      </c>
    </row>
    <row r="490" spans="14:51" x14ac:dyDescent="0.3">
      <c r="N490" s="170">
        <v>72</v>
      </c>
      <c r="O490" s="199">
        <f t="shared" si="313"/>
        <v>524807.46024977288</v>
      </c>
      <c r="P490" s="189" t="str">
        <f t="shared" si="279"/>
        <v>1078.86904761905</v>
      </c>
      <c r="Q490" s="160" t="str">
        <f t="shared" si="280"/>
        <v>1+103045.703854363i</v>
      </c>
      <c r="R490" s="160">
        <f t="shared" si="288"/>
        <v>103045.70385921524</v>
      </c>
      <c r="S490" s="160">
        <f t="shared" si="289"/>
        <v>1.5707866223631488</v>
      </c>
      <c r="T490" s="160" t="str">
        <f t="shared" si="281"/>
        <v>1+0.0659492504667922i</v>
      </c>
      <c r="U490" s="160">
        <f t="shared" si="290"/>
        <v>1.0021722923914489</v>
      </c>
      <c r="V490" s="160">
        <f t="shared" si="291"/>
        <v>6.5853888094343491E-2</v>
      </c>
      <c r="W490" s="98" t="str">
        <f t="shared" si="282"/>
        <v>1-47.6971359076028i</v>
      </c>
      <c r="X490" s="160">
        <f t="shared" si="292"/>
        <v>47.707617565629199</v>
      </c>
      <c r="Y490" s="160">
        <f t="shared" si="293"/>
        <v>-1.5498337784041372</v>
      </c>
      <c r="Z490" s="98" t="str">
        <f t="shared" si="283"/>
        <v>-109.169148133527+18.8394240390012i</v>
      </c>
      <c r="AA490" s="160">
        <f t="shared" si="294"/>
        <v>110.78279109284644</v>
      </c>
      <c r="AB490" s="160">
        <f t="shared" si="295"/>
        <v>2.970704822228373</v>
      </c>
      <c r="AC490" s="171" t="str">
        <f t="shared" si="296"/>
        <v>0.00436930108762434+0.00115163950002047i</v>
      </c>
      <c r="AD490" s="190">
        <f t="shared" si="297"/>
        <v>-46.900066772686593</v>
      </c>
      <c r="AE490" s="169">
        <f t="shared" si="298"/>
        <v>14.765922933096434</v>
      </c>
      <c r="AF490" s="98" t="str">
        <f t="shared" si="284"/>
        <v>-9.95024875621891E-06</v>
      </c>
      <c r="AG490" s="98" t="str">
        <f t="shared" si="285"/>
        <v>3.30075998586295i</v>
      </c>
      <c r="AH490" s="98">
        <f t="shared" si="299"/>
        <v>3.3007599858629502</v>
      </c>
      <c r="AI490" s="98">
        <f t="shared" si="300"/>
        <v>1.5707963267948966</v>
      </c>
      <c r="AJ490" s="98" t="str">
        <f t="shared" si="286"/>
        <v>1+32.9416835498463i</v>
      </c>
      <c r="AK490" s="98">
        <f t="shared" si="301"/>
        <v>32.95685839242288</v>
      </c>
      <c r="AL490" s="98">
        <f t="shared" si="302"/>
        <v>1.5404489709197424</v>
      </c>
      <c r="AM490" s="98" t="str">
        <f t="shared" si="287"/>
        <v>1+32974.6252333961i</v>
      </c>
      <c r="AN490" s="98">
        <f t="shared" si="303"/>
        <v>32974.625248559278</v>
      </c>
      <c r="AO490" s="98">
        <f t="shared" si="304"/>
        <v>1.5707660004456927</v>
      </c>
      <c r="AP490" s="168" t="str">
        <f t="shared" si="305"/>
        <v>-0.0000914269372512213+0.00301477176751411i</v>
      </c>
      <c r="AQ490" s="98">
        <f t="shared" si="306"/>
        <v>-50.41091889955959</v>
      </c>
      <c r="AR490" s="169">
        <f t="shared" si="307"/>
        <v>91.737037839210458</v>
      </c>
      <c r="AS490" s="168" t="str">
        <f t="shared" si="308"/>
        <v>-0.0000038714020673857+0.0000130671546904342i</v>
      </c>
      <c r="AT490" s="190">
        <f t="shared" si="309"/>
        <v>-97.310985672246147</v>
      </c>
      <c r="AU490" s="169">
        <f t="shared" si="310"/>
        <v>106.50296077230684</v>
      </c>
      <c r="AV490" s="225"/>
      <c r="AX490">
        <f t="shared" si="311"/>
        <v>0</v>
      </c>
      <c r="AY490">
        <f t="shared" si="312"/>
        <v>0</v>
      </c>
    </row>
    <row r="491" spans="14:51" x14ac:dyDescent="0.3">
      <c r="N491" s="170">
        <v>73</v>
      </c>
      <c r="O491" s="199">
        <f t="shared" si="313"/>
        <v>537031.7963702539</v>
      </c>
      <c r="P491" s="189" t="str">
        <f t="shared" si="279"/>
        <v>1078.86904761905</v>
      </c>
      <c r="Q491" s="160" t="str">
        <f t="shared" si="280"/>
        <v>1+105445.946638807i</v>
      </c>
      <c r="R491" s="160">
        <f t="shared" si="288"/>
        <v>105445.94664354877</v>
      </c>
      <c r="S491" s="160">
        <f t="shared" si="289"/>
        <v>1.5707868432629843</v>
      </c>
      <c r="T491" s="160" t="str">
        <f t="shared" si="281"/>
        <v>1+0.0674854058488368i</v>
      </c>
      <c r="U491" s="160">
        <f t="shared" si="290"/>
        <v>1.0022745532051496</v>
      </c>
      <c r="V491" s="160">
        <f t="shared" si="291"/>
        <v>6.738323574584007E-2</v>
      </c>
      <c r="W491" s="98" t="str">
        <f t="shared" si="282"/>
        <v>1-48.8081449261128i</v>
      </c>
      <c r="X491" s="160">
        <f t="shared" si="292"/>
        <v>48.818388043117842</v>
      </c>
      <c r="Y491" s="160">
        <f t="shared" si="293"/>
        <v>-1.550310809221485</v>
      </c>
      <c r="Z491" s="98" t="str">
        <f t="shared" si="283"/>
        <v>-114.361260125065+19.2782505977155i</v>
      </c>
      <c r="AA491" s="160">
        <f t="shared" si="294"/>
        <v>115.97477641065363</v>
      </c>
      <c r="AB491" s="160">
        <f t="shared" si="295"/>
        <v>2.9745894865170777</v>
      </c>
      <c r="AC491" s="171" t="str">
        <f t="shared" si="296"/>
        <v>0.00417717942340377+0.00108835624869221i</v>
      </c>
      <c r="AD491" s="190">
        <f t="shared" si="297"/>
        <v>-47.297091222535848</v>
      </c>
      <c r="AE491" s="169">
        <f t="shared" si="298"/>
        <v>14.603628721207508</v>
      </c>
      <c r="AF491" s="98" t="str">
        <f t="shared" si="284"/>
        <v>-9.95024875621891E-06</v>
      </c>
      <c r="AG491" s="98" t="str">
        <f t="shared" si="285"/>
        <v>3.37764456273428i</v>
      </c>
      <c r="AH491" s="98">
        <f t="shared" si="299"/>
        <v>3.3776445627342802</v>
      </c>
      <c r="AI491" s="98">
        <f t="shared" si="300"/>
        <v>1.5707963267948966</v>
      </c>
      <c r="AJ491" s="98" t="str">
        <f t="shared" si="286"/>
        <v>1+33.7089939304879i</v>
      </c>
      <c r="AK491" s="98">
        <f t="shared" si="301"/>
        <v>33.723823505137581</v>
      </c>
      <c r="AL491" s="98">
        <f t="shared" si="302"/>
        <v>1.5411393513853315</v>
      </c>
      <c r="AM491" s="98" t="str">
        <f t="shared" si="287"/>
        <v>1+33742.7029244184i</v>
      </c>
      <c r="AN491" s="98">
        <f t="shared" si="303"/>
        <v>33742.70293923642</v>
      </c>
      <c r="AO491" s="98">
        <f t="shared" si="304"/>
        <v>1.5707666907576785</v>
      </c>
      <c r="AP491" s="168" t="str">
        <f t="shared" si="305"/>
        <v>-0.0000873156653713035+0.00294626914754981i</v>
      </c>
      <c r="AQ491" s="98">
        <f t="shared" si="306"/>
        <v>-50.610738935689568</v>
      </c>
      <c r="AR491" s="169">
        <f t="shared" si="307"/>
        <v>91.697521504237258</v>
      </c>
      <c r="AS491" s="168" t="str">
        <f t="shared" si="308"/>
        <v>-3.57132363779472E-06+0.0000122120643089389i</v>
      </c>
      <c r="AT491" s="190">
        <f t="shared" si="309"/>
        <v>-97.907830158225394</v>
      </c>
      <c r="AU491" s="169">
        <f t="shared" si="310"/>
        <v>106.3011502254447</v>
      </c>
      <c r="AV491" s="225"/>
      <c r="AX491">
        <f t="shared" si="311"/>
        <v>0</v>
      </c>
      <c r="AY491">
        <f t="shared" si="312"/>
        <v>0</v>
      </c>
    </row>
    <row r="492" spans="14:51" x14ac:dyDescent="0.3">
      <c r="N492" s="170">
        <v>74</v>
      </c>
      <c r="O492" s="199">
        <f t="shared" si="313"/>
        <v>549540.87385762564</v>
      </c>
      <c r="P492" s="189" t="str">
        <f t="shared" si="279"/>
        <v>1078.86904761905</v>
      </c>
      <c r="Q492" s="160" t="str">
        <f t="shared" si="280"/>
        <v>1+107902.098259902i</v>
      </c>
      <c r="R492" s="160">
        <f t="shared" si="288"/>
        <v>107902.09826453583</v>
      </c>
      <c r="S492" s="160">
        <f t="shared" si="289"/>
        <v>1.5707870591345259</v>
      </c>
      <c r="T492" s="160" t="str">
        <f t="shared" si="281"/>
        <v>1+0.0690573428863372i</v>
      </c>
      <c r="U492" s="160">
        <f t="shared" si="290"/>
        <v>1.0023816222410111</v>
      </c>
      <c r="V492" s="160">
        <f t="shared" si="291"/>
        <v>6.8947879692121114E-2</v>
      </c>
      <c r="W492" s="98" t="str">
        <f t="shared" si="282"/>
        <v>1-49.9450326691145i</v>
      </c>
      <c r="X492" s="160">
        <f t="shared" si="292"/>
        <v>49.955042671575349</v>
      </c>
      <c r="Y492" s="160">
        <f t="shared" si="293"/>
        <v>-1.5507769905021476</v>
      </c>
      <c r="Z492" s="98" t="str">
        <f t="shared" si="283"/>
        <v>-119.798068816081+19.7272987400745i</v>
      </c>
      <c r="AA492" s="160">
        <f t="shared" si="294"/>
        <v>121.41146407008947</v>
      </c>
      <c r="AB492" s="160">
        <f t="shared" si="295"/>
        <v>2.9783860805201123</v>
      </c>
      <c r="AC492" s="171" t="str">
        <f t="shared" si="296"/>
        <v>0.00399330894693002+0.00102895037679486i</v>
      </c>
      <c r="AD492" s="190">
        <f t="shared" si="297"/>
        <v>-47.694168455694097</v>
      </c>
      <c r="AE492" s="169">
        <f t="shared" si="298"/>
        <v>14.449024814473262</v>
      </c>
      <c r="AF492" s="98" t="str">
        <f t="shared" si="284"/>
        <v>-9.95024875621891E-06</v>
      </c>
      <c r="AG492" s="98" t="str">
        <f t="shared" si="285"/>
        <v>3.45632001146118i</v>
      </c>
      <c r="AH492" s="98">
        <f t="shared" si="299"/>
        <v>3.4563200114611798</v>
      </c>
      <c r="AI492" s="98">
        <f t="shared" si="300"/>
        <v>1.5707963267948966</v>
      </c>
      <c r="AJ492" s="98" t="str">
        <f t="shared" si="286"/>
        <v>1+34.4941772659027i</v>
      </c>
      <c r="AK492" s="98">
        <f t="shared" si="301"/>
        <v>34.508669421632568</v>
      </c>
      <c r="AL492" s="98">
        <f t="shared" si="302"/>
        <v>1.5418140441994366</v>
      </c>
      <c r="AM492" s="98" t="str">
        <f t="shared" si="287"/>
        <v>1+34528.6714431686i</v>
      </c>
      <c r="AN492" s="98">
        <f t="shared" si="303"/>
        <v>34528.67145764931</v>
      </c>
      <c r="AO492" s="98">
        <f t="shared" si="304"/>
        <v>1.5707673653562451</v>
      </c>
      <c r="AP492" s="168" t="str">
        <f t="shared" si="305"/>
        <v>-0.0000833891131176481+0.00287931770626025i</v>
      </c>
      <c r="AQ492" s="98">
        <f t="shared" si="306"/>
        <v>-50.810567064566207</v>
      </c>
      <c r="AR492" s="169">
        <f t="shared" si="307"/>
        <v>91.658903105171945</v>
      </c>
      <c r="AS492" s="168" t="str">
        <f t="shared" si="308"/>
        <v>-3.29567353025786E-06+0.0000114122018981001i</v>
      </c>
      <c r="AT492" s="190">
        <f t="shared" si="309"/>
        <v>-98.504735520260297</v>
      </c>
      <c r="AU492" s="169">
        <f t="shared" si="310"/>
        <v>106.10792791964519</v>
      </c>
      <c r="AV492" s="225"/>
      <c r="AX492">
        <f t="shared" si="311"/>
        <v>0</v>
      </c>
      <c r="AY492">
        <f t="shared" si="312"/>
        <v>0</v>
      </c>
    </row>
    <row r="493" spans="14:51" x14ac:dyDescent="0.3">
      <c r="N493" s="170">
        <v>75</v>
      </c>
      <c r="O493" s="199">
        <f t="shared" si="313"/>
        <v>562341.32519035018</v>
      </c>
      <c r="P493" s="189" t="str">
        <f t="shared" si="279"/>
        <v>1078.86904761905</v>
      </c>
      <c r="Q493" s="160" t="str">
        <f t="shared" si="280"/>
        <v>1+110415.461001747i</v>
      </c>
      <c r="R493" s="160">
        <f t="shared" si="288"/>
        <v>110415.46100627536</v>
      </c>
      <c r="S493" s="160">
        <f t="shared" si="289"/>
        <v>1.570787270092231</v>
      </c>
      <c r="T493" s="160" t="str">
        <f t="shared" si="281"/>
        <v>1+0.0706658950411182i</v>
      </c>
      <c r="U493" s="160">
        <f t="shared" si="290"/>
        <v>1.0024937250287218</v>
      </c>
      <c r="V493" s="160">
        <f t="shared" si="291"/>
        <v>7.0548618867516233E-2</v>
      </c>
      <c r="W493" s="98" t="str">
        <f t="shared" si="282"/>
        <v>1-51.1084019295384i</v>
      </c>
      <c r="X493" s="160">
        <f t="shared" si="292"/>
        <v>51.118184120636016</v>
      </c>
      <c r="Y493" s="160">
        <f t="shared" si="293"/>
        <v>-1.5512325686106434</v>
      </c>
      <c r="Z493" s="98" t="str">
        <f t="shared" si="283"/>
        <v>-125.491106406736+20.1868065573472i</v>
      </c>
      <c r="AA493" s="160">
        <f t="shared" si="294"/>
        <v>127.10438602255428</v>
      </c>
      <c r="AB493" s="160">
        <f t="shared" si="295"/>
        <v>2.9820965844598035</v>
      </c>
      <c r="AC493" s="171" t="str">
        <f t="shared" si="296"/>
        <v>0.00381735274874098+0.00097317501073314i</v>
      </c>
      <c r="AD493" s="190">
        <f t="shared" si="297"/>
        <v>-48.091292257038177</v>
      </c>
      <c r="AE493" s="169">
        <f t="shared" si="298"/>
        <v>14.302029407872194</v>
      </c>
      <c r="AF493" s="98" t="str">
        <f t="shared" si="284"/>
        <v>-9.95024875621891E-06</v>
      </c>
      <c r="AG493" s="98" t="str">
        <f t="shared" si="285"/>
        <v>3.53682804680796i</v>
      </c>
      <c r="AH493" s="98">
        <f t="shared" si="299"/>
        <v>3.53682804680796</v>
      </c>
      <c r="AI493" s="98">
        <f t="shared" si="300"/>
        <v>1.5707963267948966</v>
      </c>
      <c r="AJ493" s="98" t="str">
        <f t="shared" si="286"/>
        <v>1+35.2976498706884i</v>
      </c>
      <c r="AK493" s="98">
        <f t="shared" si="301"/>
        <v>35.311812278523867</v>
      </c>
      <c r="AL493" s="98">
        <f t="shared" si="302"/>
        <v>1.5424734046346951</v>
      </c>
      <c r="AM493" s="98" t="str">
        <f t="shared" si="287"/>
        <v>1+35332.9475205591i</v>
      </c>
      <c r="AN493" s="98">
        <f t="shared" si="303"/>
        <v>35332.947534710198</v>
      </c>
      <c r="AO493" s="98">
        <f t="shared" si="304"/>
        <v>1.5707680245990736</v>
      </c>
      <c r="AP493" s="168" t="str">
        <f t="shared" si="305"/>
        <v>-0.0000796389946915021+0.0028138826762373i</v>
      </c>
      <c r="AQ493" s="98">
        <f t="shared" si="306"/>
        <v>-51.010402922567891</v>
      </c>
      <c r="AR493" s="169">
        <f t="shared" si="307"/>
        <v>91.621162306885495</v>
      </c>
      <c r="AS493" s="168" t="str">
        <f t="shared" si="308"/>
        <v>-0.0000030424104389416+0.0000106640800892554i</v>
      </c>
      <c r="AT493" s="190">
        <f t="shared" si="309"/>
        <v>-99.101695179606082</v>
      </c>
      <c r="AU493" s="169">
        <f t="shared" si="310"/>
        <v>105.92319171475766</v>
      </c>
      <c r="AV493" s="225"/>
      <c r="AX493">
        <f t="shared" si="311"/>
        <v>0</v>
      </c>
      <c r="AY493">
        <f t="shared" si="312"/>
        <v>0</v>
      </c>
    </row>
    <row r="494" spans="14:51" x14ac:dyDescent="0.3">
      <c r="N494" s="170">
        <v>76</v>
      </c>
      <c r="O494" s="199">
        <f t="shared" si="313"/>
        <v>575439.93733715697</v>
      </c>
      <c r="P494" s="189" t="str">
        <f t="shared" si="279"/>
        <v>1078.86904761905</v>
      </c>
      <c r="Q494" s="160" t="str">
        <f t="shared" si="280"/>
        <v>1+112987.367482537i</v>
      </c>
      <c r="R494" s="160">
        <f t="shared" si="288"/>
        <v>112987.36748696226</v>
      </c>
      <c r="S494" s="160">
        <f t="shared" si="289"/>
        <v>1.5707874762479528</v>
      </c>
      <c r="T494" s="160" t="str">
        <f t="shared" si="281"/>
        <v>1+0.0723119151888234i</v>
      </c>
      <c r="U494" s="160">
        <f t="shared" si="290"/>
        <v>1.0026110976237375</v>
      </c>
      <c r="V494" s="160">
        <f t="shared" si="291"/>
        <v>7.218626917325742E-2</v>
      </c>
      <c r="W494" s="98" t="str">
        <f t="shared" si="282"/>
        <v>1-52.2988695411647i</v>
      </c>
      <c r="X494" s="160">
        <f t="shared" si="292"/>
        <v>52.308429103575314</v>
      </c>
      <c r="Y494" s="160">
        <f t="shared" si="293"/>
        <v>-1.5516777843436347</v>
      </c>
      <c r="Z494" s="98" t="str">
        <f t="shared" si="283"/>
        <v>-131.452448593037+20.6570176866605i</v>
      </c>
      <c r="AA494" s="160">
        <f t="shared" si="294"/>
        <v>133.06561772603783</v>
      </c>
      <c r="AB494" s="160">
        <f t="shared" si="295"/>
        <v>2.9857229352016885</v>
      </c>
      <c r="AC494" s="171" t="str">
        <f t="shared" si="296"/>
        <v>0.00364898609794389+0.000920799047032868i</v>
      </c>
      <c r="AD494" s="190">
        <f t="shared" si="297"/>
        <v>-48.488456516462236</v>
      </c>
      <c r="AE494" s="169">
        <f t="shared" si="298"/>
        <v>14.162564471839334</v>
      </c>
      <c r="AF494" s="98" t="str">
        <f t="shared" si="284"/>
        <v>-9.95024875621891E-06</v>
      </c>
      <c r="AG494" s="98" t="str">
        <f t="shared" si="285"/>
        <v>3.61921135520061i</v>
      </c>
      <c r="AH494" s="98">
        <f t="shared" si="299"/>
        <v>3.6192113552006102</v>
      </c>
      <c r="AI494" s="98">
        <f t="shared" si="300"/>
        <v>1.5707963267948966</v>
      </c>
      <c r="AJ494" s="98" t="str">
        <f t="shared" si="286"/>
        <v>1+36.119837756655i</v>
      </c>
      <c r="AK494" s="98">
        <f t="shared" si="301"/>
        <v>36.133677913645599</v>
      </c>
      <c r="AL494" s="98">
        <f t="shared" si="302"/>
        <v>1.5431177799981364</v>
      </c>
      <c r="AM494" s="98" t="str">
        <f t="shared" si="287"/>
        <v>1+36155.9575944117i</v>
      </c>
      <c r="AN494" s="98">
        <f t="shared" si="303"/>
        <v>36155.957608240686</v>
      </c>
      <c r="AO494" s="98">
        <f t="shared" si="304"/>
        <v>1.5707686688357032</v>
      </c>
      <c r="AP494" s="168" t="str">
        <f t="shared" si="305"/>
        <v>-0.0000760573947612837+0.00274993004542633i</v>
      </c>
      <c r="AQ494" s="98">
        <f t="shared" si="306"/>
        <v>-51.210246162384976</v>
      </c>
      <c r="AR494" s="169">
        <f t="shared" si="307"/>
        <v>91.58427923017797</v>
      </c>
      <c r="AS494" s="168" t="str">
        <f t="shared" si="308"/>
        <v>-2.80966534136537E-06+9.96442292946289E-06i</v>
      </c>
      <c r="AT494" s="190">
        <f t="shared" si="309"/>
        <v>-99.698702678847226</v>
      </c>
      <c r="AU494" s="169">
        <f t="shared" si="310"/>
        <v>105.74684370201729</v>
      </c>
      <c r="AV494" s="225"/>
      <c r="AX494">
        <f t="shared" si="311"/>
        <v>0</v>
      </c>
      <c r="AY494">
        <f t="shared" si="312"/>
        <v>0</v>
      </c>
    </row>
    <row r="495" spans="14:51" x14ac:dyDescent="0.3">
      <c r="N495" s="170">
        <v>77</v>
      </c>
      <c r="O495" s="199">
        <f t="shared" si="313"/>
        <v>588843.65535558888</v>
      </c>
      <c r="P495" s="189" t="str">
        <f t="shared" si="279"/>
        <v>1078.86904761905</v>
      </c>
      <c r="Q495" s="160" t="str">
        <f t="shared" si="280"/>
        <v>1+115619.18136113i</v>
      </c>
      <c r="R495" s="160">
        <f t="shared" si="288"/>
        <v>115619.18136545455</v>
      </c>
      <c r="S495" s="160">
        <f t="shared" si="289"/>
        <v>1.5707876777109973</v>
      </c>
      <c r="T495" s="160" t="str">
        <f t="shared" si="281"/>
        <v>1+0.0739962760711232i</v>
      </c>
      <c r="U495" s="160">
        <f t="shared" si="290"/>
        <v>1.0027339870934833</v>
      </c>
      <c r="V495" s="160">
        <f t="shared" si="291"/>
        <v>7.3861663757404342E-2</v>
      </c>
      <c r="W495" s="98" t="str">
        <f t="shared" si="282"/>
        <v>1-53.5170667056792i</v>
      </c>
      <c r="X495" s="160">
        <f t="shared" si="292"/>
        <v>53.526408704303307</v>
      </c>
      <c r="Y495" s="160">
        <f t="shared" si="293"/>
        <v>-1.5521128730539966</v>
      </c>
      <c r="Z495" s="98" t="str">
        <f t="shared" si="283"/>
        <v>-137.694740181013+21.1381814401793i</v>
      </c>
      <c r="AA495" s="160">
        <f t="shared" si="294"/>
        <v>139.30780375885126</v>
      </c>
      <c r="AB495" s="160">
        <f t="shared" si="295"/>
        <v>2.9892670271178718</v>
      </c>
      <c r="AC495" s="171" t="str">
        <f t="shared" si="296"/>
        <v>0.00348789615068864+0.000871606162864568i</v>
      </c>
      <c r="AD495" s="190">
        <f t="shared" si="297"/>
        <v>-48.885655215867942</v>
      </c>
      <c r="AE495" s="169">
        <f t="shared" si="298"/>
        <v>14.030555711726551</v>
      </c>
      <c r="AF495" s="98" t="str">
        <f t="shared" si="284"/>
        <v>-9.95024875621891E-06</v>
      </c>
      <c r="AG495" s="98" t="str">
        <f t="shared" si="285"/>
        <v>3.70351361735971i</v>
      </c>
      <c r="AH495" s="98">
        <f t="shared" si="299"/>
        <v>3.7035136173597101</v>
      </c>
      <c r="AI495" s="98">
        <f t="shared" si="300"/>
        <v>1.5707963267948966</v>
      </c>
      <c r="AJ495" s="98" t="str">
        <f t="shared" si="286"/>
        <v>1+36.9611768587029i</v>
      </c>
      <c r="AK495" s="98">
        <f t="shared" si="301"/>
        <v>36.974702091839966</v>
      </c>
      <c r="AL495" s="98">
        <f t="shared" si="302"/>
        <v>1.5437475098044244</v>
      </c>
      <c r="AM495" s="98" t="str">
        <f t="shared" si="287"/>
        <v>1+36998.1380355616i</v>
      </c>
      <c r="AN495" s="98">
        <f t="shared" si="303"/>
        <v>36998.138049075787</v>
      </c>
      <c r="AO495" s="98">
        <f t="shared" si="304"/>
        <v>1.5707692984077168</v>
      </c>
      <c r="AP495" s="168" t="str">
        <f t="shared" si="305"/>
        <v>-0.0000726367520042775+0.00268742654232664i</v>
      </c>
      <c r="AQ495" s="98">
        <f t="shared" si="306"/>
        <v>-51.410096452290261</v>
      </c>
      <c r="AR495" s="169">
        <f t="shared" si="307"/>
        <v>91.548234441863357</v>
      </c>
      <c r="AS495" s="168" t="str">
        <f t="shared" si="308"/>
        <v>-2.59572698425196E-06+9.31015405154217E-06i</v>
      </c>
      <c r="AT495" s="190">
        <f t="shared" si="309"/>
        <v>-100.2957516681582</v>
      </c>
      <c r="AU495" s="169">
        <f t="shared" si="310"/>
        <v>105.57879015358991</v>
      </c>
      <c r="AV495" s="225"/>
      <c r="AX495">
        <f t="shared" si="311"/>
        <v>0</v>
      </c>
      <c r="AY495">
        <f t="shared" si="312"/>
        <v>0</v>
      </c>
    </row>
    <row r="496" spans="14:51" x14ac:dyDescent="0.3">
      <c r="N496" s="170">
        <v>78</v>
      </c>
      <c r="O496" s="199">
        <f t="shared" si="313"/>
        <v>602559.58607435878</v>
      </c>
      <c r="P496" s="189" t="str">
        <f t="shared" si="279"/>
        <v>1078.86904761905</v>
      </c>
      <c r="Q496" s="160" t="str">
        <f t="shared" si="280"/>
        <v>1+118312.298060082i</v>
      </c>
      <c r="R496" s="160">
        <f t="shared" si="288"/>
        <v>118312.2980643081</v>
      </c>
      <c r="S496" s="160">
        <f t="shared" si="289"/>
        <v>1.5707878745881829</v>
      </c>
      <c r="T496" s="160" t="str">
        <f t="shared" si="281"/>
        <v>1+0.0757198707584524i</v>
      </c>
      <c r="U496" s="160">
        <f t="shared" si="290"/>
        <v>1.0028626520255288</v>
      </c>
      <c r="V496" s="160">
        <f t="shared" si="291"/>
        <v>7.5575653293305858E-2</v>
      </c>
      <c r="W496" s="98" t="str">
        <f t="shared" si="282"/>
        <v>1-54.7636393273431i</v>
      </c>
      <c r="X496" s="160">
        <f t="shared" si="292"/>
        <v>54.772768711973278</v>
      </c>
      <c r="Y496" s="160">
        <f t="shared" si="293"/>
        <v>-1.5525380647722387</v>
      </c>
      <c r="Z496" s="98" t="str">
        <f t="shared" si="283"/>
        <v>-144.231221908041+21.6305529372946i</v>
      </c>
      <c r="AA496" s="160">
        <f t="shared" si="294"/>
        <v>145.84418464052541</v>
      </c>
      <c r="AB496" s="160">
        <f t="shared" si="295"/>
        <v>2.9927307129399101</v>
      </c>
      <c r="AC496" s="171" t="str">
        <f t="shared" si="296"/>
        <v>0.0033337816499613+0.000825393886126941i</v>
      </c>
      <c r="AD496" s="190">
        <f t="shared" si="297"/>
        <v>-49.282882416398202</v>
      </c>
      <c r="AE496" s="169">
        <f t="shared" si="298"/>
        <v>13.905932527930254</v>
      </c>
      <c r="AF496" s="98" t="str">
        <f t="shared" si="284"/>
        <v>-9.95024875621891E-06</v>
      </c>
      <c r="AG496" s="98" t="str">
        <f t="shared" si="285"/>
        <v>3.78977953146055i</v>
      </c>
      <c r="AH496" s="98">
        <f t="shared" si="299"/>
        <v>3.78977953146055</v>
      </c>
      <c r="AI496" s="98">
        <f t="shared" si="300"/>
        <v>1.5707963267948966</v>
      </c>
      <c r="AJ496" s="98" t="str">
        <f t="shared" si="286"/>
        <v>1+37.8221132659602i</v>
      </c>
      <c r="AK496" s="98">
        <f t="shared" si="301"/>
        <v>37.835330736008146</v>
      </c>
      <c r="AL496" s="98">
        <f t="shared" si="302"/>
        <v>1.5443629259456904</v>
      </c>
      <c r="AM496" s="98" t="str">
        <f t="shared" si="287"/>
        <v>1+37859.9353792262i</v>
      </c>
      <c r="AN496" s="98">
        <f t="shared" si="303"/>
        <v>37859.935392432773</v>
      </c>
      <c r="AO496" s="98">
        <f t="shared" si="304"/>
        <v>1.5707699136489219</v>
      </c>
      <c r="AP496" s="168" t="str">
        <f t="shared" si="305"/>
        <v>-0.0000693698433701811+0.00262633962137016i</v>
      </c>
      <c r="AQ496" s="98">
        <f t="shared" si="306"/>
        <v>-51.609953475441998</v>
      </c>
      <c r="AR496" s="169">
        <f t="shared" si="307"/>
        <v>91.513008945049037</v>
      </c>
      <c r="AS496" s="168" t="str">
        <f t="shared" si="308"/>
        <v>-2.39902857726007E-06+8.69838539169082E-06i</v>
      </c>
      <c r="AT496" s="190">
        <f t="shared" si="309"/>
        <v>-100.89283589184021</v>
      </c>
      <c r="AU496" s="169">
        <f t="shared" si="310"/>
        <v>105.41894147297926</v>
      </c>
      <c r="AV496" s="225"/>
      <c r="AX496">
        <f t="shared" si="311"/>
        <v>0</v>
      </c>
      <c r="AY496">
        <f t="shared" si="312"/>
        <v>0</v>
      </c>
    </row>
    <row r="497" spans="14:51" x14ac:dyDescent="0.3">
      <c r="N497" s="170">
        <v>79</v>
      </c>
      <c r="O497" s="199">
        <f t="shared" si="313"/>
        <v>616595.00186148309</v>
      </c>
      <c r="P497" s="189" t="str">
        <f t="shared" si="279"/>
        <v>1078.86904761905</v>
      </c>
      <c r="Q497" s="160" t="str">
        <f t="shared" si="280"/>
        <v>1+121068.145505514i</v>
      </c>
      <c r="R497" s="160">
        <f t="shared" si="288"/>
        <v>121068.1455096439</v>
      </c>
      <c r="S497" s="160">
        <f t="shared" si="289"/>
        <v>1.5707880669838967</v>
      </c>
      <c r="T497" s="160" t="str">
        <f t="shared" si="281"/>
        <v>1+0.0774836131235288i</v>
      </c>
      <c r="U497" s="160">
        <f t="shared" si="290"/>
        <v>1.0029973630586855</v>
      </c>
      <c r="V497" s="160">
        <f t="shared" si="291"/>
        <v>7.7329106256030303E-2</v>
      </c>
      <c r="W497" s="98" t="str">
        <f t="shared" si="282"/>
        <v>1-56.039248355461i</v>
      </c>
      <c r="X497" s="160">
        <f t="shared" si="292"/>
        <v>56.048169963389867</v>
      </c>
      <c r="Y497" s="160">
        <f t="shared" si="293"/>
        <v>-1.5529535843253288</v>
      </c>
      <c r="Z497" s="98" t="str">
        <f t="shared" si="283"/>
        <v>-151.075758528225+22.1343932398915i</v>
      </c>
      <c r="AA497" s="160">
        <f t="shared" si="294"/>
        <v>152.68862491677862</v>
      </c>
      <c r="AB497" s="160">
        <f t="shared" si="295"/>
        <v>2.9961158046007501</v>
      </c>
      <c r="AC497" s="171" t="str">
        <f t="shared" si="296"/>
        <v>0.00318635261890718+0.000781972721801634i</v>
      </c>
      <c r="AD497" s="190">
        <f t="shared" si="297"/>
        <v>-49.680132245886398</v>
      </c>
      <c r="AE497" s="169">
        <f t="shared" si="298"/>
        <v>13.788627976678363</v>
      </c>
      <c r="AF497" s="98" t="str">
        <f t="shared" si="284"/>
        <v>-9.95024875621891E-06</v>
      </c>
      <c r="AG497" s="98" t="str">
        <f t="shared" si="285"/>
        <v>3.87805483683262i</v>
      </c>
      <c r="AH497" s="98">
        <f t="shared" si="299"/>
        <v>3.8780548368326202</v>
      </c>
      <c r="AI497" s="98">
        <f t="shared" si="300"/>
        <v>1.5707963267948966</v>
      </c>
      <c r="AJ497" s="98" t="str">
        <f t="shared" si="286"/>
        <v>1+38.7031034583061i</v>
      </c>
      <c r="AK497" s="98">
        <f t="shared" si="301"/>
        <v>38.716020163549175</v>
      </c>
      <c r="AL497" s="98">
        <f t="shared" si="302"/>
        <v>1.5449643528580037</v>
      </c>
      <c r="AM497" s="98" t="str">
        <f t="shared" si="287"/>
        <v>1+38741.8065617644i</v>
      </c>
      <c r="AN497" s="98">
        <f t="shared" si="303"/>
        <v>38741.806574670358</v>
      </c>
      <c r="AO497" s="98">
        <f t="shared" si="304"/>
        <v>1.5707705148855273</v>
      </c>
      <c r="AP497" s="168" t="str">
        <f t="shared" si="305"/>
        <v>-0.0000662497690356801+0.00256663744848495i</v>
      </c>
      <c r="AQ497" s="98">
        <f t="shared" si="306"/>
        <v>-51.80981692921776</v>
      </c>
      <c r="AR497" s="169">
        <f t="shared" si="307"/>
        <v>91.478584169607871</v>
      </c>
      <c r="AS497" s="168" t="str">
        <f t="shared" si="308"/>
        <v>-2.21813559653861E-06+0.0000081264064435537i</v>
      </c>
      <c r="AT497" s="190">
        <f t="shared" si="309"/>
        <v>-101.48994917510416</v>
      </c>
      <c r="AU497" s="169">
        <f t="shared" si="310"/>
        <v>105.26721214628621</v>
      </c>
      <c r="AV497" s="225"/>
      <c r="AX497">
        <f t="shared" si="311"/>
        <v>0</v>
      </c>
      <c r="AY497">
        <f t="shared" si="312"/>
        <v>0</v>
      </c>
    </row>
    <row r="498" spans="14:51" x14ac:dyDescent="0.3">
      <c r="N498" s="170">
        <v>80</v>
      </c>
      <c r="O498" s="199">
        <f t="shared" si="313"/>
        <v>630957.34448019415</v>
      </c>
      <c r="P498" s="189" t="str">
        <f t="shared" si="279"/>
        <v>1078.86904761905</v>
      </c>
      <c r="Q498" s="160" t="str">
        <f t="shared" si="280"/>
        <v>1+123888.184884219i</v>
      </c>
      <c r="R498" s="160">
        <f t="shared" si="288"/>
        <v>123888.18488825491</v>
      </c>
      <c r="S498" s="160">
        <f t="shared" si="289"/>
        <v>1.5707882550001495</v>
      </c>
      <c r="T498" s="160" t="str">
        <f t="shared" si="281"/>
        <v>1+0.0792884383259i</v>
      </c>
      <c r="U498" s="160">
        <f t="shared" si="290"/>
        <v>1.0031384034380102</v>
      </c>
      <c r="V498" s="160">
        <f t="shared" si="291"/>
        <v>7.9122909196139846E-2</v>
      </c>
      <c r="W498" s="98" t="str">
        <f t="shared" si="282"/>
        <v>1-57.3445701348239i</v>
      </c>
      <c r="X498" s="160">
        <f t="shared" si="292"/>
        <v>57.353288693393488</v>
      </c>
      <c r="Y498" s="160">
        <f t="shared" si="293"/>
        <v>-1.5533596514529673</v>
      </c>
      <c r="Z498" s="98" t="str">
        <f t="shared" si="283"/>
        <v>-158.242868221399+22.6499694907674i</v>
      </c>
      <c r="AA498" s="160">
        <f t="shared" si="294"/>
        <v>159.85564256812376</v>
      </c>
      <c r="AB498" s="160">
        <f t="shared" si="295"/>
        <v>2.9994240740653324</v>
      </c>
      <c r="AC498" s="171" t="str">
        <f t="shared" si="296"/>
        <v>0.00304533004964519+0.000741165331437207i</v>
      </c>
      <c r="AD498" s="190">
        <f t="shared" si="297"/>
        <v>-50.07739888649624</v>
      </c>
      <c r="AE498" s="169">
        <f t="shared" si="298"/>
        <v>13.678578731461748</v>
      </c>
      <c r="AF498" s="98" t="str">
        <f t="shared" si="284"/>
        <v>-9.95024875621891E-06</v>
      </c>
      <c r="AG498" s="98" t="str">
        <f t="shared" si="285"/>
        <v>3.9683863382113i</v>
      </c>
      <c r="AH498" s="98">
        <f t="shared" si="299"/>
        <v>3.9683863382113</v>
      </c>
      <c r="AI498" s="98">
        <f t="shared" si="300"/>
        <v>1.5707963267948966</v>
      </c>
      <c r="AJ498" s="98" t="str">
        <f t="shared" si="286"/>
        <v>1+39.6046145484016i</v>
      </c>
      <c r="AK498" s="98">
        <f t="shared" si="301"/>
        <v>39.617237328307787</v>
      </c>
      <c r="AL498" s="98">
        <f t="shared" si="302"/>
        <v>1.5455521076845198</v>
      </c>
      <c r="AM498" s="98" t="str">
        <f t="shared" si="287"/>
        <v>1+39644.21916295i</v>
      </c>
      <c r="AN498" s="98">
        <f t="shared" si="303"/>
        <v>39644.219175562182</v>
      </c>
      <c r="AO498" s="98">
        <f t="shared" si="304"/>
        <v>1.5707711024363167</v>
      </c>
      <c r="AP498" s="168" t="str">
        <f t="shared" si="305"/>
        <v>-0.0000632699380204601+0.00250828888684893i</v>
      </c>
      <c r="AQ498" s="98">
        <f t="shared" si="306"/>
        <v>-52.009686524578143</v>
      </c>
      <c r="AR498" s="169">
        <f t="shared" si="307"/>
        <v>91.444941962840531</v>
      </c>
      <c r="AS498" s="168" t="str">
        <f t="shared" si="308"/>
        <v>-2.05173460765455E-06+7.59167403572918E-06i</v>
      </c>
      <c r="AT498" s="190">
        <f t="shared" si="309"/>
        <v>-102.0870854110744</v>
      </c>
      <c r="AU498" s="169">
        <f t="shared" si="310"/>
        <v>105.12352069430231</v>
      </c>
      <c r="AV498" s="225"/>
      <c r="AX498">
        <f t="shared" si="311"/>
        <v>0</v>
      </c>
      <c r="AY498">
        <f t="shared" si="312"/>
        <v>0</v>
      </c>
    </row>
    <row r="499" spans="14:51" x14ac:dyDescent="0.3">
      <c r="N499" s="170">
        <v>81</v>
      </c>
      <c r="O499" s="199">
        <f t="shared" si="313"/>
        <v>645654.22903465747</v>
      </c>
      <c r="P499" s="189" t="str">
        <f t="shared" si="279"/>
        <v>1078.86904761905</v>
      </c>
      <c r="Q499" s="160" t="str">
        <f t="shared" si="280"/>
        <v>1+126773.911418404i</v>
      </c>
      <c r="R499" s="160">
        <f t="shared" si="288"/>
        <v>126773.91142234801</v>
      </c>
      <c r="S499" s="160">
        <f t="shared" si="289"/>
        <v>1.5707884387366298</v>
      </c>
      <c r="T499" s="160" t="str">
        <f t="shared" si="281"/>
        <v>1+0.0811353033077784i</v>
      </c>
      <c r="U499" s="160">
        <f t="shared" si="290"/>
        <v>1.0032860695947319</v>
      </c>
      <c r="V499" s="160">
        <f t="shared" si="291"/>
        <v>8.095796701013927E-2</v>
      </c>
      <c r="W499" s="98" t="str">
        <f t="shared" si="282"/>
        <v>1-58.6802967643177i</v>
      </c>
      <c r="X499" s="160">
        <f t="shared" si="292"/>
        <v>58.688816893411591</v>
      </c>
      <c r="Y499" s="160">
        <f t="shared" si="293"/>
        <v>-1.5537564809213604</v>
      </c>
      <c r="Z499" s="98" t="str">
        <f t="shared" si="283"/>
        <v>-165.747753388135+23.1775550552752i</v>
      </c>
      <c r="AA499" s="160">
        <f t="shared" si="294"/>
        <v>167.360439804496</v>
      </c>
      <c r="AB499" s="160">
        <f t="shared" si="295"/>
        <v>3.0026572541494989</v>
      </c>
      <c r="AC499" s="171" t="str">
        <f t="shared" si="296"/>
        <v>0.0029104455893118+0.000702805762764889i</v>
      </c>
      <c r="AD499" s="190">
        <f t="shared" si="297"/>
        <v>-50.474676562526838</v>
      </c>
      <c r="AE499" s="169">
        <f t="shared" si="298"/>
        <v>13.575725045087733</v>
      </c>
      <c r="AF499" s="98" t="str">
        <f t="shared" si="284"/>
        <v>-9.95024875621891E-06</v>
      </c>
      <c r="AG499" s="98" t="str">
        <f t="shared" si="285"/>
        <v>4.06082193055431i</v>
      </c>
      <c r="AH499" s="98">
        <f t="shared" si="299"/>
        <v>4.0608219305543098</v>
      </c>
      <c r="AI499" s="98">
        <f t="shared" si="300"/>
        <v>1.5707963267948966</v>
      </c>
      <c r="AJ499" s="98" t="str">
        <f t="shared" si="286"/>
        <v>1+40.5271245293598i</v>
      </c>
      <c r="AK499" s="98">
        <f t="shared" si="301"/>
        <v>40.53946006816367</v>
      </c>
      <c r="AL499" s="98">
        <f t="shared" si="302"/>
        <v>1.5461265004353506</v>
      </c>
      <c r="AM499" s="98" t="str">
        <f t="shared" si="287"/>
        <v>1+40567.6516538892i</v>
      </c>
      <c r="AN499" s="98">
        <f t="shared" si="303"/>
        <v>40567.651666214289</v>
      </c>
      <c r="AO499" s="98">
        <f t="shared" si="304"/>
        <v>1.5707716766128172</v>
      </c>
      <c r="AP499" s="168" t="str">
        <f t="shared" si="305"/>
        <v>-0.0000604240544362459+0.00245126348283867i</v>
      </c>
      <c r="AQ499" s="98">
        <f t="shared" si="306"/>
        <v>-52.209561985458834</v>
      </c>
      <c r="AR499" s="169">
        <f t="shared" si="307"/>
        <v>91.412064580325193</v>
      </c>
      <c r="AS499" s="168" t="str">
        <f t="shared" si="308"/>
        <v>-1.89862302451646E-06+7.09180261820148E-06i</v>
      </c>
      <c r="AT499" s="190">
        <f t="shared" si="309"/>
        <v>-102.68423854798567</v>
      </c>
      <c r="AU499" s="169">
        <f t="shared" si="310"/>
        <v>104.98778962541293</v>
      </c>
      <c r="AV499" s="225"/>
      <c r="AX499">
        <f t="shared" si="311"/>
        <v>0</v>
      </c>
      <c r="AY499">
        <f t="shared" si="312"/>
        <v>0</v>
      </c>
    </row>
    <row r="500" spans="14:51" x14ac:dyDescent="0.3">
      <c r="N500" s="170">
        <v>82</v>
      </c>
      <c r="O500" s="199">
        <f t="shared" si="313"/>
        <v>660693.44800759677</v>
      </c>
      <c r="P500" s="189" t="str">
        <f t="shared" si="279"/>
        <v>1078.86904761905</v>
      </c>
      <c r="Q500" s="160" t="str">
        <f t="shared" si="280"/>
        <v>1+129726.855158473i</v>
      </c>
      <c r="R500" s="160">
        <f t="shared" si="288"/>
        <v>129726.85516232725</v>
      </c>
      <c r="S500" s="160">
        <f t="shared" si="289"/>
        <v>1.5707886182907571</v>
      </c>
      <c r="T500" s="160" t="str">
        <f t="shared" si="281"/>
        <v>1+0.083025187301423i</v>
      </c>
      <c r="U500" s="160">
        <f t="shared" si="290"/>
        <v>1.0034406717521651</v>
      </c>
      <c r="V500" s="160">
        <f t="shared" si="291"/>
        <v>8.2835203206867825E-2</v>
      </c>
      <c r="W500" s="98" t="str">
        <f t="shared" si="282"/>
        <v>1-60.0471364638812i</v>
      </c>
      <c r="X500" s="160">
        <f t="shared" si="292"/>
        <v>60.055462678360662</v>
      </c>
      <c r="Y500" s="160">
        <f t="shared" si="293"/>
        <v>-1.5541442826345366</v>
      </c>
      <c r="Z500" s="98" t="str">
        <f t="shared" si="283"/>
        <v>-173.606332896067+23.7174296662645i</v>
      </c>
      <c r="AA500" s="160">
        <f t="shared" si="294"/>
        <v>175.21893531121069</v>
      </c>
      <c r="AB500" s="160">
        <f t="shared" si="295"/>
        <v>3.0058170393269315</v>
      </c>
      <c r="AC500" s="171" t="str">
        <f t="shared" si="296"/>
        <v>0.00278144122486923+0.000666738726590525i</v>
      </c>
      <c r="AD500" s="190">
        <f t="shared" si="297"/>
        <v>-50.87195952835836</v>
      </c>
      <c r="AE500" s="169">
        <f t="shared" si="298"/>
        <v>13.480010712327923</v>
      </c>
      <c r="AF500" s="98" t="str">
        <f t="shared" si="284"/>
        <v>-9.95024875621891E-06</v>
      </c>
      <c r="AG500" s="98" t="str">
        <f t="shared" si="285"/>
        <v>4.15541062443622i</v>
      </c>
      <c r="AH500" s="98">
        <f t="shared" si="299"/>
        <v>4.1554106244362199</v>
      </c>
      <c r="AI500" s="98">
        <f t="shared" si="300"/>
        <v>1.5707963267948966</v>
      </c>
      <c r="AJ500" s="98" t="str">
        <f t="shared" si="286"/>
        <v>1+41.4711225281833i</v>
      </c>
      <c r="AK500" s="98">
        <f t="shared" si="301"/>
        <v>41.483177358389419</v>
      </c>
      <c r="AL500" s="98">
        <f t="shared" si="302"/>
        <v>1.5466878341442059</v>
      </c>
      <c r="AM500" s="98" t="str">
        <f t="shared" si="287"/>
        <v>1+41512.5936507115i</v>
      </c>
      <c r="AN500" s="98">
        <f t="shared" si="303"/>
        <v>41512.59366275603</v>
      </c>
      <c r="AO500" s="98">
        <f t="shared" si="304"/>
        <v>1.5707722377194653</v>
      </c>
      <c r="AP500" s="168" t="str">
        <f t="shared" si="305"/>
        <v>-0.0000577061043416557+0.00239553145217749i</v>
      </c>
      <c r="AQ500" s="98">
        <f t="shared" si="306"/>
        <v>-52.409443048189253</v>
      </c>
      <c r="AR500" s="169">
        <f t="shared" si="307"/>
        <v>91.379934676952146</v>
      </c>
      <c r="AS500" s="168" t="str">
        <f t="shared" si="308"/>
        <v>-1.75769972747486E-06+6.62455504203207E-06i</v>
      </c>
      <c r="AT500" s="190">
        <f t="shared" si="309"/>
        <v>-103.28140257654761</v>
      </c>
      <c r="AU500" s="169">
        <f t="shared" si="310"/>
        <v>104.85994538928009</v>
      </c>
      <c r="AV500" s="225"/>
      <c r="AX500">
        <f t="shared" si="311"/>
        <v>0</v>
      </c>
      <c r="AY500">
        <f t="shared" si="312"/>
        <v>0</v>
      </c>
    </row>
    <row r="501" spans="14:51" x14ac:dyDescent="0.3">
      <c r="N501" s="170">
        <v>83</v>
      </c>
      <c r="O501" s="199">
        <f t="shared" si="313"/>
        <v>676082.97539198259</v>
      </c>
      <c r="P501" s="189" t="str">
        <f t="shared" si="279"/>
        <v>1078.86904761905</v>
      </c>
      <c r="Q501" s="160" t="str">
        <f t="shared" si="280"/>
        <v>1+132748.581794286i</v>
      </c>
      <c r="R501" s="160">
        <f t="shared" si="288"/>
        <v>132748.5817980525</v>
      </c>
      <c r="S501" s="160">
        <f t="shared" si="289"/>
        <v>1.5707887937577336</v>
      </c>
      <c r="T501" s="160" t="str">
        <f t="shared" si="281"/>
        <v>1+0.0849590923483432i</v>
      </c>
      <c r="U501" s="160">
        <f t="shared" si="290"/>
        <v>1.0036025345587039</v>
      </c>
      <c r="V501" s="160">
        <f t="shared" si="291"/>
        <v>8.475556016905518E-2</v>
      </c>
      <c r="W501" s="98" t="str">
        <f t="shared" si="282"/>
        <v>1-61.4458139500158i</v>
      </c>
      <c r="X501" s="160">
        <f t="shared" si="292"/>
        <v>61.453950662101093</v>
      </c>
      <c r="Y501" s="160">
        <f t="shared" si="293"/>
        <v>-1.5545232617432569</v>
      </c>
      <c r="Z501" s="98" t="str">
        <f t="shared" si="283"/>
        <v>-181.835275845951+24.2698795724001i</v>
      </c>
      <c r="AA501" s="160">
        <f t="shared" si="294"/>
        <v>183.447798014672</v>
      </c>
      <c r="AB501" s="160">
        <f t="shared" si="295"/>
        <v>3.0089050865238809</v>
      </c>
      <c r="AC501" s="171" t="str">
        <f t="shared" si="296"/>
        <v>0.00265806896802764+0.00063281891824556i</v>
      </c>
      <c r="AD501" s="190">
        <f t="shared" si="297"/>
        <v>-51.269242056515125</v>
      </c>
      <c r="AE501" s="169">
        <f t="shared" si="298"/>
        <v>13.391383033126937</v>
      </c>
      <c r="AF501" s="98" t="str">
        <f t="shared" si="284"/>
        <v>-9.95024875621891E-06</v>
      </c>
      <c r="AG501" s="98" t="str">
        <f t="shared" si="285"/>
        <v>4.25220257203458i</v>
      </c>
      <c r="AH501" s="98">
        <f t="shared" si="299"/>
        <v>4.2522025720345802</v>
      </c>
      <c r="AI501" s="98">
        <f t="shared" si="300"/>
        <v>1.5707963267948966</v>
      </c>
      <c r="AJ501" s="98" t="str">
        <f t="shared" si="286"/>
        <v>1+42.4371090651065i</v>
      </c>
      <c r="AK501" s="98">
        <f t="shared" si="301"/>
        <v>42.448889570915092</v>
      </c>
      <c r="AL501" s="98">
        <f t="shared" si="302"/>
        <v>1.5472364050218474</v>
      </c>
      <c r="AM501" s="98" t="str">
        <f t="shared" si="287"/>
        <v>1+42479.5461741716i</v>
      </c>
      <c r="AN501" s="98">
        <f t="shared" si="303"/>
        <v>42479.546185941967</v>
      </c>
      <c r="AO501" s="98">
        <f t="shared" si="304"/>
        <v>1.5707727860537664</v>
      </c>
      <c r="AP501" s="168" t="str">
        <f t="shared" si="305"/>
        <v>-0.0000551103431767284+0.00234106366628594i</v>
      </c>
      <c r="AQ501" s="98">
        <f t="shared" si="306"/>
        <v>-52.609329460937879</v>
      </c>
      <c r="AR501" s="169">
        <f t="shared" si="307"/>
        <v>91.348535298140717</v>
      </c>
      <c r="AS501" s="168" t="str">
        <f t="shared" si="308"/>
        <v>-1.62795646985847E-06+6.18783381577843E-06i</v>
      </c>
      <c r="AT501" s="190">
        <f t="shared" si="309"/>
        <v>-103.878571517453</v>
      </c>
      <c r="AU501" s="169">
        <f t="shared" si="310"/>
        <v>104.73991833126766</v>
      </c>
      <c r="AV501" s="225"/>
      <c r="AX501">
        <f t="shared" si="311"/>
        <v>0</v>
      </c>
      <c r="AY501">
        <f t="shared" si="312"/>
        <v>0</v>
      </c>
    </row>
    <row r="502" spans="14:51" x14ac:dyDescent="0.3">
      <c r="N502" s="170">
        <v>84</v>
      </c>
      <c r="O502" s="199">
        <f t="shared" si="313"/>
        <v>691830.97091893724</v>
      </c>
      <c r="P502" s="189" t="str">
        <f t="shared" si="279"/>
        <v>1078.86904761905</v>
      </c>
      <c r="Q502" s="160" t="str">
        <f t="shared" si="280"/>
        <v>1+135840.693485302i</v>
      </c>
      <c r="R502" s="160">
        <f t="shared" si="288"/>
        <v>135840.6934889828</v>
      </c>
      <c r="S502" s="160">
        <f t="shared" si="289"/>
        <v>1.5707889652305942</v>
      </c>
      <c r="T502" s="160" t="str">
        <f t="shared" si="281"/>
        <v>1+0.086938043830593i</v>
      </c>
      <c r="U502" s="160">
        <f t="shared" si="290"/>
        <v>1.0037719977490358</v>
      </c>
      <c r="V502" s="160">
        <f t="shared" si="291"/>
        <v>8.6719999409187204E-2</v>
      </c>
      <c r="W502" s="98" t="str">
        <f t="shared" si="282"/>
        <v>1-62.8770708200381i</v>
      </c>
      <c r="X502" s="160">
        <f t="shared" si="292"/>
        <v>62.88502234163623</v>
      </c>
      <c r="Y502" s="160">
        <f t="shared" si="293"/>
        <v>-1.5548936187515641</v>
      </c>
      <c r="Z502" s="98" t="str">
        <f t="shared" si="283"/>
        <v>-190.452036929056+24.8351976899348i</v>
      </c>
      <c r="AA502" s="160">
        <f t="shared" si="294"/>
        <v>192.06448243942617</v>
      </c>
      <c r="AB502" s="160">
        <f t="shared" si="295"/>
        <v>3.011923015901492</v>
      </c>
      <c r="AC502" s="171" t="str">
        <f t="shared" si="296"/>
        <v>0.00254009054146436+0.000600910381014641i</v>
      </c>
      <c r="AD502" s="190">
        <f t="shared" si="297"/>
        <v>-51.666518425822041</v>
      </c>
      <c r="AE502" s="169">
        <f t="shared" si="298"/>
        <v>13.309792776330434</v>
      </c>
      <c r="AF502" s="98" t="str">
        <f t="shared" si="284"/>
        <v>-9.95024875621891E-06</v>
      </c>
      <c r="AG502" s="98" t="str">
        <f t="shared" si="285"/>
        <v>4.35124909372118i</v>
      </c>
      <c r="AH502" s="98">
        <f t="shared" si="299"/>
        <v>4.3512490937211803</v>
      </c>
      <c r="AI502" s="98">
        <f t="shared" si="300"/>
        <v>1.5707963267948966</v>
      </c>
      <c r="AJ502" s="98" t="str">
        <f t="shared" si="286"/>
        <v>1+43.4255963189775i</v>
      </c>
      <c r="AK502" s="98">
        <f t="shared" si="301"/>
        <v>43.437108739634041</v>
      </c>
      <c r="AL502" s="98">
        <f t="shared" si="302"/>
        <v>1.5477725026064075</v>
      </c>
      <c r="AM502" s="98" t="str">
        <f t="shared" si="287"/>
        <v>1+43469.0219152965i</v>
      </c>
      <c r="AN502" s="98">
        <f t="shared" si="303"/>
        <v>43469.021926798938</v>
      </c>
      <c r="AO502" s="98">
        <f t="shared" si="304"/>
        <v>1.570773321906455</v>
      </c>
      <c r="AP502" s="168" t="str">
        <f t="shared" si="305"/>
        <v>-0.0000526312837521018+0.00228783163883789i</v>
      </c>
      <c r="AQ502" s="98">
        <f t="shared" si="306"/>
        <v>-52.809220983181611</v>
      </c>
      <c r="AR502" s="169">
        <f t="shared" si="307"/>
        <v>91.317849871235765</v>
      </c>
      <c r="AS502" s="168" t="str">
        <f t="shared" si="308"/>
        <v>-1.50847000783527E-06+5.77967282150226E-06i</v>
      </c>
      <c r="AT502" s="190">
        <f t="shared" si="309"/>
        <v>-104.47573940900367</v>
      </c>
      <c r="AU502" s="169">
        <f t="shared" si="310"/>
        <v>104.62764264756623</v>
      </c>
      <c r="AV502" s="225"/>
      <c r="AX502">
        <f t="shared" si="311"/>
        <v>0</v>
      </c>
      <c r="AY502">
        <f t="shared" si="312"/>
        <v>0</v>
      </c>
    </row>
    <row r="503" spans="14:51" x14ac:dyDescent="0.3">
      <c r="N503" s="170">
        <v>85</v>
      </c>
      <c r="O503" s="199">
        <f t="shared" si="313"/>
        <v>707945.78438413853</v>
      </c>
      <c r="P503" s="189" t="str">
        <f t="shared" si="279"/>
        <v>1078.86904761905</v>
      </c>
      <c r="Q503" s="160" t="str">
        <f t="shared" si="280"/>
        <v>1+139004.829710067i</v>
      </c>
      <c r="R503" s="160">
        <f t="shared" si="288"/>
        <v>139004.82971366396</v>
      </c>
      <c r="S503" s="160">
        <f t="shared" si="289"/>
        <v>1.5707891328002559</v>
      </c>
      <c r="T503" s="160" t="str">
        <f t="shared" si="281"/>
        <v>1+0.088963091014443i</v>
      </c>
      <c r="U503" s="160">
        <f t="shared" si="290"/>
        <v>1.0039494168347547</v>
      </c>
      <c r="V503" s="160">
        <f t="shared" si="291"/>
        <v>8.8729501818774731E-2</v>
      </c>
      <c r="W503" s="98" t="str">
        <f t="shared" si="282"/>
        <v>1-64.3416659452858i</v>
      </c>
      <c r="X503" s="160">
        <f t="shared" si="292"/>
        <v>64.349436490265788</v>
      </c>
      <c r="Y503" s="160">
        <f t="shared" si="293"/>
        <v>-1.5552555496210148</v>
      </c>
      <c r="Z503" s="98" t="str">
        <f t="shared" si="283"/>
        <v>-199.47489345091+25.4136837580175i</v>
      </c>
      <c r="AA503" s="160">
        <f t="shared" si="294"/>
        <v>201.08726573158339</v>
      </c>
      <c r="AB503" s="160">
        <f t="shared" si="295"/>
        <v>3.0148724116255869</v>
      </c>
      <c r="AC503" s="171" t="str">
        <f t="shared" si="296"/>
        <v>0.00242727706737133+0.000570885909088086i</v>
      </c>
      <c r="AD503" s="190">
        <f t="shared" si="297"/>
        <v>-52.063782909633133</v>
      </c>
      <c r="AE503" s="169">
        <f t="shared" si="298"/>
        <v>13.235194143887162</v>
      </c>
      <c r="AF503" s="98" t="str">
        <f t="shared" si="284"/>
        <v>-9.95024875621891E-06</v>
      </c>
      <c r="AG503" s="98" t="str">
        <f t="shared" si="285"/>
        <v>4.45260270527287i</v>
      </c>
      <c r="AH503" s="98">
        <f t="shared" si="299"/>
        <v>4.4526027052728701</v>
      </c>
      <c r="AI503" s="98">
        <f t="shared" si="300"/>
        <v>1.5707963267948966</v>
      </c>
      <c r="AJ503" s="98" t="str">
        <f t="shared" si="286"/>
        <v>1+44.4371083988227i</v>
      </c>
      <c r="AK503" s="98">
        <f t="shared" si="301"/>
        <v>44.448358831892989</v>
      </c>
      <c r="AL503" s="98">
        <f t="shared" si="302"/>
        <v>1.5482964099106171</v>
      </c>
      <c r="AM503" s="98" t="str">
        <f t="shared" si="287"/>
        <v>1+44481.5455072215i</v>
      </c>
      <c r="AN503" s="98">
        <f t="shared" si="303"/>
        <v>44481.545518462117</v>
      </c>
      <c r="AO503" s="98">
        <f t="shared" si="304"/>
        <v>1.5707738455616473</v>
      </c>
      <c r="AP503" s="168" t="str">
        <f t="shared" si="305"/>
        <v>-0.000050263684768814+0.00223580751252426i</v>
      </c>
      <c r="AQ503" s="98">
        <f t="shared" si="306"/>
        <v>-53.009117385199175</v>
      </c>
      <c r="AR503" s="169">
        <f t="shared" si="307"/>
        <v>91.287862197080926</v>
      </c>
      <c r="AS503" s="168" t="str">
        <f t="shared" si="308"/>
        <v>-1.39839489369431E-06+5.39822947283331E-06i</v>
      </c>
      <c r="AT503" s="190">
        <f t="shared" si="309"/>
        <v>-105.07290029483231</v>
      </c>
      <c r="AU503" s="169">
        <f t="shared" si="310"/>
        <v>104.52305634096811</v>
      </c>
      <c r="AV503" s="225"/>
      <c r="AX503">
        <f t="shared" si="311"/>
        <v>0</v>
      </c>
      <c r="AY503">
        <f t="shared" si="312"/>
        <v>0</v>
      </c>
    </row>
    <row r="504" spans="14:51" x14ac:dyDescent="0.3">
      <c r="N504" s="170">
        <v>86</v>
      </c>
      <c r="O504" s="199">
        <f t="shared" si="313"/>
        <v>724435.96007499192</v>
      </c>
      <c r="P504" s="189" t="str">
        <f t="shared" si="279"/>
        <v>1078.86904761905</v>
      </c>
      <c r="Q504" s="160" t="str">
        <f t="shared" si="280"/>
        <v>1+142242.668135492i</v>
      </c>
      <c r="R504" s="160">
        <f t="shared" si="288"/>
        <v>142242.66813900712</v>
      </c>
      <c r="S504" s="160">
        <f t="shared" si="289"/>
        <v>1.5707892965555663</v>
      </c>
      <c r="T504" s="160" t="str">
        <f t="shared" si="281"/>
        <v>1+0.0910353076067146i</v>
      </c>
      <c r="U504" s="160">
        <f t="shared" si="290"/>
        <v>1.0041351638255924</v>
      </c>
      <c r="V504" s="160">
        <f t="shared" si="291"/>
        <v>9.0785067910038889E-2</v>
      </c>
      <c r="W504" s="98" t="str">
        <f t="shared" si="282"/>
        <v>1-65.8403758734803i</v>
      </c>
      <c r="X504" s="160">
        <f t="shared" si="292"/>
        <v>65.847969559897336</v>
      </c>
      <c r="Y504" s="160">
        <f t="shared" si="293"/>
        <v>-1.5556092458726429</v>
      </c>
      <c r="Z504" s="98" t="str">
        <f t="shared" si="283"/>
        <v>-208.922984099911+26.0056444976186i</v>
      </c>
      <c r="AA504" s="160">
        <f t="shared" si="294"/>
        <v>210.53528642711694</v>
      </c>
      <c r="AB504" s="160">
        <f t="shared" si="295"/>
        <v>3.0177548226237869</v>
      </c>
      <c r="AC504" s="171" t="str">
        <f t="shared" si="296"/>
        <v>0.00231940875922562+0.000542626487713832i</v>
      </c>
      <c r="AD504" s="190">
        <f t="shared" si="297"/>
        <v>-52.461029764109703</v>
      </c>
      <c r="AE504" s="169">
        <f t="shared" si="298"/>
        <v>13.16754473547187</v>
      </c>
      <c r="AF504" s="98" t="str">
        <f t="shared" si="284"/>
        <v>-9.95024875621891E-06</v>
      </c>
      <c r="AG504" s="98" t="str">
        <f t="shared" si="285"/>
        <v>4.55631714571606i</v>
      </c>
      <c r="AH504" s="98">
        <f t="shared" si="299"/>
        <v>4.5563171457160596</v>
      </c>
      <c r="AI504" s="98">
        <f t="shared" si="300"/>
        <v>1.5707963267948966</v>
      </c>
      <c r="AJ504" s="98" t="str">
        <f t="shared" si="286"/>
        <v>1+45.4721816217356i</v>
      </c>
      <c r="AK504" s="98">
        <f t="shared" si="301"/>
        <v>45.483176026307895</v>
      </c>
      <c r="AL504" s="98">
        <f t="shared" si="302"/>
        <v>1.5488084035659921</v>
      </c>
      <c r="AM504" s="98" t="str">
        <f t="shared" si="287"/>
        <v>1+45517.6538033573i</v>
      </c>
      <c r="AN504" s="98">
        <f t="shared" si="303"/>
        <v>45517.653814342048</v>
      </c>
      <c r="AO504" s="98">
        <f t="shared" si="304"/>
        <v>1.5707743572969923</v>
      </c>
      <c r="AP504" s="168" t="str">
        <f t="shared" si="305"/>
        <v>-0.0000480025398457323+0.0021849640460262i</v>
      </c>
      <c r="AQ504" s="98">
        <f t="shared" si="306"/>
        <v>-53.209018447587084</v>
      </c>
      <c r="AR504" s="169">
        <f t="shared" si="307"/>
        <v>91.258556441765961</v>
      </c>
      <c r="AS504" s="168" t="str">
        <f t="shared" si="308"/>
        <v>-1.29695687745947E-06+5.04177729734839E-06i</v>
      </c>
      <c r="AT504" s="190">
        <f t="shared" si="309"/>
        <v>-105.67004821169677</v>
      </c>
      <c r="AU504" s="169">
        <f t="shared" si="310"/>
        <v>104.42610117723781</v>
      </c>
      <c r="AV504" s="225"/>
      <c r="AX504">
        <f t="shared" si="311"/>
        <v>0</v>
      </c>
      <c r="AY504">
        <f t="shared" si="312"/>
        <v>0</v>
      </c>
    </row>
    <row r="505" spans="14:51" x14ac:dyDescent="0.3">
      <c r="N505" s="170">
        <v>87</v>
      </c>
      <c r="O505" s="199">
        <f t="shared" si="313"/>
        <v>741310.24130091805</v>
      </c>
      <c r="P505" s="189" t="str">
        <f t="shared" si="279"/>
        <v>1078.86904761905</v>
      </c>
      <c r="Q505" s="160" t="str">
        <f t="shared" si="280"/>
        <v>1+145555.925506365i</v>
      </c>
      <c r="R505" s="160">
        <f t="shared" si="288"/>
        <v>145555.92550980009</v>
      </c>
      <c r="S505" s="160">
        <f t="shared" si="289"/>
        <v>1.5707894565833507</v>
      </c>
      <c r="T505" s="160" t="str">
        <f t="shared" si="281"/>
        <v>1+0.0931557923240736i</v>
      </c>
      <c r="U505" s="160">
        <f t="shared" si="290"/>
        <v>1.0043296279825293</v>
      </c>
      <c r="V505" s="160">
        <f t="shared" si="291"/>
        <v>9.2887718048958401E-2</v>
      </c>
      <c r="W505" s="98" t="str">
        <f t="shared" si="282"/>
        <v>1-67.373995240463i</v>
      </c>
      <c r="X505" s="160">
        <f t="shared" si="292"/>
        <v>67.381416092732366</v>
      </c>
      <c r="Y505" s="160">
        <f t="shared" si="293"/>
        <v>-1.5559548946866975</v>
      </c>
      <c r="Z505" s="98" t="str">
        <f t="shared" si="283"/>
        <v>-218.81634954305+26.6113937741576i</v>
      </c>
      <c r="AA505" s="160">
        <f t="shared" si="294"/>
        <v>220.4285850472881</v>
      </c>
      <c r="AB505" s="160">
        <f t="shared" si="295"/>
        <v>3.0205717633298939</v>
      </c>
      <c r="AC505" s="171" t="str">
        <f t="shared" si="296"/>
        <v>0.00221627461755495+0.000516020768345469i</v>
      </c>
      <c r="AD505" s="190">
        <f t="shared" si="297"/>
        <v>-52.85825321652554</v>
      </c>
      <c r="AE505" s="169">
        <f t="shared" si="298"/>
        <v>13.10680551347027</v>
      </c>
      <c r="AF505" s="98" t="str">
        <f t="shared" si="284"/>
        <v>-9.95024875621891E-06</v>
      </c>
      <c r="AG505" s="98" t="str">
        <f t="shared" si="285"/>
        <v>4.66244740581989i</v>
      </c>
      <c r="AH505" s="98">
        <f t="shared" si="299"/>
        <v>4.6624474058198899</v>
      </c>
      <c r="AI505" s="98">
        <f t="shared" si="300"/>
        <v>1.5707963267948966</v>
      </c>
      <c r="AJ505" s="98" t="str">
        <f t="shared" si="286"/>
        <v>1+46.5313647972396i</v>
      </c>
      <c r="AK505" s="98">
        <f t="shared" si="301"/>
        <v>46.542108997055436</v>
      </c>
      <c r="AL505" s="98">
        <f t="shared" si="302"/>
        <v>1.5493087539640287</v>
      </c>
      <c r="AM505" s="98" t="str">
        <f t="shared" si="287"/>
        <v>1+46577.8961620368i</v>
      </c>
      <c r="AN505" s="98">
        <f t="shared" si="303"/>
        <v>46577.8961727715</v>
      </c>
      <c r="AO505" s="98">
        <f t="shared" si="304"/>
        <v>1.5707748573838187</v>
      </c>
      <c r="AP505" s="168" t="str">
        <f t="shared" si="305"/>
        <v>-0.0000458430670325474+0.00213527460119917i</v>
      </c>
      <c r="AQ505" s="98">
        <f t="shared" si="306"/>
        <v>-53.408923960796912</v>
      </c>
      <c r="AR505" s="169">
        <f t="shared" si="307"/>
        <v>91.229917128545296</v>
      </c>
      <c r="AS505" s="168" t="str">
        <f t="shared" si="308"/>
        <v>-1.20344686619447E-06+4.70869892547404E-06i</v>
      </c>
      <c r="AT505" s="190">
        <f t="shared" si="309"/>
        <v>-106.26717717732245</v>
      </c>
      <c r="AU505" s="169">
        <f t="shared" si="310"/>
        <v>104.33672264201563</v>
      </c>
      <c r="AV505" s="225"/>
      <c r="AX505">
        <f t="shared" si="311"/>
        <v>0</v>
      </c>
      <c r="AY505">
        <f t="shared" si="312"/>
        <v>0</v>
      </c>
    </row>
    <row r="506" spans="14:51" x14ac:dyDescent="0.3">
      <c r="N506" s="170">
        <v>88</v>
      </c>
      <c r="O506" s="199">
        <f t="shared" si="313"/>
        <v>758577.57502918423</v>
      </c>
      <c r="P506" s="189" t="str">
        <f t="shared" si="279"/>
        <v>1078.86904761905</v>
      </c>
      <c r="Q506" s="160" t="str">
        <f t="shared" si="280"/>
        <v>1+148946.358555603i</v>
      </c>
      <c r="R506" s="160">
        <f t="shared" si="288"/>
        <v>148946.35855895991</v>
      </c>
      <c r="S506" s="160">
        <f t="shared" si="289"/>
        <v>1.5707896129684582</v>
      </c>
      <c r="T506" s="160" t="str">
        <f t="shared" si="281"/>
        <v>1+0.0953256694755858i</v>
      </c>
      <c r="U506" s="160">
        <f t="shared" si="290"/>
        <v>1.0045332166040946</v>
      </c>
      <c r="V506" s="160">
        <f t="shared" si="291"/>
        <v>9.503849267854507E-2</v>
      </c>
      <c r="W506" s="98" t="str">
        <f t="shared" si="282"/>
        <v>1-68.9433371915227i</v>
      </c>
      <c r="X506" s="160">
        <f t="shared" si="292"/>
        <v>68.950589142544658</v>
      </c>
      <c r="Y506" s="160">
        <f t="shared" si="293"/>
        <v>-1.5562926790001996</v>
      </c>
      <c r="Z506" s="98" t="str">
        <f t="shared" si="283"/>
        <v>-229.175974934864+27.2312527639191i</v>
      </c>
      <c r="AA506" s="160">
        <f t="shared" si="294"/>
        <v>230.7881466073114</v>
      </c>
      <c r="AB506" s="160">
        <f t="shared" si="295"/>
        <v>3.0233247144155002</v>
      </c>
      <c r="AC506" s="171" t="str">
        <f t="shared" si="296"/>
        <v>0.00211767213035752+0.000490964576699943i</v>
      </c>
      <c r="AD506" s="190">
        <f t="shared" si="297"/>
        <v>-53.255447453582093</v>
      </c>
      <c r="AE506" s="169">
        <f t="shared" si="298"/>
        <v>13.052940768262156</v>
      </c>
      <c r="AF506" s="98" t="str">
        <f t="shared" si="284"/>
        <v>-9.95024875621891E-06</v>
      </c>
      <c r="AG506" s="98" t="str">
        <f t="shared" si="285"/>
        <v>4.77104975725307i</v>
      </c>
      <c r="AH506" s="98">
        <f t="shared" si="299"/>
        <v>4.7710497572530697</v>
      </c>
      <c r="AI506" s="98">
        <f t="shared" si="300"/>
        <v>1.5707963267948966</v>
      </c>
      <c r="AJ506" s="98" t="str">
        <f t="shared" si="286"/>
        <v>1+47.6152195182746i</v>
      </c>
      <c r="AK506" s="98">
        <f t="shared" si="301"/>
        <v>47.625719204789746</v>
      </c>
      <c r="AL506" s="98">
        <f t="shared" si="302"/>
        <v>1.5497977253944522</v>
      </c>
      <c r="AM506" s="98" t="str">
        <f t="shared" si="287"/>
        <v>1+47662.8347377929i</v>
      </c>
      <c r="AN506" s="98">
        <f t="shared" si="303"/>
        <v>47662.834748283254</v>
      </c>
      <c r="AO506" s="98">
        <f t="shared" si="304"/>
        <v>1.5707753460872791</v>
      </c>
      <c r="AP506" s="168" t="str">
        <f t="shared" si="305"/>
        <v>-0.0000437806987872108+0.00208671313046851i</v>
      </c>
      <c r="AQ506" s="98">
        <f t="shared" si="306"/>
        <v>-53.60883372469381</v>
      </c>
      <c r="AR506" s="169">
        <f t="shared" si="307"/>
        <v>91.20192912992529</v>
      </c>
      <c r="AS506" s="168" t="str">
        <f t="shared" si="308"/>
        <v>-1.11721539446394E-06+4.39747946819657E-06i</v>
      </c>
      <c r="AT506" s="190">
        <f t="shared" si="309"/>
        <v>-106.8642811782759</v>
      </c>
      <c r="AU506" s="169">
        <f t="shared" si="310"/>
        <v>104.25486989818745</v>
      </c>
      <c r="AV506" s="225"/>
      <c r="AX506">
        <f t="shared" si="311"/>
        <v>0</v>
      </c>
      <c r="AY506">
        <f t="shared" si="312"/>
        <v>0</v>
      </c>
    </row>
    <row r="507" spans="14:51" x14ac:dyDescent="0.3">
      <c r="N507" s="170">
        <v>89</v>
      </c>
      <c r="O507" s="199">
        <f t="shared" si="313"/>
        <v>776247.11662869214</v>
      </c>
      <c r="P507" s="189" t="str">
        <f t="shared" si="279"/>
        <v>1078.86904761905</v>
      </c>
      <c r="Q507" s="160" t="str">
        <f t="shared" si="280"/>
        <v>1+152415.764935685i</v>
      </c>
      <c r="R507" s="160">
        <f t="shared" si="288"/>
        <v>152415.76493896547</v>
      </c>
      <c r="S507" s="160">
        <f t="shared" si="289"/>
        <v>1.5707897657938059</v>
      </c>
      <c r="T507" s="160" t="str">
        <f t="shared" si="281"/>
        <v>1+0.0975460895588384i</v>
      </c>
      <c r="U507" s="160">
        <f t="shared" si="290"/>
        <v>1.0047463558471963</v>
      </c>
      <c r="V507" s="160">
        <f t="shared" si="291"/>
        <v>9.7238452531123967E-2</v>
      </c>
      <c r="W507" s="98" t="str">
        <f t="shared" si="282"/>
        <v>1-70.5492338125343i</v>
      </c>
      <c r="X507" s="160">
        <f t="shared" si="292"/>
        <v>70.556320705771157</v>
      </c>
      <c r="Y507" s="160">
        <f t="shared" si="293"/>
        <v>-1.5566227776023618</v>
      </c>
      <c r="Z507" s="98" t="str">
        <f t="shared" si="283"/>
        <v>-240.023834429744+27.8655501243444i</v>
      </c>
      <c r="AA507" s="160">
        <f t="shared" si="294"/>
        <v>241.63594512838839</v>
      </c>
      <c r="AB507" s="160">
        <f t="shared" si="295"/>
        <v>3.0260151235087802</v>
      </c>
      <c r="AC507" s="171" t="str">
        <f t="shared" si="296"/>
        <v>0.0020234069787382+0.000467360451751658i</v>
      </c>
      <c r="AD507" s="190">
        <f t="shared" si="297"/>
        <v>-53.652606609707654</v>
      </c>
      <c r="AE507" s="169">
        <f t="shared" si="298"/>
        <v>13.005918083730116</v>
      </c>
      <c r="AF507" s="98" t="str">
        <f t="shared" si="284"/>
        <v>-9.95024875621891E-06</v>
      </c>
      <c r="AG507" s="98" t="str">
        <f t="shared" si="285"/>
        <v>4.88218178241986i</v>
      </c>
      <c r="AH507" s="98">
        <f t="shared" si="299"/>
        <v>4.8821817824198597</v>
      </c>
      <c r="AI507" s="98">
        <f t="shared" si="300"/>
        <v>1.5707963267948966</v>
      </c>
      <c r="AJ507" s="98" t="str">
        <f t="shared" si="286"/>
        <v>1+48.7243204589602i</v>
      </c>
      <c r="AK507" s="98">
        <f t="shared" si="301"/>
        <v>48.734581194337224</v>
      </c>
      <c r="AL507" s="98">
        <f t="shared" si="302"/>
        <v>1.5502755761805738</v>
      </c>
      <c r="AM507" s="98" t="str">
        <f t="shared" si="287"/>
        <v>1+48773.0447794192i</v>
      </c>
      <c r="AN507" s="98">
        <f t="shared" si="303"/>
        <v>48773.04478967077</v>
      </c>
      <c r="AO507" s="98">
        <f t="shared" si="304"/>
        <v>1.5707758236664906</v>
      </c>
      <c r="AP507" s="168" t="str">
        <f t="shared" si="305"/>
        <v>-0.0000418110723975715+0.00203925416443733i</v>
      </c>
      <c r="AQ507" s="98">
        <f t="shared" si="306"/>
        <v>-53.808747548134122</v>
      </c>
      <c r="AR507" s="169">
        <f t="shared" si="307"/>
        <v>91.174577659916707</v>
      </c>
      <c r="AS507" s="168" t="str">
        <f t="shared" si="308"/>
        <v>-1.03766756320565E-06+4.10670026605948E-06i</v>
      </c>
      <c r="AT507" s="190">
        <f t="shared" si="309"/>
        <v>-107.46135415784178</v>
      </c>
      <c r="AU507" s="169">
        <f t="shared" si="310"/>
        <v>104.18049574364677</v>
      </c>
      <c r="AV507" s="225"/>
      <c r="AX507">
        <f t="shared" si="311"/>
        <v>0</v>
      </c>
      <c r="AY507">
        <f t="shared" si="312"/>
        <v>0</v>
      </c>
    </row>
    <row r="508" spans="14:51" x14ac:dyDescent="0.3">
      <c r="N508" s="170">
        <v>90</v>
      </c>
      <c r="O508" s="199">
        <f t="shared" si="313"/>
        <v>794328.23472428333</v>
      </c>
      <c r="P508" s="189" t="str">
        <f t="shared" si="279"/>
        <v>1078.86904761905</v>
      </c>
      <c r="Q508" s="160" t="str">
        <f t="shared" si="280"/>
        <v>1+155965.984171797i</v>
      </c>
      <c r="R508" s="160">
        <f t="shared" si="288"/>
        <v>155965.98417500281</v>
      </c>
      <c r="S508" s="160">
        <f t="shared" si="289"/>
        <v>1.5707899151404241</v>
      </c>
      <c r="T508" s="160" t="str">
        <f t="shared" si="281"/>
        <v>1+0.0998182298699504i</v>
      </c>
      <c r="U508" s="160">
        <f t="shared" si="290"/>
        <v>1.004969491583884</v>
      </c>
      <c r="V508" s="160">
        <f t="shared" si="291"/>
        <v>9.9488678828319785E-2</v>
      </c>
      <c r="W508" s="98" t="str">
        <f t="shared" si="282"/>
        <v>1-72.192536571143i</v>
      </c>
      <c r="X508" s="160">
        <f t="shared" si="292"/>
        <v>72.199462162649226</v>
      </c>
      <c r="Y508" s="160">
        <f t="shared" si="293"/>
        <v>-1.556945365227913</v>
      </c>
      <c r="Z508" s="98" t="str">
        <f t="shared" si="283"/>
        <v>-251.382937792079+28.5146221682898i</v>
      </c>
      <c r="AA508" s="160">
        <f t="shared" si="294"/>
        <v>252.99499024758688</v>
      </c>
      <c r="AB508" s="160">
        <f t="shared" si="295"/>
        <v>3.0286444059005011</v>
      </c>
      <c r="AC508" s="171" t="str">
        <f t="shared" si="296"/>
        <v>0.00193329274823023+0.000445117213796994i</v>
      </c>
      <c r="AD508" s="190">
        <f t="shared" si="297"/>
        <v>-54.049724755326892</v>
      </c>
      <c r="AE508" s="169">
        <f t="shared" si="298"/>
        <v>12.965708302916994</v>
      </c>
      <c r="AF508" s="98" t="str">
        <f t="shared" si="284"/>
        <v>-9.95024875621891E-06</v>
      </c>
      <c r="AG508" s="98" t="str">
        <f t="shared" si="285"/>
        <v>4.99590240499101i</v>
      </c>
      <c r="AH508" s="98">
        <f t="shared" si="299"/>
        <v>4.9959024049910097</v>
      </c>
      <c r="AI508" s="98">
        <f t="shared" si="300"/>
        <v>1.5707963267948966</v>
      </c>
      <c r="AJ508" s="98" t="str">
        <f t="shared" si="286"/>
        <v>1+49.8592556792959i</v>
      </c>
      <c r="AK508" s="98">
        <f t="shared" si="301"/>
        <v>49.869282899329924</v>
      </c>
      <c r="AL508" s="98">
        <f t="shared" si="302"/>
        <v>1.5507425588118002</v>
      </c>
      <c r="AM508" s="98" t="str">
        <f t="shared" si="287"/>
        <v>1+49909.1149349752i</v>
      </c>
      <c r="AN508" s="98">
        <f t="shared" si="303"/>
        <v>49909.114944993416</v>
      </c>
      <c r="AO508" s="98">
        <f t="shared" si="304"/>
        <v>1.5707762903746723</v>
      </c>
      <c r="AP508" s="168" t="str">
        <f t="shared" si="305"/>
        <v>-0.0000399300208278242+0.00199287279970656i</v>
      </c>
      <c r="AQ508" s="98">
        <f t="shared" si="306"/>
        <v>-54.008665248562195</v>
      </c>
      <c r="AR508" s="169">
        <f t="shared" si="307"/>
        <v>91.14784826645058</v>
      </c>
      <c r="AS508" s="168" t="str">
        <f t="shared" si="308"/>
        <v>-9.64258407760313E-07+3.83503299220023E-06i</v>
      </c>
      <c r="AT508" s="190">
        <f t="shared" si="309"/>
        <v>-108.05839000388912</v>
      </c>
      <c r="AU508" s="169">
        <f t="shared" si="310"/>
        <v>104.11355656936757</v>
      </c>
      <c r="AV508" s="225"/>
      <c r="AX508">
        <f t="shared" si="311"/>
        <v>0</v>
      </c>
      <c r="AY508">
        <f t="shared" si="312"/>
        <v>0</v>
      </c>
    </row>
    <row r="509" spans="14:51" x14ac:dyDescent="0.3">
      <c r="N509" s="170">
        <v>91</v>
      </c>
      <c r="O509" s="199">
        <f t="shared" si="313"/>
        <v>812830.51616410096</v>
      </c>
      <c r="P509" s="189" t="str">
        <f t="shared" si="279"/>
        <v>1078.86904761905</v>
      </c>
      <c r="Q509" s="160" t="str">
        <f t="shared" si="280"/>
        <v>1+159598.898637171i</v>
      </c>
      <c r="R509" s="160">
        <f t="shared" si="288"/>
        <v>159598.89864030387</v>
      </c>
      <c r="S509" s="160">
        <f t="shared" si="289"/>
        <v>1.5707900610874981</v>
      </c>
      <c r="T509" s="160" t="str">
        <f t="shared" si="281"/>
        <v>1+0.10214329512779i</v>
      </c>
      <c r="U509" s="160">
        <f t="shared" si="290"/>
        <v>1.0052030902954701</v>
      </c>
      <c r="V509" s="160">
        <f t="shared" si="291"/>
        <v>0.10179027346734511</v>
      </c>
      <c r="W509" s="98" t="str">
        <f t="shared" si="282"/>
        <v>1-73.8741167682226i</v>
      </c>
      <c r="X509" s="160">
        <f t="shared" si="292"/>
        <v>73.880884728629155</v>
      </c>
      <c r="Y509" s="160">
        <f t="shared" si="293"/>
        <v>-1.5572606126483732</v>
      </c>
      <c r="Z509" s="98" t="str">
        <f t="shared" si="283"/>
        <v>-263.27737920304+29.1788130423443i</v>
      </c>
      <c r="AA509" s="160">
        <f t="shared" si="294"/>
        <v>264.88937602437255</v>
      </c>
      <c r="AB509" s="160">
        <f t="shared" si="295"/>
        <v>3.0312139452372509</v>
      </c>
      <c r="AC509" s="171" t="str">
        <f t="shared" si="296"/>
        <v>0.00184715064619394+0.000424149559827157i</v>
      </c>
      <c r="AD509" s="190">
        <f t="shared" si="297"/>
        <v>-54.446795885076966</v>
      </c>
      <c r="AE509" s="169">
        <f t="shared" si="298"/>
        <v>12.932285493748331</v>
      </c>
      <c r="AF509" s="98" t="str">
        <f t="shared" si="284"/>
        <v>-9.95024875621891E-06</v>
      </c>
      <c r="AG509" s="98" t="str">
        <f t="shared" si="285"/>
        <v>5.11227192114587i</v>
      </c>
      <c r="AH509" s="98">
        <f t="shared" si="299"/>
        <v>5.1122719211458696</v>
      </c>
      <c r="AI509" s="98">
        <f t="shared" si="300"/>
        <v>1.5707963267948966</v>
      </c>
      <c r="AJ509" s="98" t="str">
        <f t="shared" si="286"/>
        <v>1+51.0206269369578i</v>
      </c>
      <c r="AK509" s="98">
        <f t="shared" si="301"/>
        <v>51.030425953936764</v>
      </c>
      <c r="AL509" s="98">
        <f t="shared" si="302"/>
        <v>1.5511989200733469</v>
      </c>
      <c r="AM509" s="98" t="str">
        <f t="shared" si="287"/>
        <v>1+51071.6475638948i</v>
      </c>
      <c r="AN509" s="98">
        <f t="shared" si="303"/>
        <v>51071.647573684968</v>
      </c>
      <c r="AO509" s="98">
        <f t="shared" si="304"/>
        <v>1.5707767464592786</v>
      </c>
      <c r="AP509" s="168" t="str">
        <f t="shared" si="305"/>
        <v>-0.0000381335639712013+0.00194754468690708i</v>
      </c>
      <c r="AQ509" s="98">
        <f t="shared" si="306"/>
        <v>-54.208586651625239</v>
      </c>
      <c r="AR509" s="169">
        <f t="shared" si="307"/>
        <v>91.121726823953736</v>
      </c>
      <c r="AS509" s="168" t="str">
        <f t="shared" si="308"/>
        <v>-8.96488659026439E-07+3.58123409253896E-06i</v>
      </c>
      <c r="AT509" s="190">
        <f t="shared" si="309"/>
        <v>-108.65538253670221</v>
      </c>
      <c r="AU509" s="169">
        <f t="shared" si="310"/>
        <v>104.05401231770207</v>
      </c>
      <c r="AV509" s="225"/>
      <c r="AX509">
        <f t="shared" si="311"/>
        <v>0</v>
      </c>
      <c r="AY509">
        <f t="shared" si="312"/>
        <v>0</v>
      </c>
    </row>
    <row r="510" spans="14:51" x14ac:dyDescent="0.3">
      <c r="N510" s="170">
        <v>92</v>
      </c>
      <c r="O510" s="199">
        <f t="shared" si="313"/>
        <v>831763.77110267128</v>
      </c>
      <c r="P510" s="189" t="str">
        <f t="shared" si="279"/>
        <v>1078.86904761905</v>
      </c>
      <c r="Q510" s="160" t="str">
        <f t="shared" si="280"/>
        <v>1+163316.434551143i</v>
      </c>
      <c r="R510" s="160">
        <f t="shared" si="288"/>
        <v>163316.43455420455</v>
      </c>
      <c r="S510" s="160">
        <f t="shared" si="289"/>
        <v>1.5707902037124111</v>
      </c>
      <c r="T510" s="160" t="str">
        <f t="shared" si="281"/>
        <v>1+0.104522518112732i</v>
      </c>
      <c r="U510" s="160">
        <f t="shared" si="290"/>
        <v>1.0054476400054984</v>
      </c>
      <c r="V510" s="160">
        <f t="shared" si="291"/>
        <v>0.10414435919209586</v>
      </c>
      <c r="W510" s="98" t="str">
        <f t="shared" si="282"/>
        <v>1-75.5948659998522i</v>
      </c>
      <c r="X510" s="160">
        <f t="shared" si="292"/>
        <v>75.601479916305948</v>
      </c>
      <c r="Y510" s="160">
        <f t="shared" si="293"/>
        <v>-1.5575686867613172</v>
      </c>
      <c r="Z510" s="98" t="str">
        <f t="shared" si="283"/>
        <v>-275.732388367576+29.8584749093012i</v>
      </c>
      <c r="AA510" s="160">
        <f t="shared" si="294"/>
        <v>277.34433204736155</v>
      </c>
      <c r="AB510" s="160">
        <f t="shared" si="295"/>
        <v>3.0337250942019498</v>
      </c>
      <c r="AC510" s="171" t="str">
        <f t="shared" si="296"/>
        <v>0.00176480922561022+0.000404377684545452i</v>
      </c>
      <c r="AD510" s="190">
        <f t="shared" si="297"/>
        <v>-54.843813905953866</v>
      </c>
      <c r="AE510" s="169">
        <f t="shared" si="298"/>
        <v>12.90562691472816</v>
      </c>
      <c r="AF510" s="98" t="str">
        <f t="shared" si="284"/>
        <v>-9.95024875621891E-06</v>
      </c>
      <c r="AG510" s="98" t="str">
        <f t="shared" si="285"/>
        <v>5.23135203154223i</v>
      </c>
      <c r="AH510" s="98">
        <f t="shared" si="299"/>
        <v>5.2313520315422304</v>
      </c>
      <c r="AI510" s="98">
        <f t="shared" si="300"/>
        <v>1.5707963267948966</v>
      </c>
      <c r="AJ510" s="98" t="str">
        <f t="shared" si="286"/>
        <v>1+52.2090500063595i</v>
      </c>
      <c r="AK510" s="98">
        <f t="shared" si="301"/>
        <v>52.21862601186043</v>
      </c>
      <c r="AL510" s="98">
        <f t="shared" si="302"/>
        <v>1.5516449011732045</v>
      </c>
      <c r="AM510" s="98" t="str">
        <f t="shared" si="287"/>
        <v>1+52261.2590563659i</v>
      </c>
      <c r="AN510" s="98">
        <f t="shared" si="303"/>
        <v>52261.25906593322</v>
      </c>
      <c r="AO510" s="98">
        <f t="shared" si="304"/>
        <v>1.5707771921621316</v>
      </c>
      <c r="AP510" s="168" t="str">
        <f t="shared" si="305"/>
        <v>-0.0000364179002911252+0.00190324601894339i</v>
      </c>
      <c r="AQ510" s="98">
        <f t="shared" si="306"/>
        <v>-54.408511590805361</v>
      </c>
      <c r="AR510" s="169">
        <f t="shared" si="307"/>
        <v>91.096199526081691</v>
      </c>
      <c r="AS510" s="168" t="str">
        <f t="shared" si="308"/>
        <v>-8.33900864671808E-07+3.34413954664149E-06i</v>
      </c>
      <c r="AT510" s="190">
        <f t="shared" si="309"/>
        <v>-109.2523254967592</v>
      </c>
      <c r="AU510" s="169">
        <f t="shared" si="310"/>
        <v>104.00182644080982</v>
      </c>
      <c r="AV510" s="225"/>
      <c r="AX510">
        <f t="shared" si="311"/>
        <v>0</v>
      </c>
      <c r="AY510">
        <f t="shared" si="312"/>
        <v>0</v>
      </c>
    </row>
    <row r="511" spans="14:51" x14ac:dyDescent="0.3">
      <c r="N511" s="170">
        <v>93</v>
      </c>
      <c r="O511" s="199">
        <f t="shared" si="313"/>
        <v>851138.03820237669</v>
      </c>
      <c r="P511" s="189" t="str">
        <f t="shared" si="279"/>
        <v>1078.86904761905</v>
      </c>
      <c r="Q511" s="160" t="str">
        <f t="shared" si="280"/>
        <v>1+167120.563000463i</v>
      </c>
      <c r="R511" s="160">
        <f t="shared" si="288"/>
        <v>167120.56300345485</v>
      </c>
      <c r="S511" s="160">
        <f t="shared" si="289"/>
        <v>1.5707903430907848</v>
      </c>
      <c r="T511" s="160" t="str">
        <f t="shared" si="281"/>
        <v>1+0.106957160320297i</v>
      </c>
      <c r="U511" s="160">
        <f t="shared" si="290"/>
        <v>1.0057036512530826</v>
      </c>
      <c r="V511" s="160">
        <f t="shared" si="291"/>
        <v>0.10655207974745674</v>
      </c>
      <c r="W511" s="98" t="str">
        <f t="shared" si="282"/>
        <v>1-77.3556966300514i</v>
      </c>
      <c r="X511" s="160">
        <f t="shared" si="292"/>
        <v>77.362160008110862</v>
      </c>
      <c r="Y511" s="160">
        <f t="shared" si="293"/>
        <v>-1.5578697506776695</v>
      </c>
      <c r="Z511" s="98" t="str">
        <f t="shared" si="283"/>
        <v>-288.774384029997+30.5539681348786i</v>
      </c>
      <c r="AA511" s="160">
        <f t="shared" si="294"/>
        <v>290.38627694967158</v>
      </c>
      <c r="AB511" s="160">
        <f t="shared" si="295"/>
        <v>3.036179175181704</v>
      </c>
      <c r="AC511" s="171" t="str">
        <f t="shared" si="296"/>
        <v>0.00168610411552308+0.0003857269254594i</v>
      </c>
      <c r="AD511" s="190">
        <f t="shared" si="297"/>
        <v>-55.240772625370234</v>
      </c>
      <c r="AE511" s="169">
        <f t="shared" si="298"/>
        <v>12.885712980510791</v>
      </c>
      <c r="AF511" s="98" t="str">
        <f t="shared" si="284"/>
        <v>-9.95024875621891E-06</v>
      </c>
      <c r="AG511" s="98" t="str">
        <f t="shared" si="285"/>
        <v>5.35320587403085i</v>
      </c>
      <c r="AH511" s="98">
        <f t="shared" si="299"/>
        <v>5.3532058740308504</v>
      </c>
      <c r="AI511" s="98">
        <f t="shared" si="300"/>
        <v>1.5707963267948966</v>
      </c>
      <c r="AJ511" s="98" t="str">
        <f t="shared" si="286"/>
        <v>1+53.4251550051432i</v>
      </c>
      <c r="AK511" s="98">
        <f t="shared" si="301"/>
        <v>53.434513072765789</v>
      </c>
      <c r="AL511" s="98">
        <f t="shared" si="302"/>
        <v>1.5520807378664065</v>
      </c>
      <c r="AM511" s="98" t="str">
        <f t="shared" si="287"/>
        <v>1+53478.5801601483i</v>
      </c>
      <c r="AN511" s="98">
        <f t="shared" si="303"/>
        <v>53478.580169497844</v>
      </c>
      <c r="AO511" s="98">
        <f t="shared" si="304"/>
        <v>1.5707776277195493</v>
      </c>
      <c r="AP511" s="168" t="str">
        <f t="shared" si="305"/>
        <v>-0.0000347793988338007+0.00185995351944812i</v>
      </c>
      <c r="AQ511" s="98">
        <f t="shared" si="306"/>
        <v>-54.60843990706779</v>
      </c>
      <c r="AR511" s="169">
        <f t="shared" si="307"/>
        <v>91.071252878606046</v>
      </c>
      <c r="AS511" s="168" t="str">
        <f t="shared" si="308"/>
        <v>-7.76075840063204E-07+3.12265993324162E-06i</v>
      </c>
      <c r="AT511" s="190">
        <f t="shared" si="309"/>
        <v>-109.84921253243805</v>
      </c>
      <c r="AU511" s="169">
        <f t="shared" si="310"/>
        <v>103.95696585911686</v>
      </c>
      <c r="AV511" s="225"/>
      <c r="AX511">
        <f t="shared" si="311"/>
        <v>0</v>
      </c>
      <c r="AY511">
        <f t="shared" si="312"/>
        <v>0</v>
      </c>
    </row>
    <row r="512" spans="14:51" x14ac:dyDescent="0.3">
      <c r="N512" s="170">
        <v>94</v>
      </c>
      <c r="O512" s="199">
        <f t="shared" si="313"/>
        <v>870963.58995608077</v>
      </c>
      <c r="P512" s="189" t="str">
        <f t="shared" si="279"/>
        <v>1078.86904761905</v>
      </c>
      <c r="Q512" s="160" t="str">
        <f t="shared" si="280"/>
        <v>1+171013.300984388i</v>
      </c>
      <c r="R512" s="160">
        <f t="shared" si="288"/>
        <v>171013.30098731176</v>
      </c>
      <c r="S512" s="160">
        <f t="shared" si="289"/>
        <v>1.5707904792965195</v>
      </c>
      <c r="T512" s="160" t="str">
        <f t="shared" si="281"/>
        <v>1+0.109448512630009i</v>
      </c>
      <c r="U512" s="160">
        <f t="shared" si="290"/>
        <v>1.0059716581081801</v>
      </c>
      <c r="V512" s="160">
        <f t="shared" si="291"/>
        <v>0.1090146000150978</v>
      </c>
      <c r="W512" s="98" t="str">
        <f t="shared" si="282"/>
        <v>1-79.1575422745275i</v>
      </c>
      <c r="X512" s="160">
        <f t="shared" si="292"/>
        <v>79.163858540015653</v>
      </c>
      <c r="Y512" s="160">
        <f t="shared" si="293"/>
        <v>-1.5581639638070721</v>
      </c>
      <c r="Z512" s="98" t="str">
        <f t="shared" si="283"/>
        <v>-302.431030011674+31.2656614787907i</v>
      </c>
      <c r="AA512" s="160">
        <f t="shared" si="294"/>
        <v>304.0428744463984</v>
      </c>
      <c r="AB512" s="160">
        <f t="shared" si="295"/>
        <v>3.0385774809230748</v>
      </c>
      <c r="AC512" s="171" t="str">
        <f t="shared" si="296"/>
        <v>0.0016108777583281+0.000368127430567644i</v>
      </c>
      <c r="AD512" s="190">
        <f t="shared" si="297"/>
        <v>-55.637665739106993</v>
      </c>
      <c r="AE512" s="169">
        <f t="shared" si="298"/>
        <v>12.872527227243657</v>
      </c>
      <c r="AF512" s="98" t="str">
        <f t="shared" si="284"/>
        <v>-9.95024875621891E-06</v>
      </c>
      <c r="AG512" s="98" t="str">
        <f t="shared" si="285"/>
        <v>5.47789805713193i</v>
      </c>
      <c r="AH512" s="98">
        <f t="shared" si="299"/>
        <v>5.47789805713193</v>
      </c>
      <c r="AI512" s="98">
        <f t="shared" si="300"/>
        <v>1.5707963267948966</v>
      </c>
      <c r="AJ512" s="98" t="str">
        <f t="shared" si="286"/>
        <v>1+54.669586728276i</v>
      </c>
      <c r="AK512" s="98">
        <f t="shared" si="301"/>
        <v>54.678731816314937</v>
      </c>
      <c r="AL512" s="98">
        <f t="shared" si="302"/>
        <v>1.5525066605766467</v>
      </c>
      <c r="AM512" s="98" t="str">
        <f t="shared" si="287"/>
        <v>1+54724.2563150043i</v>
      </c>
      <c r="AN512" s="98">
        <f t="shared" si="303"/>
        <v>54724.25632414101</v>
      </c>
      <c r="AO512" s="98">
        <f t="shared" si="304"/>
        <v>1.5707780533624696</v>
      </c>
      <c r="AP512" s="168" t="str">
        <f t="shared" si="305"/>
        <v>-0.0000332145915959444+0.00181764443144619i</v>
      </c>
      <c r="AQ512" s="98">
        <f t="shared" si="306"/>
        <v>-54.808371448525321</v>
      </c>
      <c r="AR512" s="169">
        <f t="shared" si="307"/>
        <v>91.046873692453431</v>
      </c>
      <c r="AS512" s="168" t="str">
        <f t="shared" si="308"/>
        <v>-7.2262942108773E-07+2.91577578490402E-06i</v>
      </c>
      <c r="AT512" s="190">
        <f t="shared" si="309"/>
        <v>-110.44603718763233</v>
      </c>
      <c r="AU512" s="169">
        <f t="shared" si="310"/>
        <v>103.9194009196971</v>
      </c>
      <c r="AV512" s="225"/>
      <c r="AX512">
        <f t="shared" si="311"/>
        <v>0</v>
      </c>
      <c r="AY512">
        <f t="shared" si="312"/>
        <v>0</v>
      </c>
    </row>
    <row r="513" spans="14:51" x14ac:dyDescent="0.3">
      <c r="N513" s="170">
        <v>95</v>
      </c>
      <c r="O513" s="199">
        <f t="shared" si="313"/>
        <v>891250.93813374708</v>
      </c>
      <c r="P513" s="189" t="str">
        <f t="shared" si="279"/>
        <v>1078.86904761905</v>
      </c>
      <c r="Q513" s="160" t="str">
        <f t="shared" si="280"/>
        <v>1+174996.712484124i</v>
      </c>
      <c r="R513" s="160">
        <f t="shared" si="288"/>
        <v>174996.71248698121</v>
      </c>
      <c r="S513" s="160">
        <f t="shared" si="289"/>
        <v>1.5707906124018329</v>
      </c>
      <c r="T513" s="160" t="str">
        <f t="shared" si="281"/>
        <v>1+0.11199789598984i</v>
      </c>
      <c r="U513" s="160">
        <f t="shared" si="290"/>
        <v>1.0062522192304229</v>
      </c>
      <c r="V513" s="160">
        <f t="shared" si="291"/>
        <v>0.11153310612895212</v>
      </c>
      <c r="W513" s="98" t="str">
        <f t="shared" si="282"/>
        <v>1-81.0013582956916i</v>
      </c>
      <c r="X513" s="160">
        <f t="shared" si="292"/>
        <v>81.00753079650687</v>
      </c>
      <c r="Y513" s="160">
        <f t="shared" si="293"/>
        <v>-1.5584514819413637</v>
      </c>
      <c r="Z513" s="98" t="str">
        <f t="shared" si="283"/>
        <v>-316.731293889714+31.9939322902689i</v>
      </c>
      <c r="AA513" s="160">
        <f t="shared" si="294"/>
        <v>318.34309201307747</v>
      </c>
      <c r="AB513" s="160">
        <f t="shared" si="295"/>
        <v>3.040921275174874</v>
      </c>
      <c r="AC513" s="171" t="str">
        <f t="shared" si="296"/>
        <v>0.00153897915405277+0.000351513847246873i</v>
      </c>
      <c r="AD513" s="190">
        <f t="shared" si="297"/>
        <v>-56.034486819141804</v>
      </c>
      <c r="AE513" s="169">
        <f t="shared" si="298"/>
        <v>12.866056277569209</v>
      </c>
      <c r="AF513" s="98" t="str">
        <f t="shared" si="284"/>
        <v>-9.95024875621891E-06</v>
      </c>
      <c r="AG513" s="98" t="str">
        <f t="shared" si="285"/>
        <v>5.60549469429148i</v>
      </c>
      <c r="AH513" s="98">
        <f t="shared" si="299"/>
        <v>5.6054946942914796</v>
      </c>
      <c r="AI513" s="98">
        <f t="shared" si="300"/>
        <v>1.5707963267948966</v>
      </c>
      <c r="AJ513" s="98" t="str">
        <f t="shared" si="286"/>
        <v>1+55.9430049899299i</v>
      </c>
      <c r="AK513" s="98">
        <f t="shared" si="301"/>
        <v>55.951941943987265</v>
      </c>
      <c r="AL513" s="98">
        <f t="shared" si="302"/>
        <v>1.5529228945152955</v>
      </c>
      <c r="AM513" s="98" t="str">
        <f t="shared" si="287"/>
        <v>1+55998.9479949198i</v>
      </c>
      <c r="AN513" s="98">
        <f t="shared" si="303"/>
        <v>55998.948003848549</v>
      </c>
      <c r="AO513" s="98">
        <f t="shared" si="304"/>
        <v>1.5707784693165743</v>
      </c>
      <c r="AP513" s="168" t="str">
        <f t="shared" si="305"/>
        <v>-0.0000317201662320515+0.00177629650622748i</v>
      </c>
      <c r="AQ513" s="98">
        <f t="shared" si="306"/>
        <v>-55.008306070117492</v>
      </c>
      <c r="AR513" s="169">
        <f t="shared" si="307"/>
        <v>91.023049076893415</v>
      </c>
      <c r="AS513" s="168" t="str">
        <f t="shared" si="308"/>
        <v>-6.73209493349416E-07+2.72253321683332E-06i</v>
      </c>
      <c r="AT513" s="190">
        <f t="shared" si="309"/>
        <v>-111.0427928892593</v>
      </c>
      <c r="AU513" s="169">
        <f t="shared" si="310"/>
        <v>103.88910535446261</v>
      </c>
      <c r="AV513" s="225"/>
      <c r="AX513">
        <f t="shared" si="311"/>
        <v>0</v>
      </c>
      <c r="AY513">
        <f t="shared" si="312"/>
        <v>0</v>
      </c>
    </row>
    <row r="514" spans="14:51" x14ac:dyDescent="0.3">
      <c r="N514" s="170">
        <v>96</v>
      </c>
      <c r="O514" s="199">
        <f t="shared" si="313"/>
        <v>912010.83935591124</v>
      </c>
      <c r="P514" s="189" t="str">
        <f t="shared" si="279"/>
        <v>1078.86904761905</v>
      </c>
      <c r="Q514" s="160" t="str">
        <f t="shared" si="280"/>
        <v>1+179072.909557174i</v>
      </c>
      <c r="R514" s="160">
        <f t="shared" si="288"/>
        <v>179072.90955996618</v>
      </c>
      <c r="S514" s="160">
        <f t="shared" si="289"/>
        <v>1.5707907424772996</v>
      </c>
      <c r="T514" s="160" t="str">
        <f t="shared" si="281"/>
        <v>1+0.114606662116592i</v>
      </c>
      <c r="U514" s="160">
        <f t="shared" si="290"/>
        <v>1.0065459189731518</v>
      </c>
      <c r="V514" s="160">
        <f t="shared" si="291"/>
        <v>0.11410880556841804</v>
      </c>
      <c r="W514" s="98" t="str">
        <f t="shared" si="282"/>
        <v>1-82.8881223092038i</v>
      </c>
      <c r="X514" s="160">
        <f t="shared" si="292"/>
        <v>82.894154317089985</v>
      </c>
      <c r="Y514" s="160">
        <f t="shared" si="293"/>
        <v>-1.5587324573362102</v>
      </c>
      <c r="Z514" s="98" t="str">
        <f t="shared" si="283"/>
        <v>-331.70550844107+32.7391667081371i</v>
      </c>
      <c r="AA514" s="160">
        <f t="shared" si="294"/>
        <v>333.3172623295888</v>
      </c>
      <c r="AB514" s="160">
        <f t="shared" si="295"/>
        <v>3.0432117933185725</v>
      </c>
      <c r="AC514" s="171" t="str">
        <f t="shared" si="296"/>
        <v>0.00147026361172963+0.000335825031024982i</v>
      </c>
      <c r="AD514" s="190">
        <f t="shared" si="297"/>
        <v>-56.431229301337716</v>
      </c>
      <c r="AE514" s="169">
        <f t="shared" si="298"/>
        <v>12.866289805165721</v>
      </c>
      <c r="AF514" s="98" t="str">
        <f t="shared" si="284"/>
        <v>-9.95024875621891E-06</v>
      </c>
      <c r="AG514" s="98" t="str">
        <f t="shared" si="285"/>
        <v>5.73606343893541i</v>
      </c>
      <c r="AH514" s="98">
        <f t="shared" si="299"/>
        <v>5.7360634389354104</v>
      </c>
      <c r="AI514" s="98">
        <f t="shared" si="300"/>
        <v>1.5707963267948966</v>
      </c>
      <c r="AJ514" s="98" t="str">
        <f t="shared" si="286"/>
        <v>1+57.2460849733225i</v>
      </c>
      <c r="AK514" s="98">
        <f t="shared" si="301"/>
        <v>57.254818528861492</v>
      </c>
      <c r="AL514" s="98">
        <f t="shared" si="302"/>
        <v>1.553329659797863</v>
      </c>
      <c r="AM514" s="98" t="str">
        <f t="shared" si="287"/>
        <v>1+57303.3310582958i</v>
      </c>
      <c r="AN514" s="98">
        <f t="shared" si="303"/>
        <v>57303.331067021289</v>
      </c>
      <c r="AO514" s="98">
        <f t="shared" si="304"/>
        <v>1.5707788758024075</v>
      </c>
      <c r="AP514" s="168" t="str">
        <f t="shared" si="305"/>
        <v>-0.0000302929590862673+0.00173588799242663i</v>
      </c>
      <c r="AQ514" s="98">
        <f t="shared" si="306"/>
        <v>-55.20824363330388</v>
      </c>
      <c r="AR514" s="169">
        <f t="shared" si="307"/>
        <v>90.999766432872519</v>
      </c>
      <c r="AS514" s="168" t="str">
        <f t="shared" si="308"/>
        <v>-6.2749327434872E-07+2.54203981537829E-06i</v>
      </c>
      <c r="AT514" s="190">
        <f t="shared" si="309"/>
        <v>-111.6394729346416</v>
      </c>
      <c r="AU514" s="169">
        <f t="shared" si="310"/>
        <v>103.86605623803824</v>
      </c>
      <c r="AV514" s="225"/>
      <c r="AX514">
        <f t="shared" si="311"/>
        <v>0</v>
      </c>
      <c r="AY514">
        <f t="shared" si="312"/>
        <v>0</v>
      </c>
    </row>
    <row r="515" spans="14:51" x14ac:dyDescent="0.3">
      <c r="N515" s="170">
        <v>97</v>
      </c>
      <c r="O515" s="199">
        <f t="shared" si="313"/>
        <v>933254.30079699249</v>
      </c>
      <c r="P515" s="189" t="str">
        <f t="shared" si="279"/>
        <v>1078.86904761905</v>
      </c>
      <c r="Q515" s="160" t="str">
        <f t="shared" si="280"/>
        <v>1+183244.053457182i</v>
      </c>
      <c r="R515" s="160">
        <f t="shared" si="288"/>
        <v>183244.05345991059</v>
      </c>
      <c r="S515" s="160">
        <f t="shared" si="289"/>
        <v>1.5707908695918871</v>
      </c>
      <c r="T515" s="160" t="str">
        <f t="shared" si="281"/>
        <v>1+0.117276194212596i</v>
      </c>
      <c r="U515" s="160">
        <f t="shared" si="290"/>
        <v>1.0068533685343612</v>
      </c>
      <c r="V515" s="160">
        <f t="shared" si="291"/>
        <v>0.11674292722722361</v>
      </c>
      <c r="W515" s="98" t="str">
        <f t="shared" si="282"/>
        <v>1-84.8188347023183i</v>
      </c>
      <c r="X515" s="160">
        <f t="shared" si="292"/>
        <v>84.824729414594628</v>
      </c>
      <c r="Y515" s="160">
        <f t="shared" si="293"/>
        <v>-1.5590070387909256</v>
      </c>
      <c r="Z515" s="98" t="str">
        <f t="shared" si="283"/>
        <v>-347.385435982434+33.5017598655481i</v>
      </c>
      <c r="AA515" s="160">
        <f t="shared" si="294"/>
        <v>348.99714761985462</v>
      </c>
      <c r="AB515" s="160">
        <f t="shared" si="295"/>
        <v>3.0454502429864569</v>
      </c>
      <c r="AC515" s="171" t="str">
        <f t="shared" si="296"/>
        <v>0.00140459250792304+0.000321003773003561i</v>
      </c>
      <c r="AD515" s="190">
        <f t="shared" si="297"/>
        <v>-56.827886472977021</v>
      </c>
      <c r="AE515" s="169">
        <f t="shared" si="298"/>
        <v>12.873220498699885</v>
      </c>
      <c r="AF515" s="98" t="str">
        <f t="shared" si="284"/>
        <v>-9.95024875621891E-06</v>
      </c>
      <c r="AG515" s="98" t="str">
        <f t="shared" si="285"/>
        <v>5.86967352034045i</v>
      </c>
      <c r="AH515" s="98">
        <f t="shared" si="299"/>
        <v>5.8696735203404504</v>
      </c>
      <c r="AI515" s="98">
        <f t="shared" si="300"/>
        <v>1.5707963267948966</v>
      </c>
      <c r="AJ515" s="98" t="str">
        <f t="shared" si="286"/>
        <v>1+58.5795175887095i</v>
      </c>
      <c r="AK515" s="98">
        <f t="shared" si="301"/>
        <v>58.588052373550752</v>
      </c>
      <c r="AL515" s="98">
        <f t="shared" si="302"/>
        <v>1.5537271715579573</v>
      </c>
      <c r="AM515" s="98" t="str">
        <f t="shared" si="287"/>
        <v>1+58638.0971062982i</v>
      </c>
      <c r="AN515" s="98">
        <f t="shared" si="303"/>
        <v>58638.097114825068</v>
      </c>
      <c r="AO515" s="98">
        <f t="shared" si="304"/>
        <v>1.5707792730354935</v>
      </c>
      <c r="AP515" s="168" t="str">
        <f t="shared" si="305"/>
        <v>-0.0000289299485345693+0.00169639762530803i</v>
      </c>
      <c r="AQ515" s="98">
        <f t="shared" si="306"/>
        <v>-55.408184005771872</v>
      </c>
      <c r="AR515" s="169">
        <f t="shared" si="307"/>
        <v>90.977013446491625</v>
      </c>
      <c r="AS515" s="168" t="str">
        <f t="shared" si="308"/>
        <v>-5.85184827204414E-07+0.0000023734607723337i</v>
      </c>
      <c r="AT515" s="190">
        <f t="shared" si="309"/>
        <v>-112.2360704787489</v>
      </c>
      <c r="AU515" s="169">
        <f t="shared" si="310"/>
        <v>103.8502339451915</v>
      </c>
      <c r="AV515" s="225"/>
      <c r="AX515">
        <f t="shared" si="311"/>
        <v>0</v>
      </c>
      <c r="AY515">
        <f t="shared" si="312"/>
        <v>0</v>
      </c>
    </row>
    <row r="516" spans="14:51" x14ac:dyDescent="0.3">
      <c r="N516" s="170">
        <v>98</v>
      </c>
      <c r="O516" s="199">
        <f t="shared" si="313"/>
        <v>954992.58602143743</v>
      </c>
      <c r="P516" s="189" t="str">
        <f t="shared" si="279"/>
        <v>1078.86904761905</v>
      </c>
      <c r="Q516" s="160" t="str">
        <f t="shared" si="280"/>
        <v>1+187512.355779854i</v>
      </c>
      <c r="R516" s="160">
        <f t="shared" si="288"/>
        <v>187512.35578252049</v>
      </c>
      <c r="S516" s="160">
        <f t="shared" si="289"/>
        <v>1.5707909938129934</v>
      </c>
      <c r="T516" s="160" t="str">
        <f t="shared" si="281"/>
        <v>1+0.120007907699107i</v>
      </c>
      <c r="U516" s="160">
        <f t="shared" si="290"/>
        <v>1.0071752071562907</v>
      </c>
      <c r="V516" s="160">
        <f t="shared" si="291"/>
        <v>0.11943672145574931</v>
      </c>
      <c r="W516" s="98" t="str">
        <f t="shared" si="282"/>
        <v>1-86.7945191643019i</v>
      </c>
      <c r="X516" s="160">
        <f t="shared" si="292"/>
        <v>86.800279705553777</v>
      </c>
      <c r="Y516" s="160">
        <f t="shared" si="293"/>
        <v>-1.5592753717265202</v>
      </c>
      <c r="Z516" s="98" t="str">
        <f t="shared" si="283"/>
        <v>-363.804335742365+34.282116099488i</v>
      </c>
      <c r="AA516" s="160">
        <f t="shared" si="294"/>
        <v>365.41600702377866</v>
      </c>
      <c r="AB516" s="160">
        <f t="shared" si="295"/>
        <v>3.0476378046676542</v>
      </c>
      <c r="AC516" s="171" t="str">
        <f t="shared" si="296"/>
        <v>0.00134183305243579+0.000306996544765805i</v>
      </c>
      <c r="AD516" s="190">
        <f t="shared" si="297"/>
        <v>-57.224451460123547</v>
      </c>
      <c r="AE516" s="169">
        <f t="shared" si="298"/>
        <v>12.88684402505497</v>
      </c>
      <c r="AF516" s="98" t="str">
        <f t="shared" si="284"/>
        <v>-9.95024875621891E-06</v>
      </c>
      <c r="AG516" s="98" t="str">
        <f t="shared" si="285"/>
        <v>6.00639578034029i</v>
      </c>
      <c r="AH516" s="98">
        <f t="shared" si="299"/>
        <v>6.0063957803402896</v>
      </c>
      <c r="AI516" s="98">
        <f t="shared" si="300"/>
        <v>1.5707963267948966</v>
      </c>
      <c r="AJ516" s="98" t="str">
        <f t="shared" si="286"/>
        <v>1+59.9440098397136i</v>
      </c>
      <c r="AK516" s="98">
        <f t="shared" si="301"/>
        <v>59.952350376475501</v>
      </c>
      <c r="AL516" s="98">
        <f t="shared" si="302"/>
        <v>1.5541156400587819</v>
      </c>
      <c r="AM516" s="98" t="str">
        <f t="shared" si="287"/>
        <v>1+60003.9538495533i</v>
      </c>
      <c r="AN516" s="98">
        <f t="shared" si="303"/>
        <v>60003.953857886088</v>
      </c>
      <c r="AO516" s="98">
        <f t="shared" si="304"/>
        <v>1.5707796612264506</v>
      </c>
      <c r="AP516" s="168" t="str">
        <f t="shared" si="305"/>
        <v>-0.0000276282486235866+0.00165780461625459i</v>
      </c>
      <c r="AQ516" s="98">
        <f t="shared" si="306"/>
        <v>-55.60812706115663</v>
      </c>
      <c r="AR516" s="169">
        <f t="shared" si="307"/>
        <v>90.954778082624074</v>
      </c>
      <c r="AS516" s="168" t="str">
        <f t="shared" si="308"/>
        <v>-5.46012786271003E-07+2.21601525170567E-06i</v>
      </c>
      <c r="AT516" s="190">
        <f t="shared" si="309"/>
        <v>-112.83257852128017</v>
      </c>
      <c r="AU516" s="169">
        <f t="shared" si="310"/>
        <v>103.84162210767904</v>
      </c>
      <c r="AV516" s="225"/>
      <c r="AX516">
        <f t="shared" si="311"/>
        <v>0</v>
      </c>
      <c r="AY516">
        <f t="shared" si="312"/>
        <v>0</v>
      </c>
    </row>
    <row r="517" spans="14:51" x14ac:dyDescent="0.3">
      <c r="N517" s="170">
        <v>99</v>
      </c>
      <c r="O517" s="199">
        <f t="shared" si="313"/>
        <v>977237.22095581202</v>
      </c>
      <c r="P517" s="189" t="str">
        <f t="shared" si="279"/>
        <v>1078.86904761905</v>
      </c>
      <c r="Q517" s="160" t="str">
        <f t="shared" si="280"/>
        <v>1+191880.07963558i</v>
      </c>
      <c r="R517" s="160">
        <f t="shared" si="288"/>
        <v>191880.07963818579</v>
      </c>
      <c r="S517" s="160">
        <f t="shared" si="289"/>
        <v>1.5707911152064822</v>
      </c>
      <c r="T517" s="160" t="str">
        <f t="shared" si="281"/>
        <v>1+0.122803250966771i</v>
      </c>
      <c r="U517" s="160">
        <f t="shared" si="290"/>
        <v>1.0075121033754422</v>
      </c>
      <c r="V517" s="160">
        <f t="shared" si="291"/>
        <v>0.12219146007445465</v>
      </c>
      <c r="W517" s="98" t="str">
        <f t="shared" si="282"/>
        <v>1-88.8162232292078i</v>
      </c>
      <c r="X517" s="160">
        <f t="shared" si="292"/>
        <v>88.821852652939356</v>
      </c>
      <c r="Y517" s="160">
        <f t="shared" si="293"/>
        <v>-1.5595375982620141</v>
      </c>
      <c r="Z517" s="98" t="str">
        <f t="shared" si="283"/>
        <v>-380.997034408576+35.0806491651613i</v>
      </c>
      <c r="AA517" s="160">
        <f t="shared" si="294"/>
        <v>382.6086671443536</v>
      </c>
      <c r="AB517" s="160">
        <f t="shared" si="295"/>
        <v>3.0497756323021563</v>
      </c>
      <c r="AC517" s="171" t="str">
        <f t="shared" si="296"/>
        <v>0.00128185806119026+0.000293753259674887i</v>
      </c>
      <c r="AD517" s="190">
        <f t="shared" si="297"/>
        <v>-57.620917214800549</v>
      </c>
      <c r="AE517" s="169">
        <f t="shared" si="298"/>
        <v>12.907158991690382</v>
      </c>
      <c r="AF517" s="98" t="str">
        <f t="shared" si="284"/>
        <v>-9.95024875621891E-06</v>
      </c>
      <c r="AG517" s="98" t="str">
        <f t="shared" si="285"/>
        <v>6.14630271088691i</v>
      </c>
      <c r="AH517" s="98">
        <f t="shared" si="299"/>
        <v>6.1463027108869097</v>
      </c>
      <c r="AI517" s="98">
        <f t="shared" si="300"/>
        <v>1.5707963267948966</v>
      </c>
      <c r="AJ517" s="98" t="str">
        <f t="shared" si="286"/>
        <v>1+61.3402851981875i</v>
      </c>
      <c r="AK517" s="98">
        <f t="shared" si="301"/>
        <v>61.348435906671497</v>
      </c>
      <c r="AL517" s="98">
        <f t="shared" si="302"/>
        <v>1.5544952708022262</v>
      </c>
      <c r="AM517" s="98" t="str">
        <f t="shared" si="287"/>
        <v>1+61401.6254833857i</v>
      </c>
      <c r="AN517" s="98">
        <f t="shared" si="303"/>
        <v>61401.625491528808</v>
      </c>
      <c r="AO517" s="98">
        <f t="shared" si="304"/>
        <v>1.5707800405811028</v>
      </c>
      <c r="AP517" s="168" t="str">
        <f t="shared" si="305"/>
        <v>-0.0000263851029929694+0.001620088642458i</v>
      </c>
      <c r="AQ517" s="98">
        <f t="shared" si="306"/>
        <v>-55.80807267877428</v>
      </c>
      <c r="AR517" s="169">
        <f t="shared" si="307"/>
        <v>90.93304857867183</v>
      </c>
      <c r="AS517" s="168" t="str">
        <f t="shared" si="308"/>
        <v>-5.09728276651173E-07+2.06897297616653E-06i</v>
      </c>
      <c r="AT517" s="190">
        <f t="shared" si="309"/>
        <v>-113.42898989357482</v>
      </c>
      <c r="AU517" s="169">
        <f t="shared" si="310"/>
        <v>103.84020757036221</v>
      </c>
      <c r="AV517" s="225"/>
      <c r="AX517">
        <f t="shared" si="311"/>
        <v>0</v>
      </c>
      <c r="AY517">
        <f t="shared" si="312"/>
        <v>0</v>
      </c>
    </row>
    <row r="518" spans="14:51" x14ac:dyDescent="0.3">
      <c r="N518" s="170">
        <v>100</v>
      </c>
      <c r="O518" s="199">
        <f t="shared" si="313"/>
        <v>1000000</v>
      </c>
      <c r="P518" s="189" t="str">
        <f t="shared" si="279"/>
        <v>1078.86904761905</v>
      </c>
      <c r="Q518" s="160" t="str">
        <f t="shared" si="280"/>
        <v>1+196349.540849362i</v>
      </c>
      <c r="R518" s="160">
        <f t="shared" si="288"/>
        <v>196349.5408519085</v>
      </c>
      <c r="S518" s="160">
        <f t="shared" si="289"/>
        <v>1.5707912338367178</v>
      </c>
      <c r="T518" s="160" t="str">
        <f t="shared" si="281"/>
        <v>1+0.125663706143592i</v>
      </c>
      <c r="U518" s="160">
        <f t="shared" si="290"/>
        <v>1.0078647563248468</v>
      </c>
      <c r="V518" s="160">
        <f t="shared" si="291"/>
        <v>0.12500843635595246</v>
      </c>
      <c r="W518" s="98" t="str">
        <f t="shared" si="282"/>
        <v>1-90.8850188312914i</v>
      </c>
      <c r="X518" s="160">
        <f t="shared" si="292"/>
        <v>90.890520121540689</v>
      </c>
      <c r="Y518" s="160">
        <f t="shared" si="293"/>
        <v>-1.5597938572890533</v>
      </c>
      <c r="Z518" s="98" t="str">
        <f t="shared" si="283"/>
        <v>-399.000000000001+35.8977824553693i</v>
      </c>
      <c r="AA518" s="160">
        <f t="shared" si="294"/>
        <v>400.61159591955629</v>
      </c>
      <c r="AB518" s="160">
        <f t="shared" si="295"/>
        <v>3.0518648538629973</v>
      </c>
      <c r="AC518" s="171" t="str">
        <f t="shared" si="296"/>
        <v>0.00122454573625245+0.000281227049533392i</v>
      </c>
      <c r="AD518" s="190">
        <f t="shared" si="297"/>
        <v>-58.017276501969462</v>
      </c>
      <c r="AE518" s="169">
        <f t="shared" si="298"/>
        <v>12.934166907981442</v>
      </c>
      <c r="AF518" s="98" t="str">
        <f t="shared" si="284"/>
        <v>-9.95024875621891E-06</v>
      </c>
      <c r="AG518" s="98" t="str">
        <f t="shared" si="285"/>
        <v>6.28946849248677i</v>
      </c>
      <c r="AH518" s="98">
        <f t="shared" si="299"/>
        <v>6.2894684924867699</v>
      </c>
      <c r="AI518" s="98">
        <f t="shared" si="300"/>
        <v>1.5707963267948966</v>
      </c>
      <c r="AJ518" s="98" t="str">
        <f t="shared" si="286"/>
        <v>1+62.7690839878081i</v>
      </c>
      <c r="AK518" s="98">
        <f t="shared" si="301"/>
        <v>62.777049187330455</v>
      </c>
      <c r="AL518" s="98">
        <f t="shared" si="302"/>
        <v>1.554866264635586</v>
      </c>
      <c r="AM518" s="98" t="str">
        <f t="shared" si="287"/>
        <v>1+62831.8530717959i</v>
      </c>
      <c r="AN518" s="98">
        <f t="shared" si="303"/>
        <v>62831.853079753651</v>
      </c>
      <c r="AO518" s="98">
        <f t="shared" si="304"/>
        <v>1.5707804113005888</v>
      </c>
      <c r="AP518" s="168" t="str">
        <f t="shared" si="305"/>
        <v>-0.0000251978790687863+0.0015832298368086i</v>
      </c>
      <c r="AQ518" s="98">
        <f t="shared" si="306"/>
        <v>-56.008020743366551</v>
      </c>
      <c r="AR518" s="169">
        <f t="shared" si="307"/>
        <v>90.911813438456861</v>
      </c>
      <c r="AS518" s="168" t="str">
        <f t="shared" si="308"/>
        <v>-4.76103011115203E-07+1.93165102098662E-06i</v>
      </c>
      <c r="AT518" s="190">
        <f t="shared" si="309"/>
        <v>-114.02529724533601</v>
      </c>
      <c r="AU518" s="169">
        <f t="shared" si="310"/>
        <v>103.84598034643828</v>
      </c>
      <c r="AV518" s="225"/>
      <c r="AX518">
        <f t="shared" si="311"/>
        <v>0</v>
      </c>
      <c r="AY518">
        <f t="shared" si="312"/>
        <v>0</v>
      </c>
    </row>
    <row r="519" spans="14:51" x14ac:dyDescent="0.3">
      <c r="N519" s="170">
        <v>1</v>
      </c>
      <c r="O519" s="199">
        <f>10^(6+(N519/100))</f>
        <v>1023292.9922807553</v>
      </c>
      <c r="P519" s="189" t="str">
        <f t="shared" si="279"/>
        <v>1078.86904761905</v>
      </c>
      <c r="Q519" s="160" t="str">
        <f t="shared" si="280"/>
        <v>1+200923.109188696i</v>
      </c>
      <c r="R519" s="160">
        <f t="shared" si="288"/>
        <v>200923.10919118451</v>
      </c>
      <c r="S519" s="160">
        <f t="shared" si="289"/>
        <v>1.5707913497665995</v>
      </c>
      <c r="T519" s="160" t="str">
        <f t="shared" si="281"/>
        <v>1+0.128590789880766i</v>
      </c>
      <c r="U519" s="160">
        <f t="shared" si="290"/>
        <v>1.0082338970904319</v>
      </c>
      <c r="V519" s="160">
        <f t="shared" si="291"/>
        <v>0.12788896497305366</v>
      </c>
      <c r="W519" s="98" t="str">
        <f t="shared" si="282"/>
        <v>1-93.002002873365i</v>
      </c>
      <c r="X519" s="160">
        <f t="shared" si="292"/>
        <v>93.007378946282486</v>
      </c>
      <c r="Y519" s="160">
        <f t="shared" si="293"/>
        <v>-1.5600442845448632</v>
      </c>
      <c r="Z519" s="98" t="str">
        <f t="shared" si="283"/>
        <v>-417.851419220362+36.7339492249983i</v>
      </c>
      <c r="AA519" s="160">
        <f t="shared" si="294"/>
        <v>419.46297997574885</v>
      </c>
      <c r="AB519" s="160">
        <f t="shared" si="295"/>
        <v>3.0539065719267291</v>
      </c>
      <c r="AC519" s="171" t="str">
        <f t="shared" si="296"/>
        <v>0.00116977945294346+0.000269374055636089i</v>
      </c>
      <c r="AD519" s="190">
        <f t="shared" si="297"/>
        <v>-58.413521886296635</v>
      </c>
      <c r="AE519" s="169">
        <f t="shared" si="298"/>
        <v>12.967872145374693</v>
      </c>
      <c r="AF519" s="98" t="str">
        <f t="shared" si="284"/>
        <v>-9.95024875621891E-06</v>
      </c>
      <c r="AG519" s="98" t="str">
        <f t="shared" si="285"/>
        <v>6.43596903353232i</v>
      </c>
      <c r="AH519" s="98">
        <f t="shared" si="299"/>
        <v>6.4359690335323201</v>
      </c>
      <c r="AI519" s="98">
        <f t="shared" si="300"/>
        <v>1.5707963267948966</v>
      </c>
      <c r="AJ519" s="98" t="str">
        <f t="shared" si="286"/>
        <v>1+64.2311637766062i</v>
      </c>
      <c r="AK519" s="98">
        <f t="shared" si="301"/>
        <v>64.23894768827715</v>
      </c>
      <c r="AL519" s="98">
        <f t="shared" si="302"/>
        <v>1.5552288178559703</v>
      </c>
      <c r="AM519" s="98" t="str">
        <f t="shared" si="287"/>
        <v>1+64295.3949403828i</v>
      </c>
      <c r="AN519" s="98">
        <f t="shared" si="303"/>
        <v>64295.39494815941</v>
      </c>
      <c r="AO519" s="98">
        <f t="shared" si="304"/>
        <v>1.5707807735814689</v>
      </c>
      <c r="AP519" s="168" t="str">
        <f t="shared" si="305"/>
        <v>-0.0000240640625159755+0.00154720877798248i</v>
      </c>
      <c r="AQ519" s="98">
        <f t="shared" si="306"/>
        <v>-56.207971144857503</v>
      </c>
      <c r="AR519" s="169">
        <f t="shared" si="307"/>
        <v>90.891061426245386</v>
      </c>
      <c r="AS519" s="168" t="str">
        <f t="shared" si="308"/>
        <v>-4.44927549326433E-07+1.80341080378266E-06i</v>
      </c>
      <c r="AT519" s="190">
        <f t="shared" si="309"/>
        <v>-114.62149303115412</v>
      </c>
      <c r="AU519" s="169">
        <f t="shared" si="310"/>
        <v>103.85893357162006</v>
      </c>
      <c r="AV519" s="225"/>
      <c r="AX519">
        <f t="shared" si="311"/>
        <v>0</v>
      </c>
      <c r="AY519">
        <f t="shared" si="312"/>
        <v>0</v>
      </c>
    </row>
    <row r="520" spans="14:51" x14ac:dyDescent="0.3">
      <c r="N520" s="170">
        <v>2</v>
      </c>
      <c r="O520" s="199">
        <f t="shared" ref="O520:O560" si="314">10^(6+(N520/100))</f>
        <v>1047128.5480509007</v>
      </c>
      <c r="P520" s="189" t="str">
        <f t="shared" si="279"/>
        <v>1078.86904761905</v>
      </c>
      <c r="Q520" s="160" t="str">
        <f t="shared" si="280"/>
        <v>1+205603.209620053i</v>
      </c>
      <c r="R520" s="160">
        <f t="shared" si="288"/>
        <v>205603.20962248486</v>
      </c>
      <c r="S520" s="160">
        <f t="shared" si="289"/>
        <v>1.5707914630575948</v>
      </c>
      <c r="T520" s="160" t="str">
        <f t="shared" si="281"/>
        <v>1+0.131586054156834i</v>
      </c>
      <c r="U520" s="160">
        <f t="shared" si="290"/>
        <v>1.008620290123377</v>
      </c>
      <c r="V520" s="160">
        <f t="shared" si="291"/>
        <v>0.13083438191002375</v>
      </c>
      <c r="W520" s="98" t="str">
        <f t="shared" si="282"/>
        <v>1-95.1682978083888i</v>
      </c>
      <c r="X520" s="160">
        <f t="shared" si="292"/>
        <v>95.173551513780239</v>
      </c>
      <c r="Y520" s="160">
        <f t="shared" si="293"/>
        <v>-1.5602890126835753</v>
      </c>
      <c r="Z520" s="98" t="str">
        <f t="shared" si="283"/>
        <v>-437.591278457276+37.5895928207379i</v>
      </c>
      <c r="AA520" s="160">
        <f t="shared" si="294"/>
        <v>439.20280562662867</v>
      </c>
      <c r="AB520" s="160">
        <f t="shared" si="295"/>
        <v>3.0559018642323439</v>
      </c>
      <c r="AC520" s="171" t="str">
        <f t="shared" si="296"/>
        <v>0.00111744755396272+0.000258153233306925i</v>
      </c>
      <c r="AD520" s="190">
        <f t="shared" si="297"/>
        <v>-58.809645718696459</v>
      </c>
      <c r="AE520" s="169">
        <f t="shared" si="298"/>
        <v>13.00828189619055</v>
      </c>
      <c r="AF520" s="98" t="str">
        <f t="shared" si="284"/>
        <v>-9.95024875621891E-06</v>
      </c>
      <c r="AG520" s="98" t="str">
        <f t="shared" si="285"/>
        <v>6.58588201054956i</v>
      </c>
      <c r="AH520" s="98">
        <f t="shared" si="299"/>
        <v>6.5858820105495601</v>
      </c>
      <c r="AI520" s="98">
        <f t="shared" si="300"/>
        <v>1.5707963267948966</v>
      </c>
      <c r="AJ520" s="98" t="str">
        <f t="shared" si="286"/>
        <v>1+65.7272997786385i</v>
      </c>
      <c r="AK520" s="98">
        <f t="shared" si="301"/>
        <v>65.734906527590141</v>
      </c>
      <c r="AL520" s="98">
        <f t="shared" si="302"/>
        <v>1.5555831223124308</v>
      </c>
      <c r="AM520" s="98" t="str">
        <f t="shared" si="287"/>
        <v>1+65793.0270784171i</v>
      </c>
      <c r="AN520" s="98">
        <f t="shared" si="303"/>
        <v>65793.027086016693</v>
      </c>
      <c r="AO520" s="98">
        <f t="shared" si="304"/>
        <v>1.5707811276158297</v>
      </c>
      <c r="AP520" s="168" t="str">
        <f t="shared" si="305"/>
        <v>-0.0000229812519383878+0.00151200648072373i</v>
      </c>
      <c r="AQ520" s="98">
        <f t="shared" si="306"/>
        <v>-56.407923778120292</v>
      </c>
      <c r="AR520" s="169">
        <f t="shared" si="307"/>
        <v>90.870781560902202</v>
      </c>
      <c r="AS520" s="168" t="str">
        <f t="shared" si="308"/>
        <v>-4.16009705545408E-07+1.68365525896718E-06i</v>
      </c>
      <c r="AT520" s="190">
        <f t="shared" si="309"/>
        <v>-115.21756949681674</v>
      </c>
      <c r="AU520" s="169">
        <f t="shared" si="310"/>
        <v>103.87906345709271</v>
      </c>
      <c r="AV520" s="225"/>
      <c r="AX520">
        <f t="shared" si="311"/>
        <v>0</v>
      </c>
      <c r="AY520">
        <f t="shared" si="312"/>
        <v>0</v>
      </c>
    </row>
    <row r="521" spans="14:51" x14ac:dyDescent="0.3">
      <c r="N521" s="170">
        <v>3</v>
      </c>
      <c r="O521" s="199">
        <f t="shared" si="314"/>
        <v>1071519.3052376076</v>
      </c>
      <c r="P521" s="189" t="str">
        <f t="shared" si="279"/>
        <v>1078.86904761905</v>
      </c>
      <c r="Q521" s="160" t="str">
        <f t="shared" si="280"/>
        <v>1+210392.323594632i</v>
      </c>
      <c r="R521" s="160">
        <f t="shared" si="288"/>
        <v>210392.32359700851</v>
      </c>
      <c r="S521" s="160">
        <f t="shared" si="289"/>
        <v>1.5707915737697724</v>
      </c>
      <c r="T521" s="160" t="str">
        <f t="shared" si="281"/>
        <v>1+0.134651087100564i</v>
      </c>
      <c r="U521" s="160">
        <f t="shared" si="290"/>
        <v>1.0090247347103853</v>
      </c>
      <c r="V521" s="160">
        <f t="shared" si="291"/>
        <v>0.13384604433407749</v>
      </c>
      <c r="W521" s="98" t="str">
        <f t="shared" si="282"/>
        <v>1-97.3850522346121i</v>
      </c>
      <c r="X521" s="160">
        <f t="shared" si="292"/>
        <v>97.390186357446325</v>
      </c>
      <c r="Y521" s="160">
        <f t="shared" si="293"/>
        <v>-1.5605281713459629</v>
      </c>
      <c r="Z521" s="98" t="str">
        <f t="shared" si="283"/>
        <v>-458.261448598754+38.465166916148i</v>
      </c>
      <c r="AA521" s="160">
        <f t="shared" si="294"/>
        <v>459.87294368957561</v>
      </c>
      <c r="AB521" s="160">
        <f t="shared" si="295"/>
        <v>3.0578517842288186</v>
      </c>
      <c r="AC521" s="171" t="str">
        <f t="shared" si="296"/>
        <v>0.00106744315042987+0.000247526169066252i</v>
      </c>
      <c r="AD521" s="190">
        <f t="shared" si="297"/>
        <v>-59.20564012263948</v>
      </c>
      <c r="AE521" s="169">
        <f t="shared" si="298"/>
        <v>13.055406130891477</v>
      </c>
      <c r="AF521" s="98" t="str">
        <f t="shared" si="284"/>
        <v>-9.95024875621891E-06</v>
      </c>
      <c r="AG521" s="98" t="str">
        <f t="shared" si="285"/>
        <v>6.73928690938324i</v>
      </c>
      <c r="AH521" s="98">
        <f t="shared" si="299"/>
        <v>6.7392869093832397</v>
      </c>
      <c r="AI521" s="98">
        <f t="shared" si="300"/>
        <v>1.5707963267948966</v>
      </c>
      <c r="AJ521" s="98" t="str">
        <f t="shared" si="286"/>
        <v>1+67.2582852650171i</v>
      </c>
      <c r="AK521" s="98">
        <f t="shared" si="301"/>
        <v>67.265718882581012</v>
      </c>
      <c r="AL521" s="98">
        <f t="shared" si="302"/>
        <v>1.5559293655058644</v>
      </c>
      <c r="AM521" s="98" t="str">
        <f t="shared" si="287"/>
        <v>1+67325.5435502821i</v>
      </c>
      <c r="AN521" s="98">
        <f t="shared" si="303"/>
        <v>67325.543557708705</v>
      </c>
      <c r="AO521" s="98">
        <f t="shared" si="304"/>
        <v>1.5707814735913843</v>
      </c>
      <c r="AP521" s="168" t="str">
        <f t="shared" si="305"/>
        <v>-0.0000219471538154624+0.00147760438631918i</v>
      </c>
      <c r="AQ521" s="98">
        <f t="shared" si="306"/>
        <v>-56.607878542755131</v>
      </c>
      <c r="AR521" s="169">
        <f t="shared" si="307"/>
        <v>90.850963110172415</v>
      </c>
      <c r="AS521" s="168" t="str">
        <f t="shared" si="308"/>
        <v>-3.89173092152823E-07+1.57182618631569E-06i</v>
      </c>
      <c r="AT521" s="190">
        <f t="shared" si="309"/>
        <v>-115.81351866539462</v>
      </c>
      <c r="AU521" s="169">
        <f t="shared" si="310"/>
        <v>103.9063692410639</v>
      </c>
      <c r="AV521" s="225"/>
      <c r="AX521">
        <f t="shared" si="311"/>
        <v>0</v>
      </c>
      <c r="AY521">
        <f t="shared" si="312"/>
        <v>0</v>
      </c>
    </row>
    <row r="522" spans="14:51" x14ac:dyDescent="0.3">
      <c r="N522" s="170">
        <v>4</v>
      </c>
      <c r="O522" s="199">
        <f t="shared" si="314"/>
        <v>1096478.196143186</v>
      </c>
      <c r="P522" s="189" t="str">
        <f t="shared" si="279"/>
        <v>1078.86904761905</v>
      </c>
      <c r="Q522" s="160" t="str">
        <f t="shared" si="280"/>
        <v>1+215292.990364051i</v>
      </c>
      <c r="R522" s="160">
        <f t="shared" si="288"/>
        <v>215292.99036637344</v>
      </c>
      <c r="S522" s="160">
        <f t="shared" si="289"/>
        <v>1.5707916819618331</v>
      </c>
      <c r="T522" s="160" t="str">
        <f t="shared" si="281"/>
        <v>1+0.137787513832993i</v>
      </c>
      <c r="U522" s="160">
        <f t="shared" si="290"/>
        <v>1.0094480665038086</v>
      </c>
      <c r="V522" s="160">
        <f t="shared" si="291"/>
        <v>0.13692533042398056</v>
      </c>
      <c r="W522" s="98" t="str">
        <f t="shared" si="282"/>
        <v>1-99.6534415045738i</v>
      </c>
      <c r="X522" s="160">
        <f t="shared" si="292"/>
        <v>99.658458766456519</v>
      </c>
      <c r="Y522" s="160">
        <f t="shared" si="293"/>
        <v>-1.560761887227619</v>
      </c>
      <c r="Z522" s="98" t="str">
        <f t="shared" si="283"/>
        <v>-479.905773846967+39.3611357522038i</v>
      </c>
      <c r="AA522" s="160">
        <f t="shared" si="294"/>
        <v>481.5172382992738</v>
      </c>
      <c r="AB522" s="160">
        <f t="shared" si="295"/>
        <v>3.05975736161143</v>
      </c>
      <c r="AC522" s="171" t="str">
        <f t="shared" si="296"/>
        <v>0.00101966392973732+0.00023745690962644i</v>
      </c>
      <c r="AD522" s="190">
        <f t="shared" si="297"/>
        <v>-59.601496980214904</v>
      </c>
      <c r="AE522" s="169">
        <f t="shared" si="298"/>
        <v>13.109257553624442</v>
      </c>
      <c r="AF522" s="98" t="str">
        <f t="shared" si="284"/>
        <v>-9.95024875621891E-06</v>
      </c>
      <c r="AG522" s="98" t="str">
        <f t="shared" si="285"/>
        <v>6.89626506734129i</v>
      </c>
      <c r="AH522" s="98">
        <f t="shared" si="299"/>
        <v>6.8962650673412904</v>
      </c>
      <c r="AI522" s="98">
        <f t="shared" si="300"/>
        <v>1.5707963267948966</v>
      </c>
      <c r="AJ522" s="98" t="str">
        <f t="shared" si="286"/>
        <v>1+68.8249319845119i</v>
      </c>
      <c r="AK522" s="98">
        <f t="shared" si="301"/>
        <v>68.832196410347763</v>
      </c>
      <c r="AL522" s="98">
        <f t="shared" si="302"/>
        <v>1.5562677306867314</v>
      </c>
      <c r="AM522" s="98" t="str">
        <f t="shared" si="287"/>
        <v>1+68893.7569164964i</v>
      </c>
      <c r="AN522" s="98">
        <f t="shared" si="303"/>
        <v>68893.756923753943</v>
      </c>
      <c r="AO522" s="98">
        <f t="shared" si="304"/>
        <v>1.5707818116915739</v>
      </c>
      <c r="AP522" s="168" t="str">
        <f t="shared" si="305"/>
        <v>-0.0000209595776650536+0.0014439843532633i</v>
      </c>
      <c r="AQ522" s="98">
        <f t="shared" si="306"/>
        <v>-56.807835342876999</v>
      </c>
      <c r="AR522" s="169">
        <f t="shared" si="307"/>
        <v>90.831595585088479</v>
      </c>
      <c r="AS522" s="168" t="str">
        <f t="shared" si="308"/>
        <v>-3.6425578740242E-07+1.46740176358824E-06i</v>
      </c>
      <c r="AT522" s="190">
        <f t="shared" si="309"/>
        <v>-116.40933232309192</v>
      </c>
      <c r="AU522" s="169">
        <f t="shared" si="310"/>
        <v>103.94085313871291</v>
      </c>
      <c r="AV522" s="225"/>
      <c r="AX522">
        <f t="shared" si="311"/>
        <v>0</v>
      </c>
      <c r="AY522">
        <f t="shared" si="312"/>
        <v>0</v>
      </c>
    </row>
    <row r="523" spans="14:51" x14ac:dyDescent="0.3">
      <c r="N523" s="170">
        <v>5</v>
      </c>
      <c r="O523" s="199">
        <f t="shared" si="314"/>
        <v>1122018.4543019643</v>
      </c>
      <c r="P523" s="189" t="str">
        <f t="shared" si="279"/>
        <v>1078.86904761905</v>
      </c>
      <c r="Q523" s="160" t="str">
        <f t="shared" si="280"/>
        <v>1+220307.808326702i</v>
      </c>
      <c r="R523" s="160">
        <f t="shared" si="288"/>
        <v>220307.80832897156</v>
      </c>
      <c r="S523" s="160">
        <f t="shared" si="289"/>
        <v>1.5707917876911417</v>
      </c>
      <c r="T523" s="160" t="str">
        <f t="shared" si="281"/>
        <v>1+0.140996997329089i</v>
      </c>
      <c r="U523" s="160">
        <f t="shared" si="290"/>
        <v>1.0098911591136042</v>
      </c>
      <c r="V523" s="160">
        <f t="shared" si="291"/>
        <v>0.14007363915247104</v>
      </c>
      <c r="W523" s="98" t="str">
        <f t="shared" si="282"/>
        <v>1-101.97466834829i</v>
      </c>
      <c r="X523" s="160">
        <f t="shared" si="292"/>
        <v>101.97957140890394</v>
      </c>
      <c r="Y523" s="160">
        <f t="shared" si="293"/>
        <v>-1.5609902841456083</v>
      </c>
      <c r="Z523" s="98" t="str">
        <f t="shared" si="283"/>
        <v>-502.570164717668+40.2779743834416i</v>
      </c>
      <c r="AA523" s="160">
        <f t="shared" si="294"/>
        <v>504.18159990699485</v>
      </c>
      <c r="AB523" s="160">
        <f t="shared" si="295"/>
        <v>3.0616196028470162</v>
      </c>
      <c r="AC523" s="171" t="str">
        <f t="shared" si="296"/>
        <v>0.000974011970092668+0.000227911801963194i</v>
      </c>
      <c r="AD523" s="190">
        <f t="shared" si="297"/>
        <v>-59.997207917939939</v>
      </c>
      <c r="AE523" s="169">
        <f t="shared" si="298"/>
        <v>13.169851555839148</v>
      </c>
      <c r="AF523" s="98" t="str">
        <f t="shared" si="284"/>
        <v>-9.95024875621891E-06</v>
      </c>
      <c r="AG523" s="98" t="str">
        <f t="shared" si="285"/>
        <v>7.05689971632091i</v>
      </c>
      <c r="AH523" s="98">
        <f t="shared" si="299"/>
        <v>7.0568997163209097</v>
      </c>
      <c r="AI523" s="98">
        <f t="shared" si="300"/>
        <v>1.5707963267948966</v>
      </c>
      <c r="AJ523" s="98" t="str">
        <f t="shared" si="286"/>
        <v>1+70.4280705939506i</v>
      </c>
      <c r="AK523" s="98">
        <f t="shared" si="301"/>
        <v>70.435169678126627</v>
      </c>
      <c r="AL523" s="98">
        <f t="shared" si="302"/>
        <v>1.5565983969506338</v>
      </c>
      <c r="AM523" s="98" t="str">
        <f t="shared" si="287"/>
        <v>1+70498.4986645445i</v>
      </c>
      <c r="AN523" s="98">
        <f t="shared" si="303"/>
        <v>70498.498671636858</v>
      </c>
      <c r="AO523" s="98">
        <f t="shared" si="304"/>
        <v>1.5707821420956636</v>
      </c>
      <c r="AP523" s="168" t="str">
        <f t="shared" si="305"/>
        <v>-0.0000200164314223821+0.00141112864811074i</v>
      </c>
      <c r="AQ523" s="98">
        <f t="shared" si="306"/>
        <v>-57.007794086912455</v>
      </c>
      <c r="AR523" s="169">
        <f t="shared" si="307"/>
        <v>90.812668734499368</v>
      </c>
      <c r="AS523" s="168" t="str">
        <f t="shared" si="308"/>
        <v>-3.41109116796744E-07+0.0000013698942136462i</v>
      </c>
      <c r="AT523" s="190">
        <f t="shared" si="309"/>
        <v>-117.00500200485237</v>
      </c>
      <c r="AU523" s="169">
        <f t="shared" si="310"/>
        <v>103.9825202903385</v>
      </c>
      <c r="AV523" s="225"/>
      <c r="AX523">
        <f t="shared" si="311"/>
        <v>0</v>
      </c>
      <c r="AY523">
        <f t="shared" si="312"/>
        <v>0</v>
      </c>
    </row>
    <row r="524" spans="14:51" x14ac:dyDescent="0.3">
      <c r="N524" s="170">
        <v>6</v>
      </c>
      <c r="O524" s="199">
        <f t="shared" si="314"/>
        <v>1148153.6214968837</v>
      </c>
      <c r="P524" s="189" t="str">
        <f t="shared" si="279"/>
        <v>1078.86904761905</v>
      </c>
      <c r="Q524" s="160" t="str">
        <f t="shared" si="280"/>
        <v>1+225439.436405445i</v>
      </c>
      <c r="R524" s="160">
        <f t="shared" si="288"/>
        <v>225439.43640766293</v>
      </c>
      <c r="S524" s="160">
        <f t="shared" si="289"/>
        <v>1.5707918910137577</v>
      </c>
      <c r="T524" s="160" t="str">
        <f t="shared" si="281"/>
        <v>1+0.144281239299485i</v>
      </c>
      <c r="U524" s="160">
        <f t="shared" si="290"/>
        <v>1.0103549257631179</v>
      </c>
      <c r="V524" s="160">
        <f t="shared" si="291"/>
        <v>0.14329239001901545</v>
      </c>
      <c r="W524" s="98" t="str">
        <f t="shared" si="282"/>
        <v>1-104.34996351096i</v>
      </c>
      <c r="X524" s="160">
        <f t="shared" si="292"/>
        <v>104.35475496947268</v>
      </c>
      <c r="Y524" s="160">
        <f t="shared" si="293"/>
        <v>-1.5612134831036304</v>
      </c>
      <c r="Z524" s="98" t="str">
        <f t="shared" si="283"/>
        <v>-526.302695422564+41.2161689298395i</v>
      </c>
      <c r="AA524" s="160">
        <f t="shared" si="294"/>
        <v>527.91410266283788</v>
      </c>
      <c r="AB524" s="160">
        <f t="shared" si="295"/>
        <v>3.0634394916883525</v>
      </c>
      <c r="AC524" s="171" t="str">
        <f t="shared" si="296"/>
        <v>0.000930393561619978+0.000218859343756238i</v>
      </c>
      <c r="AD524" s="190">
        <f t="shared" si="297"/>
        <v>-60.392764292306218</v>
      </c>
      <c r="AE524" s="169">
        <f t="shared" si="298"/>
        <v>13.237206167768463</v>
      </c>
      <c r="AF524" s="98" t="str">
        <f t="shared" si="284"/>
        <v>-9.95024875621891E-06</v>
      </c>
      <c r="AG524" s="98" t="str">
        <f t="shared" si="285"/>
        <v>7.22127602693923i</v>
      </c>
      <c r="AH524" s="98">
        <f t="shared" si="299"/>
        <v>7.22127602693923</v>
      </c>
      <c r="AI524" s="98">
        <f t="shared" si="300"/>
        <v>1.5707963267948966</v>
      </c>
      <c r="AJ524" s="98" t="str">
        <f t="shared" si="286"/>
        <v>1+72.0685510986439i</v>
      </c>
      <c r="AK524" s="98">
        <f t="shared" si="301"/>
        <v>72.075488603670564</v>
      </c>
      <c r="AL524" s="98">
        <f t="shared" si="302"/>
        <v>1.5569215393317948</v>
      </c>
      <c r="AM524" s="98" t="str">
        <f t="shared" si="287"/>
        <v>1+72140.6196497425i</v>
      </c>
      <c r="AN524" s="98">
        <f t="shared" si="303"/>
        <v>72140.6196566734</v>
      </c>
      <c r="AO524" s="98">
        <f t="shared" si="304"/>
        <v>1.570782464978838</v>
      </c>
      <c r="AP524" s="168" t="str">
        <f t="shared" si="305"/>
        <v>-0.0000191157170255202+0.00137901993651369i</v>
      </c>
      <c r="AQ524" s="98">
        <f t="shared" si="306"/>
        <v>-57.207754687406414</v>
      </c>
      <c r="AR524" s="169">
        <f t="shared" si="307"/>
        <v>90.794172539720222</v>
      </c>
      <c r="AS524" s="168" t="str">
        <f t="shared" si="308"/>
        <v>-3.19596538378449E-07+1.27884761699429E-06i</v>
      </c>
      <c r="AT524" s="190">
        <f t="shared" si="309"/>
        <v>-117.60051897971265</v>
      </c>
      <c r="AU524" s="169">
        <f t="shared" si="310"/>
        <v>104.03137870748873</v>
      </c>
      <c r="AV524" s="225"/>
      <c r="AX524">
        <f t="shared" si="311"/>
        <v>0</v>
      </c>
      <c r="AY524">
        <f t="shared" si="312"/>
        <v>0</v>
      </c>
    </row>
    <row r="525" spans="14:51" x14ac:dyDescent="0.3">
      <c r="N525" s="170">
        <v>7</v>
      </c>
      <c r="O525" s="199">
        <f t="shared" si="314"/>
        <v>1174897.5549395324</v>
      </c>
      <c r="P525" s="189" t="str">
        <f t="shared" si="279"/>
        <v>1078.86904761905</v>
      </c>
      <c r="Q525" s="160" t="str">
        <f t="shared" si="280"/>
        <v>1+230690.595457415i</v>
      </c>
      <c r="R525" s="160">
        <f t="shared" si="288"/>
        <v>230690.59545958237</v>
      </c>
      <c r="S525" s="160">
        <f t="shared" si="289"/>
        <v>1.5707919919844635</v>
      </c>
      <c r="T525" s="160" t="str">
        <f t="shared" si="281"/>
        <v>1+0.147641981092746i</v>
      </c>
      <c r="U525" s="160">
        <f t="shared" si="290"/>
        <v>1.010840321010688</v>
      </c>
      <c r="V525" s="160">
        <f t="shared" si="291"/>
        <v>0.14658302272922685</v>
      </c>
      <c r="W525" s="98" t="str">
        <f t="shared" si="282"/>
        <v>1-106.780586405518i</v>
      </c>
      <c r="X525" s="160">
        <f t="shared" si="292"/>
        <v>106.78526880195739</v>
      </c>
      <c r="Y525" s="160">
        <f t="shared" si="293"/>
        <v>-1.561431602355722</v>
      </c>
      <c r="Z525" s="98" t="str">
        <f t="shared" si="283"/>
        <v>-551.153705841158+42.1762168345646i</v>
      </c>
      <c r="AA525" s="160">
        <f t="shared" si="294"/>
        <v>552.76508638744349</v>
      </c>
      <c r="AB525" s="160">
        <f t="shared" si="295"/>
        <v>3.0652179896778144</v>
      </c>
      <c r="AC525" s="171" t="str">
        <f t="shared" si="296"/>
        <v>0.00088871903387969+0.000210270043536682i</v>
      </c>
      <c r="AD525" s="190">
        <f t="shared" si="297"/>
        <v>-60.788157175059553</v>
      </c>
      <c r="AE525" s="169">
        <f t="shared" si="298"/>
        <v>13.311342007551939</v>
      </c>
      <c r="AF525" s="98" t="str">
        <f t="shared" si="284"/>
        <v>-9.95024875621891E-06</v>
      </c>
      <c r="AG525" s="98" t="str">
        <f t="shared" si="285"/>
        <v>7.38948115369193i</v>
      </c>
      <c r="AH525" s="98">
        <f t="shared" si="299"/>
        <v>7.3894811536919303</v>
      </c>
      <c r="AI525" s="98">
        <f t="shared" si="300"/>
        <v>1.5707963267948966</v>
      </c>
      <c r="AJ525" s="98" t="str">
        <f t="shared" si="286"/>
        <v>1+73.7472433030698i</v>
      </c>
      <c r="AK525" s="98">
        <f t="shared" si="301"/>
        <v>73.754022905887467</v>
      </c>
      <c r="AL525" s="98">
        <f t="shared" si="302"/>
        <v>1.5572373288944841</v>
      </c>
      <c r="AM525" s="98" t="str">
        <f t="shared" si="287"/>
        <v>1+73820.9905463729i</v>
      </c>
      <c r="AN525" s="98">
        <f t="shared" si="303"/>
        <v>73820.990553146054</v>
      </c>
      <c r="AO525" s="98">
        <f t="shared" si="304"/>
        <v>1.570782780512294</v>
      </c>
      <c r="AP525" s="168" t="str">
        <f t="shared" si="305"/>
        <v>-0.0000182555261982478+0.00134764127444172i</v>
      </c>
      <c r="AQ525" s="98">
        <f t="shared" si="306"/>
        <v>-57.407717060836561</v>
      </c>
      <c r="AR525" s="169">
        <f t="shared" si="307"/>
        <v>90.776097209299166</v>
      </c>
      <c r="AS525" s="168" t="str">
        <f t="shared" si="308"/>
        <v>-2.99592623054562E-07+1.19383586114975E-06i</v>
      </c>
      <c r="AT525" s="190">
        <f t="shared" si="309"/>
        <v>-118.19587423589611</v>
      </c>
      <c r="AU525" s="169">
        <f t="shared" si="310"/>
        <v>104.08743921685108</v>
      </c>
      <c r="AV525" s="225"/>
      <c r="AX525">
        <f t="shared" si="311"/>
        <v>0</v>
      </c>
      <c r="AY525">
        <f t="shared" si="312"/>
        <v>0</v>
      </c>
    </row>
    <row r="526" spans="14:51" x14ac:dyDescent="0.3">
      <c r="N526" s="170">
        <v>8</v>
      </c>
      <c r="O526" s="199">
        <f t="shared" si="314"/>
        <v>1202264.4346174158</v>
      </c>
      <c r="P526" s="189" t="str">
        <f t="shared" si="279"/>
        <v>1078.86904761905</v>
      </c>
      <c r="Q526" s="160" t="str">
        <f t="shared" si="280"/>
        <v>1+236064.069716648i</v>
      </c>
      <c r="R526" s="160">
        <f t="shared" si="288"/>
        <v>236064.06971876606</v>
      </c>
      <c r="S526" s="160">
        <f t="shared" si="289"/>
        <v>1.5707920906567956</v>
      </c>
      <c r="T526" s="160" t="str">
        <f t="shared" si="281"/>
        <v>1+0.151081004618654i</v>
      </c>
      <c r="U526" s="160">
        <f t="shared" si="290"/>
        <v>1.0113483425390986</v>
      </c>
      <c r="V526" s="160">
        <f t="shared" si="291"/>
        <v>0.14994699681709764</v>
      </c>
      <c r="W526" s="98" t="str">
        <f t="shared" si="282"/>
        <v>1-109.267825780396i</v>
      </c>
      <c r="X526" s="160">
        <f t="shared" si="292"/>
        <v>109.27240159699508</v>
      </c>
      <c r="Y526" s="160">
        <f t="shared" si="293"/>
        <v>-1.5616447574685322</v>
      </c>
      <c r="Z526" s="98" t="str">
        <f t="shared" si="283"/>
        <v>-577.175908298375+43.1586271277235i</v>
      </c>
      <c r="AA526" s="160">
        <f t="shared" si="294"/>
        <v>578.78726334950056</v>
      </c>
      <c r="AB526" s="160">
        <f t="shared" si="295"/>
        <v>3.066956036640498</v>
      </c>
      <c r="AC526" s="171" t="str">
        <f t="shared" si="296"/>
        <v>0.000848902589660496+0.000202116289919574i</v>
      </c>
      <c r="AD526" s="190">
        <f t="shared" si="297"/>
        <v>-61.183377338204615</v>
      </c>
      <c r="AE526" s="169">
        <f t="shared" si="298"/>
        <v>13.392282227767174</v>
      </c>
      <c r="AF526" s="98" t="str">
        <f t="shared" si="284"/>
        <v>-9.95024875621891E-06</v>
      </c>
      <c r="AG526" s="98" t="str">
        <f t="shared" si="285"/>
        <v>7.56160428116365i</v>
      </c>
      <c r="AH526" s="98">
        <f t="shared" si="299"/>
        <v>7.5616042811636497</v>
      </c>
      <c r="AI526" s="98">
        <f t="shared" si="300"/>
        <v>1.5707963267948966</v>
      </c>
      <c r="AJ526" s="98" t="str">
        <f t="shared" si="286"/>
        <v>1+75.4650372720551i</v>
      </c>
      <c r="AK526" s="98">
        <f t="shared" si="301"/>
        <v>75.471662565976814</v>
      </c>
      <c r="AL526" s="98">
        <f t="shared" si="302"/>
        <v>1.5575459328224315</v>
      </c>
      <c r="AM526" s="98" t="str">
        <f t="shared" si="287"/>
        <v>1+75540.5023093272i</v>
      </c>
      <c r="AN526" s="98">
        <f t="shared" si="303"/>
        <v>75540.502315946171</v>
      </c>
      <c r="AO526" s="98">
        <f t="shared" si="304"/>
        <v>1.5707830888633318</v>
      </c>
      <c r="AP526" s="168" t="str">
        <f t="shared" si="305"/>
        <v>-0.0000174340364215062+0.00131697609958106i</v>
      </c>
      <c r="AQ526" s="98">
        <f t="shared" si="306"/>
        <v>-57.607681127436877</v>
      </c>
      <c r="AR526" s="169">
        <f t="shared" si="307"/>
        <v>90.758433173899675</v>
      </c>
      <c r="AS526" s="168" t="str">
        <f t="shared" si="308"/>
        <v>-2.80982121826527E-07+0.0000011144607186955i</v>
      </c>
      <c r="AT526" s="190">
        <f t="shared" si="309"/>
        <v>-118.79105846564151</v>
      </c>
      <c r="AU526" s="169">
        <f t="shared" si="310"/>
        <v>104.15071540166689</v>
      </c>
      <c r="AV526" s="225"/>
      <c r="AX526">
        <f t="shared" si="311"/>
        <v>0</v>
      </c>
      <c r="AY526">
        <f t="shared" si="312"/>
        <v>0</v>
      </c>
    </row>
    <row r="527" spans="14:51" x14ac:dyDescent="0.3">
      <c r="N527" s="170">
        <v>9</v>
      </c>
      <c r="O527" s="199">
        <f t="shared" si="314"/>
        <v>1230268.770812382</v>
      </c>
      <c r="P527" s="189" t="str">
        <f t="shared" si="279"/>
        <v>1078.86904761905</v>
      </c>
      <c r="Q527" s="160" t="str">
        <f t="shared" si="280"/>
        <v>1+241562.70827032i</v>
      </c>
      <c r="R527" s="160">
        <f t="shared" si="288"/>
        <v>241562.70827238986</v>
      </c>
      <c r="S527" s="160">
        <f t="shared" si="289"/>
        <v>1.5707921870830712</v>
      </c>
      <c r="T527" s="160" t="str">
        <f t="shared" si="281"/>
        <v>1+0.154600133293005i</v>
      </c>
      <c r="U527" s="160">
        <f t="shared" si="290"/>
        <v>1.01188003301489</v>
      </c>
      <c r="V527" s="160">
        <f t="shared" si="291"/>
        <v>0.15338579120600168</v>
      </c>
      <c r="W527" s="98" t="str">
        <f t="shared" si="282"/>
        <v>1-111.813000402833i</v>
      </c>
      <c r="X527" s="160">
        <f t="shared" si="292"/>
        <v>111.81747206534376</v>
      </c>
      <c r="Y527" s="160">
        <f t="shared" si="293"/>
        <v>-1.5618530613822006</v>
      </c>
      <c r="Z527" s="98" t="str">
        <f t="shared" si="283"/>
        <v>-604.424499374485+44.1639206962574i</v>
      </c>
      <c r="AA527" s="160">
        <f t="shared" si="294"/>
        <v>606.03583007555096</v>
      </c>
      <c r="AB527" s="160">
        <f t="shared" si="295"/>
        <v>3.0686545511669774</v>
      </c>
      <c r="AC527" s="171" t="str">
        <f t="shared" si="296"/>
        <v>0.000810862144890064+0.000194372229338754i</v>
      </c>
      <c r="AD527" s="190">
        <f t="shared" si="297"/>
        <v>-61.578415238735296</v>
      </c>
      <c r="AE527" s="169">
        <f t="shared" si="298"/>
        <v>13.480052459127858</v>
      </c>
      <c r="AF527" s="98" t="str">
        <f t="shared" si="284"/>
        <v>-9.95024875621891E-06</v>
      </c>
      <c r="AG527" s="98" t="str">
        <f t="shared" si="285"/>
        <v>7.7377366713149i</v>
      </c>
      <c r="AH527" s="98">
        <f t="shared" si="299"/>
        <v>7.7377366713148996</v>
      </c>
      <c r="AI527" s="98">
        <f t="shared" si="300"/>
        <v>1.5707963267948966</v>
      </c>
      <c r="AJ527" s="98" t="str">
        <f t="shared" si="286"/>
        <v>1+77.2228438026998i</v>
      </c>
      <c r="AK527" s="98">
        <f t="shared" si="301"/>
        <v>77.229318299310222</v>
      </c>
      <c r="AL527" s="98">
        <f t="shared" si="302"/>
        <v>1.5578475145062667</v>
      </c>
      <c r="AM527" s="98" t="str">
        <f t="shared" si="287"/>
        <v>1+77300.0666465025i</v>
      </c>
      <c r="AN527" s="98">
        <f t="shared" si="303"/>
        <v>77300.066652970811</v>
      </c>
      <c r="AO527" s="98">
        <f t="shared" si="304"/>
        <v>1.5707833901954429</v>
      </c>
      <c r="AP527" s="168" t="str">
        <f t="shared" si="305"/>
        <v>-0.0000166495070850703+0.00128700822291074i</v>
      </c>
      <c r="AQ527" s="98">
        <f t="shared" si="306"/>
        <v>-57.807646811029173</v>
      </c>
      <c r="AR527" s="169">
        <f t="shared" si="307"/>
        <v>90.741171081295676</v>
      </c>
      <c r="AS527" s="168" t="str">
        <f t="shared" si="308"/>
        <v>-2.63659112490831E-07+1.04035004631104E-06i</v>
      </c>
      <c r="AT527" s="190">
        <f t="shared" si="309"/>
        <v>-119.38606204976445</v>
      </c>
      <c r="AU527" s="169">
        <f t="shared" si="310"/>
        <v>104.22122354042348</v>
      </c>
      <c r="AV527" s="225"/>
      <c r="AX527">
        <f t="shared" si="311"/>
        <v>0</v>
      </c>
      <c r="AY527">
        <f t="shared" si="312"/>
        <v>0</v>
      </c>
    </row>
    <row r="528" spans="14:51" x14ac:dyDescent="0.3">
      <c r="N528" s="170">
        <v>10</v>
      </c>
      <c r="O528" s="199">
        <f t="shared" si="314"/>
        <v>1258925.4117941677</v>
      </c>
      <c r="P528" s="189" t="str">
        <f t="shared" si="279"/>
        <v>1078.86904761905</v>
      </c>
      <c r="Q528" s="160" t="str">
        <f t="shared" si="280"/>
        <v>1+247189.426569379i</v>
      </c>
      <c r="R528" s="160">
        <f t="shared" si="288"/>
        <v>247189.42657140174</v>
      </c>
      <c r="S528" s="160">
        <f t="shared" si="289"/>
        <v>1.5707922813144168</v>
      </c>
      <c r="T528" s="160" t="str">
        <f t="shared" si="281"/>
        <v>1+0.158201233004402i</v>
      </c>
      <c r="U528" s="160">
        <f t="shared" si="290"/>
        <v>1.0124364820195453</v>
      </c>
      <c r="V528" s="160">
        <f t="shared" si="291"/>
        <v>0.15690090370420545</v>
      </c>
      <c r="W528" s="98" t="str">
        <f t="shared" si="282"/>
        <v>1-114.417459758104i</v>
      </c>
      <c r="X528" s="160">
        <f t="shared" si="292"/>
        <v>114.42182963708171</v>
      </c>
      <c r="Y528" s="160">
        <f t="shared" si="293"/>
        <v>-1.5620566244698708</v>
      </c>
      <c r="Z528" s="98" t="str">
        <f t="shared" si="283"/>
        <v>-632.957276984447+45.1926305601231i</v>
      </c>
      <c r="AA528" s="160">
        <f t="shared" si="294"/>
        <v>634.56858442922442</v>
      </c>
      <c r="AB528" s="160">
        <f t="shared" si="295"/>
        <v>3.0703144310858717</v>
      </c>
      <c r="AC528" s="171" t="str">
        <f t="shared" si="296"/>
        <v>0.000774519174507973+0.000187013651737657i</v>
      </c>
      <c r="AD528" s="190">
        <f t="shared" si="297"/>
        <v>-61.973261003086328</v>
      </c>
      <c r="AE528" s="169">
        <f t="shared" si="298"/>
        <v>13.574680751090938</v>
      </c>
      <c r="AF528" s="98" t="str">
        <f t="shared" si="284"/>
        <v>-9.95024875621891E-06</v>
      </c>
      <c r="AG528" s="98" t="str">
        <f t="shared" si="285"/>
        <v>7.91797171187035i</v>
      </c>
      <c r="AH528" s="98">
        <f t="shared" si="299"/>
        <v>7.9179717118703499</v>
      </c>
      <c r="AI528" s="98">
        <f t="shared" si="300"/>
        <v>1.5707963267948966</v>
      </c>
      <c r="AJ528" s="98" t="str">
        <f t="shared" si="286"/>
        <v>1+79.0215949072939i</v>
      </c>
      <c r="AK528" s="98">
        <f t="shared" si="301"/>
        <v>79.027922038305292</v>
      </c>
      <c r="AL528" s="98">
        <f t="shared" si="302"/>
        <v>1.5581422336290303</v>
      </c>
      <c r="AM528" s="98" t="str">
        <f t="shared" si="287"/>
        <v>1+79100.6165022012i</v>
      </c>
      <c r="AN528" s="98">
        <f t="shared" si="303"/>
        <v>79100.61650852226</v>
      </c>
      <c r="AO528" s="98">
        <f t="shared" si="304"/>
        <v>1.570783684668398</v>
      </c>
      <c r="AP528" s="168" t="str">
        <f t="shared" si="305"/>
        <v>-0.000015900275811424+0.00125772182045299i</v>
      </c>
      <c r="AQ528" s="98">
        <f t="shared" si="306"/>
        <v>-58.007614038861028</v>
      </c>
      <c r="AR528" s="169">
        <f t="shared" si="307"/>
        <v>90.724301791477046</v>
      </c>
      <c r="AS528" s="168" t="str">
        <f t="shared" si="308"/>
        <v>-2.47526219008961E-07+9.71156097494785E-07i</v>
      </c>
      <c r="AT528" s="190">
        <f t="shared" si="309"/>
        <v>-119.98087504194736</v>
      </c>
      <c r="AU528" s="169">
        <f t="shared" si="310"/>
        <v>104.29898254256798</v>
      </c>
      <c r="AV528" s="225"/>
      <c r="AX528">
        <f t="shared" si="311"/>
        <v>0</v>
      </c>
      <c r="AY528">
        <f t="shared" si="312"/>
        <v>0</v>
      </c>
    </row>
    <row r="529" spans="14:51" x14ac:dyDescent="0.3">
      <c r="N529" s="170">
        <v>11</v>
      </c>
      <c r="O529" s="199">
        <f t="shared" si="314"/>
        <v>1288249.5516931366</v>
      </c>
      <c r="P529" s="189" t="str">
        <f t="shared" si="279"/>
        <v>1078.86904761905</v>
      </c>
      <c r="Q529" s="160" t="str">
        <f t="shared" si="280"/>
        <v>1+252947.207974344i</v>
      </c>
      <c r="R529" s="160">
        <f t="shared" si="288"/>
        <v>252947.2079763207</v>
      </c>
      <c r="S529" s="160">
        <f t="shared" si="289"/>
        <v>1.5707923734007951</v>
      </c>
      <c r="T529" s="160" t="str">
        <f t="shared" si="281"/>
        <v>1+0.16188621310358i</v>
      </c>
      <c r="U529" s="160">
        <f t="shared" si="290"/>
        <v>1.0130188280545518</v>
      </c>
      <c r="V529" s="160">
        <f t="shared" si="291"/>
        <v>0.16049385043046566</v>
      </c>
      <c r="W529" s="98" t="str">
        <f t="shared" si="282"/>
        <v>1-117.082584765033i</v>
      </c>
      <c r="X529" s="160">
        <f t="shared" si="292"/>
        <v>117.08685517709124</v>
      </c>
      <c r="Y529" s="160">
        <f t="shared" si="293"/>
        <v>-1.5622555545958661</v>
      </c>
      <c r="Z529" s="98" t="str">
        <f t="shared" si="283"/>
        <v>-662.834762975027+46.2453021549071i</v>
      </c>
      <c r="AA529" s="160">
        <f t="shared" si="294"/>
        <v>664.44604820824907</v>
      </c>
      <c r="AB529" s="160">
        <f t="shared" si="295"/>
        <v>3.0719365539263963</v>
      </c>
      <c r="AC529" s="171" t="str">
        <f t="shared" si="296"/>
        <v>0.000739798564140538+0.000180017883703937i</v>
      </c>
      <c r="AD529" s="190">
        <f t="shared" si="297"/>
        <v>-62.367904411307535</v>
      </c>
      <c r="AE529" s="169">
        <f t="shared" si="298"/>
        <v>13.676197509108711</v>
      </c>
      <c r="AF529" s="98" t="str">
        <f t="shared" si="284"/>
        <v>-9.95024875621891E-06</v>
      </c>
      <c r="AG529" s="98" t="str">
        <f t="shared" si="285"/>
        <v>8.10240496583419i</v>
      </c>
      <c r="AH529" s="98">
        <f t="shared" si="299"/>
        <v>8.1024049658341895</v>
      </c>
      <c r="AI529" s="98">
        <f t="shared" si="300"/>
        <v>1.5707963267948966</v>
      </c>
      <c r="AJ529" s="98" t="str">
        <f t="shared" si="286"/>
        <v>1+80.8622443074825i</v>
      </c>
      <c r="AK529" s="98">
        <f t="shared" si="301"/>
        <v>80.868427426548777</v>
      </c>
      <c r="AL529" s="98">
        <f t="shared" si="302"/>
        <v>1.5584302462497912</v>
      </c>
      <c r="AM529" s="98" t="str">
        <f t="shared" si="287"/>
        <v>1+80943.10655179i</v>
      </c>
      <c r="AN529" s="98">
        <f t="shared" si="303"/>
        <v>80943.10655796717</v>
      </c>
      <c r="AO529" s="98">
        <f t="shared" si="304"/>
        <v>1.5707839724383301</v>
      </c>
      <c r="AP529" s="168" t="str">
        <f t="shared" si="305"/>
        <v>-0.0000151847549441753+0.00122910142519468i</v>
      </c>
      <c r="AQ529" s="98">
        <f t="shared" si="306"/>
        <v>-58.207582741452669</v>
      </c>
      <c r="AR529" s="169">
        <f t="shared" si="307"/>
        <v>90.707816371863501</v>
      </c>
      <c r="AS529" s="168" t="str">
        <f t="shared" si="308"/>
        <v>-2.32493897325566E-07+0.0000009065539420925i</v>
      </c>
      <c r="AT529" s="190">
        <f t="shared" si="309"/>
        <v>-120.5754871527602</v>
      </c>
      <c r="AU529" s="169">
        <f t="shared" si="310"/>
        <v>104.3840138809722</v>
      </c>
      <c r="AV529" s="225"/>
      <c r="AX529">
        <f t="shared" si="311"/>
        <v>0</v>
      </c>
      <c r="AY529">
        <f t="shared" si="312"/>
        <v>0</v>
      </c>
    </row>
    <row r="530" spans="14:51" x14ac:dyDescent="0.3">
      <c r="N530" s="170">
        <v>12</v>
      </c>
      <c r="O530" s="199">
        <f t="shared" si="314"/>
        <v>1318256.7385564097</v>
      </c>
      <c r="P530" s="189" t="str">
        <f t="shared" si="279"/>
        <v>1078.86904761905</v>
      </c>
      <c r="Q530" s="160" t="str">
        <f t="shared" si="280"/>
        <v>1+258839.105337129i</v>
      </c>
      <c r="R530" s="160">
        <f t="shared" si="288"/>
        <v>258839.10533906071</v>
      </c>
      <c r="S530" s="160">
        <f t="shared" si="289"/>
        <v>1.5707924633910315</v>
      </c>
      <c r="T530" s="160" t="str">
        <f t="shared" si="281"/>
        <v>1+0.165657027415762i</v>
      </c>
      <c r="U530" s="160">
        <f t="shared" si="290"/>
        <v>1.0136282606223184</v>
      </c>
      <c r="V530" s="160">
        <f t="shared" si="291"/>
        <v>0.16416616516504487</v>
      </c>
      <c r="W530" s="98" t="str">
        <f t="shared" si="282"/>
        <v>1-119.809788508176i</v>
      </c>
      <c r="X530" s="160">
        <f t="shared" si="292"/>
        <v>119.81396171721333</v>
      </c>
      <c r="Y530" s="160">
        <f t="shared" si="293"/>
        <v>-1.5624499571725574</v>
      </c>
      <c r="Z530" s="98" t="str">
        <f t="shared" si="283"/>
        <v>-694.120331499755+47.3224936210226i</v>
      </c>
      <c r="AA530" s="160">
        <f t="shared" si="294"/>
        <v>695.73159551930769</v>
      </c>
      <c r="AB530" s="160">
        <f t="shared" si="295"/>
        <v>3.0735217773710795</v>
      </c>
      <c r="AC530" s="171" t="str">
        <f t="shared" si="296"/>
        <v>0.000706628467415234+0.000173363688567978i</v>
      </c>
      <c r="AD530" s="190">
        <f t="shared" si="297"/>
        <v>-62.762334880963337</v>
      </c>
      <c r="AE530" s="169">
        <f t="shared" si="298"/>
        <v>13.784635428246697</v>
      </c>
      <c r="AF530" s="98" t="str">
        <f t="shared" si="284"/>
        <v>-9.95024875621891E-06</v>
      </c>
      <c r="AG530" s="98" t="str">
        <f t="shared" si="285"/>
        <v>8.29113422215891i</v>
      </c>
      <c r="AH530" s="98">
        <f t="shared" si="299"/>
        <v>8.2911342221589095</v>
      </c>
      <c r="AI530" s="98">
        <f t="shared" si="300"/>
        <v>1.5707963267948966</v>
      </c>
      <c r="AJ530" s="98" t="str">
        <f t="shared" si="286"/>
        <v>1+82.7457679399413i</v>
      </c>
      <c r="AK530" s="98">
        <f t="shared" si="301"/>
        <v>82.751810324431062</v>
      </c>
      <c r="AL530" s="98">
        <f t="shared" si="302"/>
        <v>1.5587117048854158</v>
      </c>
      <c r="AM530" s="98" t="str">
        <f t="shared" si="287"/>
        <v>1+82828.5137078812i</v>
      </c>
      <c r="AN530" s="98">
        <f t="shared" si="303"/>
        <v>82828.513713917768</v>
      </c>
      <c r="AO530" s="98">
        <f t="shared" si="304"/>
        <v>1.5707842536578187</v>
      </c>
      <c r="AP530" s="168" t="str">
        <f t="shared" si="305"/>
        <v>-0.0000145014281936874+0.0012011319191775i</v>
      </c>
      <c r="AQ530" s="98">
        <f t="shared" si="306"/>
        <v>-58.407552852449129</v>
      </c>
      <c r="AR530" s="169">
        <f t="shared" si="307"/>
        <v>90.691706092624528</v>
      </c>
      <c r="AS530" s="168" t="str">
        <f t="shared" si="308"/>
        <v>-2.18479781945183E-07+8.46239986130754E-07i</v>
      </c>
      <c r="AT530" s="190">
        <f t="shared" si="309"/>
        <v>-121.16988773341247</v>
      </c>
      <c r="AU530" s="169">
        <f t="shared" si="310"/>
        <v>104.4763415208712</v>
      </c>
      <c r="AV530" s="225"/>
      <c r="AX530">
        <f t="shared" si="311"/>
        <v>0</v>
      </c>
      <c r="AY530">
        <f t="shared" si="312"/>
        <v>0</v>
      </c>
    </row>
    <row r="531" spans="14:51" x14ac:dyDescent="0.3">
      <c r="N531" s="170">
        <v>13</v>
      </c>
      <c r="O531" s="199">
        <f t="shared" si="314"/>
        <v>1348962.8825916562</v>
      </c>
      <c r="P531" s="189" t="str">
        <f t="shared" ref="P531:P560" si="315">COMPLEX(Adc,0)</f>
        <v>1078.86904761905</v>
      </c>
      <c r="Q531" s="160" t="str">
        <f t="shared" ref="Q531:Q560" si="316">IMSUM(COMPLEX(1,0),IMDIV(COMPLEX(0,2*PI()*O531),COMPLEX(wp_lf,0)))</f>
        <v>1+264868.242619703i</v>
      </c>
      <c r="R531" s="160">
        <f t="shared" si="288"/>
        <v>264868.24262159079</v>
      </c>
      <c r="S531" s="160">
        <f t="shared" si="289"/>
        <v>1.57079255133284</v>
      </c>
      <c r="T531" s="160" t="str">
        <f t="shared" ref="T531:T560" si="317">IMSUM(COMPLEX(1,0),IMDIV(COMPLEX(0,2*PI()*O531),COMPLEX(wz_esr,0)))</f>
        <v>1+0.16951567527661i</v>
      </c>
      <c r="U531" s="160">
        <f t="shared" si="290"/>
        <v>1.0142660223848994</v>
      </c>
      <c r="V531" s="160">
        <f t="shared" si="291"/>
        <v>0.16791939862132602</v>
      </c>
      <c r="W531" s="98" t="str">
        <f t="shared" ref="W531:W560" si="318">IMSUB(COMPLEX(1,0),IMDIV(COMPLEX(0,2*PI()*O531),COMPLEX(wz_rhp,0)))</f>
        <v>1-122.600516987056i</v>
      </c>
      <c r="X531" s="160">
        <f t="shared" si="292"/>
        <v>122.60459520545469</v>
      </c>
      <c r="Y531" s="160">
        <f t="shared" si="293"/>
        <v>-1.562639935215955</v>
      </c>
      <c r="Z531" s="98" t="str">
        <f t="shared" ref="Z531:Z560" si="319">IF(Dc_Mode_Loop="CCM",IMSUM(COMPLEX(1,0),IMDIV(COMPLEX(0,2*PI()*O531),COMPLEX(Q*(wsl/2),0)),IMDIV(IMPOWER(COMPLEX(0,2*PI()*O531),2),IMPOWER(COMPLEX(wsl/2,0),2))),COMPLEX(1,0))</f>
        <v>-726.880343443997+48.424776099643i</v>
      </c>
      <c r="AA531" s="160">
        <f t="shared" si="294"/>
        <v>728.49158720301216</v>
      </c>
      <c r="AB531" s="160">
        <f t="shared" si="295"/>
        <v>3.0750709396988123</v>
      </c>
      <c r="AC531" s="171" t="str">
        <f t="shared" si="296"/>
        <v>0.000674940168751105+0.000167031173015638i</v>
      </c>
      <c r="AD531" s="190">
        <f t="shared" si="297"/>
        <v>-63.156541450762774</v>
      </c>
      <c r="AE531" s="169">
        <f t="shared" si="298"/>
        <v>13.900029422877781</v>
      </c>
      <c r="AF531" s="98" t="str">
        <f t="shared" ref="AF531:AF560" si="320">COMPLEX(Adc_ea,0)</f>
        <v>-9.95024875621891E-06</v>
      </c>
      <c r="AG531" s="98" t="str">
        <f t="shared" ref="AG531:AG560" si="321">COMPLEX(0,2*PI()*O531*wp0_ea)</f>
        <v>8.48425954759435i</v>
      </c>
      <c r="AH531" s="98">
        <f t="shared" si="299"/>
        <v>8.4842595475943501</v>
      </c>
      <c r="AI531" s="98">
        <f t="shared" si="300"/>
        <v>1.5707963267948966</v>
      </c>
      <c r="AJ531" s="98" t="str">
        <f t="shared" ref="AJ531:AJ560" si="322">IMSUM(COMPLEX(1,0),IMDIV(COMPLEX(0,2*PI()*O531),COMPLEX(wp1_ea,0)))</f>
        <v>1+84.6731644738313i</v>
      </c>
      <c r="AK531" s="98">
        <f t="shared" si="301"/>
        <v>84.679069326560793</v>
      </c>
      <c r="AL531" s="98">
        <f t="shared" si="302"/>
        <v>1.5589867585905208</v>
      </c>
      <c r="AM531" s="98" t="str">
        <f t="shared" ref="AM531:AM560" si="323">IMSUM(COMPLEX(1,0),IMDIV(COMPLEX(0,2*PI()*O531),COMPLEX(wz_ea,0)))</f>
        <v>1+84757.8376383051i</v>
      </c>
      <c r="AN531" s="98">
        <f t="shared" si="303"/>
        <v>84757.837644204279</v>
      </c>
      <c r="AO531" s="98">
        <f t="shared" si="304"/>
        <v>1.5707845284759705</v>
      </c>
      <c r="AP531" s="168" t="str">
        <f t="shared" si="305"/>
        <v>-0.0000138488474329204+0.00117379852575363i</v>
      </c>
      <c r="AQ531" s="98">
        <f t="shared" si="306"/>
        <v>-58.60752430848035</v>
      </c>
      <c r="AR531" s="169">
        <f t="shared" si="307"/>
        <v>90.675962422102799</v>
      </c>
      <c r="AS531" s="168" t="str">
        <f t="shared" si="308"/>
        <v>-2.05408088064039E-07+7.89930585820318E-07i</v>
      </c>
      <c r="AT531" s="190">
        <f t="shared" si="309"/>
        <v>-121.76406575924312</v>
      </c>
      <c r="AU531" s="169">
        <f t="shared" si="310"/>
        <v>104.57599184498058</v>
      </c>
      <c r="AV531" s="225"/>
      <c r="AX531">
        <f t="shared" si="311"/>
        <v>0</v>
      </c>
      <c r="AY531">
        <f t="shared" si="312"/>
        <v>0</v>
      </c>
    </row>
    <row r="532" spans="14:51" x14ac:dyDescent="0.3">
      <c r="N532" s="170">
        <v>14</v>
      </c>
      <c r="O532" s="199">
        <f t="shared" si="314"/>
        <v>1380384.2646028849</v>
      </c>
      <c r="P532" s="189" t="str">
        <f t="shared" si="315"/>
        <v>1078.86904761905</v>
      </c>
      <c r="Q532" s="160" t="str">
        <f t="shared" si="316"/>
        <v>1+271037.816550461i</v>
      </c>
      <c r="R532" s="160">
        <f t="shared" ref="R532:R560" si="324">IMABS(Q532)</f>
        <v>271037.81655230577</v>
      </c>
      <c r="S532" s="160">
        <f t="shared" ref="S532:S560" si="325">IMARGUMENT(Q532)</f>
        <v>1.5707926372728487</v>
      </c>
      <c r="T532" s="160" t="str">
        <f t="shared" si="317"/>
        <v>1+0.173464202592295i</v>
      </c>
      <c r="U532" s="160">
        <f t="shared" ref="U532:U560" si="326">IMABS(T532)</f>
        <v>1.0149334114024333</v>
      </c>
      <c r="V532" s="160">
        <f t="shared" ref="V532:V560" si="327">IMARGUMENT(T532)</f>
        <v>0.17175511763295595</v>
      </c>
      <c r="W532" s="98" t="str">
        <f t="shared" si="318"/>
        <v>1-125.456249882851i</v>
      </c>
      <c r="X532" s="160">
        <f t="shared" ref="X532:X560" si="328">IMABS(W532)</f>
        <v>125.46023527264865</v>
      </c>
      <c r="Y532" s="160">
        <f t="shared" ref="Y532:Y560" si="329">IMARGUMENT(W532)</f>
        <v>-1.5628255894000476</v>
      </c>
      <c r="Z532" s="98" t="str">
        <f t="shared" si="319"/>
        <v>-761.1842871853+49.5527340355292i</v>
      </c>
      <c r="AA532" s="160">
        <f t="shared" ref="AA532:AA560" si="330">IMABS(Z532)</f>
        <v>762.79551159415541</v>
      </c>
      <c r="AB532" s="160">
        <f t="shared" ref="AB532:AB560" si="331">IMARGUMENT(Z532)</f>
        <v>3.0765848602184147</v>
      </c>
      <c r="AC532" s="171" t="str">
        <f t="shared" ref="AC532:AC560" si="332">(IMDIV(IMPRODUCT(P532,T532,W532),IMPRODUCT(Q532,Z532)))</f>
        <v>0.000644667951461181+0.000161001699794058i</v>
      </c>
      <c r="AD532" s="190">
        <f t="shared" ref="AD532:AD560" si="333">20*LOG(IMABS(AC532))</f>
        <v>-63.55051276392669</v>
      </c>
      <c r="AE532" s="169">
        <f t="shared" ref="AE532:AE560" si="334">(180/PI())*IMARGUMENT(AC532)</f>
        <v>14.022416552153606</v>
      </c>
      <c r="AF532" s="98" t="str">
        <f t="shared" si="320"/>
        <v>-9.95024875621891E-06</v>
      </c>
      <c r="AG532" s="98" t="str">
        <f t="shared" si="321"/>
        <v>8.68188333974436i</v>
      </c>
      <c r="AH532" s="98">
        <f t="shared" ref="AH532:AH560" si="335">IMABS(AG532)</f>
        <v>8.6818833397443598</v>
      </c>
      <c r="AI532" s="98">
        <f t="shared" ref="AI532:AI560" si="336">IMARGUMENT(AG532)</f>
        <v>1.5707963267948966</v>
      </c>
      <c r="AJ532" s="98" t="str">
        <f t="shared" si="322"/>
        <v>1+86.6454558403071i</v>
      </c>
      <c r="AK532" s="98">
        <f t="shared" ref="AK532:AK560" si="337">IMABS(AJ532)</f>
        <v>86.651226291233797</v>
      </c>
      <c r="AL532" s="98">
        <f t="shared" ref="AL532:AL560" si="338">IMARGUMENT(AJ532)</f>
        <v>1.5592555530356536</v>
      </c>
      <c r="AM532" s="98" t="str">
        <f t="shared" si="323"/>
        <v>1+86732.1012961474i</v>
      </c>
      <c r="AN532" s="98">
        <f t="shared" ref="AN532:AN560" si="339">IMABS(AM532)</f>
        <v>86732.101301912291</v>
      </c>
      <c r="AO532" s="98">
        <f t="shared" ref="AO532:AO560" si="340">IMARGUMENT(AM532)</f>
        <v>1.5707847970384972</v>
      </c>
      <c r="AP532" s="168" t="str">
        <f t="shared" ref="AP532:AP560" si="341">IMPRODUCT(AF532,IMDIV(AM532,IMPRODUCT(AG532,AJ532)))</f>
        <v>-0.000013225629636793+0.00114708680200444i</v>
      </c>
      <c r="AQ532" s="98">
        <f t="shared" ref="AQ532:AQ560" si="342">20*LOG(IMABS(AP532))</f>
        <v>-58.807497049026537</v>
      </c>
      <c r="AR532" s="169">
        <f t="shared" ref="AR532:AR560" si="343">(180/PI())*IMARGUMENT(AP532)</f>
        <v>90.660577022339439</v>
      </c>
      <c r="AS532" s="168" t="str">
        <f t="shared" ref="AS532:AS560" si="344">IMPRODUCT(AC532,AP532)</f>
        <v>-1.9320906449878E-07+7.37360749943989E-07i</v>
      </c>
      <c r="AT532" s="190">
        <f t="shared" ref="AT532:AT560" si="345">20*LOG(IMABS(AS532))</f>
        <v>-122.35800981295324</v>
      </c>
      <c r="AU532" s="169">
        <f t="shared" ref="AU532:AU560" si="346">(180/PI())*IMARGUMENT(AS532)</f>
        <v>104.68299357449303</v>
      </c>
      <c r="AV532" s="225"/>
      <c r="AX532">
        <f t="shared" ref="AX532:AX559" si="347">SUM((AT533&lt;0)*(AT532&gt;0))*O532</f>
        <v>0</v>
      </c>
      <c r="AY532">
        <f t="shared" ref="AY532:AY559" si="348">IF(AX532&gt;0,AU532,0)</f>
        <v>0</v>
      </c>
    </row>
    <row r="533" spans="14:51" x14ac:dyDescent="0.3">
      <c r="N533" s="170">
        <v>15</v>
      </c>
      <c r="O533" s="199">
        <f t="shared" si="314"/>
        <v>1412537.5446227565</v>
      </c>
      <c r="P533" s="189" t="str">
        <f t="shared" si="315"/>
        <v>1078.86904761905</v>
      </c>
      <c r="Q533" s="160" t="str">
        <f t="shared" si="316"/>
        <v>1+277351.098319163i</v>
      </c>
      <c r="R533" s="160">
        <f t="shared" si="324"/>
        <v>277351.09832096577</v>
      </c>
      <c r="S533" s="160">
        <f t="shared" si="325"/>
        <v>1.5707927212566237</v>
      </c>
      <c r="T533" s="160" t="str">
        <f t="shared" si="317"/>
        <v>1+0.177504702924265i</v>
      </c>
      <c r="U533" s="160">
        <f t="shared" si="326"/>
        <v>1.0156317834531525</v>
      </c>
      <c r="V533" s="160">
        <f t="shared" si="327"/>
        <v>0.17567490425129303</v>
      </c>
      <c r="W533" s="98" t="str">
        <f t="shared" si="318"/>
        <v>1-128.378501342945i</v>
      </c>
      <c r="X533" s="160">
        <f t="shared" si="328"/>
        <v>128.38239601697938</v>
      </c>
      <c r="Y533" s="160">
        <f t="shared" si="329"/>
        <v>-1.5630070181099196</v>
      </c>
      <c r="Z533" s="98" t="str">
        <f t="shared" si="319"/>
        <v>-797.104925987555+50.7069654869091i</v>
      </c>
      <c r="AA533" s="160">
        <f t="shared" si="330"/>
        <v>798.71613191578649</v>
      </c>
      <c r="AB533" s="160">
        <f t="shared" si="331"/>
        <v>3.0780643396928875</v>
      </c>
      <c r="AC533" s="171" t="str">
        <f t="shared" si="332"/>
        <v>0.00061574897100311+0.000155257806116011i</v>
      </c>
      <c r="AD533" s="190">
        <f t="shared" si="333"/>
        <v>-63.944237051302252</v>
      </c>
      <c r="AE533" s="169">
        <f t="shared" si="334"/>
        <v>14.151835940938621</v>
      </c>
      <c r="AF533" s="98" t="str">
        <f t="shared" si="320"/>
        <v>-9.95024875621891E-06</v>
      </c>
      <c r="AG533" s="98" t="str">
        <f t="shared" si="321"/>
        <v>8.88411038135945i</v>
      </c>
      <c r="AH533" s="98">
        <f t="shared" si="335"/>
        <v>8.8841103813594504</v>
      </c>
      <c r="AI533" s="98">
        <f t="shared" si="336"/>
        <v>1.5707963267948966</v>
      </c>
      <c r="AJ533" s="98" t="str">
        <f t="shared" si="322"/>
        <v>1+88.6636877743579i</v>
      </c>
      <c r="AK533" s="98">
        <f t="shared" si="337"/>
        <v>88.669326882236007</v>
      </c>
      <c r="AL533" s="98">
        <f t="shared" si="338"/>
        <v>1.5595182305837334</v>
      </c>
      <c r="AM533" s="98" t="str">
        <f t="shared" si="323"/>
        <v>1+88752.3514621323i</v>
      </c>
      <c r="AN533" s="98">
        <f t="shared" si="339"/>
        <v>88752.351467765955</v>
      </c>
      <c r="AO533" s="98">
        <f t="shared" si="340"/>
        <v>1.5707850594877946</v>
      </c>
      <c r="AP533" s="168" t="str">
        <f t="shared" si="341"/>
        <v>-0.0000126304539586633+0.00112098263131908i</v>
      </c>
      <c r="AQ533" s="98">
        <f t="shared" si="342"/>
        <v>-59.007471016290594</v>
      </c>
      <c r="AR533" s="169">
        <f t="shared" si="343"/>
        <v>90.645541744698704</v>
      </c>
      <c r="AS533" s="168" t="str">
        <f t="shared" si="344"/>
        <v>-1.81818493061103E-07+6.88282925175211E-07i</v>
      </c>
      <c r="AT533" s="190">
        <f t="shared" si="345"/>
        <v>-122.95170806759285</v>
      </c>
      <c r="AU533" s="169">
        <f t="shared" si="346"/>
        <v>104.79737768563736</v>
      </c>
      <c r="AV533" s="225"/>
      <c r="AX533">
        <f t="shared" si="347"/>
        <v>0</v>
      </c>
      <c r="AY533">
        <f t="shared" si="348"/>
        <v>0</v>
      </c>
    </row>
    <row r="534" spans="14:51" x14ac:dyDescent="0.3">
      <c r="N534" s="170">
        <v>16</v>
      </c>
      <c r="O534" s="199">
        <f t="shared" si="314"/>
        <v>1445439.7707459298</v>
      </c>
      <c r="P534" s="189" t="str">
        <f t="shared" si="315"/>
        <v>1078.86904761905</v>
      </c>
      <c r="Q534" s="160" t="str">
        <f t="shared" si="316"/>
        <v>1+283811.435311371i</v>
      </c>
      <c r="R534" s="160">
        <f t="shared" si="324"/>
        <v>283811.43531313277</v>
      </c>
      <c r="S534" s="160">
        <f t="shared" si="325"/>
        <v>1.5707928033286949</v>
      </c>
      <c r="T534" s="160" t="str">
        <f t="shared" si="317"/>
        <v>1+0.181639318599277i</v>
      </c>
      <c r="U534" s="160">
        <f t="shared" si="326"/>
        <v>1.0163625544367569</v>
      </c>
      <c r="V534" s="160">
        <f t="shared" si="327"/>
        <v>0.17968035474771532</v>
      </c>
      <c r="W534" s="98" t="str">
        <f t="shared" si="318"/>
        <v>1-131.368820783741i</v>
      </c>
      <c r="X534" s="160">
        <f t="shared" si="328"/>
        <v>131.37262680676923</v>
      </c>
      <c r="Y534" s="160">
        <f t="shared" si="329"/>
        <v>-1.5631843174936713</v>
      </c>
      <c r="Z534" s="98" t="str">
        <f t="shared" si="319"/>
        <v>-834.71845234162+51.8880824425762i</v>
      </c>
      <c r="AA534" s="160">
        <f t="shared" si="330"/>
        <v>836.32964061974815</v>
      </c>
      <c r="AB534" s="160">
        <f t="shared" si="331"/>
        <v>3.0795101607545226</v>
      </c>
      <c r="AC534" s="171" t="str">
        <f t="shared" si="332"/>
        <v>0.000588123133214939+0.000149783127393389i</v>
      </c>
      <c r="AD534" s="190">
        <f t="shared" si="333"/>
        <v>-64.337702114239008</v>
      </c>
      <c r="AE534" s="169">
        <f t="shared" si="334"/>
        <v>14.288328695886817</v>
      </c>
      <c r="AF534" s="98" t="str">
        <f t="shared" si="320"/>
        <v>-9.95024875621891E-06</v>
      </c>
      <c r="AG534" s="98" t="str">
        <f t="shared" si="321"/>
        <v>9.09104789589382i</v>
      </c>
      <c r="AH534" s="98">
        <f t="shared" si="335"/>
        <v>9.0910478958938192</v>
      </c>
      <c r="AI534" s="98">
        <f t="shared" si="336"/>
        <v>1.5707963267948966</v>
      </c>
      <c r="AJ534" s="98" t="str">
        <f t="shared" si="322"/>
        <v>1+90.7289303692693i</v>
      </c>
      <c r="AK534" s="98">
        <f t="shared" si="337"/>
        <v>90.734441123267629</v>
      </c>
      <c r="AL534" s="98">
        <f t="shared" si="338"/>
        <v>1.5597749303647928</v>
      </c>
      <c r="AM534" s="98" t="str">
        <f t="shared" si="323"/>
        <v>1+90819.6592996386i</v>
      </c>
      <c r="AN534" s="98">
        <f t="shared" si="339"/>
        <v>90819.659305144</v>
      </c>
      <c r="AO534" s="98">
        <f t="shared" si="340"/>
        <v>1.5707853159630165</v>
      </c>
      <c r="AP534" s="168" t="str">
        <f t="shared" si="341"/>
        <v>-0.0000120620589378135+0.00109547221613051i</v>
      </c>
      <c r="AQ534" s="98">
        <f t="shared" si="342"/>
        <v>-59.207446155075097</v>
      </c>
      <c r="AR534" s="169">
        <f t="shared" si="343"/>
        <v>90.630848625589834</v>
      </c>
      <c r="AS534" s="168" t="str">
        <f t="shared" si="344"/>
        <v>-1.71177230400124E-07+6.42465859190079E-07i</v>
      </c>
      <c r="AT534" s="190">
        <f t="shared" si="345"/>
        <v>-123.5451482693141</v>
      </c>
      <c r="AU534" s="169">
        <f t="shared" si="346"/>
        <v>104.91917732147661</v>
      </c>
      <c r="AV534" s="225"/>
      <c r="AX534">
        <f t="shared" si="347"/>
        <v>0</v>
      </c>
      <c r="AY534">
        <f t="shared" si="348"/>
        <v>0</v>
      </c>
    </row>
    <row r="535" spans="14:51" x14ac:dyDescent="0.3">
      <c r="N535" s="170">
        <v>17</v>
      </c>
      <c r="O535" s="199">
        <f t="shared" si="314"/>
        <v>1479108.3881682095</v>
      </c>
      <c r="P535" s="189" t="str">
        <f t="shared" si="315"/>
        <v>1078.86904761905</v>
      </c>
      <c r="Q535" s="160" t="str">
        <f t="shared" si="316"/>
        <v>1+290422.252883268i</v>
      </c>
      <c r="R535" s="160">
        <f t="shared" si="324"/>
        <v>290422.25288498966</v>
      </c>
      <c r="S535" s="160">
        <f t="shared" si="325"/>
        <v>1.5707928835325775</v>
      </c>
      <c r="T535" s="160" t="str">
        <f t="shared" si="317"/>
        <v>1+0.185870241845291i</v>
      </c>
      <c r="U535" s="160">
        <f t="shared" si="326"/>
        <v>1.0171272028628606</v>
      </c>
      <c r="V535" s="160">
        <f t="shared" si="327"/>
        <v>0.18377307851517716</v>
      </c>
      <c r="W535" s="98" t="str">
        <f t="shared" si="318"/>
        <v>1-134.428793712189i</v>
      </c>
      <c r="X535" s="160">
        <f t="shared" si="328"/>
        <v>134.43251310198087</v>
      </c>
      <c r="Y535" s="160">
        <f t="shared" si="329"/>
        <v>-1.5633575815131693</v>
      </c>
      <c r="Z535" s="98" t="str">
        <f t="shared" si="319"/>
        <v>-874.104649579824+53.0967111463742i</v>
      </c>
      <c r="AA535" s="160">
        <f t="shared" si="330"/>
        <v>875.71582100109867</v>
      </c>
      <c r="AB535" s="160">
        <f t="shared" si="331"/>
        <v>3.0809230883110494</v>
      </c>
      <c r="AC535" s="171" t="str">
        <f t="shared" si="332"/>
        <v>0.000561732977374602+0.000144562325953966i</v>
      </c>
      <c r="AD535" s="190">
        <f t="shared" si="333"/>
        <v>-64.730895307240999</v>
      </c>
      <c r="AE535" s="169">
        <f t="shared" si="334"/>
        <v>14.431937816325849</v>
      </c>
      <c r="AF535" s="98" t="str">
        <f t="shared" si="320"/>
        <v>-9.95024875621891E-06</v>
      </c>
      <c r="AG535" s="98" t="str">
        <f t="shared" si="321"/>
        <v>9.30280560435684i</v>
      </c>
      <c r="AH535" s="98">
        <f t="shared" si="335"/>
        <v>9.3028056043568395</v>
      </c>
      <c r="AI535" s="98">
        <f t="shared" si="336"/>
        <v>1.5707963267948966</v>
      </c>
      <c r="AJ535" s="98" t="str">
        <f t="shared" si="322"/>
        <v>1+92.8422786440017i</v>
      </c>
      <c r="AK535" s="98">
        <f t="shared" si="337"/>
        <v>92.847663965284852</v>
      </c>
      <c r="AL535" s="98">
        <f t="shared" si="338"/>
        <v>1.5600257883490545</v>
      </c>
      <c r="AM535" s="98" t="str">
        <f t="shared" si="323"/>
        <v>1+92935.1209226457i</v>
      </c>
      <c r="AN535" s="98">
        <f t="shared" si="339"/>
        <v>92935.120928025804</v>
      </c>
      <c r="AO535" s="98">
        <f t="shared" si="340"/>
        <v>1.5707855666001496</v>
      </c>
      <c r="AP535" s="168" t="str">
        <f t="shared" si="341"/>
        <v>-0.0000115192398320938+0.0010705420708058i</v>
      </c>
      <c r="AQ535" s="98">
        <f t="shared" si="342"/>
        <v>-59.407422412665881</v>
      </c>
      <c r="AR535" s="169">
        <f t="shared" si="343"/>
        <v>90.616489882284412</v>
      </c>
      <c r="AS535" s="168" t="str">
        <f t="shared" si="344"/>
        <v>-1.61230788675236E-07+5.99693536735165E-07i</v>
      </c>
      <c r="AT535" s="190">
        <f t="shared" si="345"/>
        <v>-124.13831771990688</v>
      </c>
      <c r="AU535" s="169">
        <f t="shared" si="346"/>
        <v>105.04842769861027</v>
      </c>
      <c r="AV535" s="225"/>
      <c r="AX535">
        <f t="shared" si="347"/>
        <v>0</v>
      </c>
      <c r="AY535">
        <f t="shared" si="348"/>
        <v>0</v>
      </c>
    </row>
    <row r="536" spans="14:51" x14ac:dyDescent="0.3">
      <c r="N536" s="170">
        <v>18</v>
      </c>
      <c r="O536" s="199">
        <f t="shared" si="314"/>
        <v>1513561.2484362102</v>
      </c>
      <c r="P536" s="189" t="str">
        <f t="shared" si="315"/>
        <v>1078.86904761905</v>
      </c>
      <c r="Q536" s="160" t="str">
        <f t="shared" si="316"/>
        <v>1+297187.056177837i</v>
      </c>
      <c r="R536" s="160">
        <f t="shared" si="324"/>
        <v>297187.05617951945</v>
      </c>
      <c r="S536" s="160">
        <f t="shared" si="325"/>
        <v>1.5707929619107968</v>
      </c>
      <c r="T536" s="160" t="str">
        <f t="shared" si="317"/>
        <v>1+0.190199715953816i</v>
      </c>
      <c r="U536" s="160">
        <f t="shared" si="326"/>
        <v>1.0179272724261357</v>
      </c>
      <c r="V536" s="160">
        <f t="shared" si="327"/>
        <v>0.18795469686320435</v>
      </c>
      <c r="W536" s="98" t="str">
        <f t="shared" si="318"/>
        <v>1-137.560042566438i</v>
      </c>
      <c r="X536" s="160">
        <f t="shared" si="328"/>
        <v>137.56367729484492</v>
      </c>
      <c r="Y536" s="160">
        <f t="shared" si="329"/>
        <v>-1.5635269019936551</v>
      </c>
      <c r="Z536" s="98" t="str">
        <f t="shared" si="319"/>
        <v>-915.347061107114+54.3334924292401i</v>
      </c>
      <c r="AA536" s="160">
        <f t="shared" si="330"/>
        <v>916.95821642918327</v>
      </c>
      <c r="AB536" s="160">
        <f t="shared" si="331"/>
        <v>3.0823038699429812</v>
      </c>
      <c r="AC536" s="171" t="str">
        <f t="shared" si="332"/>
        <v>0.000536523563923165+0.000139581024417612i</v>
      </c>
      <c r="AD536" s="190">
        <f t="shared" si="333"/>
        <v>-65.123803520416942</v>
      </c>
      <c r="AE536" s="169">
        <f t="shared" si="334"/>
        <v>14.582708099605371</v>
      </c>
      <c r="AF536" s="98" t="str">
        <f t="shared" si="320"/>
        <v>-9.95024875621891E-06</v>
      </c>
      <c r="AG536" s="98" t="str">
        <f t="shared" si="321"/>
        <v>9.51949578348848i</v>
      </c>
      <c r="AH536" s="98">
        <f t="shared" si="335"/>
        <v>9.5194957834884804</v>
      </c>
      <c r="AI536" s="98">
        <f t="shared" si="336"/>
        <v>1.5707963267948966</v>
      </c>
      <c r="AJ536" s="98" t="str">
        <f t="shared" si="322"/>
        <v>1+95.0048531237841i</v>
      </c>
      <c r="AK536" s="98">
        <f t="shared" si="337"/>
        <v>95.010115867058005</v>
      </c>
      <c r="AL536" s="98">
        <f t="shared" si="338"/>
        <v>1.5602709374183783</v>
      </c>
      <c r="AM536" s="98" t="str">
        <f t="shared" si="323"/>
        <v>1+95099.8579769079i</v>
      </c>
      <c r="AN536" s="98">
        <f t="shared" si="339"/>
        <v>95099.857982165515</v>
      </c>
      <c r="AO536" s="98">
        <f t="shared" si="340"/>
        <v>1.5707858115320852</v>
      </c>
      <c r="AP536" s="168" t="str">
        <f t="shared" si="341"/>
        <v>-0.0000110008460701361+0.00104617901468824i</v>
      </c>
      <c r="AQ536" s="98">
        <f t="shared" si="342"/>
        <v>-59.607399738719778</v>
      </c>
      <c r="AR536" s="169">
        <f t="shared" si="343"/>
        <v>90.60245790882675</v>
      </c>
      <c r="AS536" s="168" t="str">
        <f t="shared" si="344"/>
        <v>-1.51928951734112E-07+5.5976418409823E-07i</v>
      </c>
      <c r="AT536" s="190">
        <f t="shared" si="345"/>
        <v>-124.73120325913672</v>
      </c>
      <c r="AU536" s="169">
        <f t="shared" si="346"/>
        <v>105.18516600843212</v>
      </c>
      <c r="AV536" s="225"/>
      <c r="AX536">
        <f t="shared" si="347"/>
        <v>0</v>
      </c>
      <c r="AY536">
        <f t="shared" si="348"/>
        <v>0</v>
      </c>
    </row>
    <row r="537" spans="14:51" x14ac:dyDescent="0.3">
      <c r="N537" s="170">
        <v>19</v>
      </c>
      <c r="O537" s="199">
        <f t="shared" si="314"/>
        <v>1548816.6189124861</v>
      </c>
      <c r="P537" s="189" t="str">
        <f t="shared" si="315"/>
        <v>1078.86904761905</v>
      </c>
      <c r="Q537" s="160" t="str">
        <f t="shared" si="316"/>
        <v>1+304109.431983328i</v>
      </c>
      <c r="R537" s="160">
        <f t="shared" si="324"/>
        <v>304109.43198497215</v>
      </c>
      <c r="S537" s="160">
        <f t="shared" si="325"/>
        <v>1.57079303850491</v>
      </c>
      <c r="T537" s="160" t="str">
        <f t="shared" si="317"/>
        <v>1+0.19463003646933i</v>
      </c>
      <c r="U537" s="160">
        <f t="shared" si="326"/>
        <v>1.0187643746696546</v>
      </c>
      <c r="V537" s="160">
        <f t="shared" si="327"/>
        <v>0.19222684170036772</v>
      </c>
      <c r="W537" s="98" t="str">
        <f t="shared" si="318"/>
        <v>1-140.764227576078i</v>
      </c>
      <c r="X537" s="160">
        <f t="shared" si="328"/>
        <v>140.76777957007735</v>
      </c>
      <c r="Y537" s="160">
        <f t="shared" si="329"/>
        <v>-1.5636923686722317</v>
      </c>
      <c r="Z537" s="98" t="str">
        <f t="shared" si="319"/>
        <v>-958.533167607804+55.5990820489809i</v>
      </c>
      <c r="AA537" s="160">
        <f t="shared" si="330"/>
        <v>960.14430755430715</v>
      </c>
      <c r="AB537" s="160">
        <f t="shared" si="331"/>
        <v>3.083653236292335</v>
      </c>
      <c r="AC537" s="171" t="str">
        <f t="shared" si="332"/>
        <v>0.000512442366694442+0.000134825743428934i</v>
      </c>
      <c r="AD537" s="190">
        <f t="shared" si="333"/>
        <v>-65.516413161749313</v>
      </c>
      <c r="AE537" s="169">
        <f t="shared" si="334"/>
        <v>14.740686040556476</v>
      </c>
      <c r="AF537" s="98" t="str">
        <f t="shared" si="320"/>
        <v>-9.95024875621891E-06</v>
      </c>
      <c r="AG537" s="98" t="str">
        <f t="shared" si="321"/>
        <v>9.74123332528996i</v>
      </c>
      <c r="AH537" s="98">
        <f t="shared" si="335"/>
        <v>9.7412333252899597</v>
      </c>
      <c r="AI537" s="98">
        <f t="shared" si="336"/>
        <v>1.5707963267948966</v>
      </c>
      <c r="AJ537" s="98" t="str">
        <f t="shared" si="322"/>
        <v>1+97.2178004342308i</v>
      </c>
      <c r="AK537" s="98">
        <f t="shared" si="337"/>
        <v>97.22294338925316</v>
      </c>
      <c r="AL537" s="98">
        <f t="shared" si="338"/>
        <v>1.5605105074361145</v>
      </c>
      <c r="AM537" s="98" t="str">
        <f t="shared" si="323"/>
        <v>1+97315.018234665i</v>
      </c>
      <c r="AN537" s="98">
        <f t="shared" si="339"/>
        <v>97315.018239802943</v>
      </c>
      <c r="AO537" s="98">
        <f t="shared" si="340"/>
        <v>1.5707860508886891</v>
      </c>
      <c r="AP537" s="168" t="str">
        <f t="shared" si="341"/>
        <v>-0.0000105057788178022+0.00102237016528814i</v>
      </c>
      <c r="AQ537" s="98">
        <f t="shared" si="342"/>
        <v>-59.807378085158909</v>
      </c>
      <c r="AR537" s="169">
        <f t="shared" si="343"/>
        <v>90.588745272035808</v>
      </c>
      <c r="AS537" s="168" t="str">
        <f t="shared" si="344"/>
        <v>-1.43225423755899E-07+5.22489337698632E-07i</v>
      </c>
      <c r="AT537" s="190">
        <f t="shared" si="345"/>
        <v>-125.32379124690821</v>
      </c>
      <c r="AU537" s="169">
        <f t="shared" si="346"/>
        <v>105.32943131259233</v>
      </c>
      <c r="AV537" s="225"/>
      <c r="AX537">
        <f t="shared" si="347"/>
        <v>0</v>
      </c>
      <c r="AY537">
        <f t="shared" si="348"/>
        <v>0</v>
      </c>
    </row>
    <row r="538" spans="14:51" x14ac:dyDescent="0.3">
      <c r="N538" s="170">
        <v>20</v>
      </c>
      <c r="O538" s="199">
        <f t="shared" si="314"/>
        <v>1584893.1924611153</v>
      </c>
      <c r="P538" s="189" t="str">
        <f t="shared" si="315"/>
        <v>1078.86904761905</v>
      </c>
      <c r="Q538" s="160" t="str">
        <f t="shared" si="316"/>
        <v>1+311193.05063502i</v>
      </c>
      <c r="R538" s="160">
        <f t="shared" si="324"/>
        <v>311193.05063662672</v>
      </c>
      <c r="S538" s="160">
        <f t="shared" si="325"/>
        <v>1.5707931133555284</v>
      </c>
      <c r="T538" s="160" t="str">
        <f t="shared" si="317"/>
        <v>1+0.199163552406413i</v>
      </c>
      <c r="U538" s="160">
        <f t="shared" si="326"/>
        <v>1.0196401917378217</v>
      </c>
      <c r="V538" s="160">
        <f t="shared" si="327"/>
        <v>0.19659115409812589</v>
      </c>
      <c r="W538" s="98" t="str">
        <f t="shared" si="318"/>
        <v>1-144.043047642414i</v>
      </c>
      <c r="X538" s="160">
        <f t="shared" si="328"/>
        <v>144.04651878512979</v>
      </c>
      <c r="Y538" s="160">
        <f t="shared" si="329"/>
        <v>-1.5638540692452585</v>
      </c>
      <c r="Z538" s="98" t="str">
        <f t="shared" si="319"/>
        <v>-1003.75457260384+56.8941510379648i</v>
      </c>
      <c r="AA538" s="160">
        <f t="shared" si="330"/>
        <v>1005.3656978659299</v>
      </c>
      <c r="AB538" s="160">
        <f t="shared" si="331"/>
        <v>3.0849719014428918</v>
      </c>
      <c r="AC538" s="171" t="str">
        <f t="shared" si="332"/>
        <v>0.000489439169495759+0.000130283843462679i</v>
      </c>
      <c r="AD538" s="190">
        <f t="shared" si="333"/>
        <v>-65.908710139212687</v>
      </c>
      <c r="AE538" s="169">
        <f t="shared" si="334"/>
        <v>14.905919724702908</v>
      </c>
      <c r="AF538" s="98" t="str">
        <f t="shared" si="320"/>
        <v>-9.95024875621891E-06</v>
      </c>
      <c r="AG538" s="98" t="str">
        <f t="shared" si="321"/>
        <v>9.96813579794095i</v>
      </c>
      <c r="AH538" s="98">
        <f t="shared" si="335"/>
        <v>9.9681357979409508</v>
      </c>
      <c r="AI538" s="98">
        <f t="shared" si="336"/>
        <v>1.5707963267948966</v>
      </c>
      <c r="AJ538" s="98" t="str">
        <f t="shared" si="322"/>
        <v>1+99.482293909297i</v>
      </c>
      <c r="AK538" s="98">
        <f t="shared" si="337"/>
        <v>99.487319802353468</v>
      </c>
      <c r="AL538" s="98">
        <f t="shared" si="338"/>
        <v>1.5607446253153954</v>
      </c>
      <c r="AM538" s="98" t="str">
        <f t="shared" si="323"/>
        <v>1+99581.7762032063i</v>
      </c>
      <c r="AN538" s="98">
        <f t="shared" si="339"/>
        <v>99581.776208227311</v>
      </c>
      <c r="AO538" s="98">
        <f t="shared" si="340"/>
        <v>1.5707862847968714</v>
      </c>
      <c r="AP538" s="168" t="str">
        <f t="shared" si="341"/>
        <v>-0.0000100329886537592+0.000999102931619961i</v>
      </c>
      <c r="AQ538" s="98">
        <f t="shared" si="342"/>
        <v>-60.007357406068074</v>
      </c>
      <c r="AR538" s="169">
        <f t="shared" si="343"/>
        <v>90.575344707596116</v>
      </c>
      <c r="AS538" s="168" t="str">
        <f t="shared" si="344"/>
        <v>-1.35077507580535E-07+4.87692972769623E-07i</v>
      </c>
      <c r="AT538" s="190">
        <f t="shared" si="345"/>
        <v>-125.91606754528075</v>
      </c>
      <c r="AU538" s="169">
        <f t="shared" si="346"/>
        <v>105.48126443229901</v>
      </c>
      <c r="AV538" s="225"/>
      <c r="AX538">
        <f t="shared" si="347"/>
        <v>0</v>
      </c>
      <c r="AY538">
        <f t="shared" si="348"/>
        <v>0</v>
      </c>
    </row>
    <row r="539" spans="14:51" x14ac:dyDescent="0.3">
      <c r="N539" s="170">
        <v>21</v>
      </c>
      <c r="O539" s="199">
        <f t="shared" si="314"/>
        <v>1621810.0973589318</v>
      </c>
      <c r="P539" s="189" t="str">
        <f t="shared" si="315"/>
        <v>1078.86904761905</v>
      </c>
      <c r="Q539" s="160" t="str">
        <f t="shared" si="316"/>
        <v>1+318441.667961284i</v>
      </c>
      <c r="R539" s="160">
        <f t="shared" si="324"/>
        <v>318441.66796285415</v>
      </c>
      <c r="S539" s="160">
        <f t="shared" si="325"/>
        <v>1.5707931865023388</v>
      </c>
      <c r="T539" s="160" t="str">
        <f t="shared" si="317"/>
        <v>1+0.203802667495222i</v>
      </c>
      <c r="U539" s="160">
        <f t="shared" si="326"/>
        <v>1.0205564792201205</v>
      </c>
      <c r="V539" s="160">
        <f t="shared" si="327"/>
        <v>0.20104928272976733</v>
      </c>
      <c r="W539" s="98" t="str">
        <f t="shared" si="318"/>
        <v>1-147.398241239244i</v>
      </c>
      <c r="X539" s="160">
        <f t="shared" si="328"/>
        <v>147.40163337094461</v>
      </c>
      <c r="Y539" s="160">
        <f t="shared" si="329"/>
        <v>-1.5640120894146765</v>
      </c>
      <c r="Z539" s="98" t="str">
        <f t="shared" si="319"/>
        <v>-1051.10719675815+58.2193860589119i</v>
      </c>
      <c r="AA539" s="160">
        <f t="shared" si="330"/>
        <v>1052.7183079959486</v>
      </c>
      <c r="AB539" s="160">
        <f t="shared" si="331"/>
        <v>3.0862605632921629</v>
      </c>
      <c r="AC539" s="171" t="str">
        <f t="shared" si="332"/>
        <v>0.000467465966887792+0.000125943470436474i</v>
      </c>
      <c r="AD539" s="190">
        <f t="shared" si="333"/>
        <v>-66.300679842771416</v>
      </c>
      <c r="AE539" s="169">
        <f t="shared" si="334"/>
        <v>15.078458714850607</v>
      </c>
      <c r="AF539" s="98" t="str">
        <f t="shared" si="320"/>
        <v>-9.95024875621891E-06</v>
      </c>
      <c r="AG539" s="98" t="str">
        <f t="shared" si="321"/>
        <v>10.2003235081359i</v>
      </c>
      <c r="AH539" s="98">
        <f t="shared" si="335"/>
        <v>10.2003235081359</v>
      </c>
      <c r="AI539" s="98">
        <f t="shared" si="336"/>
        <v>1.5707963267948966</v>
      </c>
      <c r="AJ539" s="98" t="str">
        <f t="shared" si="322"/>
        <v>1+101.799534213398i</v>
      </c>
      <c r="AK539" s="98">
        <f t="shared" si="337"/>
        <v>101.80444570874491</v>
      </c>
      <c r="AL539" s="98">
        <f t="shared" si="338"/>
        <v>1.5609734150859023</v>
      </c>
      <c r="AM539" s="98" t="str">
        <f t="shared" si="323"/>
        <v>1+101901.333747611i</v>
      </c>
      <c r="AN539" s="98">
        <f t="shared" si="339"/>
        <v>101901.33375251772</v>
      </c>
      <c r="AO539" s="98">
        <f t="shared" si="340"/>
        <v>1.5707865133806538</v>
      </c>
      <c r="AP539" s="168" t="str">
        <f t="shared" si="341"/>
        <v>-9.58147334930844E-06+0.000976365007682719i</v>
      </c>
      <c r="AQ539" s="98">
        <f t="shared" si="342"/>
        <v>-60.207337657597691</v>
      </c>
      <c r="AR539" s="169">
        <f t="shared" si="343"/>
        <v>90.562249116236273</v>
      </c>
      <c r="AS539" s="168" t="str">
        <f t="shared" si="344"/>
        <v>-1.2744581018374E-07+4.55210688346302E-07i</v>
      </c>
      <c r="AT539" s="190">
        <f t="shared" si="345"/>
        <v>-126.50801750036912</v>
      </c>
      <c r="AU539" s="169">
        <f t="shared" si="346"/>
        <v>105.64070783108686</v>
      </c>
      <c r="AV539" s="225"/>
      <c r="AX539">
        <f t="shared" si="347"/>
        <v>0</v>
      </c>
      <c r="AY539">
        <f t="shared" si="348"/>
        <v>0</v>
      </c>
    </row>
    <row r="540" spans="14:51" x14ac:dyDescent="0.3">
      <c r="N540" s="170">
        <v>22</v>
      </c>
      <c r="O540" s="199">
        <f t="shared" si="314"/>
        <v>1659586.9074375622</v>
      </c>
      <c r="P540" s="189" t="str">
        <f t="shared" si="315"/>
        <v>1078.86904761905</v>
      </c>
      <c r="Q540" s="160" t="str">
        <f t="shared" si="316"/>
        <v>1+325859.127274978i</v>
      </c>
      <c r="R540" s="160">
        <f t="shared" si="324"/>
        <v>325859.12727651233</v>
      </c>
      <c r="S540" s="160">
        <f t="shared" si="325"/>
        <v>1.5707932579841244</v>
      </c>
      <c r="T540" s="160" t="str">
        <f t="shared" si="317"/>
        <v>1+0.208549841455986i</v>
      </c>
      <c r="U540" s="160">
        <f t="shared" si="326"/>
        <v>1.0215150690867545</v>
      </c>
      <c r="V540" s="160">
        <f t="shared" si="327"/>
        <v>0.20560288217810041</v>
      </c>
      <c r="W540" s="98" t="str">
        <f t="shared" si="318"/>
        <v>1-150.831587334627i</v>
      </c>
      <c r="X540" s="160">
        <f t="shared" si="328"/>
        <v>150.83490225369991</v>
      </c>
      <c r="Y540" s="160">
        <f t="shared" si="329"/>
        <v>-1.5641665129332865</v>
      </c>
      <c r="Z540" s="98" t="str">
        <f t="shared" si="319"/>
        <v>-1100.69148133527+59.5754897689726i</v>
      </c>
      <c r="AA540" s="160">
        <f t="shared" si="330"/>
        <v>1102.3025791792581</v>
      </c>
      <c r="AB540" s="160">
        <f t="shared" si="331"/>
        <v>3.0875199039152235</v>
      </c>
      <c r="AC540" s="171" t="str">
        <f t="shared" si="332"/>
        <v>0.000446476869014235+0.000121793504882583i</v>
      </c>
      <c r="AD540" s="190">
        <f t="shared" si="333"/>
        <v>-66.692307126294168</v>
      </c>
      <c r="AE540" s="169">
        <f t="shared" si="334"/>
        <v>15.258353930683944</v>
      </c>
      <c r="AF540" s="98" t="str">
        <f t="shared" si="320"/>
        <v>-9.95024875621891E-06</v>
      </c>
      <c r="AG540" s="98" t="str">
        <f t="shared" si="321"/>
        <v>10.4379195648721i</v>
      </c>
      <c r="AH540" s="98">
        <f t="shared" si="335"/>
        <v>10.4379195648721</v>
      </c>
      <c r="AI540" s="98">
        <f t="shared" si="336"/>
        <v>1.5707963267948966</v>
      </c>
      <c r="AJ540" s="98" t="str">
        <f t="shared" si="322"/>
        <v>1+104.170749978015i</v>
      </c>
      <c r="AK540" s="98">
        <f t="shared" si="337"/>
        <v>104.17554967928949</v>
      </c>
      <c r="AL540" s="98">
        <f t="shared" si="338"/>
        <v>1.5611969979591376</v>
      </c>
      <c r="AM540" s="98" t="str">
        <f t="shared" si="323"/>
        <v>1+104274.920727993i</v>
      </c>
      <c r="AN540" s="98">
        <f t="shared" si="339"/>
        <v>104274.92073278801</v>
      </c>
      <c r="AO540" s="98">
        <f t="shared" si="340"/>
        <v>1.5707867367612338</v>
      </c>
      <c r="AP540" s="168" t="str">
        <f t="shared" si="341"/>
        <v>-9.15027574780726E-06+0.00095414436608108i</v>
      </c>
      <c r="AQ540" s="98">
        <f t="shared" si="342"/>
        <v>-60.407318797870992</v>
      </c>
      <c r="AR540" s="169">
        <f t="shared" si="343"/>
        <v>90.54945155999296</v>
      </c>
      <c r="AS540" s="168" t="str">
        <f t="shared" si="344"/>
        <v>-1.20293972975483E-07+4.24888945001485E-07i</v>
      </c>
      <c r="AT540" s="190">
        <f t="shared" si="345"/>
        <v>-127.09962592416515</v>
      </c>
      <c r="AU540" s="169">
        <f t="shared" si="346"/>
        <v>105.80780549067691</v>
      </c>
      <c r="AV540" s="225"/>
      <c r="AX540">
        <f t="shared" si="347"/>
        <v>0</v>
      </c>
      <c r="AY540">
        <f t="shared" si="348"/>
        <v>0</v>
      </c>
    </row>
    <row r="541" spans="14:51" x14ac:dyDescent="0.3">
      <c r="N541" s="170">
        <v>23</v>
      </c>
      <c r="O541" s="199">
        <f t="shared" si="314"/>
        <v>1698243.6524617488</v>
      </c>
      <c r="P541" s="189" t="str">
        <f t="shared" si="315"/>
        <v>1078.86904761905</v>
      </c>
      <c r="Q541" s="160" t="str">
        <f t="shared" si="316"/>
        <v>1+333449.361411209i</v>
      </c>
      <c r="R541" s="160">
        <f t="shared" si="324"/>
        <v>333449.36141270847</v>
      </c>
      <c r="S541" s="160">
        <f t="shared" si="325"/>
        <v>1.570793327838786</v>
      </c>
      <c r="T541" s="160" t="str">
        <f t="shared" si="317"/>
        <v>1+0.213407591303174i</v>
      </c>
      <c r="U541" s="160">
        <f t="shared" si="326"/>
        <v>1.0225178727170603</v>
      </c>
      <c r="V541" s="160">
        <f t="shared" si="327"/>
        <v>0.21025361110540949</v>
      </c>
      <c r="W541" s="98" t="str">
        <f t="shared" si="318"/>
        <v>1-154.344906334108i</v>
      </c>
      <c r="X541" s="160">
        <f t="shared" si="328"/>
        <v>154.34814579801267</v>
      </c>
      <c r="Y541" s="160">
        <f t="shared" si="329"/>
        <v>-1.564317421649005</v>
      </c>
      <c r="Z541" s="98" t="str">
        <f t="shared" si="319"/>
        <v>-1152.61260125066+60.9631811922838i</v>
      </c>
      <c r="AA541" s="160">
        <f t="shared" si="330"/>
        <v>1154.2236863030043</v>
      </c>
      <c r="AB541" s="160">
        <f t="shared" si="331"/>
        <v>3.0887505899205805</v>
      </c>
      <c r="AC541" s="171" t="str">
        <f t="shared" si="332"/>
        <v>0.000426428010335439+0.00011782351444634i</v>
      </c>
      <c r="AD541" s="190">
        <f t="shared" si="333"/>
        <v>-67.08357628942592</v>
      </c>
      <c r="AE541" s="169">
        <f t="shared" si="334"/>
        <v>15.445657520985561</v>
      </c>
      <c r="AF541" s="98" t="str">
        <f t="shared" si="320"/>
        <v>-9.95024875621891E-06</v>
      </c>
      <c r="AG541" s="98" t="str">
        <f t="shared" si="321"/>
        <v>10.6810499447238i</v>
      </c>
      <c r="AH541" s="98">
        <f t="shared" si="335"/>
        <v>10.681049944723799</v>
      </c>
      <c r="AI541" s="98">
        <f t="shared" si="336"/>
        <v>1.5707963267948966</v>
      </c>
      <c r="AJ541" s="98" t="str">
        <f t="shared" si="322"/>
        <v>1+106.597198453134i</v>
      </c>
      <c r="AK541" s="98">
        <f t="shared" si="337"/>
        <v>106.60188890473205</v>
      </c>
      <c r="AL541" s="98">
        <f t="shared" si="338"/>
        <v>1.5614154923922345</v>
      </c>
      <c r="AM541" s="98" t="str">
        <f t="shared" si="323"/>
        <v>1+106703.795651587i</v>
      </c>
      <c r="AN541" s="98">
        <f t="shared" si="339"/>
        <v>106703.79565627287</v>
      </c>
      <c r="AO541" s="98">
        <f t="shared" si="340"/>
        <v>1.570786955057051</v>
      </c>
      <c r="AP541" s="168" t="str">
        <f t="shared" si="341"/>
        <v>-8.73848173922864E-06+0.000932429251784434i</v>
      </c>
      <c r="AQ541" s="98">
        <f t="shared" si="342"/>
        <v>-60.607300786895465</v>
      </c>
      <c r="AR541" s="169">
        <f t="shared" si="343"/>
        <v>90.536945258558404</v>
      </c>
      <c r="AS541" s="168" t="str">
        <f t="shared" si="344"/>
        <v>-1.13588424799225E-07+3.96584351987557E-07i</v>
      </c>
      <c r="AT541" s="190">
        <f t="shared" si="345"/>
        <v>-127.69087707632139</v>
      </c>
      <c r="AU541" s="169">
        <f t="shared" si="346"/>
        <v>105.98260277954395</v>
      </c>
      <c r="AV541" s="225"/>
      <c r="AX541">
        <f t="shared" si="347"/>
        <v>0</v>
      </c>
      <c r="AY541">
        <f t="shared" si="348"/>
        <v>0</v>
      </c>
    </row>
    <row r="542" spans="14:51" x14ac:dyDescent="0.3">
      <c r="N542" s="170">
        <v>24</v>
      </c>
      <c r="O542" s="199">
        <f t="shared" si="314"/>
        <v>1737800.8287493798</v>
      </c>
      <c r="P542" s="189" t="str">
        <f t="shared" si="315"/>
        <v>1078.86904761905</v>
      </c>
      <c r="Q542" s="160" t="str">
        <f t="shared" si="316"/>
        <v>1+341216.394812581i</v>
      </c>
      <c r="R542" s="160">
        <f t="shared" si="324"/>
        <v>341216.39481404633</v>
      </c>
      <c r="S542" s="160">
        <f t="shared" si="325"/>
        <v>1.5707933961033613</v>
      </c>
      <c r="T542" s="160" t="str">
        <f t="shared" si="317"/>
        <v>1+0.218378492680052i</v>
      </c>
      <c r="U542" s="160">
        <f t="shared" si="326"/>
        <v>1.0235668840213674</v>
      </c>
      <c r="V542" s="160">
        <f t="shared" si="327"/>
        <v>0.21500313027917825</v>
      </c>
      <c r="W542" s="98" t="str">
        <f t="shared" si="318"/>
        <v>1-157.940061045921i</v>
      </c>
      <c r="X542" s="160">
        <f t="shared" si="328"/>
        <v>157.94322677211977</v>
      </c>
      <c r="Y542" s="160">
        <f t="shared" si="329"/>
        <v>-1.5644648955481213</v>
      </c>
      <c r="Z542" s="98" t="str">
        <f t="shared" si="319"/>
        <v>-1206.98068816081+62.3831961012055i</v>
      </c>
      <c r="AA542" s="160">
        <f t="shared" si="330"/>
        <v>1208.5917609966334</v>
      </c>
      <c r="AB542" s="160">
        <f t="shared" si="331"/>
        <v>3.0899532727982302</v>
      </c>
      <c r="AC542" s="171" t="str">
        <f t="shared" si="332"/>
        <v>0.000407277462123442+0.000114023709493923i</v>
      </c>
      <c r="AD542" s="190">
        <f t="shared" si="333"/>
        <v>-67.474471059465515</v>
      </c>
      <c r="AE542" s="169">
        <f t="shared" si="334"/>
        <v>15.640422728097294</v>
      </c>
      <c r="AF542" s="98" t="str">
        <f t="shared" si="320"/>
        <v>-9.95024875621891E-06</v>
      </c>
      <c r="AG542" s="98" t="str">
        <f t="shared" si="321"/>
        <v>10.9298435586366i</v>
      </c>
      <c r="AH542" s="98">
        <f t="shared" si="335"/>
        <v>10.9298435586366</v>
      </c>
      <c r="AI542" s="98">
        <f t="shared" si="336"/>
        <v>1.5707963267948966</v>
      </c>
      <c r="AJ542" s="98" t="str">
        <f t="shared" si="322"/>
        <v>1+109.080166173852i</v>
      </c>
      <c r="AK542" s="98">
        <f t="shared" si="337"/>
        <v>109.08474986227529</v>
      </c>
      <c r="AL542" s="98">
        <f t="shared" si="338"/>
        <v>1.5616290141503388</v>
      </c>
      <c r="AM542" s="98" t="str">
        <f t="shared" si="323"/>
        <v>1+109189.246340026i</v>
      </c>
      <c r="AN542" s="98">
        <f t="shared" si="339"/>
        <v>109189.2463446052</v>
      </c>
      <c r="AO542" s="98">
        <f t="shared" si="340"/>
        <v>1.5707871683838488</v>
      </c>
      <c r="AP542" s="168" t="str">
        <f t="shared" si="341"/>
        <v>-8.34521832560714E-06+0.000911208176021387i</v>
      </c>
      <c r="AQ542" s="98">
        <f t="shared" si="342"/>
        <v>-60.807283586477595</v>
      </c>
      <c r="AR542" s="169">
        <f t="shared" si="343"/>
        <v>90.524723585709992</v>
      </c>
      <c r="AS542" s="168" t="str">
        <f t="shared" si="344"/>
        <v>-1.07298155691669E-07+3.70163000646099E-07i</v>
      </c>
      <c r="AT542" s="190">
        <f t="shared" si="345"/>
        <v>-128.2817546459431</v>
      </c>
      <c r="AU542" s="169">
        <f t="shared" si="346"/>
        <v>106.1651463138072</v>
      </c>
      <c r="AV542" s="225"/>
      <c r="AX542">
        <f t="shared" si="347"/>
        <v>0</v>
      </c>
      <c r="AY542">
        <f t="shared" si="348"/>
        <v>0</v>
      </c>
    </row>
    <row r="543" spans="14:51" x14ac:dyDescent="0.3">
      <c r="N543" s="170">
        <v>25</v>
      </c>
      <c r="O543" s="199">
        <f t="shared" si="314"/>
        <v>1778279.4100389241</v>
      </c>
      <c r="P543" s="189" t="str">
        <f t="shared" si="315"/>
        <v>1078.86904761905</v>
      </c>
      <c r="Q543" s="160" t="str">
        <f t="shared" si="316"/>
        <v>1+349164.345663016i</v>
      </c>
      <c r="R543" s="160">
        <f t="shared" si="324"/>
        <v>349164.34566444799</v>
      </c>
      <c r="S543" s="160">
        <f t="shared" si="325"/>
        <v>1.5707934628140452</v>
      </c>
      <c r="T543" s="160" t="str">
        <f t="shared" si="317"/>
        <v>1+0.22346518122433i</v>
      </c>
      <c r="U543" s="160">
        <f t="shared" si="326"/>
        <v>1.0246641826567486</v>
      </c>
      <c r="V543" s="160">
        <f t="shared" si="327"/>
        <v>0.21985310044702133</v>
      </c>
      <c r="W543" s="98" t="str">
        <f t="shared" si="318"/>
        <v>1-161.618957668685i</v>
      </c>
      <c r="X543" s="160">
        <f t="shared" si="328"/>
        <v>161.62205133555321</v>
      </c>
      <c r="Y543" s="160">
        <f t="shared" si="329"/>
        <v>-1.5646090127975754</v>
      </c>
      <c r="Z543" s="98" t="str">
        <f t="shared" si="319"/>
        <v>-1263.91106406735+63.8362874064394i</v>
      </c>
      <c r="AA543" s="160">
        <f t="shared" si="330"/>
        <v>1265.5221252359431</v>
      </c>
      <c r="AB543" s="160">
        <f t="shared" si="331"/>
        <v>3.0911285892600655</v>
      </c>
      <c r="AC543" s="171" t="str">
        <f t="shared" si="332"/>
        <v>0.000388985148579407+0.000110384901626172i</v>
      </c>
      <c r="AD543" s="190">
        <f t="shared" si="333"/>
        <v>-67.864974573300771</v>
      </c>
      <c r="AE543" s="169">
        <f t="shared" si="334"/>
        <v>15.842703744234313</v>
      </c>
      <c r="AF543" s="98" t="str">
        <f t="shared" si="320"/>
        <v>-9.95024875621891E-06</v>
      </c>
      <c r="AG543" s="98" t="str">
        <f t="shared" si="321"/>
        <v>11.1844323202778i</v>
      </c>
      <c r="AH543" s="98">
        <f t="shared" si="335"/>
        <v>11.1844323202778</v>
      </c>
      <c r="AI543" s="98">
        <f t="shared" si="336"/>
        <v>1.5707963267948966</v>
      </c>
      <c r="AJ543" s="98" t="str">
        <f t="shared" si="322"/>
        <v>1+111.620969642522i</v>
      </c>
      <c r="AK543" s="98">
        <f t="shared" si="337"/>
        <v>111.62544899769415</v>
      </c>
      <c r="AL543" s="98">
        <f t="shared" si="338"/>
        <v>1.5618376763675899</v>
      </c>
      <c r="AM543" s="98" t="str">
        <f t="shared" si="323"/>
        <v>1+111732.590612165i</v>
      </c>
      <c r="AN543" s="98">
        <f t="shared" si="339"/>
        <v>111732.59061663997</v>
      </c>
      <c r="AO543" s="98">
        <f t="shared" si="340"/>
        <v>1.570787376854736</v>
      </c>
      <c r="AP543" s="168" t="str">
        <f t="shared" si="341"/>
        <v>-7.96965177329956E-06+0.000890469910306824i</v>
      </c>
      <c r="AQ543" s="98">
        <f t="shared" si="342"/>
        <v>-61.007267160142433</v>
      </c>
      <c r="AR543" s="169">
        <f t="shared" si="343"/>
        <v>90.512780065819641</v>
      </c>
      <c r="AS543" s="168" t="str">
        <f t="shared" si="344"/>
        <v>-1.01394509629448E-07+3.45499841139201E-07i</v>
      </c>
      <c r="AT543" s="190">
        <f t="shared" si="345"/>
        <v>-128.87224173344319</v>
      </c>
      <c r="AU543" s="169">
        <f t="shared" si="346"/>
        <v>106.35548381005394</v>
      </c>
      <c r="AV543" s="225"/>
      <c r="AX543">
        <f t="shared" si="347"/>
        <v>0</v>
      </c>
      <c r="AY543">
        <f t="shared" si="348"/>
        <v>0</v>
      </c>
    </row>
    <row r="544" spans="14:51" x14ac:dyDescent="0.3">
      <c r="N544" s="170">
        <v>26</v>
      </c>
      <c r="O544" s="199">
        <f t="shared" si="314"/>
        <v>1819700.8586099846</v>
      </c>
      <c r="P544" s="189" t="str">
        <f t="shared" si="315"/>
        <v>1078.86904761905</v>
      </c>
      <c r="Q544" s="160" t="str">
        <f t="shared" si="316"/>
        <v>1+357297.428071259i</v>
      </c>
      <c r="R544" s="160">
        <f t="shared" si="324"/>
        <v>357297.42807265843</v>
      </c>
      <c r="S544" s="160">
        <f t="shared" si="325"/>
        <v>1.5707935280062084</v>
      </c>
      <c r="T544" s="160" t="str">
        <f t="shared" si="317"/>
        <v>1+0.228670353965606i</v>
      </c>
      <c r="U544" s="160">
        <f t="shared" si="326"/>
        <v>1.0258119373368373</v>
      </c>
      <c r="V544" s="160">
        <f t="shared" si="327"/>
        <v>0.22480518005426375</v>
      </c>
      <c r="W544" s="98" t="str">
        <f t="shared" si="318"/>
        <v>1-165.383546802085i</v>
      </c>
      <c r="X544" s="160">
        <f t="shared" si="328"/>
        <v>165.38657004980013</v>
      </c>
      <c r="Y544" s="160">
        <f t="shared" si="329"/>
        <v>-1.5647498497862804</v>
      </c>
      <c r="Z544" s="98" t="str">
        <f t="shared" si="319"/>
        <v>-1323.52448593036+65.3232255562297i</v>
      </c>
      <c r="AA544" s="160">
        <f t="shared" si="330"/>
        <v>1325.1355359563388</v>
      </c>
      <c r="AB544" s="160">
        <f t="shared" si="331"/>
        <v>3.0922771615727878</v>
      </c>
      <c r="AC544" s="171" t="str">
        <f t="shared" si="332"/>
        <v>0.00037151276643812+0.000106898464908358i</v>
      </c>
      <c r="AD544" s="190">
        <f t="shared" si="333"/>
        <v>-68.255069359458943</v>
      </c>
      <c r="AE544" s="169">
        <f t="shared" si="334"/>
        <v>16.052555559269521</v>
      </c>
      <c r="AF544" s="98" t="str">
        <f t="shared" si="320"/>
        <v>-9.95024875621891E-06</v>
      </c>
      <c r="AG544" s="98" t="str">
        <f t="shared" si="321"/>
        <v>11.4449512159786i</v>
      </c>
      <c r="AH544" s="98">
        <f t="shared" si="335"/>
        <v>11.4449512159786</v>
      </c>
      <c r="AI544" s="98">
        <f t="shared" si="336"/>
        <v>1.5707963267948966</v>
      </c>
      <c r="AJ544" s="98" t="str">
        <f t="shared" si="322"/>
        <v>1+114.220956026776i</v>
      </c>
      <c r="AK544" s="98">
        <f t="shared" si="337"/>
        <v>114.22533342332906</v>
      </c>
      <c r="AL544" s="98">
        <f t="shared" si="338"/>
        <v>1.5620415896067346</v>
      </c>
      <c r="AM544" s="98" t="str">
        <f t="shared" si="323"/>
        <v>1+114335.176982803i</v>
      </c>
      <c r="AN544" s="98">
        <f t="shared" si="339"/>
        <v>114335.17698717609</v>
      </c>
      <c r="AO544" s="98">
        <f t="shared" si="340"/>
        <v>1.5707875805802463</v>
      </c>
      <c r="AP544" s="168" t="str">
        <f t="shared" si="341"/>
        <v>-7.61098584817998E-06+0.00087020348059915i</v>
      </c>
      <c r="AQ544" s="98">
        <f t="shared" si="342"/>
        <v>-61.207251473056161</v>
      </c>
      <c r="AR544" s="169">
        <f t="shared" si="343"/>
        <v>90.501108370441727</v>
      </c>
      <c r="AS544" s="168" t="str">
        <f t="shared" si="344"/>
        <v>-9.5850994641738E-08+3.22478099737861E-07i</v>
      </c>
      <c r="AT544" s="190">
        <f t="shared" si="345"/>
        <v>-129.4623208325151</v>
      </c>
      <c r="AU544" s="169">
        <f t="shared" si="346"/>
        <v>106.55366392971129</v>
      </c>
      <c r="AV544" s="225"/>
      <c r="AX544">
        <f t="shared" si="347"/>
        <v>0</v>
      </c>
      <c r="AY544">
        <f t="shared" si="348"/>
        <v>0</v>
      </c>
    </row>
    <row r="545" spans="14:51" x14ac:dyDescent="0.3">
      <c r="N545" s="170">
        <v>27</v>
      </c>
      <c r="O545" s="199">
        <f t="shared" si="314"/>
        <v>1862087.1366628683</v>
      </c>
      <c r="P545" s="189" t="str">
        <f t="shared" si="315"/>
        <v>1078.86904761905</v>
      </c>
      <c r="Q545" s="160" t="str">
        <f t="shared" si="316"/>
        <v>1+365619.954305256i</v>
      </c>
      <c r="R545" s="160">
        <f t="shared" si="324"/>
        <v>365619.95430662355</v>
      </c>
      <c r="S545" s="160">
        <f t="shared" si="325"/>
        <v>1.5707935917144169</v>
      </c>
      <c r="T545" s="160" t="str">
        <f t="shared" si="317"/>
        <v>1+0.233996770755364i</v>
      </c>
      <c r="U545" s="160">
        <f t="shared" si="326"/>
        <v>1.027012409235613</v>
      </c>
      <c r="V545" s="160">
        <f t="shared" si="327"/>
        <v>0.22986102279768975</v>
      </c>
      <c r="W545" s="98" t="str">
        <f t="shared" si="318"/>
        <v>1-169.23582448111i</v>
      </c>
      <c r="X545" s="160">
        <f t="shared" si="328"/>
        <v>169.23877891252073</v>
      </c>
      <c r="Y545" s="160">
        <f t="shared" si="329"/>
        <v>-1.5648874811655109</v>
      </c>
      <c r="Z545" s="98" t="str">
        <f t="shared" si="319"/>
        <v>-1385.94740181012+66.8447989448649i</v>
      </c>
      <c r="AA545" s="160">
        <f t="shared" si="330"/>
        <v>1387.5584411945329</v>
      </c>
      <c r="AB545" s="160">
        <f t="shared" si="331"/>
        <v>3.0933995978834763</v>
      </c>
      <c r="AC545" s="171" t="str">
        <f t="shared" si="332"/>
        <v>0.000354823707927792+0.000103556299638084i</v>
      </c>
      <c r="AD545" s="190">
        <f t="shared" si="333"/>
        <v>-68.644737320338166</v>
      </c>
      <c r="AE545" s="169">
        <f t="shared" si="334"/>
        <v>16.270033799605013</v>
      </c>
      <c r="AF545" s="98" t="str">
        <f t="shared" si="320"/>
        <v>-9.95024875621891E-06</v>
      </c>
      <c r="AG545" s="98" t="str">
        <f t="shared" si="321"/>
        <v>11.711538376306i</v>
      </c>
      <c r="AH545" s="98">
        <f t="shared" si="335"/>
        <v>11.711538376306001</v>
      </c>
      <c r="AI545" s="98">
        <f t="shared" si="336"/>
        <v>1.5707963267948966</v>
      </c>
      <c r="AJ545" s="98" t="str">
        <f t="shared" si="322"/>
        <v>1+116.881503873808i</v>
      </c>
      <c r="AK545" s="98">
        <f t="shared" si="337"/>
        <v>116.88578163233966</v>
      </c>
      <c r="AL545" s="98">
        <f t="shared" si="338"/>
        <v>1.5622408619174015</v>
      </c>
      <c r="AM545" s="98" t="str">
        <f t="shared" si="323"/>
        <v>1+116998.385377682i</v>
      </c>
      <c r="AN545" s="98">
        <f t="shared" si="339"/>
        <v>116998.38538195558</v>
      </c>
      <c r="AO545" s="98">
        <f t="shared" si="340"/>
        <v>1.5707877796683978</v>
      </c>
      <c r="AP545" s="168" t="str">
        <f t="shared" si="341"/>
        <v>-7.26846013005482E-06+0.00085039816158504i</v>
      </c>
      <c r="AQ545" s="98">
        <f t="shared" si="342"/>
        <v>-61.40723649195219</v>
      </c>
      <c r="AR545" s="169">
        <f t="shared" si="343"/>
        <v>90.489702314977549</v>
      </c>
      <c r="AS545" s="168" t="str">
        <f t="shared" si="344"/>
        <v>-9.06431088070475E-08+3.00988734073446E-07i</v>
      </c>
      <c r="AT545" s="190">
        <f t="shared" si="345"/>
        <v>-130.05197381229036</v>
      </c>
      <c r="AU545" s="169">
        <f t="shared" si="346"/>
        <v>106.75973611458255</v>
      </c>
      <c r="AV545" s="225"/>
      <c r="AX545">
        <f t="shared" si="347"/>
        <v>0</v>
      </c>
      <c r="AY545">
        <f t="shared" si="348"/>
        <v>0</v>
      </c>
    </row>
    <row r="546" spans="14:51" x14ac:dyDescent="0.3">
      <c r="N546" s="170">
        <v>28</v>
      </c>
      <c r="O546" s="199">
        <f t="shared" si="314"/>
        <v>1905460.7179632513</v>
      </c>
      <c r="P546" s="189" t="str">
        <f t="shared" si="315"/>
        <v>1078.86904761905</v>
      </c>
      <c r="Q546" s="160" t="str">
        <f t="shared" si="316"/>
        <v>1+374136.337078581i</v>
      </c>
      <c r="R546" s="160">
        <f t="shared" si="324"/>
        <v>374136.33707991743</v>
      </c>
      <c r="S546" s="160">
        <f t="shared" si="325"/>
        <v>1.5707936539724496</v>
      </c>
      <c r="T546" s="160" t="str">
        <f t="shared" si="317"/>
        <v>1+0.239447255730292i</v>
      </c>
      <c r="U546" s="160">
        <f t="shared" si="326"/>
        <v>1.0282679554847403</v>
      </c>
      <c r="V546" s="160">
        <f t="shared" si="327"/>
        <v>0.23502227500907402</v>
      </c>
      <c r="W546" s="98" t="str">
        <f t="shared" si="318"/>
        <v>1-173.177833234376i</v>
      </c>
      <c r="X546" s="160">
        <f t="shared" si="328"/>
        <v>173.18072041585154</v>
      </c>
      <c r="Y546" s="160">
        <f t="shared" si="329"/>
        <v>-1.5650219798883778</v>
      </c>
      <c r="Z546" s="98" t="str">
        <f t="shared" si="319"/>
        <v>-1451.31221908043+68.4018143306967i</v>
      </c>
      <c r="AA546" s="160">
        <f t="shared" si="330"/>
        <v>1452.9232483018134</v>
      </c>
      <c r="AB546" s="160">
        <f t="shared" si="331"/>
        <v>3.0944964925379677</v>
      </c>
      <c r="AC546" s="171" t="str">
        <f t="shared" si="332"/>
        <v>0.00033888298695718+0.000100350798485063i</v>
      </c>
      <c r="AD546" s="190">
        <f t="shared" si="333"/>
        <v>-69.033959714691591</v>
      </c>
      <c r="AE546" s="169">
        <f t="shared" si="334"/>
        <v>16.495194557754449</v>
      </c>
      <c r="AF546" s="98" t="str">
        <f t="shared" si="320"/>
        <v>-9.95024875621891E-06</v>
      </c>
      <c r="AG546" s="98" t="str">
        <f t="shared" si="321"/>
        <v>11.9843351493011i</v>
      </c>
      <c r="AH546" s="98">
        <f t="shared" si="335"/>
        <v>11.984335149301099</v>
      </c>
      <c r="AI546" s="98">
        <f t="shared" si="336"/>
        <v>1.5707963267948966</v>
      </c>
      <c r="AJ546" s="98" t="str">
        <f t="shared" si="322"/>
        <v>1+119.604023841305i</v>
      </c>
      <c r="AK546" s="98">
        <f t="shared" si="337"/>
        <v>119.60820422960731</v>
      </c>
      <c r="AL546" s="98">
        <f t="shared" si="338"/>
        <v>1.5624355988930672</v>
      </c>
      <c r="AM546" s="98" t="str">
        <f t="shared" si="323"/>
        <v>1+119723.627865146i</v>
      </c>
      <c r="AN546" s="98">
        <f t="shared" si="339"/>
        <v>119723.6278693223</v>
      </c>
      <c r="AO546" s="98">
        <f t="shared" si="340"/>
        <v>1.5707879742247497</v>
      </c>
      <c r="AP546" s="168" t="str">
        <f t="shared" si="341"/>
        <v>-6.94134840274927E-06+0.000831043471089159i</v>
      </c>
      <c r="AQ546" s="98">
        <f t="shared" si="342"/>
        <v>-61.607222185060806</v>
      </c>
      <c r="AR546" s="169">
        <f t="shared" si="343"/>
        <v>90.478555855414584</v>
      </c>
      <c r="AS546" s="168" t="str">
        <f t="shared" si="344"/>
        <v>-8.57481807798296E-08+2.80929923919178E-07i</v>
      </c>
      <c r="AT546" s="190">
        <f t="shared" si="345"/>
        <v>-130.64118189975238</v>
      </c>
      <c r="AU546" s="169">
        <f t="shared" si="346"/>
        <v>106.97375041316904</v>
      </c>
      <c r="AV546" s="225"/>
      <c r="AX546">
        <f t="shared" si="347"/>
        <v>0</v>
      </c>
      <c r="AY546">
        <f t="shared" si="348"/>
        <v>0</v>
      </c>
    </row>
    <row r="547" spans="14:51" x14ac:dyDescent="0.3">
      <c r="N547" s="170">
        <v>29</v>
      </c>
      <c r="O547" s="199">
        <f t="shared" si="314"/>
        <v>1949844.5997580495</v>
      </c>
      <c r="P547" s="189" t="str">
        <f t="shared" si="315"/>
        <v>1078.86904761905</v>
      </c>
      <c r="Q547" s="160" t="str">
        <f t="shared" si="316"/>
        <v>1+382851.0918901i</v>
      </c>
      <c r="R547" s="160">
        <f t="shared" si="324"/>
        <v>382851.09189140599</v>
      </c>
      <c r="S547" s="160">
        <f t="shared" si="325"/>
        <v>1.5707937148133164</v>
      </c>
      <c r="T547" s="160" t="str">
        <f t="shared" si="317"/>
        <v>1+0.245024698809664i</v>
      </c>
      <c r="U547" s="160">
        <f t="shared" si="326"/>
        <v>1.0295810327636998</v>
      </c>
      <c r="V547" s="160">
        <f t="shared" si="327"/>
        <v>0.24029057286222513</v>
      </c>
      <c r="W547" s="98" t="str">
        <f t="shared" si="318"/>
        <v>1-177.211663167101i</v>
      </c>
      <c r="X547" s="160">
        <f t="shared" si="328"/>
        <v>177.2144846293611</v>
      </c>
      <c r="Y547" s="160">
        <f t="shared" si="329"/>
        <v>-1.5651534172484081</v>
      </c>
      <c r="Z547" s="98" t="str">
        <f t="shared" si="319"/>
        <v>-1519.75758528224+69.9950972638908i</v>
      </c>
      <c r="AA547" s="160">
        <f t="shared" si="330"/>
        <v>1521.3686047976298</v>
      </c>
      <c r="AB547" s="160">
        <f t="shared" si="331"/>
        <v>3.095568426392187</v>
      </c>
      <c r="AC547" s="171" t="str">
        <f t="shared" si="332"/>
        <v>0.000323657168405892+0.0000972748148473513i</v>
      </c>
      <c r="AD547" s="190">
        <f t="shared" si="333"/>
        <v>-69.422717140440099</v>
      </c>
      <c r="AE547" s="169">
        <f t="shared" si="334"/>
        <v>16.728094212268953</v>
      </c>
      <c r="AF547" s="98" t="str">
        <f t="shared" si="320"/>
        <v>-9.95024875621891E-06</v>
      </c>
      <c r="AG547" s="98" t="str">
        <f t="shared" si="321"/>
        <v>12.2634861754237i</v>
      </c>
      <c r="AH547" s="98">
        <f t="shared" si="335"/>
        <v>12.263486175423701</v>
      </c>
      <c r="AI547" s="98">
        <f t="shared" si="336"/>
        <v>1.5707963267948966</v>
      </c>
      <c r="AJ547" s="98" t="str">
        <f t="shared" si="322"/>
        <v>1+122.389959445387i</v>
      </c>
      <c r="AK547" s="98">
        <f t="shared" si="337"/>
        <v>122.39404467964719</v>
      </c>
      <c r="AL547" s="98">
        <f t="shared" si="338"/>
        <v>1.5626259037267407</v>
      </c>
      <c r="AM547" s="98" t="str">
        <f t="shared" si="323"/>
        <v>1+122512.349404832i</v>
      </c>
      <c r="AN547" s="98">
        <f t="shared" si="339"/>
        <v>122512.34940891321</v>
      </c>
      <c r="AO547" s="98">
        <f t="shared" si="340"/>
        <v>1.5707881643524584</v>
      </c>
      <c r="AP547" s="168" t="str">
        <f t="shared" si="341"/>
        <v>-0.0000066289571164798+0.000812129164606412i</v>
      </c>
      <c r="AQ547" s="98">
        <f t="shared" si="342"/>
        <v>-61.807208522041492</v>
      </c>
      <c r="AR547" s="169">
        <f t="shared" si="343"/>
        <v>90.467663085139449</v>
      </c>
      <c r="AS547" s="168" t="str">
        <f t="shared" si="344"/>
        <v>-8.11452236090268E-08+2.62206595220217E-07i</v>
      </c>
      <c r="AT547" s="190">
        <f t="shared" si="345"/>
        <v>-131.22992566248161</v>
      </c>
      <c r="AU547" s="169">
        <f t="shared" si="346"/>
        <v>107.19575729740842</v>
      </c>
      <c r="AV547" s="225"/>
      <c r="AX547">
        <f t="shared" si="347"/>
        <v>0</v>
      </c>
      <c r="AY547">
        <f t="shared" si="348"/>
        <v>0</v>
      </c>
    </row>
    <row r="548" spans="14:51" x14ac:dyDescent="0.3">
      <c r="N548" s="170">
        <v>30</v>
      </c>
      <c r="O548" s="199">
        <f t="shared" si="314"/>
        <v>1995262.31496888</v>
      </c>
      <c r="P548" s="189" t="str">
        <f t="shared" si="315"/>
        <v>1078.86904761905</v>
      </c>
      <c r="Q548" s="160" t="str">
        <f t="shared" si="316"/>
        <v>1+391768.839418175i</v>
      </c>
      <c r="R548" s="160">
        <f t="shared" si="324"/>
        <v>391768.83941945131</v>
      </c>
      <c r="S548" s="160">
        <f t="shared" si="325"/>
        <v>1.5707937742692759</v>
      </c>
      <c r="T548" s="160" t="str">
        <f t="shared" si="317"/>
        <v>1+0.250732057227632i</v>
      </c>
      <c r="U548" s="160">
        <f t="shared" si="326"/>
        <v>1.0309542009815957</v>
      </c>
      <c r="V548" s="160">
        <f t="shared" si="327"/>
        <v>0.24566753939756472</v>
      </c>
      <c r="W548" s="98" t="str">
        <f t="shared" si="318"/>
        <v>1-181.339453069313i</v>
      </c>
      <c r="X548" s="160">
        <f t="shared" si="328"/>
        <v>181.34221030823898</v>
      </c>
      <c r="Y548" s="160">
        <f t="shared" si="329"/>
        <v>-1.5652818629172542</v>
      </c>
      <c r="Z548" s="98" t="str">
        <f t="shared" si="319"/>
        <v>-1591.42868221399+71.6254925241494i</v>
      </c>
      <c r="AA548" s="160">
        <f t="shared" si="330"/>
        <v>1593.0396924598847</v>
      </c>
      <c r="AB548" s="160">
        <f t="shared" si="331"/>
        <v>3.0966159671165965</v>
      </c>
      <c r="AC548" s="171" t="str">
        <f t="shared" si="332"/>
        <v>0.000309114300397166+0.000094321633278643i</v>
      </c>
      <c r="AD548" s="190">
        <f t="shared" si="333"/>
        <v>-69.810989517904915</v>
      </c>
      <c r="AE548" s="169">
        <f t="shared" si="334"/>
        <v>16.968789237653112</v>
      </c>
      <c r="AF548" s="98" t="str">
        <f t="shared" si="320"/>
        <v>-9.95024875621891E-06</v>
      </c>
      <c r="AG548" s="98" t="str">
        <f t="shared" si="321"/>
        <v>12.549139464243i</v>
      </c>
      <c r="AH548" s="98">
        <f t="shared" si="335"/>
        <v>12.549139464243</v>
      </c>
      <c r="AI548" s="98">
        <f t="shared" si="336"/>
        <v>1.5707963267948966</v>
      </c>
      <c r="AJ548" s="98" t="str">
        <f t="shared" si="322"/>
        <v>1+125.24078782599i</v>
      </c>
      <c r="AK548" s="98">
        <f t="shared" si="337"/>
        <v>125.24478007196404</v>
      </c>
      <c r="AL548" s="98">
        <f t="shared" si="338"/>
        <v>1.5628118772653954</v>
      </c>
      <c r="AM548" s="98" t="str">
        <f t="shared" si="323"/>
        <v>1+125366.028613816i</v>
      </c>
      <c r="AN548" s="98">
        <f t="shared" si="339"/>
        <v>125366.02861780433</v>
      </c>
      <c r="AO548" s="98">
        <f t="shared" si="340"/>
        <v>1.5707883501523321</v>
      </c>
      <c r="AP548" s="168" t="str">
        <f t="shared" si="341"/>
        <v>-0.0000063306239192698+0.00079364522995411i</v>
      </c>
      <c r="AQ548" s="98">
        <f t="shared" si="342"/>
        <v>-62.007195473919261</v>
      </c>
      <c r="AR548" s="169">
        <f t="shared" si="343"/>
        <v>90.457018231822005</v>
      </c>
      <c r="AS548" s="168" t="str">
        <f t="shared" si="344"/>
        <v>-7.68148007169585E-08+2.44729975233074E-07i</v>
      </c>
      <c r="AT548" s="190">
        <f t="shared" si="345"/>
        <v>-131.81818499182418</v>
      </c>
      <c r="AU548" s="169">
        <f t="shared" si="346"/>
        <v>107.42580746947513</v>
      </c>
      <c r="AV548" s="225"/>
      <c r="AX548">
        <f t="shared" si="347"/>
        <v>0</v>
      </c>
      <c r="AY548">
        <f t="shared" si="348"/>
        <v>0</v>
      </c>
    </row>
    <row r="549" spans="14:51" x14ac:dyDescent="0.3">
      <c r="N549" s="170">
        <v>31</v>
      </c>
      <c r="O549" s="199">
        <f t="shared" si="314"/>
        <v>2041737.9446695296</v>
      </c>
      <c r="P549" s="189" t="str">
        <f t="shared" si="315"/>
        <v>1078.86904761905</v>
      </c>
      <c r="Q549" s="160" t="str">
        <f t="shared" si="316"/>
        <v>1+400894.307970581i</v>
      </c>
      <c r="R549" s="160">
        <f t="shared" si="324"/>
        <v>400894.30797182821</v>
      </c>
      <c r="S549" s="160">
        <f t="shared" si="325"/>
        <v>1.5707938323718527</v>
      </c>
      <c r="T549" s="160" t="str">
        <f t="shared" si="317"/>
        <v>1+0.256572357101172i</v>
      </c>
      <c r="U549" s="160">
        <f t="shared" si="326"/>
        <v>1.0323901270490974</v>
      </c>
      <c r="V549" s="160">
        <f t="shared" si="327"/>
        <v>0.25115478135843539</v>
      </c>
      <c r="W549" s="98" t="str">
        <f t="shared" si="318"/>
        <v>1-185.563391549852i</v>
      </c>
      <c r="X549" s="160">
        <f t="shared" si="328"/>
        <v>185.56608602727948</v>
      </c>
      <c r="Y549" s="160">
        <f t="shared" si="329"/>
        <v>-1.5654073849815471</v>
      </c>
      <c r="Z549" s="98" t="str">
        <f t="shared" si="319"/>
        <v>-1666.47753388133+73.2938645686193i</v>
      </c>
      <c r="AA549" s="160">
        <f t="shared" si="330"/>
        <v>1668.0885352746127</v>
      </c>
      <c r="AB549" s="160">
        <f t="shared" si="331"/>
        <v>3.0976396694938746</v>
      </c>
      <c r="AC549" s="171" t="str">
        <f t="shared" si="332"/>
        <v>0.000295223849436721+0.000091484941850839i</v>
      </c>
      <c r="AD549" s="190">
        <f t="shared" si="333"/>
        <v>-70.198756073545084</v>
      </c>
      <c r="AE549" s="169">
        <f t="shared" si="334"/>
        <v>17.217336003930285</v>
      </c>
      <c r="AF549" s="98" t="str">
        <f t="shared" si="320"/>
        <v>-9.95024875621891E-06</v>
      </c>
      <c r="AG549" s="98" t="str">
        <f t="shared" si="321"/>
        <v>12.8414464729137i</v>
      </c>
      <c r="AH549" s="98">
        <f t="shared" si="335"/>
        <v>12.841446472913701</v>
      </c>
      <c r="AI549" s="98">
        <f t="shared" si="336"/>
        <v>1.5707963267948966</v>
      </c>
      <c r="AJ549" s="98" t="str">
        <f t="shared" si="322"/>
        <v>1+128.158020530056i</v>
      </c>
      <c r="AK549" s="98">
        <f t="shared" si="337"/>
        <v>128.1619219042156</v>
      </c>
      <c r="AL549" s="98">
        <f t="shared" si="338"/>
        <v>1.5629936180631769</v>
      </c>
      <c r="AM549" s="98" t="str">
        <f t="shared" si="323"/>
        <v>1+128286.178550586i</v>
      </c>
      <c r="AN549" s="98">
        <f t="shared" si="339"/>
        <v>128286.17855448353</v>
      </c>
      <c r="AO549" s="98">
        <f t="shared" si="340"/>
        <v>1.5707885317228845</v>
      </c>
      <c r="AP549" s="168" t="str">
        <f t="shared" si="341"/>
        <v>-6.04571625432028E-06+0.000775581882041833i</v>
      </c>
      <c r="AQ549" s="98">
        <f t="shared" si="342"/>
        <v>-62.207183013022636</v>
      </c>
      <c r="AR549" s="169">
        <f t="shared" si="343"/>
        <v>90.446615654370106</v>
      </c>
      <c r="AS549" s="168" t="str">
        <f t="shared" si="344"/>
        <v>-7.2738903004364E-08+2.28417176769794E-07i</v>
      </c>
      <c r="AT549" s="190">
        <f t="shared" si="345"/>
        <v>-132.40593908656771</v>
      </c>
      <c r="AU549" s="169">
        <f t="shared" si="346"/>
        <v>107.66395165830038</v>
      </c>
      <c r="AV549" s="225"/>
      <c r="AX549">
        <f t="shared" si="347"/>
        <v>0</v>
      </c>
      <c r="AY549">
        <f t="shared" si="348"/>
        <v>0</v>
      </c>
    </row>
    <row r="550" spans="14:51" x14ac:dyDescent="0.3">
      <c r="N550" s="170">
        <v>32</v>
      </c>
      <c r="O550" s="199">
        <f t="shared" si="314"/>
        <v>2089296.1308540432</v>
      </c>
      <c r="P550" s="189" t="str">
        <f t="shared" si="315"/>
        <v>1078.86904761905</v>
      </c>
      <c r="Q550" s="160" t="str">
        <f t="shared" si="316"/>
        <v>1+410232.335991541i</v>
      </c>
      <c r="R550" s="160">
        <f t="shared" si="324"/>
        <v>410232.33599275979</v>
      </c>
      <c r="S550" s="160">
        <f t="shared" si="325"/>
        <v>1.5707938891518531</v>
      </c>
      <c r="T550" s="160" t="str">
        <f t="shared" si="317"/>
        <v>1+0.262548695034586i</v>
      </c>
      <c r="U550" s="160">
        <f t="shared" si="326"/>
        <v>1.0338915887385698</v>
      </c>
      <c r="V550" s="160">
        <f t="shared" si="327"/>
        <v>0.25675388583381753</v>
      </c>
      <c r="W550" s="98" t="str">
        <f t="shared" si="318"/>
        <v>1-189.885718196814i</v>
      </c>
      <c r="X550" s="160">
        <f t="shared" si="328"/>
        <v>189.88835134130753</v>
      </c>
      <c r="Y550" s="160">
        <f t="shared" si="329"/>
        <v>-1.5655300499789158</v>
      </c>
      <c r="Z550" s="98" t="str">
        <f t="shared" si="319"/>
        <v>-1745.06332896068+75.0010979902432i</v>
      </c>
      <c r="AA550" s="160">
        <f t="shared" si="330"/>
        <v>1746.6743218994984</v>
      </c>
      <c r="AB550" s="160">
        <f t="shared" si="331"/>
        <v>3.0986400757099988</v>
      </c>
      <c r="AC550" s="171" t="str">
        <f t="shared" si="332"/>
        <v>0.000281956638304346+0.0000887588063248034i</v>
      </c>
      <c r="AD550" s="190">
        <f t="shared" si="333"/>
        <v>-70.58599532430911</v>
      </c>
      <c r="AE550" s="169">
        <f t="shared" si="334"/>
        <v>17.473790565542387</v>
      </c>
      <c r="AF550" s="98" t="str">
        <f t="shared" si="320"/>
        <v>-9.95024875621891E-06</v>
      </c>
      <c r="AG550" s="98" t="str">
        <f t="shared" si="321"/>
        <v>13.140562186481i</v>
      </c>
      <c r="AH550" s="98">
        <f t="shared" si="335"/>
        <v>13.140562186481</v>
      </c>
      <c r="AI550" s="98">
        <f t="shared" si="336"/>
        <v>1.5707963267948966</v>
      </c>
      <c r="AJ550" s="98" t="str">
        <f t="shared" si="322"/>
        <v>1+131.14320431298i</v>
      </c>
      <c r="AK550" s="98">
        <f t="shared" si="337"/>
        <v>131.14701688363337</v>
      </c>
      <c r="AL550" s="98">
        <f t="shared" si="338"/>
        <v>1.5631712224334116</v>
      </c>
      <c r="AM550" s="98" t="str">
        <f t="shared" si="323"/>
        <v>1+131274.347517293i</v>
      </c>
      <c r="AN550" s="98">
        <f t="shared" si="339"/>
        <v>131274.34752110182</v>
      </c>
      <c r="AO550" s="98">
        <f t="shared" si="340"/>
        <v>1.5707887091603863</v>
      </c>
      <c r="AP550" s="168" t="str">
        <f t="shared" si="341"/>
        <v>-5.77363002037506E-06+0.000757929557756376i</v>
      </c>
      <c r="AQ550" s="98">
        <f t="shared" si="342"/>
        <v>-62.407171112925425</v>
      </c>
      <c r="AR550" s="169">
        <f t="shared" si="343"/>
        <v>90.436449839952573</v>
      </c>
      <c r="AS550" s="168" t="str">
        <f t="shared" si="344"/>
        <v>-6.89008361361001E-08+2.13190809667718E-07i</v>
      </c>
      <c r="AT550" s="190">
        <f t="shared" si="345"/>
        <v>-132.99316643723452</v>
      </c>
      <c r="AU550" s="169">
        <f t="shared" si="346"/>
        <v>107.91024040549496</v>
      </c>
      <c r="AV550" s="225"/>
      <c r="AX550">
        <f t="shared" si="347"/>
        <v>0</v>
      </c>
      <c r="AY550">
        <f t="shared" si="348"/>
        <v>0</v>
      </c>
    </row>
    <row r="551" spans="14:51" x14ac:dyDescent="0.3">
      <c r="N551" s="170">
        <v>33</v>
      </c>
      <c r="O551" s="199">
        <f t="shared" si="314"/>
        <v>2137962.0895022359</v>
      </c>
      <c r="P551" s="189" t="str">
        <f t="shared" si="315"/>
        <v>1078.86904761905</v>
      </c>
      <c r="Q551" s="160" t="str">
        <f t="shared" si="316"/>
        <v>1+419787.874627106i</v>
      </c>
      <c r="R551" s="160">
        <f t="shared" si="324"/>
        <v>419787.87462829705</v>
      </c>
      <c r="S551" s="160">
        <f t="shared" si="325"/>
        <v>1.5707939446393833</v>
      </c>
      <c r="T551" s="160" t="str">
        <f t="shared" si="317"/>
        <v>1+0.268664239761348i</v>
      </c>
      <c r="U551" s="160">
        <f t="shared" si="326"/>
        <v>1.0354614786299599</v>
      </c>
      <c r="V551" s="160">
        <f t="shared" si="327"/>
        <v>0.26246641670245041</v>
      </c>
      <c r="W551" s="98" t="str">
        <f t="shared" si="318"/>
        <v>1-194.308724764997i</v>
      </c>
      <c r="X551" s="160">
        <f t="shared" si="328"/>
        <v>194.31129797260726</v>
      </c>
      <c r="Y551" s="160">
        <f t="shared" si="329"/>
        <v>-1.5656499229331919</v>
      </c>
      <c r="Z551" s="98" t="str">
        <f t="shared" si="319"/>
        <v>-1827.35275845951+76.7480979867779i</v>
      </c>
      <c r="AA551" s="160">
        <f t="shared" si="330"/>
        <v>1828.9637433241173</v>
      </c>
      <c r="AB551" s="160">
        <f t="shared" si="331"/>
        <v>3.0996177156388458</v>
      </c>
      <c r="AC551" s="171" t="str">
        <f t="shared" si="332"/>
        <v>0.00026928478658917+0.0000861376460106432i</v>
      </c>
      <c r="AD551" s="190">
        <f t="shared" si="333"/>
        <v>-70.972685062702809</v>
      </c>
      <c r="AE551" s="169">
        <f t="shared" si="334"/>
        <v>17.738208439287703</v>
      </c>
      <c r="AF551" s="98" t="str">
        <f t="shared" si="320"/>
        <v>-9.95024875621891E-06</v>
      </c>
      <c r="AG551" s="98" t="str">
        <f t="shared" si="321"/>
        <v>13.4466452000555i</v>
      </c>
      <c r="AH551" s="98">
        <f t="shared" si="335"/>
        <v>13.446645200055499</v>
      </c>
      <c r="AI551" s="98">
        <f t="shared" si="336"/>
        <v>1.5707963267948966</v>
      </c>
      <c r="AJ551" s="98" t="str">
        <f t="shared" si="322"/>
        <v>1+134.197921958715i</v>
      </c>
      <c r="AK551" s="98">
        <f t="shared" si="337"/>
        <v>134.20164774710244</v>
      </c>
      <c r="AL551" s="98">
        <f t="shared" si="338"/>
        <v>1.5633447844994435</v>
      </c>
      <c r="AM551" s="98" t="str">
        <f t="shared" si="323"/>
        <v>1+134332.119880674i</v>
      </c>
      <c r="AN551" s="98">
        <f t="shared" si="339"/>
        <v>134332.11988439612</v>
      </c>
      <c r="AO551" s="98">
        <f t="shared" si="340"/>
        <v>1.5707888825589174</v>
      </c>
      <c r="AP551" s="168" t="str">
        <f t="shared" si="341"/>
        <v>-5.51378829226044E-06+0.000740678910959572i</v>
      </c>
      <c r="AQ551" s="98">
        <f t="shared" si="342"/>
        <v>-62.607159748390345</v>
      </c>
      <c r="AR551" s="169">
        <f t="shared" si="343"/>
        <v>90.426515401089375</v>
      </c>
      <c r="AS551" s="168" t="str">
        <f t="shared" si="344"/>
        <v>-6.52851171433635E-08+1.98978617724751E-07i</v>
      </c>
      <c r="AT551" s="190">
        <f t="shared" si="345"/>
        <v>-133.57984481109315</v>
      </c>
      <c r="AU551" s="169">
        <f t="shared" si="346"/>
        <v>108.16472384037706</v>
      </c>
      <c r="AV551" s="225"/>
      <c r="AX551">
        <f t="shared" si="347"/>
        <v>0</v>
      </c>
      <c r="AY551">
        <f t="shared" si="348"/>
        <v>0</v>
      </c>
    </row>
    <row r="552" spans="14:51" x14ac:dyDescent="0.3">
      <c r="N552" s="170">
        <v>34</v>
      </c>
      <c r="O552" s="199">
        <f t="shared" si="314"/>
        <v>2187761.6239495561</v>
      </c>
      <c r="P552" s="189" t="str">
        <f t="shared" si="315"/>
        <v>1078.86904761905</v>
      </c>
      <c r="Q552" s="160" t="str">
        <f t="shared" si="316"/>
        <v>1+429565.99035035i</v>
      </c>
      <c r="R552" s="160">
        <f t="shared" si="324"/>
        <v>429565.99035151396</v>
      </c>
      <c r="S552" s="160">
        <f t="shared" si="325"/>
        <v>1.5707939988638628</v>
      </c>
      <c r="T552" s="160" t="str">
        <f t="shared" si="317"/>
        <v>1+0.274922233824224i</v>
      </c>
      <c r="U552" s="160">
        <f t="shared" si="326"/>
        <v>1.0371028081395313</v>
      </c>
      <c r="V552" s="160">
        <f t="shared" si="327"/>
        <v>0.26829391087399312</v>
      </c>
      <c r="W552" s="98" t="str">
        <f t="shared" si="318"/>
        <v>1-198.834756391032i</v>
      </c>
      <c r="X552" s="160">
        <f t="shared" si="328"/>
        <v>198.83727102603535</v>
      </c>
      <c r="Y552" s="160">
        <f t="shared" si="329"/>
        <v>-1.565767067388814</v>
      </c>
      <c r="Z552" s="98" t="str">
        <f t="shared" si="319"/>
        <v>-1913.52036929056+78.5357908407465i</v>
      </c>
      <c r="AA552" s="160">
        <f t="shared" si="330"/>
        <v>1915.1313464441189</v>
      </c>
      <c r="AB552" s="160">
        <f t="shared" si="331"/>
        <v>3.1005731071204683</v>
      </c>
      <c r="AC552" s="171" t="str">
        <f t="shared" si="332"/>
        <v>0.000257181653762689+0.0000836162112065008i</v>
      </c>
      <c r="AD552" s="190">
        <f t="shared" si="333"/>
        <v>-71.3588023426977</v>
      </c>
      <c r="AE552" s="169">
        <f t="shared" si="334"/>
        <v>18.010644371040186</v>
      </c>
      <c r="AF552" s="98" t="str">
        <f t="shared" si="320"/>
        <v>-9.95024875621891E-06</v>
      </c>
      <c r="AG552" s="98" t="str">
        <f t="shared" si="321"/>
        <v>13.7598578029024i</v>
      </c>
      <c r="AH552" s="98">
        <f t="shared" si="335"/>
        <v>13.759857802902401</v>
      </c>
      <c r="AI552" s="98">
        <f t="shared" si="336"/>
        <v>1.5707963267948966</v>
      </c>
      <c r="AJ552" s="98" t="str">
        <f t="shared" si="322"/>
        <v>1+137.323793118993i</v>
      </c>
      <c r="AK552" s="98">
        <f t="shared" si="337"/>
        <v>137.32743410035735</v>
      </c>
      <c r="AL552" s="98">
        <f t="shared" si="338"/>
        <v>1.5635143962443268</v>
      </c>
      <c r="AM552" s="98" t="str">
        <f t="shared" si="323"/>
        <v>1+137461.116912112i</v>
      </c>
      <c r="AN552" s="98">
        <f t="shared" si="339"/>
        <v>137461.11691574939</v>
      </c>
      <c r="AO552" s="98">
        <f t="shared" si="340"/>
        <v>1.5707890520104162</v>
      </c>
      <c r="AP552" s="168" t="str">
        <f t="shared" si="341"/>
        <v>-5.26564009889899E-06+0.000723820807596561i</v>
      </c>
      <c r="AQ552" s="98">
        <f t="shared" si="342"/>
        <v>-62.807148895315819</v>
      </c>
      <c r="AR552" s="169">
        <f t="shared" si="343"/>
        <v>90.41680707280743</v>
      </c>
      <c r="AS552" s="168" t="str">
        <f t="shared" si="344"/>
        <v>-6.1877379552408E-08+1.85713139450882E-07i</v>
      </c>
      <c r="AT552" s="190">
        <f t="shared" si="345"/>
        <v>-134.16595123801352</v>
      </c>
      <c r="AU552" s="169">
        <f t="shared" si="346"/>
        <v>108.4274514438476</v>
      </c>
      <c r="AV552" s="225"/>
      <c r="AX552">
        <f t="shared" si="347"/>
        <v>0</v>
      </c>
      <c r="AY552">
        <f t="shared" si="348"/>
        <v>0</v>
      </c>
    </row>
    <row r="553" spans="14:51" x14ac:dyDescent="0.3">
      <c r="N553" s="170">
        <v>35</v>
      </c>
      <c r="O553" s="199">
        <f t="shared" si="314"/>
        <v>2238721.1385683389</v>
      </c>
      <c r="P553" s="189" t="str">
        <f t="shared" si="315"/>
        <v>1078.86904761905</v>
      </c>
      <c r="Q553" s="160" t="str">
        <f t="shared" si="316"/>
        <v>1+439571.867647653i</v>
      </c>
      <c r="R553" s="160">
        <f t="shared" si="324"/>
        <v>439571.86764879047</v>
      </c>
      <c r="S553" s="160">
        <f t="shared" si="325"/>
        <v>1.5707940518540426</v>
      </c>
      <c r="T553" s="160" t="str">
        <f t="shared" si="317"/>
        <v>1+0.281325995294498i</v>
      </c>
      <c r="U553" s="160">
        <f t="shared" si="326"/>
        <v>1.0388187116279914</v>
      </c>
      <c r="V553" s="160">
        <f t="shared" si="327"/>
        <v>0.27423787432337793</v>
      </c>
      <c r="W553" s="98" t="str">
        <f t="shared" si="318"/>
        <v>1-203.466212836793i</v>
      </c>
      <c r="X553" s="160">
        <f t="shared" si="328"/>
        <v>203.46867023241478</v>
      </c>
      <c r="Y553" s="160">
        <f t="shared" si="329"/>
        <v>-1.5658815454444557</v>
      </c>
      <c r="Z553" s="98" t="str">
        <f t="shared" si="319"/>
        <v>-2003.74893450908+80.3651244105625i</v>
      </c>
      <c r="AA553" s="160">
        <f t="shared" si="330"/>
        <v>2005.3599042984279</v>
      </c>
      <c r="AB553" s="160">
        <f t="shared" si="331"/>
        <v>3.101506756233162</v>
      </c>
      <c r="AC553" s="171" t="str">
        <f t="shared" si="332"/>
        <v>0.000245621784687715+0.0000811895621121917i</v>
      </c>
      <c r="AD553" s="190">
        <f t="shared" si="333"/>
        <v>-71.744323466598544</v>
      </c>
      <c r="AE553" s="169">
        <f t="shared" si="334"/>
        <v>18.291152091017686</v>
      </c>
      <c r="AF553" s="98" t="str">
        <f t="shared" si="320"/>
        <v>-9.95024875621891E-06</v>
      </c>
      <c r="AG553" s="98" t="str">
        <f t="shared" si="321"/>
        <v>14.0803660644897i</v>
      </c>
      <c r="AH553" s="98">
        <f t="shared" si="335"/>
        <v>14.0803660644897</v>
      </c>
      <c r="AI553" s="98">
        <f t="shared" si="336"/>
        <v>1.5707963267948966</v>
      </c>
      <c r="AJ553" s="98" t="str">
        <f t="shared" si="322"/>
        <v>1+140.522475172077i</v>
      </c>
      <c r="AK553" s="98">
        <f t="shared" si="337"/>
        <v>140.52603327670997</v>
      </c>
      <c r="AL553" s="98">
        <f t="shared" si="338"/>
        <v>1.5636801475593958</v>
      </c>
      <c r="AM553" s="98" t="str">
        <f t="shared" si="323"/>
        <v>1+140662.997647249i</v>
      </c>
      <c r="AN553" s="98">
        <f t="shared" si="339"/>
        <v>140662.99765080362</v>
      </c>
      <c r="AO553" s="98">
        <f t="shared" si="340"/>
        <v>1.5707892176047278</v>
      </c>
      <c r="AP553" s="168" t="str">
        <f t="shared" si="341"/>
        <v>-5.02865925622238E-06+0.000707346320912271i</v>
      </c>
      <c r="AQ553" s="98">
        <f t="shared" si="342"/>
        <v>-63.007138530684841</v>
      </c>
      <c r="AR553" s="169">
        <f t="shared" si="343"/>
        <v>90.407319709860403</v>
      </c>
      <c r="AS553" s="168" t="str">
        <f t="shared" si="344"/>
        <v>-5.86642863176368E-08+1.73331391091737E-07i</v>
      </c>
      <c r="AT553" s="190">
        <f t="shared" si="345"/>
        <v>-134.7514619972834</v>
      </c>
      <c r="AU553" s="169">
        <f t="shared" si="346"/>
        <v>108.69847180087808</v>
      </c>
      <c r="AV553" s="225"/>
      <c r="AX553">
        <f t="shared" si="347"/>
        <v>0</v>
      </c>
      <c r="AY553">
        <f t="shared" si="348"/>
        <v>0</v>
      </c>
    </row>
    <row r="554" spans="14:51" x14ac:dyDescent="0.3">
      <c r="N554" s="170">
        <v>36</v>
      </c>
      <c r="O554" s="199">
        <f t="shared" si="314"/>
        <v>2290867.6527677765</v>
      </c>
      <c r="P554" s="189" t="str">
        <f t="shared" si="315"/>
        <v>1078.86904761905</v>
      </c>
      <c r="Q554" s="160" t="str">
        <f t="shared" si="316"/>
        <v>1+449810.811767609i</v>
      </c>
      <c r="R554" s="160">
        <f t="shared" si="324"/>
        <v>449810.81176872062</v>
      </c>
      <c r="S554" s="160">
        <f t="shared" si="325"/>
        <v>1.5707941036380186</v>
      </c>
      <c r="T554" s="160" t="str">
        <f t="shared" si="317"/>
        <v>1+0.28787891953127i</v>
      </c>
      <c r="U554" s="160">
        <f t="shared" si="326"/>
        <v>1.0406124505840257</v>
      </c>
      <c r="V554" s="160">
        <f t="shared" si="327"/>
        <v>0.2802997779153415</v>
      </c>
      <c r="W554" s="98" t="str">
        <f t="shared" si="318"/>
        <v>1-208.205549761796i</v>
      </c>
      <c r="X554" s="160">
        <f t="shared" si="328"/>
        <v>208.2079512209169</v>
      </c>
      <c r="Y554" s="160">
        <f t="shared" si="329"/>
        <v>-1.5659934177858881</v>
      </c>
      <c r="Z554" s="98" t="str">
        <f t="shared" si="319"/>
        <v>-2098.22984099911+82.2370686331002i</v>
      </c>
      <c r="AA554" s="160">
        <f t="shared" si="330"/>
        <v>2099.8408037554932</v>
      </c>
      <c r="AB554" s="160">
        <f t="shared" si="331"/>
        <v>3.1024191575594702</v>
      </c>
      <c r="AC554" s="171" t="str">
        <f t="shared" si="332"/>
        <v>0.000234580857464493+0.0000788530491207334i</v>
      </c>
      <c r="AD554" s="190">
        <f t="shared" si="333"/>
        <v>-72.129223973010113</v>
      </c>
      <c r="AE554" s="169">
        <f t="shared" si="334"/>
        <v>18.579784057421229</v>
      </c>
      <c r="AF554" s="98" t="str">
        <f t="shared" si="320"/>
        <v>-9.95024875621891E-06</v>
      </c>
      <c r="AG554" s="98" t="str">
        <f t="shared" si="321"/>
        <v>14.40833992254i</v>
      </c>
      <c r="AH554" s="98">
        <f t="shared" si="335"/>
        <v>14.40833992254</v>
      </c>
      <c r="AI554" s="98">
        <f t="shared" si="336"/>
        <v>1.5707963267948966</v>
      </c>
      <c r="AJ554" s="98" t="str">
        <f t="shared" si="322"/>
        <v>1+143.795664101533i</v>
      </c>
      <c r="AK554" s="98">
        <f t="shared" si="337"/>
        <v>143.79914121579762</v>
      </c>
      <c r="AL554" s="98">
        <f t="shared" si="338"/>
        <v>1.563842126291741</v>
      </c>
      <c r="AM554" s="98" t="str">
        <f t="shared" si="323"/>
        <v>1+143939.459765635i</v>
      </c>
      <c r="AN554" s="98">
        <f t="shared" si="339"/>
        <v>143939.45976910868</v>
      </c>
      <c r="AO554" s="98">
        <f t="shared" si="340"/>
        <v>1.5707893794296528</v>
      </c>
      <c r="AP554" s="168" t="str">
        <f t="shared" si="341"/>
        <v>-4.80234325252002E-06+0.000691246726773868i</v>
      </c>
      <c r="AQ554" s="98">
        <f t="shared" si="342"/>
        <v>-63.207128632515925</v>
      </c>
      <c r="AR554" s="169">
        <f t="shared" si="343"/>
        <v>90.398048284011367</v>
      </c>
      <c r="AS554" s="168" t="str">
        <f t="shared" si="344"/>
        <v>-5.5633449898861E-08+1.61774570477753E-07i</v>
      </c>
      <c r="AT554" s="190">
        <f t="shared" si="345"/>
        <v>-135.336352605526</v>
      </c>
      <c r="AU554" s="169">
        <f t="shared" si="346"/>
        <v>108.97783234143255</v>
      </c>
      <c r="AV554" s="225"/>
      <c r="AX554">
        <f t="shared" si="347"/>
        <v>0</v>
      </c>
      <c r="AY554">
        <f t="shared" si="348"/>
        <v>0</v>
      </c>
    </row>
    <row r="555" spans="14:51" x14ac:dyDescent="0.3">
      <c r="N555" s="170">
        <v>37</v>
      </c>
      <c r="O555" s="199">
        <f t="shared" si="314"/>
        <v>2344228.8153199251</v>
      </c>
      <c r="P555" s="189" t="str">
        <f t="shared" si="315"/>
        <v>1078.86904761905</v>
      </c>
      <c r="Q555" s="160" t="str">
        <f t="shared" si="316"/>
        <v>1+460288.251533912i</v>
      </c>
      <c r="R555" s="160">
        <f t="shared" si="324"/>
        <v>460288.25153499818</v>
      </c>
      <c r="S555" s="160">
        <f t="shared" si="325"/>
        <v>1.5707941542432473</v>
      </c>
      <c r="T555" s="160" t="str">
        <f t="shared" si="317"/>
        <v>1+0.294584480981704i</v>
      </c>
      <c r="U555" s="160">
        <f t="shared" si="326"/>
        <v>1.0424874178786332</v>
      </c>
      <c r="V555" s="160">
        <f t="shared" si="327"/>
        <v>0.28648105301686061</v>
      </c>
      <c r="W555" s="98" t="str">
        <f t="shared" si="318"/>
        <v>1-213.055280025208i</v>
      </c>
      <c r="X555" s="160">
        <f t="shared" si="328"/>
        <v>213.05762682105464</v>
      </c>
      <c r="Y555" s="160">
        <f t="shared" si="329"/>
        <v>-1.5661027437180999</v>
      </c>
      <c r="Z555" s="98" t="str">
        <f t="shared" si="319"/>
        <v>-2197.16349543052+84.152616037963i</v>
      </c>
      <c r="AA555" s="160">
        <f t="shared" si="330"/>
        <v>2198.774451470294</v>
      </c>
      <c r="AB555" s="160">
        <f t="shared" si="331"/>
        <v>3.1033107944462461</v>
      </c>
      <c r="AC555" s="171" t="str">
        <f t="shared" si="332"/>
        <v>0.000224035633519044+0.0000766022943972066i</v>
      </c>
      <c r="AD555" s="190">
        <f t="shared" si="333"/>
        <v>-72.513478626041504</v>
      </c>
      <c r="AE555" s="169">
        <f t="shared" si="334"/>
        <v>18.876591188304047</v>
      </c>
      <c r="AF555" s="98" t="str">
        <f t="shared" si="320"/>
        <v>-9.95024875621891E-06</v>
      </c>
      <c r="AG555" s="98" t="str">
        <f t="shared" si="321"/>
        <v>14.7439532731342i</v>
      </c>
      <c r="AH555" s="98">
        <f t="shared" si="335"/>
        <v>14.743953273134199</v>
      </c>
      <c r="AI555" s="98">
        <f t="shared" si="336"/>
        <v>1.5707963267948966</v>
      </c>
      <c r="AJ555" s="98" t="str">
        <f t="shared" si="322"/>
        <v>1+147.145095395457i</v>
      </c>
      <c r="AK555" s="98">
        <f t="shared" si="337"/>
        <v>147.14849336278692</v>
      </c>
      <c r="AL555" s="98">
        <f t="shared" si="338"/>
        <v>1.5640004182906118</v>
      </c>
      <c r="AM555" s="98" t="str">
        <f t="shared" si="323"/>
        <v>1+147292.240490852i</v>
      </c>
      <c r="AN555" s="98">
        <f t="shared" si="339"/>
        <v>147292.24049424665</v>
      </c>
      <c r="AO555" s="98">
        <f t="shared" si="340"/>
        <v>1.5707895375709928</v>
      </c>
      <c r="AP555" s="168" t="str">
        <f t="shared" si="341"/>
        <v>-4.58621218387174E-06+0.000675513499096872i</v>
      </c>
      <c r="AQ555" s="98">
        <f t="shared" si="342"/>
        <v>-63.40711917981703</v>
      </c>
      <c r="AR555" s="169">
        <f t="shared" si="343"/>
        <v>90.388987881376735</v>
      </c>
      <c r="AS555" s="168" t="str">
        <f t="shared" si="344"/>
        <v>-5.27733588791722E-08+1.50987780344957E-07i</v>
      </c>
      <c r="AT555" s="190">
        <f t="shared" si="345"/>
        <v>-135.92059780585853</v>
      </c>
      <c r="AU555" s="169">
        <f t="shared" si="346"/>
        <v>109.26557906968075</v>
      </c>
      <c r="AV555" s="225"/>
      <c r="AX555">
        <f t="shared" si="347"/>
        <v>0</v>
      </c>
      <c r="AY555">
        <f t="shared" si="348"/>
        <v>0</v>
      </c>
    </row>
    <row r="556" spans="14:51" x14ac:dyDescent="0.3">
      <c r="N556" s="170">
        <v>38</v>
      </c>
      <c r="O556" s="199">
        <f t="shared" si="314"/>
        <v>2398832.9190194933</v>
      </c>
      <c r="P556" s="189" t="str">
        <f t="shared" si="315"/>
        <v>1078.86904761905</v>
      </c>
      <c r="Q556" s="160" t="str">
        <f t="shared" si="316"/>
        <v>1+471009.742223813i</v>
      </c>
      <c r="R556" s="160">
        <f t="shared" si="324"/>
        <v>471009.74222487456</v>
      </c>
      <c r="S556" s="160">
        <f t="shared" si="325"/>
        <v>1.5707942036965605</v>
      </c>
      <c r="T556" s="160" t="str">
        <f t="shared" si="317"/>
        <v>1+0.30144623502324i</v>
      </c>
      <c r="U556" s="160">
        <f t="shared" si="326"/>
        <v>1.0444471420850776</v>
      </c>
      <c r="V556" s="160">
        <f t="shared" si="327"/>
        <v>0.29278308689628474</v>
      </c>
      <c r="W556" s="98" t="str">
        <f t="shared" si="318"/>
        <v>1-218.017975018208i</v>
      </c>
      <c r="X556" s="160">
        <f t="shared" si="328"/>
        <v>218.02026839502781</v>
      </c>
      <c r="Y556" s="160">
        <f t="shared" si="329"/>
        <v>-1.5662095811966881</v>
      </c>
      <c r="Z556" s="98" t="str">
        <f t="shared" si="319"/>
        <v>-2300.75974934864+86.1127822737403i</v>
      </c>
      <c r="AA556" s="160">
        <f t="shared" si="330"/>
        <v>2302.3706989739385</v>
      </c>
      <c r="AB556" s="160">
        <f t="shared" si="331"/>
        <v>3.1041821392589073</v>
      </c>
      <c r="AC556" s="171" t="str">
        <f t="shared" si="332"/>
        <v>0.000213963909841923+0.000074433174660291i</v>
      </c>
      <c r="AD556" s="190">
        <f t="shared" si="333"/>
        <v>-72.89706140590333</v>
      </c>
      <c r="AE556" s="169">
        <f t="shared" si="334"/>
        <v>19.181622581594269</v>
      </c>
      <c r="AF556" s="98" t="str">
        <f t="shared" si="320"/>
        <v>-9.95024875621891E-06</v>
      </c>
      <c r="AG556" s="98" t="str">
        <f t="shared" si="321"/>
        <v>15.0873840629132i</v>
      </c>
      <c r="AH556" s="98">
        <f t="shared" si="335"/>
        <v>15.0873840629132</v>
      </c>
      <c r="AI556" s="98">
        <f t="shared" si="336"/>
        <v>1.5707963267948966</v>
      </c>
      <c r="AJ556" s="98" t="str">
        <f t="shared" si="322"/>
        <v>1+150.572544966653i</v>
      </c>
      <c r="AK556" s="98">
        <f t="shared" si="337"/>
        <v>150.57586558852896</v>
      </c>
      <c r="AL556" s="98">
        <f t="shared" si="338"/>
        <v>1.5641551074527729</v>
      </c>
      <c r="AM556" s="98" t="str">
        <f t="shared" si="323"/>
        <v>1+150723.11751162i</v>
      </c>
      <c r="AN556" s="98">
        <f t="shared" si="339"/>
        <v>150723.11751493733</v>
      </c>
      <c r="AO556" s="98">
        <f t="shared" si="340"/>
        <v>1.5707896921125963</v>
      </c>
      <c r="AP556" s="168" t="str">
        <f t="shared" si="341"/>
        <v>-4.37980773741848E-06+0.000660138305372918i</v>
      </c>
      <c r="AQ556" s="98">
        <f t="shared" si="342"/>
        <v>-63.607110152540436</v>
      </c>
      <c r="AR556" s="169">
        <f t="shared" si="343"/>
        <v>90.380133699830125</v>
      </c>
      <c r="AS556" s="168" t="str">
        <f t="shared" si="344"/>
        <v>-5.00733105716249E-08+1.40919769859713E-07i</v>
      </c>
      <c r="AT556" s="190">
        <f t="shared" si="345"/>
        <v>-136.50417155844377</v>
      </c>
      <c r="AU556" s="169">
        <f t="shared" si="346"/>
        <v>109.56175628142439</v>
      </c>
      <c r="AV556" s="225"/>
      <c r="AX556">
        <f t="shared" si="347"/>
        <v>0</v>
      </c>
      <c r="AY556">
        <f t="shared" si="348"/>
        <v>0</v>
      </c>
    </row>
    <row r="557" spans="14:51" x14ac:dyDescent="0.3">
      <c r="N557" s="170">
        <v>39</v>
      </c>
      <c r="O557" s="199">
        <f t="shared" si="314"/>
        <v>2454708.915685033</v>
      </c>
      <c r="P557" s="189" t="str">
        <f t="shared" si="315"/>
        <v>1078.86904761905</v>
      </c>
      <c r="Q557" s="160" t="str">
        <f t="shared" si="316"/>
        <v>1+481980.968513591i</v>
      </c>
      <c r="R557" s="160">
        <f t="shared" si="324"/>
        <v>481980.96851462842</v>
      </c>
      <c r="S557" s="160">
        <f t="shared" si="325"/>
        <v>1.5707942520241789</v>
      </c>
      <c r="T557" s="160" t="str">
        <f t="shared" si="317"/>
        <v>1+0.308467819848698i</v>
      </c>
      <c r="U557" s="160">
        <f t="shared" si="326"/>
        <v>1.0464952918585964</v>
      </c>
      <c r="V557" s="160">
        <f t="shared" si="327"/>
        <v>0.29920721790894383</v>
      </c>
      <c r="W557" s="98" t="str">
        <f t="shared" si="318"/>
        <v>1-223.096266027372i</v>
      </c>
      <c r="X557" s="160">
        <f t="shared" si="328"/>
        <v>223.09850720109256</v>
      </c>
      <c r="Y557" s="160">
        <f t="shared" si="329"/>
        <v>-1.5663139868585367</v>
      </c>
      <c r="Z557" s="98" t="str">
        <f t="shared" si="319"/>
        <v>-2409.23834429743+88.1186066465165i</v>
      </c>
      <c r="AA557" s="160">
        <f t="shared" si="330"/>
        <v>2410.8492877968019</v>
      </c>
      <c r="AB557" s="160">
        <f t="shared" si="331"/>
        <v>3.1050336536300027</v>
      </c>
      <c r="AC557" s="171" t="str">
        <f t="shared" si="332"/>
        <v>0.000204344473289117+0.0000723418050874043i</v>
      </c>
      <c r="AD557" s="190">
        <f t="shared" si="333"/>
        <v>-73.279945501053461</v>
      </c>
      <c r="AE557" s="169">
        <f t="shared" si="334"/>
        <v>19.494925223250466</v>
      </c>
      <c r="AF557" s="98" t="str">
        <f t="shared" si="320"/>
        <v>-9.95024875621891E-06</v>
      </c>
      <c r="AG557" s="98" t="str">
        <f t="shared" si="321"/>
        <v>15.4388143834274i</v>
      </c>
      <c r="AH557" s="98">
        <f t="shared" si="335"/>
        <v>15.438814383427401</v>
      </c>
      <c r="AI557" s="98">
        <f t="shared" si="336"/>
        <v>1.5707963267948966</v>
      </c>
      <c r="AJ557" s="98" t="str">
        <f t="shared" si="322"/>
        <v>1+154.079830094255i</v>
      </c>
      <c r="AK557" s="98">
        <f t="shared" si="337"/>
        <v>154.08307513115929</v>
      </c>
      <c r="AL557" s="98">
        <f t="shared" si="338"/>
        <v>1.5643062757668371</v>
      </c>
      <c r="AM557" s="98" t="str">
        <f t="shared" si="323"/>
        <v>1+154233.909924349i</v>
      </c>
      <c r="AN557" s="98">
        <f t="shared" si="339"/>
        <v>154233.90992759084</v>
      </c>
      <c r="AO557" s="98">
        <f t="shared" si="340"/>
        <v>1.5707898431364036</v>
      </c>
      <c r="AP557" s="168" t="str">
        <f t="shared" si="341"/>
        <v>-4.18269222032296E-06+0.000645113002296833i</v>
      </c>
      <c r="AQ557" s="98">
        <f t="shared" si="342"/>
        <v>-63.80710153154071</v>
      </c>
      <c r="AR557" s="169">
        <f t="shared" si="343"/>
        <v>90.371481046464893</v>
      </c>
      <c r="AS557" s="168" t="str">
        <f t="shared" si="344"/>
        <v>-4.75233491102001E-08+1.31522693160964E-07i</v>
      </c>
      <c r="AT557" s="190">
        <f t="shared" si="345"/>
        <v>-137.08704703259417</v>
      </c>
      <c r="AU557" s="169">
        <f t="shared" si="346"/>
        <v>109.86640626971538</v>
      </c>
      <c r="AV557" s="225"/>
      <c r="AX557">
        <f t="shared" si="347"/>
        <v>0</v>
      </c>
      <c r="AY557">
        <f t="shared" si="348"/>
        <v>0</v>
      </c>
    </row>
    <row r="558" spans="14:51" x14ac:dyDescent="0.3">
      <c r="N558" s="170">
        <v>40</v>
      </c>
      <c r="O558" s="199">
        <f t="shared" si="314"/>
        <v>2511886.431509587</v>
      </c>
      <c r="P558" s="189" t="str">
        <f t="shared" si="315"/>
        <v>1078.86904761905</v>
      </c>
      <c r="Q558" s="160" t="str">
        <f t="shared" si="316"/>
        <v>1+493207.74749265i</v>
      </c>
      <c r="R558" s="160">
        <f t="shared" si="324"/>
        <v>493207.74749366374</v>
      </c>
      <c r="S558" s="160">
        <f t="shared" si="325"/>
        <v>1.5707942992517263</v>
      </c>
      <c r="T558" s="160" t="str">
        <f t="shared" si="317"/>
        <v>1+0.315652958395296i</v>
      </c>
      <c r="U558" s="160">
        <f t="shared" si="326"/>
        <v>1.0486356803693562</v>
      </c>
      <c r="V558" s="160">
        <f t="shared" si="327"/>
        <v>0.30575473047029689</v>
      </c>
      <c r="W558" s="98" t="str">
        <f t="shared" si="318"/>
        <v>1-228.292845629814i</v>
      </c>
      <c r="X558" s="160">
        <f t="shared" si="328"/>
        <v>228.29503578868744</v>
      </c>
      <c r="Y558" s="160">
        <f t="shared" si="329"/>
        <v>-1.5664160160517997</v>
      </c>
      <c r="Z558" s="98" t="str">
        <f t="shared" si="319"/>
        <v>-2522.82937792079+90.171152670925i</v>
      </c>
      <c r="AA558" s="160">
        <f t="shared" si="330"/>
        <v>2524.4403155698105</v>
      </c>
      <c r="AB558" s="160">
        <f t="shared" si="331"/>
        <v>3.1058657887022152</v>
      </c>
      <c r="AC558" s="171" t="str">
        <f t="shared" si="332"/>
        <v>0.000195157056859895+0.0000703245242695267i</v>
      </c>
      <c r="AD558" s="190">
        <f t="shared" si="333"/>
        <v>-73.662103302061354</v>
      </c>
      <c r="AE558" s="169">
        <f t="shared" si="334"/>
        <v>19.816543683602152</v>
      </c>
      <c r="AF558" s="98" t="str">
        <f t="shared" si="320"/>
        <v>-9.95024875621891E-06</v>
      </c>
      <c r="AG558" s="98" t="str">
        <f t="shared" si="321"/>
        <v>15.7984305676846i</v>
      </c>
      <c r="AH558" s="98">
        <f t="shared" si="335"/>
        <v>15.7984305676846</v>
      </c>
      <c r="AI558" s="98">
        <f t="shared" si="336"/>
        <v>1.5707963267948966</v>
      </c>
      <c r="AJ558" s="98" t="str">
        <f t="shared" si="322"/>
        <v>1+157.668810387261i</v>
      </c>
      <c r="AK558" s="98">
        <f t="shared" si="337"/>
        <v>157.6719815596102</v>
      </c>
      <c r="AL558" s="98">
        <f t="shared" si="338"/>
        <v>1.5644540033565935</v>
      </c>
      <c r="AM558" s="98" t="str">
        <f t="shared" si="323"/>
        <v>1+157826.479197648i</v>
      </c>
      <c r="AN558" s="98">
        <f t="shared" si="339"/>
        <v>157826.47920081601</v>
      </c>
      <c r="AO558" s="98">
        <f t="shared" si="340"/>
        <v>1.5707899907224894</v>
      </c>
      <c r="AP558" s="168" t="str">
        <f t="shared" si="341"/>
        <v>-3.99444763237208E-06+0.000630429631491086i</v>
      </c>
      <c r="AQ558" s="98">
        <f t="shared" si="342"/>
        <v>-64.007093298533917</v>
      </c>
      <c r="AR558" s="169">
        <f t="shared" si="343"/>
        <v>90.363025335114045</v>
      </c>
      <c r="AS558" s="168" t="str">
        <f t="shared" si="344"/>
        <v>-4.51142085637384E-08+1.22751883809602E-07i</v>
      </c>
      <c r="AT558" s="190">
        <f t="shared" si="345"/>
        <v>-137.66919660059531</v>
      </c>
      <c r="AU558" s="169">
        <f t="shared" si="346"/>
        <v>110.17956901871626</v>
      </c>
      <c r="AV558" s="225"/>
      <c r="AX558">
        <f t="shared" si="347"/>
        <v>0</v>
      </c>
      <c r="AY558">
        <f t="shared" si="348"/>
        <v>0</v>
      </c>
    </row>
    <row r="559" spans="14:51" x14ac:dyDescent="0.3">
      <c r="N559" s="170">
        <v>41</v>
      </c>
      <c r="O559" s="199">
        <f t="shared" si="314"/>
        <v>2570395.782768866</v>
      </c>
      <c r="P559" s="189" t="str">
        <f t="shared" si="315"/>
        <v>1078.86904761905</v>
      </c>
      <c r="Q559" s="160" t="str">
        <f t="shared" si="316"/>
        <v>1+504696.031747803i</v>
      </c>
      <c r="R559" s="160">
        <f t="shared" si="324"/>
        <v>504696.03174879361</v>
      </c>
      <c r="S559" s="160">
        <f t="shared" si="325"/>
        <v>1.5707943454042435</v>
      </c>
      <c r="T559" s="160" t="str">
        <f t="shared" si="317"/>
        <v>1+0.323005460318594i</v>
      </c>
      <c r="U559" s="160">
        <f t="shared" si="326"/>
        <v>1.0508722697814548</v>
      </c>
      <c r="V559" s="160">
        <f t="shared" si="327"/>
        <v>0.3124268498190122</v>
      </c>
      <c r="W559" s="98" t="str">
        <f t="shared" si="318"/>
        <v>1-233.61046912082i</v>
      </c>
      <c r="X559" s="160">
        <f t="shared" si="328"/>
        <v>233.61260942605298</v>
      </c>
      <c r="Y559" s="160">
        <f t="shared" si="329"/>
        <v>-1.5665157228652042</v>
      </c>
      <c r="Z559" s="98" t="str">
        <f t="shared" si="319"/>
        <v>-2641.77379203039+92.2715086340353i</v>
      </c>
      <c r="AA559" s="160">
        <f t="shared" si="330"/>
        <v>2643.3847240922437</v>
      </c>
      <c r="AB559" s="160">
        <f t="shared" si="331"/>
        <v>3.1066789853659191</v>
      </c>
      <c r="AC559" s="171" t="str">
        <f t="shared" si="332"/>
        <v>0.00018638229786967+0.0000683778801466768i</v>
      </c>
      <c r="AD559" s="190">
        <f t="shared" si="333"/>
        <v>-74.043506397364396</v>
      </c>
      <c r="AE559" s="169">
        <f t="shared" si="334"/>
        <v>20.146519802005514</v>
      </c>
      <c r="AF559" s="98" t="str">
        <f t="shared" si="320"/>
        <v>-9.95024875621891E-06</v>
      </c>
      <c r="AG559" s="98" t="str">
        <f t="shared" si="321"/>
        <v>16.1664232889456i</v>
      </c>
      <c r="AH559" s="98">
        <f t="shared" si="335"/>
        <v>16.166423288945602</v>
      </c>
      <c r="AI559" s="98">
        <f t="shared" si="336"/>
        <v>1.5707963267948966</v>
      </c>
      <c r="AJ559" s="98" t="str">
        <f t="shared" si="322"/>
        <v>1+161.341388770526i</v>
      </c>
      <c r="AK559" s="98">
        <f t="shared" si="337"/>
        <v>161.34448775958234</v>
      </c>
      <c r="AL559" s="98">
        <f t="shared" si="338"/>
        <v>1.5645983685233591</v>
      </c>
      <c r="AM559" s="98" t="str">
        <f t="shared" si="323"/>
        <v>1+161502.730159297i</v>
      </c>
      <c r="AN559" s="98">
        <f t="shared" si="339"/>
        <v>161502.73016239295</v>
      </c>
      <c r="AO559" s="98">
        <f t="shared" si="340"/>
        <v>1.5707901349491056</v>
      </c>
      <c r="AP559" s="168" t="str">
        <f t="shared" si="341"/>
        <v>-3.81467478026094E-06+0.000616080415325454i</v>
      </c>
      <c r="AQ559" s="98">
        <f t="shared" si="342"/>
        <v>-64.207085436058804</v>
      </c>
      <c r="AR559" s="169">
        <f t="shared" si="343"/>
        <v>90.354762083926062</v>
      </c>
      <c r="AS559" s="168" t="str">
        <f t="shared" si="344"/>
        <v>-4.28372606510093E-08+1.14565644105936E-07i</v>
      </c>
      <c r="AT559" s="190">
        <f t="shared" si="345"/>
        <v>-138.25059183342316</v>
      </c>
      <c r="AU559" s="169">
        <f t="shared" si="346"/>
        <v>110.50128188593152</v>
      </c>
      <c r="AV559" s="225"/>
      <c r="AX559">
        <f t="shared" si="347"/>
        <v>0</v>
      </c>
      <c r="AY559">
        <f t="shared" si="348"/>
        <v>0</v>
      </c>
    </row>
    <row r="560" spans="14:51" ht="15" thickBot="1" x14ac:dyDescent="0.35">
      <c r="N560" s="170">
        <v>42</v>
      </c>
      <c r="O560" s="199">
        <f t="shared" si="314"/>
        <v>2630267.9918953842</v>
      </c>
      <c r="P560" s="189" t="str">
        <f t="shared" si="315"/>
        <v>1078.86904761905</v>
      </c>
      <c r="Q560" s="160" t="str">
        <f t="shared" si="316"/>
        <v>1+516451.912519431i</v>
      </c>
      <c r="R560" s="160">
        <f t="shared" si="324"/>
        <v>516451.91252039908</v>
      </c>
      <c r="S560" s="160">
        <f t="shared" si="325"/>
        <v>1.5707943905062012</v>
      </c>
      <c r="T560" s="160" t="str">
        <f t="shared" si="317"/>
        <v>1+0.330529224012436i</v>
      </c>
      <c r="U560" s="160">
        <f t="shared" si="326"/>
        <v>1.0532091757700666</v>
      </c>
      <c r="V560" s="160">
        <f t="shared" si="327"/>
        <v>0.31922473657390671</v>
      </c>
      <c r="W560" s="98" t="str">
        <f t="shared" si="318"/>
        <v>1-239.051955974754i</v>
      </c>
      <c r="X560" s="160">
        <f t="shared" si="328"/>
        <v>239.05404756112318</v>
      </c>
      <c r="Y560" s="160">
        <f t="shared" si="329"/>
        <v>-1.5666131601566877</v>
      </c>
      <c r="Z560" s="98" t="str">
        <f t="shared" si="319"/>
        <v>-2766.32388367575+94.4207881723813i</v>
      </c>
      <c r="AA560" s="160">
        <f t="shared" si="330"/>
        <v>2767.9348104017872</v>
      </c>
      <c r="AB560" s="160">
        <f t="shared" si="331"/>
        <v>3.107473674491418</v>
      </c>
      <c r="AC560" s="196" t="str">
        <f t="shared" si="332"/>
        <v>0.000178001697938929+0.0000664986168595144i</v>
      </c>
      <c r="AD560" s="197">
        <f t="shared" si="333"/>
        <v>-74.424125571100731</v>
      </c>
      <c r="AE560" s="198">
        <f t="shared" si="334"/>
        <v>20.484892360031814</v>
      </c>
      <c r="AF560" s="98" t="str">
        <f t="shared" si="320"/>
        <v>-9.95024875621891E-06</v>
      </c>
      <c r="AG560" s="98" t="str">
        <f t="shared" si="321"/>
        <v>16.5429876618225i</v>
      </c>
      <c r="AH560" s="98">
        <f t="shared" si="335"/>
        <v>16.542987661822501</v>
      </c>
      <c r="AI560" s="98">
        <f t="shared" si="336"/>
        <v>1.5707963267948966</v>
      </c>
      <c r="AJ560" s="98" t="str">
        <f t="shared" si="322"/>
        <v>1+165.099512493724i</v>
      </c>
      <c r="AK560" s="98">
        <f t="shared" si="337"/>
        <v>165.1025409424862</v>
      </c>
      <c r="AL560" s="98">
        <f t="shared" si="338"/>
        <v>1.5647394477873728</v>
      </c>
      <c r="AM560" s="98" t="str">
        <f t="shared" si="323"/>
        <v>1+165264.612006218i</v>
      </c>
      <c r="AN560" s="98">
        <f t="shared" si="339"/>
        <v>165264.61200924346</v>
      </c>
      <c r="AO560" s="98">
        <f t="shared" si="340"/>
        <v>1.5707902758927232</v>
      </c>
      <c r="AP560" s="191" t="str">
        <f t="shared" si="341"/>
        <v>-3.64299243168759E-06+0.000602057752829873i</v>
      </c>
      <c r="AQ560" s="195">
        <f t="shared" si="342"/>
        <v>-64.407077927440199</v>
      </c>
      <c r="AR560" s="198">
        <f t="shared" si="343"/>
        <v>90.346686912995708</v>
      </c>
      <c r="AS560" s="191" t="str">
        <f t="shared" si="344"/>
        <v>-4.0684466671153E-08+1.06925048303077E-07i</v>
      </c>
      <c r="AT560" s="197">
        <f t="shared" si="345"/>
        <v>-138.8312034985409</v>
      </c>
      <c r="AU560" s="198">
        <f t="shared" si="346"/>
        <v>110.83157927302744</v>
      </c>
      <c r="AV560" s="225"/>
    </row>
    <row r="561" spans="14:30" x14ac:dyDescent="0.3">
      <c r="N561" s="170"/>
      <c r="P561" s="189"/>
      <c r="Q561" s="160"/>
      <c r="R561" s="160"/>
      <c r="S561" s="160"/>
      <c r="T561" s="160"/>
      <c r="U561" s="160"/>
      <c r="V561" s="160"/>
      <c r="X561" s="160"/>
      <c r="Y561" s="160"/>
      <c r="AA561" s="160"/>
      <c r="AB561" s="160"/>
      <c r="AC561" s="160"/>
      <c r="AD561" s="190"/>
    </row>
    <row r="562" spans="14:30" x14ac:dyDescent="0.3">
      <c r="N562" s="170"/>
      <c r="P562" s="189"/>
      <c r="Q562" s="160"/>
      <c r="R562" s="160"/>
      <c r="S562" s="160"/>
      <c r="T562" s="160"/>
      <c r="U562" s="160"/>
      <c r="V562" s="160"/>
      <c r="X562" s="160"/>
      <c r="Y562" s="160"/>
      <c r="AA562" s="160"/>
      <c r="AB562" s="160"/>
      <c r="AC562" s="160"/>
      <c r="AD562" s="190"/>
    </row>
    <row r="563" spans="14:30" x14ac:dyDescent="0.3">
      <c r="N563" s="170"/>
      <c r="P563" s="189"/>
      <c r="Q563" s="160"/>
      <c r="R563" s="160"/>
      <c r="S563" s="160"/>
      <c r="T563" s="160"/>
      <c r="U563" s="160"/>
      <c r="V563" s="160"/>
      <c r="X563" s="160"/>
      <c r="Y563" s="160"/>
      <c r="AA563" s="160"/>
      <c r="AB563" s="160"/>
      <c r="AC563" s="160"/>
      <c r="AD563" s="190"/>
    </row>
    <row r="564" spans="14:30" x14ac:dyDescent="0.3">
      <c r="N564" s="170"/>
      <c r="P564" s="189"/>
      <c r="Q564" s="160"/>
      <c r="R564" s="160"/>
      <c r="S564" s="160"/>
      <c r="T564" s="160"/>
      <c r="U564" s="160"/>
      <c r="V564" s="160"/>
      <c r="X564" s="160"/>
      <c r="Y564" s="160"/>
      <c r="AA564" s="160"/>
      <c r="AB564" s="160"/>
      <c r="AC564" s="160"/>
      <c r="AD564" s="190"/>
    </row>
    <row r="565" spans="14:30" x14ac:dyDescent="0.3">
      <c r="N565" s="170"/>
      <c r="P565" s="189"/>
      <c r="Q565" s="160"/>
      <c r="R565" s="160"/>
      <c r="S565" s="160"/>
      <c r="T565" s="160"/>
      <c r="U565" s="160"/>
      <c r="V565" s="160"/>
      <c r="X565" s="160"/>
      <c r="Y565" s="160"/>
      <c r="AA565" s="160"/>
      <c r="AB565" s="160"/>
      <c r="AC565" s="160"/>
      <c r="AD565" s="190"/>
    </row>
    <row r="566" spans="14:30" x14ac:dyDescent="0.3">
      <c r="N566" s="170"/>
      <c r="P566" s="189"/>
      <c r="Q566" s="160"/>
      <c r="R566" s="160"/>
      <c r="S566" s="160"/>
      <c r="T566" s="160"/>
      <c r="U566" s="160"/>
      <c r="V566" s="160"/>
      <c r="X566" s="160"/>
      <c r="Y566" s="160"/>
      <c r="AA566" s="160"/>
      <c r="AB566" s="160"/>
      <c r="AC566" s="160"/>
      <c r="AD566" s="190"/>
    </row>
    <row r="567" spans="14:30" x14ac:dyDescent="0.3">
      <c r="N567" s="170"/>
      <c r="P567" s="189"/>
      <c r="Q567" s="160"/>
      <c r="R567" s="160"/>
      <c r="S567" s="160"/>
      <c r="T567" s="160"/>
      <c r="U567" s="160"/>
      <c r="V567" s="160"/>
      <c r="X567" s="160"/>
      <c r="Y567" s="160"/>
      <c r="AA567" s="160"/>
      <c r="AB567" s="160"/>
      <c r="AC567" s="160"/>
      <c r="AD567" s="190"/>
    </row>
    <row r="568" spans="14:30" x14ac:dyDescent="0.3">
      <c r="N568" s="170"/>
      <c r="P568" s="189"/>
      <c r="Q568" s="160"/>
      <c r="R568" s="160"/>
      <c r="S568" s="160"/>
      <c r="T568" s="160"/>
      <c r="U568" s="160"/>
      <c r="V568" s="160"/>
      <c r="X568" s="160"/>
      <c r="Y568" s="160"/>
      <c r="AA568" s="160"/>
      <c r="AB568" s="160"/>
      <c r="AC568" s="160"/>
      <c r="AD568" s="190"/>
    </row>
    <row r="569" spans="14:30" x14ac:dyDescent="0.3">
      <c r="N569" s="170"/>
      <c r="P569" s="189"/>
      <c r="Q569" s="160"/>
      <c r="R569" s="160"/>
      <c r="S569" s="160"/>
      <c r="T569" s="160"/>
      <c r="U569" s="160"/>
      <c r="V569" s="160"/>
      <c r="X569" s="160"/>
      <c r="Y569" s="160"/>
      <c r="AA569" s="160"/>
      <c r="AB569" s="160"/>
      <c r="AC569" s="160"/>
      <c r="AD569" s="190"/>
    </row>
    <row r="570" spans="14:30" x14ac:dyDescent="0.3">
      <c r="N570" s="170"/>
      <c r="P570" s="189"/>
      <c r="Q570" s="160"/>
      <c r="R570" s="160"/>
      <c r="S570" s="160"/>
      <c r="T570" s="160"/>
      <c r="U570" s="160"/>
      <c r="V570" s="160"/>
      <c r="X570" s="160"/>
      <c r="Y570" s="160"/>
      <c r="AA570" s="160"/>
      <c r="AB570" s="160"/>
      <c r="AC570" s="160"/>
      <c r="AD570" s="190"/>
    </row>
    <row r="571" spans="14:30" x14ac:dyDescent="0.3">
      <c r="N571" s="170"/>
      <c r="P571" s="189"/>
      <c r="Q571" s="160"/>
      <c r="R571" s="160"/>
      <c r="S571" s="160"/>
      <c r="T571" s="160"/>
      <c r="U571" s="160"/>
      <c r="V571" s="160"/>
      <c r="X571" s="160"/>
      <c r="Y571" s="160"/>
      <c r="AA571" s="160"/>
      <c r="AB571" s="160"/>
      <c r="AC571" s="160"/>
      <c r="AD571" s="190"/>
    </row>
    <row r="572" spans="14:30" x14ac:dyDescent="0.3">
      <c r="N572" s="170"/>
      <c r="P572" s="189"/>
      <c r="Q572" s="160"/>
      <c r="R572" s="160"/>
      <c r="S572" s="160"/>
      <c r="T572" s="160"/>
      <c r="U572" s="160"/>
      <c r="V572" s="160"/>
      <c r="X572" s="160"/>
      <c r="Y572" s="160"/>
      <c r="AA572" s="160"/>
      <c r="AB572" s="160"/>
      <c r="AC572" s="160"/>
      <c r="AD572" s="190"/>
    </row>
    <row r="573" spans="14:30" x14ac:dyDescent="0.3">
      <c r="N573" s="170"/>
      <c r="P573" s="189"/>
      <c r="Q573" s="160"/>
      <c r="R573" s="160"/>
      <c r="S573" s="160"/>
      <c r="T573" s="160"/>
      <c r="U573" s="160"/>
      <c r="V573" s="160"/>
      <c r="X573" s="160"/>
      <c r="Y573" s="160"/>
      <c r="AA573" s="160"/>
      <c r="AB573" s="160"/>
      <c r="AC573" s="160"/>
      <c r="AD573" s="190"/>
    </row>
    <row r="574" spans="14:30" x14ac:dyDescent="0.3">
      <c r="N574" s="170"/>
      <c r="P574" s="189"/>
      <c r="Q574" s="160"/>
      <c r="R574" s="160"/>
      <c r="S574" s="160"/>
      <c r="T574" s="160"/>
      <c r="U574" s="160"/>
      <c r="V574" s="160"/>
      <c r="X574" s="160"/>
      <c r="Y574" s="160"/>
      <c r="AA574" s="160"/>
      <c r="AB574" s="160"/>
      <c r="AC574" s="160"/>
      <c r="AD574" s="190"/>
    </row>
    <row r="575" spans="14:30" x14ac:dyDescent="0.3">
      <c r="N575" s="170"/>
      <c r="P575" s="189"/>
      <c r="Q575" s="160"/>
      <c r="R575" s="160"/>
      <c r="S575" s="160"/>
      <c r="T575" s="160"/>
      <c r="U575" s="160"/>
      <c r="V575" s="160"/>
      <c r="X575" s="160"/>
      <c r="Y575" s="160"/>
      <c r="AA575" s="160"/>
      <c r="AB575" s="160"/>
      <c r="AC575" s="160"/>
      <c r="AD575" s="190"/>
    </row>
    <row r="576" spans="14:30" x14ac:dyDescent="0.3">
      <c r="N576" s="170"/>
      <c r="P576" s="189"/>
      <c r="Q576" s="160"/>
      <c r="R576" s="160"/>
      <c r="S576" s="160"/>
      <c r="T576" s="160"/>
      <c r="U576" s="160"/>
      <c r="V576" s="160"/>
      <c r="X576" s="160"/>
      <c r="Y576" s="160"/>
      <c r="AA576" s="160"/>
      <c r="AB576" s="160"/>
      <c r="AC576" s="160"/>
      <c r="AD576" s="190"/>
    </row>
    <row r="577" spans="14:30" x14ac:dyDescent="0.3">
      <c r="N577" s="170"/>
      <c r="P577" s="189"/>
      <c r="Q577" s="160"/>
      <c r="R577" s="160"/>
      <c r="S577" s="160"/>
      <c r="T577" s="160"/>
      <c r="U577" s="160"/>
      <c r="V577" s="160"/>
      <c r="X577" s="160"/>
      <c r="Y577" s="160"/>
      <c r="AA577" s="160"/>
      <c r="AB577" s="160"/>
      <c r="AC577" s="160"/>
      <c r="AD577" s="190"/>
    </row>
    <row r="578" spans="14:30" x14ac:dyDescent="0.3">
      <c r="N578" s="170"/>
      <c r="P578" s="189"/>
      <c r="Q578" s="160"/>
      <c r="R578" s="160"/>
      <c r="S578" s="160"/>
      <c r="T578" s="160"/>
      <c r="U578" s="160"/>
      <c r="V578" s="160"/>
      <c r="X578" s="160"/>
      <c r="Y578" s="160"/>
      <c r="AA578" s="160"/>
      <c r="AB578" s="160"/>
      <c r="AC578" s="160"/>
      <c r="AD578" s="190"/>
    </row>
    <row r="579" spans="14:30" x14ac:dyDescent="0.3">
      <c r="N579" s="170"/>
      <c r="P579" s="189"/>
      <c r="Q579" s="160"/>
      <c r="R579" s="160"/>
      <c r="S579" s="160"/>
      <c r="T579" s="160"/>
      <c r="U579" s="160"/>
      <c r="V579" s="160"/>
      <c r="X579" s="160"/>
      <c r="Y579" s="160"/>
      <c r="AA579" s="160"/>
      <c r="AB579" s="160"/>
      <c r="AC579" s="160"/>
      <c r="AD579" s="190"/>
    </row>
    <row r="580" spans="14:30" x14ac:dyDescent="0.3">
      <c r="N580" s="170"/>
      <c r="P580" s="189"/>
      <c r="Q580" s="160"/>
      <c r="R580" s="160"/>
      <c r="S580" s="160"/>
      <c r="T580" s="160"/>
      <c r="U580" s="160"/>
      <c r="V580" s="160"/>
      <c r="X580" s="160"/>
      <c r="Y580" s="160"/>
      <c r="AA580" s="160"/>
      <c r="AB580" s="160"/>
      <c r="AC580" s="160"/>
      <c r="AD580" s="190"/>
    </row>
    <row r="581" spans="14:30" x14ac:dyDescent="0.3">
      <c r="N581" s="170"/>
      <c r="P581" s="189"/>
      <c r="Q581" s="160"/>
      <c r="R581" s="160"/>
      <c r="S581" s="160"/>
      <c r="T581" s="160"/>
      <c r="U581" s="160"/>
      <c r="V581" s="160"/>
      <c r="X581" s="160"/>
      <c r="Y581" s="160"/>
      <c r="AA581" s="160"/>
      <c r="AB581" s="160"/>
      <c r="AC581" s="160"/>
      <c r="AD581" s="190"/>
    </row>
    <row r="582" spans="14:30" x14ac:dyDescent="0.3">
      <c r="N582" s="170"/>
      <c r="P582" s="189"/>
      <c r="Q582" s="160"/>
      <c r="R582" s="160"/>
      <c r="S582" s="160"/>
      <c r="T582" s="160"/>
      <c r="U582" s="160"/>
      <c r="V582" s="160"/>
      <c r="X582" s="160"/>
      <c r="Y582" s="160"/>
      <c r="AA582" s="160"/>
      <c r="AB582" s="160"/>
      <c r="AC582" s="160"/>
      <c r="AD582" s="190"/>
    </row>
    <row r="583" spans="14:30" x14ac:dyDescent="0.3">
      <c r="N583" s="170"/>
      <c r="P583" s="189"/>
      <c r="Q583" s="160"/>
      <c r="R583" s="160"/>
      <c r="S583" s="160"/>
      <c r="T583" s="160"/>
      <c r="U583" s="160"/>
      <c r="V583" s="160"/>
      <c r="X583" s="160"/>
      <c r="Y583" s="160"/>
      <c r="AA583" s="160"/>
      <c r="AB583" s="160"/>
      <c r="AC583" s="160"/>
      <c r="AD583" s="190"/>
    </row>
    <row r="584" spans="14:30" x14ac:dyDescent="0.3">
      <c r="N584" s="170"/>
      <c r="P584" s="189"/>
      <c r="Q584" s="160"/>
      <c r="R584" s="160"/>
      <c r="S584" s="160"/>
      <c r="T584" s="160"/>
      <c r="U584" s="160"/>
      <c r="V584" s="160"/>
      <c r="X584" s="160"/>
      <c r="Y584" s="160"/>
      <c r="AA584" s="160"/>
      <c r="AB584" s="160"/>
      <c r="AC584" s="160"/>
      <c r="AD584" s="190"/>
    </row>
    <row r="585" spans="14:30" x14ac:dyDescent="0.3">
      <c r="N585" s="170"/>
      <c r="P585" s="189"/>
      <c r="Q585" s="160"/>
      <c r="R585" s="160"/>
      <c r="S585" s="160"/>
      <c r="T585" s="160"/>
      <c r="U585" s="160"/>
      <c r="V585" s="160"/>
      <c r="X585" s="160"/>
      <c r="Y585" s="160"/>
      <c r="AA585" s="160"/>
      <c r="AB585" s="160"/>
      <c r="AC585" s="160"/>
      <c r="AD585" s="190"/>
    </row>
    <row r="586" spans="14:30" x14ac:dyDescent="0.3">
      <c r="N586" s="170"/>
      <c r="P586" s="189"/>
      <c r="Q586" s="160"/>
      <c r="R586" s="160"/>
      <c r="S586" s="160"/>
      <c r="T586" s="160"/>
      <c r="U586" s="160"/>
      <c r="V586" s="160"/>
      <c r="X586" s="160"/>
      <c r="Y586" s="160"/>
      <c r="AA586" s="160"/>
      <c r="AB586" s="160"/>
      <c r="AC586" s="160"/>
      <c r="AD586" s="190"/>
    </row>
    <row r="587" spans="14:30" x14ac:dyDescent="0.3">
      <c r="N587" s="170"/>
      <c r="P587" s="189"/>
      <c r="Q587" s="160"/>
      <c r="R587" s="160"/>
      <c r="S587" s="160"/>
      <c r="T587" s="160"/>
      <c r="U587" s="160"/>
      <c r="V587" s="160"/>
      <c r="X587" s="160"/>
      <c r="Y587" s="160"/>
      <c r="AA587" s="160"/>
      <c r="AB587" s="160"/>
      <c r="AC587" s="160"/>
      <c r="AD587" s="190"/>
    </row>
    <row r="588" spans="14:30" x14ac:dyDescent="0.3">
      <c r="N588" s="170"/>
      <c r="P588" s="189"/>
      <c r="Q588" s="160"/>
      <c r="R588" s="160"/>
      <c r="S588" s="160"/>
      <c r="T588" s="160"/>
      <c r="U588" s="160"/>
      <c r="V588" s="160"/>
      <c r="X588" s="160"/>
      <c r="Y588" s="160"/>
      <c r="AA588" s="160"/>
      <c r="AB588" s="160"/>
      <c r="AC588" s="160"/>
      <c r="AD588" s="190"/>
    </row>
    <row r="589" spans="14:30" x14ac:dyDescent="0.3">
      <c r="N589" s="170"/>
      <c r="P589" s="189"/>
      <c r="Q589" s="160"/>
      <c r="R589" s="160"/>
      <c r="S589" s="160"/>
      <c r="T589" s="160"/>
      <c r="U589" s="160"/>
      <c r="V589" s="160"/>
      <c r="X589" s="160"/>
      <c r="Y589" s="160"/>
      <c r="AA589" s="160"/>
      <c r="AB589" s="160"/>
      <c r="AC589" s="160"/>
      <c r="AD589" s="190"/>
    </row>
    <row r="590" spans="14:30" x14ac:dyDescent="0.3">
      <c r="N590" s="170"/>
      <c r="P590" s="189"/>
      <c r="Q590" s="160"/>
      <c r="R590" s="160"/>
      <c r="S590" s="160"/>
      <c r="T590" s="160"/>
      <c r="U590" s="160"/>
      <c r="V590" s="160"/>
      <c r="X590" s="160"/>
      <c r="Y590" s="160"/>
      <c r="AA590" s="160"/>
      <c r="AB590" s="160"/>
      <c r="AC590" s="160"/>
      <c r="AD590" s="190"/>
    </row>
    <row r="591" spans="14:30" x14ac:dyDescent="0.3">
      <c r="N591" s="170"/>
      <c r="P591" s="189"/>
      <c r="Q591" s="160"/>
      <c r="R591" s="160"/>
      <c r="S591" s="160"/>
      <c r="T591" s="160"/>
      <c r="U591" s="160"/>
      <c r="V591" s="160"/>
      <c r="X591" s="160"/>
      <c r="Y591" s="160"/>
      <c r="AA591" s="160"/>
      <c r="AB591" s="160"/>
      <c r="AC591" s="160"/>
      <c r="AD591" s="190"/>
    </row>
    <row r="592" spans="14:30" x14ac:dyDescent="0.3">
      <c r="N592" s="170"/>
      <c r="P592" s="189"/>
      <c r="Q592" s="160"/>
      <c r="R592" s="160"/>
      <c r="S592" s="160"/>
      <c r="T592" s="160"/>
      <c r="U592" s="160"/>
      <c r="V592" s="160"/>
      <c r="X592" s="160"/>
      <c r="Y592" s="160"/>
      <c r="AA592" s="160"/>
      <c r="AB592" s="160"/>
      <c r="AC592" s="160"/>
      <c r="AD592" s="190"/>
    </row>
    <row r="593" spans="14:30" x14ac:dyDescent="0.3">
      <c r="N593" s="170"/>
      <c r="P593" s="189"/>
      <c r="Q593" s="160"/>
      <c r="R593" s="160"/>
      <c r="S593" s="160"/>
      <c r="T593" s="160"/>
      <c r="U593" s="160"/>
      <c r="V593" s="160"/>
      <c r="X593" s="160"/>
      <c r="Y593" s="160"/>
      <c r="AA593" s="160"/>
      <c r="AB593" s="160"/>
      <c r="AC593" s="160"/>
      <c r="AD593" s="190"/>
    </row>
    <row r="594" spans="14:30" x14ac:dyDescent="0.3">
      <c r="N594" s="170"/>
      <c r="P594" s="189"/>
      <c r="Q594" s="160"/>
      <c r="R594" s="160"/>
      <c r="S594" s="160"/>
      <c r="T594" s="160"/>
      <c r="U594" s="160"/>
      <c r="V594" s="160"/>
      <c r="X594" s="160"/>
      <c r="Y594" s="160"/>
      <c r="AA594" s="160"/>
      <c r="AB594" s="160"/>
      <c r="AC594" s="160"/>
      <c r="AD594" s="190"/>
    </row>
    <row r="595" spans="14:30" x14ac:dyDescent="0.3">
      <c r="N595" s="170"/>
      <c r="P595" s="189"/>
      <c r="Q595" s="160"/>
      <c r="R595" s="160"/>
      <c r="S595" s="160"/>
      <c r="T595" s="160"/>
      <c r="U595" s="160"/>
      <c r="V595" s="160"/>
      <c r="X595" s="160"/>
      <c r="Y595" s="160"/>
      <c r="AA595" s="160"/>
      <c r="AB595" s="160"/>
      <c r="AC595" s="160"/>
      <c r="AD595" s="190"/>
    </row>
    <row r="596" spans="14:30" x14ac:dyDescent="0.3">
      <c r="N596" s="170"/>
      <c r="P596" s="189"/>
      <c r="Q596" s="160"/>
      <c r="R596" s="160"/>
      <c r="S596" s="160"/>
      <c r="T596" s="160"/>
      <c r="U596" s="160"/>
      <c r="V596" s="160"/>
      <c r="X596" s="160"/>
      <c r="Y596" s="160"/>
      <c r="AA596" s="160"/>
      <c r="AB596" s="160"/>
      <c r="AC596" s="160"/>
      <c r="AD596" s="190"/>
    </row>
    <row r="597" spans="14:30" x14ac:dyDescent="0.3">
      <c r="N597" s="170"/>
      <c r="P597" s="189"/>
      <c r="Q597" s="160"/>
      <c r="R597" s="160"/>
      <c r="S597" s="160"/>
      <c r="T597" s="160"/>
      <c r="U597" s="160"/>
      <c r="V597" s="160"/>
      <c r="X597" s="160"/>
      <c r="Y597" s="160"/>
      <c r="AA597" s="160"/>
      <c r="AB597" s="160"/>
      <c r="AC597" s="160"/>
      <c r="AD597" s="190"/>
    </row>
    <row r="598" spans="14:30" x14ac:dyDescent="0.3">
      <c r="N598" s="170"/>
      <c r="P598" s="189"/>
      <c r="Q598" s="160"/>
      <c r="R598" s="160"/>
      <c r="S598" s="160"/>
      <c r="T598" s="160"/>
      <c r="U598" s="160"/>
      <c r="V598" s="160"/>
      <c r="X598" s="160"/>
      <c r="Y598" s="160"/>
      <c r="AA598" s="160"/>
      <c r="AB598" s="160"/>
      <c r="AC598" s="160"/>
      <c r="AD598" s="190"/>
    </row>
    <row r="599" spans="14:30" x14ac:dyDescent="0.3">
      <c r="N599" s="170"/>
      <c r="P599" s="189"/>
      <c r="Q599" s="160"/>
      <c r="R599" s="160"/>
      <c r="S599" s="160"/>
      <c r="T599" s="160"/>
      <c r="U599" s="160"/>
      <c r="V599" s="160"/>
      <c r="X599" s="160"/>
      <c r="Y599" s="160"/>
      <c r="AA599" s="160"/>
      <c r="AB599" s="160"/>
      <c r="AC599" s="160"/>
      <c r="AD599" s="190"/>
    </row>
    <row r="600" spans="14:30" x14ac:dyDescent="0.3">
      <c r="N600" s="170"/>
      <c r="P600" s="189"/>
      <c r="Q600" s="160"/>
      <c r="R600" s="160"/>
      <c r="S600" s="160"/>
      <c r="T600" s="160"/>
      <c r="U600" s="160"/>
      <c r="V600" s="160"/>
      <c r="X600" s="160"/>
      <c r="Y600" s="160"/>
      <c r="AA600" s="160"/>
      <c r="AB600" s="160"/>
      <c r="AC600" s="160"/>
      <c r="AD600" s="190"/>
    </row>
    <row r="601" spans="14:30" x14ac:dyDescent="0.3">
      <c r="N601" s="170"/>
      <c r="P601" s="189"/>
      <c r="Q601" s="160"/>
      <c r="R601" s="160"/>
      <c r="S601" s="160"/>
      <c r="T601" s="160"/>
      <c r="U601" s="160"/>
      <c r="V601" s="160"/>
      <c r="X601" s="160"/>
      <c r="Y601" s="160"/>
      <c r="AA601" s="160"/>
      <c r="AB601" s="160"/>
      <c r="AC601" s="160"/>
      <c r="AD601" s="190"/>
    </row>
    <row r="602" spans="14:30" x14ac:dyDescent="0.3">
      <c r="N602" s="170"/>
      <c r="P602" s="189"/>
      <c r="Q602" s="160"/>
      <c r="R602" s="160"/>
      <c r="S602" s="160"/>
      <c r="T602" s="160"/>
      <c r="U602" s="160"/>
      <c r="V602" s="160"/>
      <c r="X602" s="160"/>
      <c r="Y602" s="160"/>
      <c r="AA602" s="160"/>
      <c r="AB602" s="160"/>
      <c r="AC602" s="160"/>
      <c r="AD602" s="190"/>
    </row>
    <row r="603" spans="14:30" x14ac:dyDescent="0.3">
      <c r="N603" s="170"/>
      <c r="P603" s="189"/>
      <c r="Q603" s="160"/>
      <c r="R603" s="160"/>
      <c r="S603" s="160"/>
      <c r="T603" s="160"/>
      <c r="U603" s="160"/>
      <c r="V603" s="160"/>
      <c r="X603" s="160"/>
      <c r="Y603" s="160"/>
      <c r="AA603" s="160"/>
      <c r="AB603" s="160"/>
      <c r="AC603" s="160"/>
      <c r="AD603" s="190"/>
    </row>
    <row r="604" spans="14:30" x14ac:dyDescent="0.3">
      <c r="N604" s="170"/>
      <c r="P604" s="189"/>
      <c r="Q604" s="160"/>
      <c r="R604" s="160"/>
      <c r="S604" s="160"/>
      <c r="T604" s="160"/>
      <c r="U604" s="160"/>
      <c r="V604" s="160"/>
      <c r="X604" s="160"/>
      <c r="Y604" s="160"/>
      <c r="AA604" s="160"/>
      <c r="AB604" s="160"/>
      <c r="AC604" s="160"/>
      <c r="AD604" s="190"/>
    </row>
    <row r="605" spans="14:30" x14ac:dyDescent="0.3">
      <c r="N605" s="170"/>
      <c r="P605" s="189"/>
      <c r="Q605" s="160"/>
      <c r="R605" s="160"/>
      <c r="S605" s="160"/>
      <c r="T605" s="160"/>
      <c r="U605" s="160"/>
      <c r="V605" s="160"/>
      <c r="X605" s="160"/>
      <c r="Y605" s="160"/>
      <c r="AA605" s="160"/>
      <c r="AB605" s="160"/>
      <c r="AC605" s="160"/>
      <c r="AD605" s="190"/>
    </row>
    <row r="606" spans="14:30" x14ac:dyDescent="0.3">
      <c r="N606" s="170"/>
      <c r="P606" s="189"/>
      <c r="Q606" s="160"/>
      <c r="R606" s="160"/>
      <c r="S606" s="160"/>
      <c r="T606" s="160"/>
      <c r="U606" s="160"/>
      <c r="V606" s="160"/>
      <c r="X606" s="160"/>
      <c r="Y606" s="160"/>
      <c r="AA606" s="160"/>
      <c r="AB606" s="160"/>
      <c r="AC606" s="160"/>
      <c r="AD606" s="190"/>
    </row>
    <row r="607" spans="14:30" x14ac:dyDescent="0.3">
      <c r="N607" s="170"/>
      <c r="P607" s="189"/>
      <c r="Q607" s="160"/>
      <c r="R607" s="160"/>
      <c r="S607" s="160"/>
      <c r="T607" s="160"/>
      <c r="U607" s="160"/>
      <c r="V607" s="160"/>
      <c r="X607" s="160"/>
      <c r="Y607" s="160"/>
      <c r="AA607" s="160"/>
      <c r="AB607" s="160"/>
      <c r="AC607" s="160"/>
      <c r="AD607" s="190"/>
    </row>
    <row r="608" spans="14:30" x14ac:dyDescent="0.3">
      <c r="N608" s="170"/>
      <c r="P608" s="189"/>
      <c r="Q608" s="160"/>
      <c r="R608" s="160"/>
      <c r="S608" s="160"/>
      <c r="T608" s="160"/>
      <c r="U608" s="160"/>
      <c r="V608" s="160"/>
      <c r="X608" s="160"/>
      <c r="Y608" s="160"/>
      <c r="AA608" s="160"/>
      <c r="AB608" s="160"/>
      <c r="AC608" s="160"/>
      <c r="AD608" s="190"/>
    </row>
    <row r="609" spans="14:30" x14ac:dyDescent="0.3">
      <c r="N609" s="170"/>
      <c r="P609" s="189"/>
      <c r="Q609" s="160"/>
      <c r="R609" s="160"/>
      <c r="S609" s="160"/>
      <c r="T609" s="160"/>
      <c r="U609" s="160"/>
      <c r="V609" s="160"/>
      <c r="X609" s="160"/>
      <c r="Y609" s="160"/>
      <c r="AA609" s="160"/>
      <c r="AB609" s="160"/>
      <c r="AC609" s="160"/>
      <c r="AD609" s="190"/>
    </row>
    <row r="610" spans="14:30" x14ac:dyDescent="0.3">
      <c r="N610" s="170"/>
      <c r="P610" s="189"/>
      <c r="Q610" s="160"/>
      <c r="R610" s="160"/>
      <c r="S610" s="160"/>
      <c r="T610" s="160"/>
      <c r="U610" s="160"/>
      <c r="V610" s="160"/>
      <c r="X610" s="160"/>
      <c r="Y610" s="160"/>
      <c r="AA610" s="160"/>
      <c r="AB610" s="160"/>
      <c r="AC610" s="160"/>
      <c r="AD610" s="190"/>
    </row>
    <row r="611" spans="14:30" x14ac:dyDescent="0.3">
      <c r="N611" s="170"/>
      <c r="P611" s="189"/>
      <c r="Q611" s="160"/>
      <c r="R611" s="160"/>
      <c r="S611" s="160"/>
      <c r="T611" s="160"/>
      <c r="U611" s="160"/>
      <c r="V611" s="160"/>
      <c r="X611" s="160"/>
      <c r="Y611" s="160"/>
      <c r="AA611" s="160"/>
      <c r="AB611" s="160"/>
      <c r="AC611" s="160"/>
      <c r="AD611" s="190"/>
    </row>
    <row r="612" spans="14:30" x14ac:dyDescent="0.3">
      <c r="N612" s="170"/>
      <c r="P612" s="189"/>
      <c r="Q612" s="160"/>
      <c r="R612" s="160"/>
      <c r="S612" s="160"/>
      <c r="T612" s="160"/>
      <c r="U612" s="160"/>
      <c r="V612" s="160"/>
      <c r="X612" s="160"/>
      <c r="Y612" s="160"/>
      <c r="AA612" s="160"/>
      <c r="AB612" s="160"/>
      <c r="AC612" s="160"/>
      <c r="AD612" s="190"/>
    </row>
    <row r="613" spans="14:30" x14ac:dyDescent="0.3">
      <c r="N613" s="170"/>
      <c r="P613" s="189"/>
      <c r="Q613" s="160"/>
      <c r="R613" s="160"/>
      <c r="S613" s="160"/>
      <c r="T613" s="160"/>
      <c r="U613" s="160"/>
      <c r="V613" s="160"/>
      <c r="X613" s="160"/>
      <c r="Y613" s="160"/>
      <c r="AA613" s="160"/>
      <c r="AB613" s="160"/>
      <c r="AC613" s="160"/>
      <c r="AD613" s="190"/>
    </row>
    <row r="614" spans="14:30" x14ac:dyDescent="0.3">
      <c r="N614" s="170"/>
      <c r="P614" s="189"/>
      <c r="Q614" s="160"/>
      <c r="R614" s="160"/>
      <c r="S614" s="160"/>
      <c r="T614" s="160"/>
      <c r="U614" s="160"/>
      <c r="V614" s="160"/>
      <c r="X614" s="160"/>
      <c r="Y614" s="160"/>
      <c r="AA614" s="160"/>
      <c r="AB614" s="160"/>
      <c r="AC614" s="160"/>
      <c r="AD614" s="190"/>
    </row>
    <row r="615" spans="14:30" x14ac:dyDescent="0.3">
      <c r="N615" s="170"/>
      <c r="P615" s="189"/>
      <c r="Q615" s="160"/>
      <c r="R615" s="160"/>
      <c r="S615" s="160"/>
      <c r="T615" s="160"/>
      <c r="U615" s="160"/>
      <c r="V615" s="160"/>
      <c r="X615" s="160"/>
      <c r="Y615" s="160"/>
      <c r="AA615" s="160"/>
      <c r="AB615" s="160"/>
      <c r="AC615" s="160"/>
      <c r="AD615" s="190"/>
    </row>
    <row r="616" spans="14:30" x14ac:dyDescent="0.3">
      <c r="N616" s="170"/>
      <c r="P616" s="189"/>
      <c r="Q616" s="160"/>
      <c r="R616" s="160"/>
      <c r="S616" s="160"/>
      <c r="T616" s="160"/>
      <c r="U616" s="160"/>
      <c r="V616" s="160"/>
      <c r="X616" s="160"/>
      <c r="Y616" s="160"/>
      <c r="AA616" s="160"/>
      <c r="AB616" s="160"/>
      <c r="AC616" s="160"/>
      <c r="AD616" s="190"/>
    </row>
    <row r="617" spans="14:30" x14ac:dyDescent="0.3">
      <c r="N617" s="170"/>
      <c r="P617" s="189"/>
      <c r="Q617" s="160"/>
      <c r="R617" s="160"/>
      <c r="S617" s="160"/>
      <c r="T617" s="160"/>
      <c r="U617" s="160"/>
      <c r="V617" s="160"/>
      <c r="X617" s="160"/>
      <c r="Y617" s="160"/>
      <c r="AA617" s="160"/>
      <c r="AB617" s="160"/>
      <c r="AC617" s="160"/>
      <c r="AD617" s="190"/>
    </row>
    <row r="618" spans="14:30" x14ac:dyDescent="0.3">
      <c r="N618" s="170"/>
      <c r="P618" s="189"/>
      <c r="Q618" s="160"/>
      <c r="R618" s="160"/>
      <c r="S618" s="160"/>
      <c r="T618" s="160"/>
      <c r="U618" s="160"/>
      <c r="V618" s="160"/>
      <c r="X618" s="160"/>
      <c r="Y618" s="160"/>
      <c r="AA618" s="160"/>
      <c r="AB618" s="160"/>
      <c r="AC618" s="160"/>
      <c r="AD618" s="190"/>
    </row>
    <row r="619" spans="14:30" x14ac:dyDescent="0.3">
      <c r="N619" s="170"/>
      <c r="P619" s="189"/>
      <c r="Q619" s="160"/>
      <c r="R619" s="160"/>
      <c r="S619" s="160"/>
      <c r="T619" s="160"/>
      <c r="U619" s="160"/>
      <c r="V619" s="160"/>
      <c r="X619" s="160"/>
      <c r="Y619" s="160"/>
      <c r="AA619" s="160"/>
      <c r="AB619" s="160"/>
      <c r="AC619" s="160"/>
      <c r="AD619" s="190"/>
    </row>
    <row r="620" spans="14:30" x14ac:dyDescent="0.3">
      <c r="N620" s="170"/>
      <c r="P620" s="189"/>
      <c r="Q620" s="160"/>
      <c r="R620" s="160"/>
      <c r="S620" s="160"/>
      <c r="T620" s="160"/>
      <c r="U620" s="160"/>
      <c r="V620" s="160"/>
      <c r="X620" s="160"/>
      <c r="Y620" s="160"/>
      <c r="AA620" s="160"/>
      <c r="AB620" s="160"/>
      <c r="AC620" s="160"/>
      <c r="AD620" s="190"/>
    </row>
    <row r="621" spans="14:30" x14ac:dyDescent="0.3">
      <c r="N621" s="170"/>
      <c r="P621" s="189"/>
      <c r="Q621" s="160"/>
      <c r="R621" s="160"/>
      <c r="S621" s="160"/>
      <c r="T621" s="160"/>
      <c r="U621" s="160"/>
      <c r="V621" s="160"/>
      <c r="X621" s="160"/>
      <c r="Y621" s="160"/>
      <c r="AA621" s="160"/>
      <c r="AB621" s="160"/>
      <c r="AC621" s="160"/>
      <c r="AD621" s="190"/>
    </row>
    <row r="622" spans="14:30" x14ac:dyDescent="0.3">
      <c r="N622" s="170"/>
      <c r="P622" s="189"/>
      <c r="Q622" s="160"/>
      <c r="R622" s="160"/>
      <c r="S622" s="160"/>
      <c r="T622" s="160"/>
      <c r="U622" s="160"/>
      <c r="V622" s="160"/>
      <c r="X622" s="160"/>
      <c r="Y622" s="160"/>
      <c r="AA622" s="160"/>
      <c r="AB622" s="160"/>
      <c r="AC622" s="160"/>
      <c r="AD622" s="190"/>
    </row>
    <row r="623" spans="14:30" x14ac:dyDescent="0.3">
      <c r="N623" s="170"/>
      <c r="P623" s="189"/>
      <c r="Q623" s="160"/>
      <c r="R623" s="160"/>
      <c r="S623" s="160"/>
      <c r="T623" s="160"/>
      <c r="U623" s="160"/>
      <c r="V623" s="160"/>
      <c r="X623" s="160"/>
      <c r="Y623" s="160"/>
      <c r="AA623" s="160"/>
      <c r="AB623" s="160"/>
      <c r="AC623" s="160"/>
      <c r="AD623" s="190"/>
    </row>
    <row r="624" spans="14:30" x14ac:dyDescent="0.3">
      <c r="N624" s="170"/>
      <c r="P624" s="189"/>
      <c r="Q624" s="160"/>
      <c r="R624" s="160"/>
      <c r="S624" s="160"/>
      <c r="T624" s="160"/>
      <c r="U624" s="160"/>
      <c r="V624" s="160"/>
      <c r="X624" s="160"/>
      <c r="Y624" s="160"/>
      <c r="AA624" s="160"/>
      <c r="AB624" s="160"/>
      <c r="AC624" s="160"/>
      <c r="AD624" s="190"/>
    </row>
    <row r="625" spans="14:30" x14ac:dyDescent="0.3">
      <c r="N625" s="170"/>
      <c r="P625" s="189"/>
      <c r="Q625" s="160"/>
      <c r="R625" s="160"/>
      <c r="S625" s="160"/>
      <c r="T625" s="160"/>
      <c r="U625" s="160"/>
      <c r="V625" s="160"/>
      <c r="X625" s="160"/>
      <c r="Y625" s="160"/>
      <c r="AA625" s="160"/>
      <c r="AB625" s="160"/>
      <c r="AC625" s="160"/>
      <c r="AD625" s="190"/>
    </row>
    <row r="626" spans="14:30" x14ac:dyDescent="0.3">
      <c r="N626" s="170"/>
      <c r="P626" s="189"/>
      <c r="Q626" s="160"/>
      <c r="R626" s="160"/>
      <c r="S626" s="160"/>
      <c r="T626" s="160"/>
      <c r="U626" s="160"/>
      <c r="V626" s="160"/>
      <c r="X626" s="160"/>
      <c r="Y626" s="160"/>
      <c r="AA626" s="160"/>
      <c r="AB626" s="160"/>
      <c r="AC626" s="160"/>
      <c r="AD626" s="190"/>
    </row>
    <row r="627" spans="14:30" x14ac:dyDescent="0.3">
      <c r="N627" s="170"/>
      <c r="P627" s="189"/>
      <c r="Q627" s="160"/>
      <c r="R627" s="160"/>
      <c r="S627" s="160"/>
      <c r="T627" s="160"/>
      <c r="U627" s="160"/>
      <c r="V627" s="160"/>
      <c r="X627" s="160"/>
      <c r="Y627" s="160"/>
      <c r="AA627" s="160"/>
      <c r="AB627" s="160"/>
      <c r="AC627" s="160"/>
      <c r="AD627" s="190"/>
    </row>
    <row r="628" spans="14:30" x14ac:dyDescent="0.3">
      <c r="N628" s="170"/>
      <c r="P628" s="189"/>
      <c r="Q628" s="160"/>
      <c r="R628" s="160"/>
      <c r="S628" s="160"/>
      <c r="T628" s="160"/>
      <c r="U628" s="160"/>
      <c r="V628" s="160"/>
      <c r="X628" s="160"/>
      <c r="Y628" s="160"/>
      <c r="AA628" s="160"/>
      <c r="AB628" s="160"/>
      <c r="AC628" s="160"/>
      <c r="AD628" s="190"/>
    </row>
    <row r="629" spans="14:30" x14ac:dyDescent="0.3">
      <c r="N629" s="170"/>
      <c r="P629" s="189"/>
      <c r="Q629" s="160"/>
      <c r="R629" s="160"/>
      <c r="S629" s="160"/>
      <c r="T629" s="160"/>
      <c r="U629" s="160"/>
      <c r="V629" s="160"/>
      <c r="X629" s="160"/>
      <c r="Y629" s="160"/>
      <c r="AA629" s="160"/>
      <c r="AB629" s="160"/>
      <c r="AC629" s="160"/>
      <c r="AD629" s="190"/>
    </row>
    <row r="630" spans="14:30" x14ac:dyDescent="0.3">
      <c r="N630" s="170"/>
      <c r="P630" s="189"/>
      <c r="Q630" s="160"/>
      <c r="R630" s="160"/>
      <c r="S630" s="160"/>
      <c r="T630" s="160"/>
      <c r="U630" s="160"/>
      <c r="V630" s="160"/>
      <c r="X630" s="160"/>
      <c r="Y630" s="160"/>
      <c r="AA630" s="160"/>
      <c r="AB630" s="160"/>
      <c r="AC630" s="160"/>
      <c r="AD630" s="190"/>
    </row>
    <row r="631" spans="14:30" x14ac:dyDescent="0.3">
      <c r="N631" s="170"/>
      <c r="P631" s="189"/>
      <c r="Q631" s="160"/>
      <c r="R631" s="160"/>
      <c r="S631" s="160"/>
      <c r="T631" s="160"/>
      <c r="U631" s="160"/>
      <c r="V631" s="160"/>
      <c r="X631" s="160"/>
      <c r="Y631" s="160"/>
      <c r="AA631" s="160"/>
      <c r="AB631" s="160"/>
      <c r="AC631" s="160"/>
      <c r="AD631" s="190"/>
    </row>
    <row r="632" spans="14:30" x14ac:dyDescent="0.3">
      <c r="N632" s="170"/>
      <c r="P632" s="189"/>
      <c r="Q632" s="160"/>
      <c r="R632" s="160"/>
      <c r="S632" s="160"/>
      <c r="T632" s="160"/>
      <c r="U632" s="160"/>
      <c r="V632" s="160"/>
      <c r="X632" s="160"/>
      <c r="Y632" s="160"/>
      <c r="AA632" s="160"/>
      <c r="AB632" s="160"/>
      <c r="AC632" s="160"/>
      <c r="AD632" s="190"/>
    </row>
    <row r="633" spans="14:30" x14ac:dyDescent="0.3">
      <c r="N633" s="170"/>
      <c r="P633" s="189"/>
      <c r="Q633" s="160"/>
      <c r="R633" s="160"/>
      <c r="S633" s="160"/>
      <c r="T633" s="160"/>
      <c r="U633" s="160"/>
      <c r="V633" s="160"/>
      <c r="X633" s="160"/>
      <c r="Y633" s="160"/>
      <c r="AA633" s="160"/>
      <c r="AB633" s="160"/>
      <c r="AC633" s="160"/>
      <c r="AD633" s="190"/>
    </row>
    <row r="634" spans="14:30" x14ac:dyDescent="0.3">
      <c r="N634" s="170"/>
      <c r="P634" s="189"/>
      <c r="Q634" s="160"/>
      <c r="R634" s="160"/>
      <c r="S634" s="160"/>
      <c r="T634" s="160"/>
      <c r="U634" s="160"/>
      <c r="V634" s="160"/>
      <c r="X634" s="160"/>
      <c r="Y634" s="160"/>
      <c r="AA634" s="160"/>
      <c r="AB634" s="160"/>
      <c r="AC634" s="160"/>
      <c r="AD634" s="190"/>
    </row>
    <row r="635" spans="14:30" x14ac:dyDescent="0.3">
      <c r="N635" s="170"/>
      <c r="P635" s="189"/>
      <c r="Q635" s="160"/>
      <c r="R635" s="160"/>
      <c r="S635" s="160"/>
      <c r="T635" s="160"/>
      <c r="U635" s="160"/>
      <c r="V635" s="160"/>
      <c r="X635" s="160"/>
      <c r="Y635" s="160"/>
      <c r="AA635" s="160"/>
      <c r="AB635" s="160"/>
      <c r="AC635" s="160"/>
      <c r="AD635" s="190"/>
    </row>
    <row r="636" spans="14:30" x14ac:dyDescent="0.3">
      <c r="N636" s="170"/>
      <c r="P636" s="189"/>
      <c r="Q636" s="160"/>
      <c r="R636" s="160"/>
      <c r="S636" s="160"/>
      <c r="T636" s="160"/>
      <c r="U636" s="160"/>
      <c r="V636" s="160"/>
      <c r="X636" s="160"/>
      <c r="Y636" s="160"/>
      <c r="AA636" s="160"/>
      <c r="AB636" s="160"/>
      <c r="AC636" s="160"/>
      <c r="AD636" s="190"/>
    </row>
    <row r="637" spans="14:30" x14ac:dyDescent="0.3">
      <c r="N637" s="170"/>
      <c r="P637" s="189"/>
      <c r="Q637" s="160"/>
      <c r="R637" s="160"/>
      <c r="S637" s="160"/>
      <c r="T637" s="160"/>
      <c r="U637" s="160"/>
      <c r="V637" s="160"/>
      <c r="X637" s="160"/>
      <c r="Y637" s="160"/>
      <c r="AA637" s="160"/>
      <c r="AB637" s="160"/>
      <c r="AC637" s="160"/>
      <c r="AD637" s="190"/>
    </row>
    <row r="638" spans="14:30" x14ac:dyDescent="0.3">
      <c r="N638" s="170"/>
      <c r="P638" s="189"/>
      <c r="Q638" s="160"/>
      <c r="R638" s="160"/>
      <c r="S638" s="160"/>
      <c r="T638" s="160"/>
      <c r="U638" s="160"/>
      <c r="V638" s="160"/>
      <c r="X638" s="160"/>
      <c r="Y638" s="160"/>
      <c r="AA638" s="160"/>
      <c r="AB638" s="160"/>
      <c r="AC638" s="160"/>
      <c r="AD638" s="190"/>
    </row>
    <row r="639" spans="14:30" x14ac:dyDescent="0.3">
      <c r="N639" s="170"/>
      <c r="P639" s="189"/>
      <c r="Q639" s="160"/>
      <c r="R639" s="160"/>
      <c r="S639" s="160"/>
      <c r="T639" s="160"/>
      <c r="U639" s="160"/>
      <c r="V639" s="160"/>
      <c r="X639" s="160"/>
      <c r="Y639" s="160"/>
      <c r="AA639" s="160"/>
      <c r="AB639" s="160"/>
      <c r="AC639" s="160"/>
      <c r="AD639" s="190"/>
    </row>
    <row r="640" spans="14:30" x14ac:dyDescent="0.3">
      <c r="N640" s="170"/>
      <c r="P640" s="189"/>
      <c r="Q640" s="160"/>
      <c r="R640" s="160"/>
      <c r="S640" s="160"/>
      <c r="T640" s="160"/>
      <c r="U640" s="160"/>
      <c r="V640" s="160"/>
      <c r="X640" s="160"/>
      <c r="Y640" s="160"/>
      <c r="AA640" s="160"/>
      <c r="AB640" s="160"/>
      <c r="AC640" s="160"/>
      <c r="AD640" s="190"/>
    </row>
    <row r="641" spans="14:30" x14ac:dyDescent="0.3">
      <c r="N641" s="170"/>
      <c r="P641" s="189"/>
      <c r="Q641" s="160"/>
      <c r="R641" s="160"/>
      <c r="S641" s="160"/>
      <c r="T641" s="160"/>
      <c r="U641" s="160"/>
      <c r="V641" s="160"/>
      <c r="X641" s="160"/>
      <c r="Y641" s="160"/>
      <c r="AA641" s="160"/>
      <c r="AB641" s="160"/>
      <c r="AC641" s="160"/>
      <c r="AD641" s="190"/>
    </row>
    <row r="642" spans="14:30" x14ac:dyDescent="0.3">
      <c r="N642" s="170"/>
      <c r="P642" s="189"/>
      <c r="Q642" s="160"/>
      <c r="R642" s="160"/>
      <c r="S642" s="160"/>
      <c r="T642" s="160"/>
      <c r="U642" s="160"/>
      <c r="V642" s="160"/>
      <c r="X642" s="160"/>
      <c r="Y642" s="160"/>
      <c r="AA642" s="160"/>
      <c r="AB642" s="160"/>
      <c r="AC642" s="160"/>
      <c r="AD642" s="190"/>
    </row>
    <row r="643" spans="14:30" x14ac:dyDescent="0.3">
      <c r="N643" s="170"/>
      <c r="P643" s="189"/>
      <c r="Q643" s="160"/>
      <c r="R643" s="160"/>
      <c r="S643" s="160"/>
      <c r="T643" s="160"/>
      <c r="U643" s="160"/>
      <c r="V643" s="160"/>
      <c r="X643" s="160"/>
      <c r="Y643" s="160"/>
      <c r="AA643" s="160"/>
      <c r="AB643" s="160"/>
      <c r="AC643" s="160"/>
      <c r="AD643" s="190"/>
    </row>
    <row r="644" spans="14:30" x14ac:dyDescent="0.3">
      <c r="N644" s="170"/>
      <c r="P644" s="189"/>
      <c r="Q644" s="160"/>
      <c r="R644" s="160"/>
      <c r="S644" s="160"/>
      <c r="T644" s="160"/>
      <c r="U644" s="160"/>
      <c r="V644" s="160"/>
      <c r="X644" s="160"/>
      <c r="Y644" s="160"/>
      <c r="AA644" s="160"/>
      <c r="AB644" s="160"/>
      <c r="AC644" s="160"/>
      <c r="AD644" s="190"/>
    </row>
    <row r="645" spans="14:30" x14ac:dyDescent="0.3">
      <c r="N645" s="170"/>
      <c r="P645" s="189"/>
      <c r="Q645" s="160"/>
      <c r="R645" s="160"/>
      <c r="S645" s="160"/>
      <c r="T645" s="160"/>
      <c r="U645" s="160"/>
      <c r="V645" s="160"/>
      <c r="X645" s="160"/>
      <c r="Y645" s="160"/>
      <c r="AA645" s="160"/>
      <c r="AB645" s="160"/>
      <c r="AC645" s="160"/>
      <c r="AD645" s="190"/>
    </row>
    <row r="646" spans="14:30" x14ac:dyDescent="0.3">
      <c r="N646" s="170"/>
      <c r="P646" s="189"/>
      <c r="Q646" s="160"/>
      <c r="R646" s="160"/>
      <c r="S646" s="160"/>
      <c r="T646" s="160"/>
      <c r="U646" s="160"/>
      <c r="V646" s="160"/>
      <c r="X646" s="160"/>
      <c r="Y646" s="160"/>
      <c r="AA646" s="160"/>
      <c r="AB646" s="160"/>
      <c r="AC646" s="160"/>
      <c r="AD646" s="190"/>
    </row>
    <row r="647" spans="14:30" x14ac:dyDescent="0.3">
      <c r="N647" s="170"/>
      <c r="P647" s="189"/>
      <c r="Q647" s="160"/>
      <c r="R647" s="160"/>
      <c r="S647" s="160"/>
      <c r="T647" s="160"/>
      <c r="U647" s="160"/>
      <c r="V647" s="160"/>
      <c r="X647" s="160"/>
      <c r="Y647" s="160"/>
      <c r="AA647" s="160"/>
      <c r="AB647" s="160"/>
      <c r="AC647" s="160"/>
      <c r="AD647" s="190"/>
    </row>
    <row r="648" spans="14:30" x14ac:dyDescent="0.3">
      <c r="N648" s="170"/>
      <c r="P648" s="189"/>
      <c r="Q648" s="160"/>
      <c r="R648" s="160"/>
      <c r="S648" s="160"/>
      <c r="T648" s="160"/>
      <c r="U648" s="160"/>
      <c r="V648" s="160"/>
      <c r="X648" s="160"/>
      <c r="Y648" s="160"/>
      <c r="AA648" s="160"/>
      <c r="AB648" s="160"/>
      <c r="AC648" s="160"/>
      <c r="AD648" s="190"/>
    </row>
    <row r="649" spans="14:30" x14ac:dyDescent="0.3">
      <c r="N649" s="170"/>
      <c r="P649" s="189"/>
      <c r="Q649" s="160"/>
      <c r="R649" s="160"/>
      <c r="S649" s="160"/>
      <c r="T649" s="160"/>
      <c r="U649" s="160"/>
      <c r="V649" s="160"/>
      <c r="X649" s="160"/>
      <c r="Y649" s="160"/>
      <c r="AA649" s="160"/>
      <c r="AB649" s="160"/>
      <c r="AC649" s="160"/>
      <c r="AD649" s="190"/>
    </row>
    <row r="650" spans="14:30" x14ac:dyDescent="0.3">
      <c r="N650" s="170"/>
      <c r="P650" s="189"/>
      <c r="Q650" s="160"/>
      <c r="R650" s="160"/>
      <c r="S650" s="160"/>
      <c r="T650" s="160"/>
      <c r="U650" s="160"/>
      <c r="V650" s="160"/>
      <c r="X650" s="160"/>
      <c r="Y650" s="160"/>
      <c r="AA650" s="160"/>
      <c r="AB650" s="160"/>
      <c r="AC650" s="160"/>
      <c r="AD650" s="190"/>
    </row>
    <row r="651" spans="14:30" x14ac:dyDescent="0.3">
      <c r="N651" s="170"/>
      <c r="P651" s="189"/>
      <c r="Q651" s="160"/>
      <c r="R651" s="160"/>
      <c r="S651" s="160"/>
      <c r="T651" s="160"/>
      <c r="U651" s="160"/>
      <c r="V651" s="160"/>
      <c r="X651" s="160"/>
      <c r="Y651" s="160"/>
      <c r="AA651" s="160"/>
      <c r="AB651" s="160"/>
      <c r="AC651" s="160"/>
      <c r="AD651" s="190"/>
    </row>
    <row r="652" spans="14:30" x14ac:dyDescent="0.3">
      <c r="N652" s="170"/>
      <c r="P652" s="189"/>
      <c r="Q652" s="160"/>
      <c r="R652" s="160"/>
      <c r="S652" s="160"/>
      <c r="T652" s="160"/>
      <c r="U652" s="160"/>
      <c r="V652" s="160"/>
      <c r="X652" s="160"/>
      <c r="Y652" s="160"/>
      <c r="AA652" s="160"/>
      <c r="AB652" s="160"/>
      <c r="AC652" s="160"/>
      <c r="AD652" s="190"/>
    </row>
    <row r="653" spans="14:30" x14ac:dyDescent="0.3">
      <c r="N653" s="170"/>
      <c r="P653" s="189"/>
      <c r="Q653" s="160"/>
      <c r="R653" s="160"/>
      <c r="S653" s="160"/>
      <c r="T653" s="160"/>
      <c r="U653" s="160"/>
      <c r="V653" s="160"/>
      <c r="X653" s="160"/>
      <c r="Y653" s="160"/>
      <c r="AA653" s="160"/>
      <c r="AB653" s="160"/>
      <c r="AC653" s="160"/>
      <c r="AD653" s="190"/>
    </row>
    <row r="654" spans="14:30" x14ac:dyDescent="0.3">
      <c r="N654" s="170"/>
      <c r="P654" s="189"/>
      <c r="Q654" s="160"/>
      <c r="R654" s="160"/>
      <c r="S654" s="160"/>
      <c r="T654" s="160"/>
      <c r="U654" s="160"/>
      <c r="V654" s="160"/>
      <c r="X654" s="160"/>
      <c r="Y654" s="160"/>
      <c r="AA654" s="160"/>
      <c r="AB654" s="160"/>
      <c r="AC654" s="160"/>
      <c r="AD654" s="190"/>
    </row>
    <row r="655" spans="14:30" x14ac:dyDescent="0.3">
      <c r="N655" s="170"/>
      <c r="P655" s="189"/>
      <c r="Q655" s="160"/>
      <c r="R655" s="160"/>
      <c r="S655" s="160"/>
      <c r="T655" s="160"/>
      <c r="U655" s="160"/>
      <c r="V655" s="160"/>
      <c r="X655" s="160"/>
      <c r="Y655" s="160"/>
      <c r="AA655" s="160"/>
      <c r="AB655" s="160"/>
      <c r="AC655" s="160"/>
      <c r="AD655" s="190"/>
    </row>
    <row r="656" spans="14:30" x14ac:dyDescent="0.3">
      <c r="N656" s="170"/>
      <c r="P656" s="189"/>
      <c r="Q656" s="160"/>
      <c r="R656" s="160"/>
      <c r="S656" s="160"/>
      <c r="T656" s="160"/>
      <c r="U656" s="160"/>
      <c r="V656" s="160"/>
      <c r="X656" s="160"/>
      <c r="Y656" s="160"/>
      <c r="AA656" s="160"/>
      <c r="AB656" s="160"/>
      <c r="AC656" s="160"/>
      <c r="AD656" s="190"/>
    </row>
    <row r="657" spans="14:30" x14ac:dyDescent="0.3">
      <c r="N657" s="170"/>
      <c r="P657" s="189"/>
      <c r="Q657" s="160"/>
      <c r="R657" s="160"/>
      <c r="S657" s="160"/>
      <c r="T657" s="160"/>
      <c r="U657" s="160"/>
      <c r="V657" s="160"/>
      <c r="X657" s="160"/>
      <c r="Y657" s="160"/>
      <c r="AA657" s="160"/>
      <c r="AB657" s="160"/>
      <c r="AC657" s="160"/>
      <c r="AD657" s="190"/>
    </row>
    <row r="658" spans="14:30" x14ac:dyDescent="0.3">
      <c r="N658" s="170"/>
      <c r="P658" s="189"/>
      <c r="Q658" s="160"/>
      <c r="R658" s="160"/>
      <c r="S658" s="160"/>
      <c r="T658" s="160"/>
      <c r="U658" s="160"/>
      <c r="V658" s="160"/>
      <c r="X658" s="160"/>
      <c r="Y658" s="160"/>
      <c r="AA658" s="160"/>
      <c r="AB658" s="160"/>
      <c r="AC658" s="160"/>
      <c r="AD658" s="190"/>
    </row>
    <row r="659" spans="14:30" x14ac:dyDescent="0.3">
      <c r="N659" s="170"/>
      <c r="P659" s="189"/>
      <c r="Q659" s="160"/>
      <c r="R659" s="160"/>
      <c r="S659" s="160"/>
      <c r="T659" s="160"/>
      <c r="U659" s="160"/>
      <c r="V659" s="160"/>
      <c r="X659" s="160"/>
      <c r="Y659" s="160"/>
      <c r="AA659" s="160"/>
      <c r="AB659" s="160"/>
      <c r="AC659" s="160"/>
      <c r="AD659" s="190"/>
    </row>
    <row r="660" spans="14:30" x14ac:dyDescent="0.3">
      <c r="N660" s="170"/>
      <c r="P660" s="189"/>
      <c r="Q660" s="160"/>
      <c r="R660" s="160"/>
      <c r="S660" s="160"/>
      <c r="T660" s="160"/>
      <c r="U660" s="160"/>
      <c r="V660" s="160"/>
      <c r="X660" s="160"/>
      <c r="Y660" s="160"/>
      <c r="AA660" s="160"/>
      <c r="AB660" s="160"/>
      <c r="AC660" s="160"/>
      <c r="AD660" s="190"/>
    </row>
    <row r="661" spans="14:30" x14ac:dyDescent="0.3">
      <c r="N661" s="170"/>
      <c r="P661" s="189"/>
      <c r="Q661" s="160"/>
      <c r="R661" s="160"/>
      <c r="S661" s="160"/>
      <c r="T661" s="160"/>
      <c r="U661" s="160"/>
      <c r="V661" s="160"/>
      <c r="X661" s="160"/>
      <c r="Y661" s="160"/>
      <c r="AA661" s="160"/>
      <c r="AB661" s="160"/>
      <c r="AC661" s="160"/>
      <c r="AD661" s="190"/>
    </row>
    <row r="662" spans="14:30" x14ac:dyDescent="0.3">
      <c r="N662" s="170"/>
      <c r="P662" s="189"/>
      <c r="Q662" s="160"/>
      <c r="R662" s="160"/>
      <c r="S662" s="160"/>
      <c r="T662" s="160"/>
      <c r="U662" s="160"/>
      <c r="V662" s="160"/>
      <c r="X662" s="160"/>
      <c r="Y662" s="160"/>
      <c r="AA662" s="160"/>
      <c r="AB662" s="160"/>
      <c r="AC662" s="160"/>
      <c r="AD662" s="190"/>
    </row>
    <row r="663" spans="14:30" x14ac:dyDescent="0.3">
      <c r="N663" s="170"/>
      <c r="P663" s="189"/>
      <c r="Q663" s="160"/>
      <c r="R663" s="160"/>
      <c r="S663" s="160"/>
      <c r="T663" s="160"/>
      <c r="U663" s="160"/>
      <c r="V663" s="160"/>
      <c r="X663" s="160"/>
      <c r="Y663" s="160"/>
      <c r="AA663" s="160"/>
      <c r="AB663" s="160"/>
      <c r="AC663" s="160"/>
      <c r="AD663" s="190"/>
    </row>
    <row r="664" spans="14:30" x14ac:dyDescent="0.3">
      <c r="N664" s="170"/>
      <c r="P664" s="189"/>
      <c r="Q664" s="160"/>
      <c r="R664" s="160"/>
      <c r="S664" s="160"/>
      <c r="T664" s="160"/>
      <c r="U664" s="160"/>
      <c r="V664" s="160"/>
      <c r="X664" s="160"/>
      <c r="Y664" s="160"/>
      <c r="AA664" s="160"/>
      <c r="AB664" s="160"/>
      <c r="AC664" s="160"/>
      <c r="AD664" s="190"/>
    </row>
    <row r="665" spans="14:30" x14ac:dyDescent="0.3">
      <c r="N665" s="170"/>
      <c r="P665" s="189"/>
      <c r="Q665" s="160"/>
      <c r="R665" s="160"/>
      <c r="S665" s="160"/>
      <c r="T665" s="160"/>
      <c r="U665" s="160"/>
      <c r="V665" s="160"/>
      <c r="X665" s="160"/>
      <c r="Y665" s="160"/>
      <c r="AA665" s="160"/>
      <c r="AB665" s="160"/>
      <c r="AC665" s="160"/>
      <c r="AD665" s="190"/>
    </row>
    <row r="666" spans="14:30" x14ac:dyDescent="0.3">
      <c r="N666" s="170"/>
      <c r="P666" s="189"/>
      <c r="Q666" s="160"/>
      <c r="R666" s="160"/>
      <c r="S666" s="160"/>
      <c r="T666" s="160"/>
      <c r="U666" s="160"/>
      <c r="V666" s="160"/>
      <c r="X666" s="160"/>
      <c r="Y666" s="160"/>
      <c r="AA666" s="160"/>
      <c r="AB666" s="160"/>
      <c r="AC666" s="160"/>
      <c r="AD666" s="190"/>
    </row>
    <row r="667" spans="14:30" x14ac:dyDescent="0.3">
      <c r="N667" s="170"/>
      <c r="P667" s="189"/>
      <c r="Q667" s="160"/>
      <c r="R667" s="160"/>
      <c r="S667" s="160"/>
      <c r="T667" s="160"/>
      <c r="U667" s="160"/>
      <c r="V667" s="160"/>
      <c r="X667" s="160"/>
      <c r="Y667" s="160"/>
      <c r="AA667" s="160"/>
      <c r="AB667" s="160"/>
      <c r="AC667" s="160"/>
      <c r="AD667" s="190"/>
    </row>
    <row r="668" spans="14:30" x14ac:dyDescent="0.3">
      <c r="N668" s="170"/>
      <c r="P668" s="189"/>
      <c r="Q668" s="160"/>
      <c r="R668" s="160"/>
      <c r="S668" s="160"/>
      <c r="T668" s="160"/>
      <c r="U668" s="160"/>
      <c r="V668" s="160"/>
      <c r="X668" s="160"/>
      <c r="Y668" s="160"/>
      <c r="AA668" s="160"/>
      <c r="AB668" s="160"/>
      <c r="AC668" s="160"/>
      <c r="AD668" s="190"/>
    </row>
    <row r="669" spans="14:30" x14ac:dyDescent="0.3">
      <c r="N669" s="170"/>
      <c r="P669" s="189"/>
      <c r="Q669" s="160"/>
      <c r="R669" s="160"/>
      <c r="S669" s="160"/>
      <c r="T669" s="160"/>
      <c r="U669" s="160"/>
      <c r="V669" s="160"/>
      <c r="X669" s="160"/>
      <c r="Y669" s="160"/>
      <c r="AA669" s="160"/>
      <c r="AB669" s="160"/>
      <c r="AC669" s="160"/>
      <c r="AD669" s="190"/>
    </row>
    <row r="670" spans="14:30" x14ac:dyDescent="0.3">
      <c r="N670" s="170"/>
      <c r="P670" s="189"/>
      <c r="Q670" s="160"/>
      <c r="R670" s="160"/>
      <c r="S670" s="160"/>
      <c r="T670" s="160"/>
      <c r="U670" s="160"/>
      <c r="V670" s="160"/>
      <c r="X670" s="160"/>
      <c r="Y670" s="160"/>
      <c r="AA670" s="160"/>
      <c r="AB670" s="160"/>
      <c r="AC670" s="160"/>
      <c r="AD670" s="190"/>
    </row>
    <row r="671" spans="14:30" x14ac:dyDescent="0.3">
      <c r="N671" s="170"/>
      <c r="P671" s="189"/>
      <c r="Q671" s="160"/>
      <c r="R671" s="160"/>
      <c r="S671" s="160"/>
      <c r="T671" s="160"/>
      <c r="U671" s="160"/>
      <c r="V671" s="160"/>
      <c r="X671" s="160"/>
      <c r="Y671" s="160"/>
      <c r="AA671" s="160"/>
      <c r="AB671" s="160"/>
      <c r="AC671" s="160"/>
      <c r="AD671" s="190"/>
    </row>
    <row r="672" spans="14:30" x14ac:dyDescent="0.3">
      <c r="N672" s="170"/>
      <c r="P672" s="189"/>
      <c r="Q672" s="160"/>
      <c r="R672" s="160"/>
      <c r="S672" s="160"/>
      <c r="T672" s="160"/>
      <c r="U672" s="160"/>
      <c r="V672" s="160"/>
      <c r="X672" s="160"/>
      <c r="Y672" s="160"/>
      <c r="AA672" s="160"/>
      <c r="AB672" s="160"/>
      <c r="AC672" s="160"/>
      <c r="AD672" s="190"/>
    </row>
    <row r="673" spans="14:30" x14ac:dyDescent="0.3">
      <c r="N673" s="170"/>
      <c r="P673" s="189"/>
      <c r="Q673" s="160"/>
      <c r="R673" s="160"/>
      <c r="S673" s="160"/>
      <c r="T673" s="160"/>
      <c r="U673" s="160"/>
      <c r="V673" s="160"/>
      <c r="X673" s="160"/>
      <c r="Y673" s="160"/>
      <c r="AA673" s="160"/>
      <c r="AB673" s="160"/>
      <c r="AC673" s="160"/>
      <c r="AD673" s="190"/>
    </row>
    <row r="674" spans="14:30" x14ac:dyDescent="0.3">
      <c r="N674" s="170"/>
      <c r="P674" s="189"/>
      <c r="Q674" s="160"/>
      <c r="R674" s="160"/>
      <c r="S674" s="160"/>
      <c r="T674" s="160"/>
      <c r="U674" s="160"/>
      <c r="V674" s="160"/>
      <c r="X674" s="160"/>
      <c r="Y674" s="160"/>
      <c r="AA674" s="160"/>
      <c r="AB674" s="160"/>
      <c r="AC674" s="160"/>
      <c r="AD674" s="190"/>
    </row>
    <row r="675" spans="14:30" x14ac:dyDescent="0.3">
      <c r="N675" s="170"/>
      <c r="P675" s="189"/>
      <c r="Q675" s="160"/>
      <c r="R675" s="160"/>
      <c r="S675" s="160"/>
      <c r="T675" s="160"/>
      <c r="U675" s="160"/>
      <c r="V675" s="160"/>
      <c r="X675" s="160"/>
      <c r="Y675" s="160"/>
      <c r="AA675" s="160"/>
      <c r="AB675" s="160"/>
      <c r="AC675" s="160"/>
      <c r="AD675" s="190"/>
    </row>
    <row r="676" spans="14:30" x14ac:dyDescent="0.3">
      <c r="N676" s="170"/>
      <c r="P676" s="189"/>
      <c r="Q676" s="160"/>
      <c r="R676" s="160"/>
      <c r="S676" s="160"/>
      <c r="T676" s="160"/>
      <c r="U676" s="160"/>
      <c r="V676" s="160"/>
      <c r="X676" s="160"/>
      <c r="Y676" s="160"/>
      <c r="AA676" s="160"/>
      <c r="AB676" s="160"/>
      <c r="AC676" s="160"/>
      <c r="AD676" s="190"/>
    </row>
    <row r="677" spans="14:30" x14ac:dyDescent="0.3">
      <c r="N677" s="170"/>
      <c r="P677" s="189"/>
      <c r="Q677" s="160"/>
      <c r="R677" s="160"/>
      <c r="S677" s="160"/>
      <c r="T677" s="160"/>
      <c r="U677" s="160"/>
      <c r="V677" s="160"/>
      <c r="X677" s="160"/>
      <c r="Y677" s="160"/>
      <c r="AA677" s="160"/>
      <c r="AB677" s="160"/>
      <c r="AC677" s="160"/>
      <c r="AD677" s="190"/>
    </row>
    <row r="678" spans="14:30" x14ac:dyDescent="0.3">
      <c r="N678" s="170"/>
      <c r="P678" s="189"/>
      <c r="Q678" s="160"/>
      <c r="R678" s="160"/>
      <c r="S678" s="160"/>
      <c r="T678" s="160"/>
      <c r="U678" s="160"/>
      <c r="V678" s="160"/>
      <c r="X678" s="160"/>
      <c r="Y678" s="160"/>
      <c r="AA678" s="160"/>
      <c r="AB678" s="160"/>
      <c r="AC678" s="160"/>
      <c r="AD678" s="190"/>
    </row>
    <row r="679" spans="14:30" x14ac:dyDescent="0.3">
      <c r="N679" s="170"/>
      <c r="P679" s="189"/>
      <c r="Q679" s="160"/>
      <c r="R679" s="160"/>
      <c r="S679" s="160"/>
      <c r="T679" s="160"/>
      <c r="U679" s="160"/>
      <c r="V679" s="160"/>
      <c r="X679" s="160"/>
      <c r="Y679" s="160"/>
      <c r="AA679" s="160"/>
      <c r="AB679" s="160"/>
      <c r="AC679" s="160"/>
      <c r="AD679" s="190"/>
    </row>
    <row r="680" spans="14:30" x14ac:dyDescent="0.3">
      <c r="N680" s="170"/>
      <c r="P680" s="189"/>
      <c r="Q680" s="160"/>
      <c r="R680" s="160"/>
      <c r="S680" s="160"/>
      <c r="T680" s="160"/>
      <c r="U680" s="160"/>
      <c r="V680" s="160"/>
      <c r="X680" s="160"/>
      <c r="Y680" s="160"/>
      <c r="AA680" s="160"/>
      <c r="AB680" s="160"/>
      <c r="AC680" s="160"/>
      <c r="AD680" s="190"/>
    </row>
    <row r="681" spans="14:30" x14ac:dyDescent="0.3">
      <c r="N681" s="170"/>
      <c r="P681" s="189"/>
      <c r="Q681" s="160"/>
      <c r="R681" s="160"/>
      <c r="S681" s="160"/>
      <c r="T681" s="160"/>
      <c r="U681" s="160"/>
      <c r="V681" s="160"/>
      <c r="X681" s="160"/>
      <c r="Y681" s="160"/>
      <c r="AA681" s="160"/>
      <c r="AB681" s="160"/>
      <c r="AC681" s="160"/>
      <c r="AD681" s="190"/>
    </row>
    <row r="682" spans="14:30" x14ac:dyDescent="0.3">
      <c r="N682" s="170"/>
      <c r="P682" s="189"/>
      <c r="Q682" s="160"/>
      <c r="R682" s="160"/>
      <c r="S682" s="160"/>
      <c r="T682" s="160"/>
      <c r="U682" s="160"/>
      <c r="V682" s="160"/>
      <c r="X682" s="160"/>
      <c r="Y682" s="160"/>
      <c r="AA682" s="160"/>
      <c r="AB682" s="160"/>
      <c r="AC682" s="160"/>
      <c r="AD682" s="190"/>
    </row>
    <row r="683" spans="14:30" x14ac:dyDescent="0.3">
      <c r="N683" s="170"/>
      <c r="P683" s="189"/>
      <c r="Q683" s="160"/>
      <c r="R683" s="160"/>
      <c r="S683" s="160"/>
      <c r="T683" s="160"/>
      <c r="U683" s="160"/>
      <c r="V683" s="160"/>
      <c r="X683" s="160"/>
      <c r="Y683" s="160"/>
      <c r="AA683" s="160"/>
      <c r="AB683" s="160"/>
      <c r="AC683" s="160"/>
      <c r="AD683" s="190"/>
    </row>
    <row r="684" spans="14:30" x14ac:dyDescent="0.3">
      <c r="N684" s="170"/>
      <c r="P684" s="189"/>
      <c r="Q684" s="160"/>
      <c r="R684" s="160"/>
      <c r="S684" s="160"/>
      <c r="T684" s="160"/>
      <c r="U684" s="160"/>
      <c r="V684" s="160"/>
      <c r="X684" s="160"/>
      <c r="Y684" s="160"/>
      <c r="AA684" s="160"/>
      <c r="AB684" s="160"/>
      <c r="AC684" s="160"/>
      <c r="AD684" s="190"/>
    </row>
    <row r="685" spans="14:30" x14ac:dyDescent="0.3">
      <c r="N685" s="170"/>
      <c r="P685" s="189"/>
      <c r="Q685" s="160"/>
      <c r="R685" s="160"/>
      <c r="S685" s="160"/>
      <c r="T685" s="160"/>
      <c r="U685" s="160"/>
      <c r="V685" s="160"/>
      <c r="X685" s="160"/>
      <c r="Y685" s="160"/>
      <c r="AA685" s="160"/>
      <c r="AB685" s="160"/>
      <c r="AC685" s="160"/>
      <c r="AD685" s="190"/>
    </row>
    <row r="686" spans="14:30" x14ac:dyDescent="0.3">
      <c r="N686" s="170"/>
      <c r="P686" s="189"/>
      <c r="Q686" s="160"/>
      <c r="R686" s="160"/>
      <c r="S686" s="160"/>
      <c r="T686" s="160"/>
      <c r="U686" s="160"/>
      <c r="V686" s="160"/>
      <c r="X686" s="160"/>
      <c r="Y686" s="160"/>
      <c r="AA686" s="160"/>
      <c r="AB686" s="160"/>
      <c r="AC686" s="160"/>
      <c r="AD686" s="190"/>
    </row>
    <row r="687" spans="14:30" x14ac:dyDescent="0.3">
      <c r="N687" s="170"/>
      <c r="P687" s="189"/>
      <c r="Q687" s="160"/>
      <c r="R687" s="160"/>
      <c r="S687" s="160"/>
      <c r="T687" s="160"/>
      <c r="U687" s="160"/>
      <c r="V687" s="160"/>
      <c r="X687" s="160"/>
      <c r="Y687" s="160"/>
      <c r="AA687" s="160"/>
      <c r="AB687" s="160"/>
      <c r="AC687" s="160"/>
      <c r="AD687" s="190"/>
    </row>
    <row r="688" spans="14:30" x14ac:dyDescent="0.3">
      <c r="N688" s="170"/>
      <c r="P688" s="189"/>
      <c r="Q688" s="160"/>
      <c r="R688" s="160"/>
      <c r="S688" s="160"/>
      <c r="T688" s="160"/>
      <c r="U688" s="160"/>
      <c r="V688" s="160"/>
      <c r="X688" s="160"/>
      <c r="Y688" s="160"/>
      <c r="AA688" s="160"/>
      <c r="AB688" s="160"/>
      <c r="AC688" s="160"/>
      <c r="AD688" s="190"/>
    </row>
    <row r="689" spans="14:30" x14ac:dyDescent="0.3">
      <c r="N689" s="170"/>
      <c r="P689" s="189"/>
      <c r="Q689" s="160"/>
      <c r="R689" s="160"/>
      <c r="S689" s="160"/>
      <c r="T689" s="160"/>
      <c r="U689" s="160"/>
      <c r="V689" s="160"/>
      <c r="X689" s="160"/>
      <c r="Y689" s="160"/>
      <c r="AA689" s="160"/>
      <c r="AB689" s="160"/>
      <c r="AC689" s="160"/>
      <c r="AD689" s="190"/>
    </row>
    <row r="690" spans="14:30" x14ac:dyDescent="0.3">
      <c r="N690" s="170"/>
      <c r="P690" s="189"/>
      <c r="Q690" s="160"/>
      <c r="R690" s="160"/>
      <c r="S690" s="160"/>
      <c r="T690" s="160"/>
      <c r="U690" s="160"/>
      <c r="V690" s="160"/>
      <c r="X690" s="160"/>
      <c r="Y690" s="160"/>
      <c r="AA690" s="160"/>
      <c r="AB690" s="160"/>
      <c r="AC690" s="160"/>
      <c r="AD690" s="190"/>
    </row>
    <row r="691" spans="14:30" x14ac:dyDescent="0.3">
      <c r="N691" s="170"/>
      <c r="P691" s="189"/>
      <c r="Q691" s="160"/>
      <c r="R691" s="160"/>
      <c r="S691" s="160"/>
      <c r="T691" s="160"/>
      <c r="U691" s="160"/>
      <c r="V691" s="160"/>
      <c r="X691" s="160"/>
      <c r="Y691" s="160"/>
      <c r="AA691" s="160"/>
      <c r="AB691" s="160"/>
      <c r="AC691" s="160"/>
      <c r="AD691" s="190"/>
    </row>
    <row r="692" spans="14:30" x14ac:dyDescent="0.3">
      <c r="N692" s="170"/>
      <c r="P692" s="189"/>
      <c r="Q692" s="160"/>
      <c r="R692" s="160"/>
      <c r="S692" s="160"/>
      <c r="T692" s="160"/>
      <c r="U692" s="160"/>
      <c r="V692" s="160"/>
      <c r="X692" s="160"/>
      <c r="Y692" s="160"/>
      <c r="AA692" s="160"/>
      <c r="AB692" s="160"/>
      <c r="AC692" s="160"/>
      <c r="AD692" s="190"/>
    </row>
    <row r="693" spans="14:30" x14ac:dyDescent="0.3">
      <c r="N693" s="170"/>
      <c r="P693" s="189"/>
      <c r="Q693" s="160"/>
      <c r="R693" s="160"/>
      <c r="S693" s="160"/>
      <c r="T693" s="160"/>
      <c r="U693" s="160"/>
      <c r="V693" s="160"/>
      <c r="X693" s="160"/>
      <c r="Y693" s="160"/>
      <c r="AA693" s="160"/>
      <c r="AB693" s="160"/>
      <c r="AC693" s="160"/>
      <c r="AD693" s="190"/>
    </row>
    <row r="694" spans="14:30" x14ac:dyDescent="0.3">
      <c r="N694" s="170"/>
      <c r="P694" s="189"/>
      <c r="Q694" s="160"/>
      <c r="R694" s="160"/>
      <c r="S694" s="160"/>
      <c r="T694" s="160"/>
      <c r="U694" s="160"/>
      <c r="V694" s="160"/>
      <c r="X694" s="160"/>
      <c r="Y694" s="160"/>
      <c r="AA694" s="160"/>
      <c r="AB694" s="160"/>
      <c r="AC694" s="160"/>
      <c r="AD694" s="190"/>
    </row>
    <row r="695" spans="14:30" x14ac:dyDescent="0.3">
      <c r="N695" s="170"/>
      <c r="P695" s="189"/>
      <c r="Q695" s="160"/>
      <c r="R695" s="160"/>
      <c r="S695" s="160"/>
      <c r="T695" s="160"/>
      <c r="U695" s="160"/>
      <c r="V695" s="160"/>
      <c r="X695" s="160"/>
      <c r="Y695" s="160"/>
      <c r="AA695" s="160"/>
      <c r="AB695" s="160"/>
      <c r="AC695" s="160"/>
      <c r="AD695" s="190"/>
    </row>
    <row r="696" spans="14:30" x14ac:dyDescent="0.3">
      <c r="N696" s="170"/>
      <c r="P696" s="189"/>
      <c r="Q696" s="160"/>
      <c r="R696" s="160"/>
      <c r="S696" s="160"/>
      <c r="T696" s="160"/>
      <c r="U696" s="160"/>
      <c r="V696" s="160"/>
      <c r="X696" s="160"/>
      <c r="Y696" s="160"/>
      <c r="AA696" s="160"/>
      <c r="AB696" s="160"/>
      <c r="AC696" s="160"/>
      <c r="AD696" s="190"/>
    </row>
    <row r="697" spans="14:30" x14ac:dyDescent="0.3">
      <c r="N697" s="170"/>
      <c r="P697" s="189"/>
      <c r="Q697" s="160"/>
      <c r="R697" s="160"/>
      <c r="S697" s="160"/>
      <c r="T697" s="160"/>
      <c r="U697" s="160"/>
      <c r="V697" s="160"/>
      <c r="X697" s="160"/>
      <c r="Y697" s="160"/>
      <c r="AA697" s="160"/>
      <c r="AB697" s="160"/>
      <c r="AC697" s="160"/>
      <c r="AD697" s="190"/>
    </row>
    <row r="698" spans="14:30" x14ac:dyDescent="0.3">
      <c r="N698" s="170"/>
      <c r="P698" s="189"/>
      <c r="Q698" s="160"/>
      <c r="R698" s="160"/>
      <c r="S698" s="160"/>
      <c r="T698" s="160"/>
      <c r="U698" s="160"/>
      <c r="V698" s="160"/>
      <c r="X698" s="160"/>
      <c r="Y698" s="160"/>
      <c r="AA698" s="160"/>
      <c r="AB698" s="160"/>
      <c r="AC698" s="160"/>
      <c r="AD698" s="190"/>
    </row>
    <row r="699" spans="14:30" x14ac:dyDescent="0.3">
      <c r="N699" s="170"/>
      <c r="P699" s="189"/>
      <c r="Q699" s="160"/>
      <c r="R699" s="160"/>
      <c r="S699" s="160"/>
      <c r="T699" s="160"/>
      <c r="U699" s="160"/>
      <c r="V699" s="160"/>
      <c r="X699" s="160"/>
      <c r="Y699" s="160"/>
      <c r="AA699" s="160"/>
      <c r="AB699" s="160"/>
      <c r="AC699" s="160"/>
      <c r="AD699" s="190"/>
    </row>
    <row r="700" spans="14:30" x14ac:dyDescent="0.3">
      <c r="N700" s="170"/>
      <c r="P700" s="189"/>
      <c r="Q700" s="160"/>
      <c r="R700" s="160"/>
      <c r="S700" s="160"/>
      <c r="T700" s="160"/>
      <c r="U700" s="160"/>
      <c r="V700" s="160"/>
      <c r="X700" s="160"/>
      <c r="Y700" s="160"/>
      <c r="AA700" s="160"/>
      <c r="AB700" s="160"/>
      <c r="AC700" s="160"/>
      <c r="AD700" s="190"/>
    </row>
    <row r="701" spans="14:30" x14ac:dyDescent="0.3">
      <c r="N701" s="170"/>
      <c r="P701" s="189"/>
      <c r="Q701" s="160"/>
      <c r="R701" s="160"/>
      <c r="S701" s="160"/>
      <c r="T701" s="160"/>
      <c r="U701" s="160"/>
      <c r="V701" s="160"/>
      <c r="X701" s="160"/>
      <c r="Y701" s="160"/>
      <c r="AA701" s="160"/>
      <c r="AB701" s="160"/>
      <c r="AC701" s="160"/>
      <c r="AD701" s="190"/>
    </row>
    <row r="702" spans="14:30" x14ac:dyDescent="0.3">
      <c r="N702" s="170"/>
      <c r="P702" s="189"/>
      <c r="Q702" s="160"/>
      <c r="R702" s="160"/>
      <c r="S702" s="160"/>
      <c r="T702" s="160"/>
      <c r="U702" s="160"/>
      <c r="V702" s="160"/>
      <c r="X702" s="160"/>
      <c r="Y702" s="160"/>
      <c r="AA702" s="160"/>
      <c r="AB702" s="160"/>
      <c r="AC702" s="160"/>
      <c r="AD702" s="190"/>
    </row>
    <row r="703" spans="14:30" x14ac:dyDescent="0.3">
      <c r="N703" s="170"/>
      <c r="P703" s="189"/>
      <c r="Q703" s="160"/>
      <c r="R703" s="160"/>
      <c r="S703" s="160"/>
      <c r="T703" s="160"/>
      <c r="U703" s="160"/>
      <c r="V703" s="160"/>
      <c r="X703" s="160"/>
      <c r="Y703" s="160"/>
      <c r="AA703" s="160"/>
      <c r="AB703" s="160"/>
      <c r="AC703" s="160"/>
      <c r="AD703" s="190"/>
    </row>
    <row r="704" spans="14:30" x14ac:dyDescent="0.3">
      <c r="N704" s="170"/>
      <c r="P704" s="189"/>
      <c r="Q704" s="160"/>
      <c r="R704" s="160"/>
      <c r="S704" s="160"/>
      <c r="T704" s="160"/>
      <c r="U704" s="160"/>
      <c r="V704" s="160"/>
      <c r="X704" s="160"/>
      <c r="Y704" s="160"/>
      <c r="AA704" s="160"/>
      <c r="AB704" s="160"/>
      <c r="AC704" s="160"/>
      <c r="AD704" s="190"/>
    </row>
    <row r="705" spans="14:30" x14ac:dyDescent="0.3">
      <c r="N705" s="170"/>
      <c r="P705" s="189"/>
      <c r="Q705" s="160"/>
      <c r="R705" s="160"/>
      <c r="S705" s="160"/>
      <c r="T705" s="160"/>
      <c r="U705" s="160"/>
      <c r="V705" s="160"/>
      <c r="X705" s="160"/>
      <c r="Y705" s="160"/>
      <c r="AA705" s="160"/>
      <c r="AB705" s="160"/>
      <c r="AC705" s="160"/>
      <c r="AD705" s="190"/>
    </row>
    <row r="706" spans="14:30" x14ac:dyDescent="0.3">
      <c r="N706" s="170"/>
      <c r="P706" s="189"/>
      <c r="Q706" s="160"/>
      <c r="R706" s="160"/>
      <c r="S706" s="160"/>
      <c r="T706" s="160"/>
      <c r="U706" s="160"/>
      <c r="V706" s="160"/>
      <c r="X706" s="160"/>
      <c r="Y706" s="160"/>
      <c r="AA706" s="160"/>
      <c r="AB706" s="160"/>
      <c r="AC706" s="160"/>
      <c r="AD706" s="190"/>
    </row>
    <row r="707" spans="14:30" x14ac:dyDescent="0.3">
      <c r="N707" s="170"/>
      <c r="P707" s="189"/>
      <c r="Q707" s="160"/>
      <c r="R707" s="160"/>
      <c r="S707" s="160"/>
      <c r="T707" s="160"/>
      <c r="U707" s="160"/>
      <c r="V707" s="160"/>
      <c r="X707" s="160"/>
      <c r="Y707" s="160"/>
      <c r="AA707" s="160"/>
      <c r="AB707" s="160"/>
      <c r="AC707" s="160"/>
      <c r="AD707" s="190"/>
    </row>
    <row r="708" spans="14:30" x14ac:dyDescent="0.3">
      <c r="N708" s="170"/>
      <c r="P708" s="189"/>
      <c r="Q708" s="160"/>
      <c r="R708" s="160"/>
      <c r="S708" s="160"/>
      <c r="T708" s="160"/>
      <c r="U708" s="160"/>
      <c r="V708" s="160"/>
      <c r="X708" s="160"/>
      <c r="Y708" s="160"/>
      <c r="AA708" s="160"/>
      <c r="AB708" s="160"/>
      <c r="AC708" s="160"/>
      <c r="AD708" s="190"/>
    </row>
  </sheetData>
  <mergeCells count="29">
    <mergeCell ref="AP17:AR17"/>
    <mergeCell ref="AC17:AE17"/>
    <mergeCell ref="AS16:AU16"/>
    <mergeCell ref="AS17:AU17"/>
    <mergeCell ref="AG17:AI17"/>
    <mergeCell ref="AJ17:AL17"/>
    <mergeCell ref="AM17:AO17"/>
    <mergeCell ref="AF16:AR16"/>
    <mergeCell ref="AF4:AR4"/>
    <mergeCell ref="AS4:AU4"/>
    <mergeCell ref="Q5:S5"/>
    <mergeCell ref="T5:V5"/>
    <mergeCell ref="W5:Y5"/>
    <mergeCell ref="Z5:AB5"/>
    <mergeCell ref="AC5:AE5"/>
    <mergeCell ref="AG5:AI5"/>
    <mergeCell ref="AJ5:AL5"/>
    <mergeCell ref="AM5:AO5"/>
    <mergeCell ref="AP5:AR5"/>
    <mergeCell ref="AS5:AU5"/>
    <mergeCell ref="A1:M1"/>
    <mergeCell ref="E6:K6"/>
    <mergeCell ref="Q17:S17"/>
    <mergeCell ref="T17:V17"/>
    <mergeCell ref="W17:Y17"/>
    <mergeCell ref="P16:AE16"/>
    <mergeCell ref="Z17:AB17"/>
    <mergeCell ref="N1:X1"/>
    <mergeCell ref="P4:AE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defaultRowHeight="14.4" x14ac:dyDescent="0.3"/>
  <cols>
    <col min="1" max="1" width="26.6640625" customWidth="1"/>
    <col min="2" max="2" width="25.5546875" customWidth="1"/>
    <col min="3" max="3" width="10.109375" customWidth="1"/>
  </cols>
  <sheetData>
    <row r="1" spans="1:9" ht="28.2" x14ac:dyDescent="0.5">
      <c r="A1" s="229" t="s">
        <v>80</v>
      </c>
      <c r="B1" s="229"/>
      <c r="C1" s="229"/>
      <c r="D1" s="229"/>
      <c r="E1" s="229"/>
      <c r="F1" s="229"/>
      <c r="G1" s="229"/>
      <c r="H1" s="229"/>
      <c r="I1" s="229"/>
    </row>
    <row r="2" spans="1:9" x14ac:dyDescent="0.3">
      <c r="A2" s="5"/>
      <c r="B2" s="5" t="s">
        <v>16</v>
      </c>
      <c r="C2" s="6"/>
      <c r="D2" s="4"/>
      <c r="E2" s="5"/>
      <c r="F2" s="5"/>
      <c r="G2" s="5"/>
      <c r="H2" s="5"/>
      <c r="I2" s="5"/>
    </row>
    <row r="3" spans="1:9" x14ac:dyDescent="0.3">
      <c r="A3" s="5"/>
      <c r="B3" s="5" t="s">
        <v>17</v>
      </c>
      <c r="C3" s="7"/>
      <c r="D3" s="4"/>
      <c r="E3" s="5"/>
      <c r="F3" s="5"/>
      <c r="G3" s="5"/>
      <c r="H3" s="5"/>
      <c r="I3" s="5"/>
    </row>
    <row r="4" spans="1:9" x14ac:dyDescent="0.3">
      <c r="A4" s="5"/>
      <c r="B4" s="5" t="s">
        <v>18</v>
      </c>
      <c r="C4" s="8"/>
      <c r="D4" s="4"/>
      <c r="E4" s="5"/>
      <c r="F4" s="5"/>
      <c r="G4" s="5"/>
      <c r="H4" s="5"/>
      <c r="I4" s="5"/>
    </row>
    <row r="5" spans="1:9" x14ac:dyDescent="0.3">
      <c r="A5" s="9" t="s">
        <v>19</v>
      </c>
      <c r="B5" s="9" t="s">
        <v>20</v>
      </c>
      <c r="C5" s="9" t="s">
        <v>21</v>
      </c>
      <c r="D5" s="4"/>
      <c r="E5" s="230" t="s">
        <v>22</v>
      </c>
      <c r="F5" s="230"/>
      <c r="G5" s="230"/>
      <c r="H5" s="230"/>
      <c r="I5" s="9"/>
    </row>
    <row r="6" spans="1:9" x14ac:dyDescent="0.3">
      <c r="A6" s="9"/>
      <c r="B6" s="9"/>
      <c r="C6" s="9"/>
      <c r="D6" s="4"/>
      <c r="E6" s="5"/>
      <c r="F6" s="5"/>
      <c r="G6" s="5"/>
      <c r="H6" s="5"/>
      <c r="I6" s="9"/>
    </row>
    <row r="7" spans="1:9" x14ac:dyDescent="0.3">
      <c r="A7" s="9" t="s">
        <v>58</v>
      </c>
      <c r="B7" s="9"/>
      <c r="C7" s="9"/>
      <c r="D7" s="4"/>
      <c r="E7" s="5"/>
      <c r="F7" s="5"/>
      <c r="G7" s="5"/>
      <c r="H7" s="5"/>
      <c r="I7" s="9"/>
    </row>
    <row r="8" spans="1:9" x14ac:dyDescent="0.3">
      <c r="A8" s="9"/>
      <c r="B8" s="9"/>
      <c r="C8" s="9"/>
      <c r="D8" s="4"/>
      <c r="E8" s="5"/>
      <c r="F8" s="5"/>
      <c r="G8" s="5"/>
      <c r="H8" s="5"/>
      <c r="I8" s="9"/>
    </row>
    <row r="9" spans="1:9" x14ac:dyDescent="0.3">
      <c r="A9" t="s">
        <v>47</v>
      </c>
      <c r="B9" s="12">
        <v>0.8</v>
      </c>
      <c r="D9" t="s">
        <v>50</v>
      </c>
    </row>
    <row r="10" spans="1:9" x14ac:dyDescent="0.3">
      <c r="A10" t="s">
        <v>51</v>
      </c>
      <c r="B10" s="13">
        <f>(1-B9)/(2.2*10^6)</f>
        <v>9.0909090909090888E-8</v>
      </c>
      <c r="C10" t="s">
        <v>54</v>
      </c>
      <c r="D10" t="s">
        <v>57</v>
      </c>
    </row>
    <row r="11" spans="1:9" x14ac:dyDescent="0.3">
      <c r="A11" t="s">
        <v>48</v>
      </c>
      <c r="B11" s="12">
        <v>0.85</v>
      </c>
      <c r="D11" t="s">
        <v>50</v>
      </c>
    </row>
    <row r="12" spans="1:9" x14ac:dyDescent="0.3">
      <c r="A12" t="s">
        <v>52</v>
      </c>
      <c r="B12" s="13">
        <f>(1-B11)/(2.2*10^6)</f>
        <v>6.8181818181818186E-8</v>
      </c>
      <c r="C12" t="s">
        <v>54</v>
      </c>
      <c r="D12" t="s">
        <v>56</v>
      </c>
    </row>
    <row r="13" spans="1:9" x14ac:dyDescent="0.3">
      <c r="A13" t="s">
        <v>49</v>
      </c>
      <c r="B13" s="12">
        <v>0.9</v>
      </c>
      <c r="D13" t="s">
        <v>50</v>
      </c>
    </row>
    <row r="14" spans="1:9" x14ac:dyDescent="0.3">
      <c r="A14" t="s">
        <v>53</v>
      </c>
      <c r="B14" s="13">
        <f>(1-B13)/(2.2*10^6)</f>
        <v>4.5454545454545444E-8</v>
      </c>
      <c r="C14" t="s">
        <v>54</v>
      </c>
      <c r="D14" t="s">
        <v>55</v>
      </c>
    </row>
    <row r="16" spans="1:9" x14ac:dyDescent="0.3">
      <c r="A16" t="s">
        <v>59</v>
      </c>
      <c r="B16" s="12">
        <v>0.9</v>
      </c>
      <c r="D16" t="s">
        <v>65</v>
      </c>
    </row>
    <row r="17" spans="1:4" x14ac:dyDescent="0.3">
      <c r="A17" t="s">
        <v>60</v>
      </c>
      <c r="B17" s="12">
        <v>0.93</v>
      </c>
      <c r="D17" t="s">
        <v>62</v>
      </c>
    </row>
    <row r="18" spans="1:4" x14ac:dyDescent="0.3">
      <c r="A18" t="s">
        <v>61</v>
      </c>
      <c r="B18" s="12">
        <v>0.96</v>
      </c>
      <c r="D18" t="s">
        <v>66</v>
      </c>
    </row>
    <row r="19" spans="1:4" x14ac:dyDescent="0.3">
      <c r="B19">
        <f>IF(((1-D_limit_nom)/Constants!B12)&lt;Fsw,2,1)</f>
        <v>1</v>
      </c>
      <c r="D19" t="s">
        <v>72</v>
      </c>
    </row>
    <row r="20" spans="1:4" x14ac:dyDescent="0.3">
      <c r="A20" t="s">
        <v>78</v>
      </c>
      <c r="B20" s="1">
        <f>CHOOSE(B19,D_limit_nom,(1-Constants!B12*Fsw))</f>
        <v>0.93</v>
      </c>
      <c r="D20" t="s">
        <v>79</v>
      </c>
    </row>
    <row r="22" spans="1:4" x14ac:dyDescent="0.3">
      <c r="A22" t="s">
        <v>88</v>
      </c>
      <c r="B22" s="12">
        <f>50*10^-9</f>
        <v>5.0000000000000004E-8</v>
      </c>
      <c r="C22" t="s">
        <v>54</v>
      </c>
      <c r="D22" t="s">
        <v>89</v>
      </c>
    </row>
    <row r="23" spans="1:4" x14ac:dyDescent="0.3">
      <c r="B23" s="12"/>
    </row>
    <row r="24" spans="1:4" ht="15.6" x14ac:dyDescent="0.3">
      <c r="A24" s="29" t="s">
        <v>171</v>
      </c>
    </row>
    <row r="25" spans="1:4" x14ac:dyDescent="0.3">
      <c r="A25" t="s">
        <v>144</v>
      </c>
      <c r="B25" s="12">
        <f>30*10^-6</f>
        <v>2.9999999999999997E-5</v>
      </c>
      <c r="C25" t="s">
        <v>11</v>
      </c>
      <c r="D25" t="s">
        <v>145</v>
      </c>
    </row>
    <row r="26" spans="1:4" x14ac:dyDescent="0.3">
      <c r="A26" t="s">
        <v>146</v>
      </c>
      <c r="B26" s="12">
        <v>1333</v>
      </c>
      <c r="C26" s="2" t="s">
        <v>36</v>
      </c>
      <c r="D26" t="s">
        <v>147</v>
      </c>
    </row>
    <row r="27" spans="1:4" x14ac:dyDescent="0.3">
      <c r="A27" t="s">
        <v>150</v>
      </c>
      <c r="B27" s="12">
        <f>0.1</f>
        <v>0.1</v>
      </c>
      <c r="C27" s="2" t="s">
        <v>10</v>
      </c>
      <c r="D27" t="s">
        <v>151</v>
      </c>
    </row>
    <row r="28" spans="1:4" x14ac:dyDescent="0.3">
      <c r="A28" t="s">
        <v>520</v>
      </c>
      <c r="B28" s="12">
        <v>2000</v>
      </c>
      <c r="C28" s="2" t="s">
        <v>36</v>
      </c>
      <c r="D28" t="s">
        <v>521</v>
      </c>
    </row>
    <row r="29" spans="1:4" x14ac:dyDescent="0.3">
      <c r="A29" t="s">
        <v>236</v>
      </c>
      <c r="B29" s="12">
        <f>0.145</f>
        <v>0.14499999999999999</v>
      </c>
      <c r="C29" t="s">
        <v>180</v>
      </c>
      <c r="D29" t="s">
        <v>238</v>
      </c>
    </row>
    <row r="30" spans="1:4" x14ac:dyDescent="0.3">
      <c r="A30" t="s">
        <v>240</v>
      </c>
      <c r="B30" s="12">
        <v>1</v>
      </c>
      <c r="C30" t="s">
        <v>180</v>
      </c>
      <c r="D30" t="s">
        <v>241</v>
      </c>
    </row>
    <row r="32" spans="1:4" x14ac:dyDescent="0.3">
      <c r="A32" s="33" t="s">
        <v>261</v>
      </c>
    </row>
    <row r="33" spans="1:4" x14ac:dyDescent="0.3">
      <c r="A33" t="s">
        <v>282</v>
      </c>
      <c r="B33">
        <v>1</v>
      </c>
      <c r="C33" t="s">
        <v>10</v>
      </c>
      <c r="D33" t="s">
        <v>283</v>
      </c>
    </row>
    <row r="34" spans="1:4" x14ac:dyDescent="0.3">
      <c r="A34" t="s">
        <v>265</v>
      </c>
      <c r="B34">
        <f>(2*10^-3)/1</f>
        <v>2E-3</v>
      </c>
      <c r="C34" t="s">
        <v>267</v>
      </c>
      <c r="D34" t="s">
        <v>266</v>
      </c>
    </row>
    <row r="36" spans="1:4" x14ac:dyDescent="0.3">
      <c r="A36" s="33" t="s">
        <v>334</v>
      </c>
    </row>
    <row r="37" spans="1:4" x14ac:dyDescent="0.3">
      <c r="A37" t="s">
        <v>335</v>
      </c>
      <c r="B37">
        <f>10*10^-6</f>
        <v>9.9999999999999991E-6</v>
      </c>
      <c r="C37" t="s">
        <v>11</v>
      </c>
      <c r="D37" t="s">
        <v>336</v>
      </c>
    </row>
    <row r="39" spans="1:4" x14ac:dyDescent="0.3">
      <c r="A39" s="33" t="s">
        <v>355</v>
      </c>
    </row>
    <row r="40" spans="1:4" x14ac:dyDescent="0.3">
      <c r="A40" t="s">
        <v>356</v>
      </c>
      <c r="B40">
        <v>1.5</v>
      </c>
      <c r="C40" t="s">
        <v>10</v>
      </c>
      <c r="D40" t="s">
        <v>359</v>
      </c>
    </row>
    <row r="41" spans="1:4" x14ac:dyDescent="0.3">
      <c r="A41" t="s">
        <v>357</v>
      </c>
      <c r="B41">
        <v>1.45</v>
      </c>
      <c r="C41" t="s">
        <v>10</v>
      </c>
      <c r="D41" t="s">
        <v>358</v>
      </c>
    </row>
    <row r="42" spans="1:4" x14ac:dyDescent="0.3">
      <c r="A42" t="s">
        <v>362</v>
      </c>
      <c r="B42">
        <f>5*10^-6</f>
        <v>4.9999999999999996E-6</v>
      </c>
      <c r="C42" t="s">
        <v>11</v>
      </c>
      <c r="D42" t="s">
        <v>363</v>
      </c>
    </row>
    <row r="44" spans="1:4" x14ac:dyDescent="0.3">
      <c r="A44" s="33" t="s">
        <v>420</v>
      </c>
    </row>
    <row r="45" spans="1:4" x14ac:dyDescent="0.3">
      <c r="A45" t="s">
        <v>421</v>
      </c>
      <c r="B45">
        <v>6.75</v>
      </c>
      <c r="C45" t="s">
        <v>10</v>
      </c>
      <c r="D45" t="s">
        <v>422</v>
      </c>
    </row>
    <row r="47" spans="1:4" x14ac:dyDescent="0.3">
      <c r="A47" s="33" t="s">
        <v>439</v>
      </c>
    </row>
    <row r="48" spans="1:4" x14ac:dyDescent="0.3">
      <c r="A48" t="s">
        <v>440</v>
      </c>
      <c r="B48">
        <f>450*(10^-6)</f>
        <v>4.4999999999999999E-4</v>
      </c>
      <c r="C48" t="s">
        <v>11</v>
      </c>
      <c r="D48" t="s">
        <v>441</v>
      </c>
    </row>
    <row r="50" spans="1:4" x14ac:dyDescent="0.3">
      <c r="A50" t="s">
        <v>481</v>
      </c>
    </row>
    <row r="51" spans="1:4" x14ac:dyDescent="0.3">
      <c r="A51" t="s">
        <v>482</v>
      </c>
      <c r="B51">
        <v>1.5</v>
      </c>
      <c r="C51" t="s">
        <v>10</v>
      </c>
      <c r="D51" t="s">
        <v>483</v>
      </c>
    </row>
    <row r="52" spans="1:4" x14ac:dyDescent="0.3">
      <c r="A52" t="s">
        <v>485</v>
      </c>
      <c r="B52">
        <v>45</v>
      </c>
      <c r="C52" t="s">
        <v>10</v>
      </c>
      <c r="D52" t="s">
        <v>484</v>
      </c>
    </row>
    <row r="53" spans="1:4" x14ac:dyDescent="0.3">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6640625" customWidth="1"/>
  </cols>
  <sheetData>
    <row r="2" spans="2:2" x14ac:dyDescent="0.3">
      <c r="B2" t="str">
        <f>"Eff_vs_IOUT"</f>
        <v>Eff_vs_IOUT</v>
      </c>
    </row>
    <row r="3" spans="2:2" ht="379.9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defaultRowHeight="14.4" x14ac:dyDescent="0.3"/>
  <cols>
    <col min="2" max="2" width="76.109375" customWidth="1"/>
  </cols>
  <sheetData>
    <row r="1" spans="1:1" x14ac:dyDescent="0.3">
      <c r="A1" t="str">
        <f>IF('Design Converter'!H7&gt;=3,"SCH_1","SCH_2")</f>
        <v>SCH_1</v>
      </c>
    </row>
    <row r="2" spans="1:1" ht="267.60000000000002" customHeight="1" x14ac:dyDescent="0.3"/>
    <row r="4" spans="1:1" ht="267.60000000000002" customHeight="1" x14ac:dyDescent="0.3"/>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defaultRowHeight="14.4" x14ac:dyDescent="0.3"/>
  <sheetData>
    <row r="2" spans="1:4" x14ac:dyDescent="0.3">
      <c r="A2" t="s">
        <v>458</v>
      </c>
    </row>
    <row r="3" spans="1:4" x14ac:dyDescent="0.3">
      <c r="B3" s="47">
        <f>VIN_min</f>
        <v>19.7</v>
      </c>
    </row>
    <row r="4" spans="1:4" x14ac:dyDescent="0.3">
      <c r="B4" s="221">
        <f>VIN_nom</f>
        <v>20</v>
      </c>
      <c r="D4">
        <v>2.5</v>
      </c>
    </row>
    <row r="5" spans="1:4" x14ac:dyDescent="0.3">
      <c r="B5" s="222">
        <f>VIN_max</f>
        <v>20.3</v>
      </c>
    </row>
    <row r="8" spans="1:4" x14ac:dyDescent="0.3">
      <c r="A8" t="s">
        <v>552</v>
      </c>
    </row>
    <row r="9" spans="1:4" x14ac:dyDescent="0.3">
      <c r="B9" s="47" t="s">
        <v>495</v>
      </c>
    </row>
    <row r="10" spans="1:4" x14ac:dyDescent="0.3">
      <c r="B10" s="221" t="s">
        <v>496</v>
      </c>
    </row>
    <row r="11" spans="1:4" x14ac:dyDescent="0.3">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defaultColWidth="9.109375" defaultRowHeight="13.8" x14ac:dyDescent="0.25"/>
  <cols>
    <col min="1" max="1" width="25.6640625" style="150" bestFit="1" customWidth="1"/>
    <col min="2" max="2" width="56.5546875" style="151" customWidth="1"/>
    <col min="3" max="11" width="9.109375" style="144"/>
    <col min="12" max="12" width="20.44140625" style="144" customWidth="1"/>
    <col min="13" max="16384" width="9.109375" style="144"/>
  </cols>
  <sheetData>
    <row r="1" spans="1:12" x14ac:dyDescent="0.25">
      <c r="A1" s="246"/>
      <c r="B1" s="246"/>
      <c r="C1" s="246"/>
      <c r="D1" s="246"/>
      <c r="E1" s="246"/>
      <c r="F1" s="246"/>
      <c r="G1" s="246"/>
      <c r="H1" s="246"/>
      <c r="I1" s="246"/>
      <c r="J1" s="246"/>
      <c r="K1" s="246"/>
      <c r="L1" s="246"/>
    </row>
    <row r="2" spans="1:12" x14ac:dyDescent="0.25">
      <c r="A2" s="246"/>
      <c r="B2" s="246"/>
      <c r="C2" s="246"/>
      <c r="D2" s="246"/>
      <c r="E2" s="246"/>
      <c r="F2" s="246"/>
      <c r="G2" s="246"/>
      <c r="H2" s="246"/>
      <c r="I2" s="246"/>
      <c r="J2" s="246"/>
      <c r="K2" s="246"/>
      <c r="L2" s="246"/>
    </row>
    <row r="3" spans="1:12" x14ac:dyDescent="0.25">
      <c r="A3" s="246"/>
      <c r="B3" s="246"/>
      <c r="C3" s="246"/>
      <c r="D3" s="246"/>
      <c r="E3" s="246"/>
      <c r="F3" s="246"/>
      <c r="G3" s="246"/>
      <c r="H3" s="246"/>
      <c r="I3" s="246"/>
      <c r="J3" s="246"/>
      <c r="K3" s="246"/>
      <c r="L3" s="246"/>
    </row>
    <row r="4" spans="1:12" ht="12.75" customHeight="1" x14ac:dyDescent="0.25">
      <c r="A4" s="247"/>
      <c r="B4" s="247"/>
      <c r="C4" s="247"/>
      <c r="D4" s="247"/>
      <c r="E4" s="247"/>
      <c r="F4" s="247"/>
      <c r="G4" s="247"/>
      <c r="H4" s="247"/>
      <c r="I4" s="247"/>
      <c r="J4" s="247"/>
      <c r="K4" s="247"/>
      <c r="L4" s="247"/>
    </row>
    <row r="5" spans="1:12" x14ac:dyDescent="0.25">
      <c r="A5" s="145" t="s">
        <v>523</v>
      </c>
      <c r="B5" s="157" t="s">
        <v>575</v>
      </c>
      <c r="C5" s="147"/>
      <c r="D5" s="147"/>
      <c r="E5" s="147"/>
      <c r="F5" s="147"/>
      <c r="G5" s="147"/>
      <c r="H5" s="147"/>
      <c r="I5" s="147"/>
      <c r="J5" s="147"/>
      <c r="K5" s="148"/>
      <c r="L5" s="149"/>
    </row>
    <row r="6" spans="1:12" x14ac:dyDescent="0.25">
      <c r="A6" s="145"/>
      <c r="B6" s="146"/>
      <c r="C6" s="147"/>
      <c r="D6" s="147"/>
      <c r="E6" s="147"/>
      <c r="F6" s="147"/>
      <c r="G6" s="147"/>
      <c r="H6" s="147"/>
      <c r="I6" s="147"/>
      <c r="J6" s="149"/>
      <c r="K6" s="149"/>
      <c r="L6" s="149"/>
    </row>
    <row r="35" spans="1:39" x14ac:dyDescent="0.25">
      <c r="A35" s="152" t="s">
        <v>525</v>
      </c>
      <c r="B35" s="153"/>
      <c r="C35" s="147"/>
      <c r="D35" s="147"/>
      <c r="E35" s="147"/>
      <c r="F35" s="147"/>
      <c r="G35" s="147"/>
      <c r="H35" s="147"/>
      <c r="I35" s="147"/>
      <c r="J35" s="147"/>
      <c r="K35" s="147"/>
    </row>
    <row r="36" spans="1:39" x14ac:dyDescent="0.25">
      <c r="A36" s="154" t="s">
        <v>526</v>
      </c>
      <c r="B36" s="248" t="s">
        <v>527</v>
      </c>
      <c r="C36" s="248"/>
      <c r="D36" s="248"/>
      <c r="E36" s="248"/>
      <c r="F36" s="248"/>
      <c r="G36" s="248"/>
      <c r="H36" s="248"/>
      <c r="I36" s="248"/>
      <c r="J36" s="248"/>
      <c r="K36" s="248"/>
    </row>
    <row r="37" spans="1:39" x14ac:dyDescent="0.25">
      <c r="A37" s="152" t="s">
        <v>524</v>
      </c>
      <c r="B37" s="249" t="s">
        <v>528</v>
      </c>
      <c r="C37" s="249"/>
      <c r="D37" s="249"/>
      <c r="E37" s="249"/>
      <c r="F37" s="249"/>
      <c r="G37" s="249"/>
      <c r="H37" s="249"/>
      <c r="I37" s="249"/>
      <c r="J37" s="249"/>
      <c r="K37" s="249"/>
    </row>
    <row r="38" spans="1:39" ht="14.25" customHeight="1" x14ac:dyDescent="0.25">
      <c r="A38" s="156" t="s">
        <v>531</v>
      </c>
      <c r="B38" s="250" t="s">
        <v>532</v>
      </c>
      <c r="C38" s="250"/>
      <c r="D38" s="250"/>
      <c r="E38" s="250"/>
      <c r="F38" s="250"/>
      <c r="G38" s="250"/>
      <c r="H38" s="250"/>
      <c r="I38" s="250"/>
      <c r="J38" s="250"/>
      <c r="K38" s="250"/>
    </row>
    <row r="39" spans="1:39" ht="14.25" customHeight="1" x14ac:dyDescent="0.25">
      <c r="A39" s="156" t="s">
        <v>575</v>
      </c>
      <c r="B39" s="226" t="s">
        <v>576</v>
      </c>
      <c r="C39" s="226"/>
      <c r="D39" s="226"/>
      <c r="E39" s="226"/>
      <c r="F39" s="226"/>
      <c r="G39" s="226"/>
      <c r="H39" s="226"/>
      <c r="I39" s="226"/>
      <c r="J39" s="226"/>
      <c r="K39" s="226"/>
    </row>
    <row r="40" spans="1:39" ht="14.25" customHeight="1" x14ac:dyDescent="0.25">
      <c r="A40" s="156"/>
      <c r="B40" s="226"/>
      <c r="C40" s="226"/>
      <c r="D40" s="226"/>
      <c r="E40" s="226"/>
      <c r="F40" s="226"/>
      <c r="G40" s="226"/>
      <c r="H40" s="226"/>
      <c r="I40" s="226"/>
      <c r="J40" s="226"/>
      <c r="K40" s="226"/>
    </row>
    <row r="41" spans="1:39" ht="14.25" customHeight="1" x14ac:dyDescent="0.25">
      <c r="A41" s="156"/>
      <c r="B41" s="226"/>
      <c r="C41" s="226"/>
      <c r="D41" s="226"/>
      <c r="E41" s="226"/>
      <c r="F41" s="226"/>
      <c r="G41" s="226"/>
      <c r="H41" s="226"/>
      <c r="I41" s="226"/>
      <c r="J41" s="226"/>
      <c r="K41" s="226"/>
    </row>
    <row r="42" spans="1:39" x14ac:dyDescent="0.25">
      <c r="A42" s="156"/>
      <c r="B42" s="226"/>
      <c r="C42" s="226"/>
      <c r="D42" s="226"/>
      <c r="E42" s="226"/>
      <c r="F42" s="226"/>
      <c r="G42" s="226"/>
      <c r="H42" s="226"/>
      <c r="I42" s="226"/>
      <c r="J42" s="226"/>
      <c r="K42" s="226"/>
    </row>
    <row r="43" spans="1:39" x14ac:dyDescent="0.25">
      <c r="A43" s="156"/>
      <c r="B43" s="226"/>
      <c r="C43" s="226"/>
      <c r="D43" s="226"/>
      <c r="E43" s="226"/>
      <c r="F43" s="226"/>
      <c r="G43" s="226"/>
      <c r="H43" s="226"/>
      <c r="I43" s="226"/>
      <c r="J43" s="226"/>
      <c r="K43" s="226"/>
    </row>
    <row r="44" spans="1:39" x14ac:dyDescent="0.25">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25">
      <c r="A45" s="156"/>
      <c r="B45" s="226"/>
      <c r="C45" s="226"/>
      <c r="D45" s="226"/>
      <c r="E45" s="226"/>
      <c r="F45" s="226"/>
      <c r="G45" s="226"/>
      <c r="H45" s="226"/>
      <c r="I45" s="226"/>
      <c r="J45" s="226"/>
      <c r="K45" s="226"/>
    </row>
    <row r="46" spans="1:39" x14ac:dyDescent="0.25">
      <c r="A46" s="156"/>
      <c r="B46" s="226"/>
      <c r="C46" s="226"/>
      <c r="D46" s="226"/>
      <c r="E46" s="226"/>
      <c r="F46" s="226"/>
      <c r="G46" s="226"/>
      <c r="H46" s="226"/>
      <c r="I46" s="226"/>
      <c r="J46" s="226"/>
      <c r="K46" s="226"/>
    </row>
    <row r="47" spans="1:39" x14ac:dyDescent="0.25">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Paul Willis</cp:lastModifiedBy>
  <cp:lastPrinted>2018-08-09T07:13:51Z</cp:lastPrinted>
  <dcterms:created xsi:type="dcterms:W3CDTF">2018-06-26T09:13:29Z</dcterms:created>
  <dcterms:modified xsi:type="dcterms:W3CDTF">2024-01-04T23:44:59Z</dcterms:modified>
</cp:coreProperties>
</file>