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avannah\Documents\DA11\Python\capstone\sports-league-wage-gap\capstonedashboard\"/>
    </mc:Choice>
  </mc:AlternateContent>
  <xr:revisionPtr revIDLastSave="0" documentId="8_{DD6C488A-E3E2-463E-8302-2727BD2EEE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LS Salaries" sheetId="1" r:id="rId1"/>
  </sheets>
  <definedNames>
    <definedName name="_xlnm._FilterDatabase" localSheetId="0" hidden="1">'MLS Salaries'!$W$1:$W$1000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5" i="1" l="1"/>
  <c r="E875" i="1"/>
  <c r="D875" i="1"/>
  <c r="H875" i="1" s="1"/>
  <c r="I875" i="1" s="1"/>
  <c r="J875" i="1" s="1"/>
  <c r="K875" i="1" s="1"/>
  <c r="L875" i="1" s="1"/>
  <c r="M875" i="1" s="1"/>
  <c r="N875" i="1" s="1"/>
  <c r="O875" i="1" s="1"/>
  <c r="P875" i="1" s="1"/>
  <c r="Q875" i="1" s="1"/>
  <c r="R875" i="1" s="1"/>
  <c r="S875" i="1" s="1"/>
  <c r="T875" i="1" s="1"/>
  <c r="U875" i="1" s="1"/>
  <c r="V875" i="1" s="1"/>
  <c r="C875" i="1"/>
  <c r="B875" i="1"/>
  <c r="A875" i="1"/>
  <c r="W875" i="1" s="1"/>
  <c r="J874" i="1"/>
  <c r="K874" i="1" s="1"/>
  <c r="L874" i="1" s="1"/>
  <c r="M874" i="1" s="1"/>
  <c r="N874" i="1" s="1"/>
  <c r="O874" i="1" s="1"/>
  <c r="P874" i="1" s="1"/>
  <c r="Q874" i="1" s="1"/>
  <c r="R874" i="1" s="1"/>
  <c r="S874" i="1" s="1"/>
  <c r="T874" i="1" s="1"/>
  <c r="U874" i="1" s="1"/>
  <c r="V874" i="1" s="1"/>
  <c r="H874" i="1"/>
  <c r="I874" i="1" s="1"/>
  <c r="F874" i="1"/>
  <c r="E874" i="1"/>
  <c r="D874" i="1"/>
  <c r="C874" i="1"/>
  <c r="B874" i="1"/>
  <c r="A874" i="1"/>
  <c r="W874" i="1" s="1"/>
  <c r="H873" i="1"/>
  <c r="I873" i="1" s="1"/>
  <c r="J873" i="1" s="1"/>
  <c r="K873" i="1" s="1"/>
  <c r="L873" i="1" s="1"/>
  <c r="M873" i="1" s="1"/>
  <c r="N873" i="1" s="1"/>
  <c r="O873" i="1" s="1"/>
  <c r="P873" i="1" s="1"/>
  <c r="Q873" i="1" s="1"/>
  <c r="R873" i="1" s="1"/>
  <c r="S873" i="1" s="1"/>
  <c r="T873" i="1" s="1"/>
  <c r="U873" i="1" s="1"/>
  <c r="V873" i="1" s="1"/>
  <c r="F873" i="1"/>
  <c r="E873" i="1"/>
  <c r="D873" i="1"/>
  <c r="C873" i="1"/>
  <c r="B873" i="1"/>
  <c r="A873" i="1"/>
  <c r="W873" i="1" s="1"/>
  <c r="L872" i="1"/>
  <c r="M872" i="1" s="1"/>
  <c r="N872" i="1" s="1"/>
  <c r="O872" i="1" s="1"/>
  <c r="P872" i="1" s="1"/>
  <c r="Q872" i="1" s="1"/>
  <c r="R872" i="1" s="1"/>
  <c r="S872" i="1" s="1"/>
  <c r="T872" i="1" s="1"/>
  <c r="U872" i="1" s="1"/>
  <c r="V872" i="1" s="1"/>
  <c r="J872" i="1"/>
  <c r="K872" i="1" s="1"/>
  <c r="F872" i="1"/>
  <c r="E872" i="1"/>
  <c r="D872" i="1"/>
  <c r="H872" i="1" s="1"/>
  <c r="I872" i="1" s="1"/>
  <c r="C872" i="1"/>
  <c r="B872" i="1"/>
  <c r="A872" i="1"/>
  <c r="W872" i="1" s="1"/>
  <c r="P871" i="1"/>
  <c r="Q871" i="1" s="1"/>
  <c r="R871" i="1" s="1"/>
  <c r="S871" i="1" s="1"/>
  <c r="T871" i="1" s="1"/>
  <c r="U871" i="1" s="1"/>
  <c r="V871" i="1" s="1"/>
  <c r="H871" i="1"/>
  <c r="I871" i="1" s="1"/>
  <c r="J871" i="1" s="1"/>
  <c r="K871" i="1" s="1"/>
  <c r="L871" i="1" s="1"/>
  <c r="M871" i="1" s="1"/>
  <c r="N871" i="1" s="1"/>
  <c r="O871" i="1" s="1"/>
  <c r="F871" i="1"/>
  <c r="E871" i="1"/>
  <c r="D871" i="1"/>
  <c r="C871" i="1"/>
  <c r="B871" i="1"/>
  <c r="A871" i="1"/>
  <c r="W871" i="1" s="1"/>
  <c r="J870" i="1"/>
  <c r="K870" i="1" s="1"/>
  <c r="L870" i="1" s="1"/>
  <c r="M870" i="1" s="1"/>
  <c r="N870" i="1" s="1"/>
  <c r="O870" i="1" s="1"/>
  <c r="P870" i="1" s="1"/>
  <c r="Q870" i="1" s="1"/>
  <c r="R870" i="1" s="1"/>
  <c r="S870" i="1" s="1"/>
  <c r="T870" i="1" s="1"/>
  <c r="U870" i="1" s="1"/>
  <c r="V870" i="1" s="1"/>
  <c r="H870" i="1"/>
  <c r="I870" i="1" s="1"/>
  <c r="F870" i="1"/>
  <c r="E870" i="1"/>
  <c r="D870" i="1"/>
  <c r="C870" i="1"/>
  <c r="B870" i="1"/>
  <c r="A870" i="1"/>
  <c r="W870" i="1" s="1"/>
  <c r="V869" i="1"/>
  <c r="P869" i="1"/>
  <c r="Q869" i="1" s="1"/>
  <c r="R869" i="1" s="1"/>
  <c r="S869" i="1" s="1"/>
  <c r="T869" i="1" s="1"/>
  <c r="U869" i="1" s="1"/>
  <c r="H869" i="1"/>
  <c r="I869" i="1" s="1"/>
  <c r="J869" i="1" s="1"/>
  <c r="K869" i="1" s="1"/>
  <c r="L869" i="1" s="1"/>
  <c r="M869" i="1" s="1"/>
  <c r="N869" i="1" s="1"/>
  <c r="O869" i="1" s="1"/>
  <c r="F869" i="1"/>
  <c r="E869" i="1"/>
  <c r="D869" i="1"/>
  <c r="C869" i="1"/>
  <c r="B869" i="1"/>
  <c r="A869" i="1"/>
  <c r="W869" i="1" s="1"/>
  <c r="L868" i="1"/>
  <c r="M868" i="1" s="1"/>
  <c r="N868" i="1" s="1"/>
  <c r="O868" i="1" s="1"/>
  <c r="P868" i="1" s="1"/>
  <c r="Q868" i="1" s="1"/>
  <c r="R868" i="1" s="1"/>
  <c r="S868" i="1" s="1"/>
  <c r="T868" i="1" s="1"/>
  <c r="U868" i="1" s="1"/>
  <c r="V868" i="1" s="1"/>
  <c r="J868" i="1"/>
  <c r="K868" i="1" s="1"/>
  <c r="F868" i="1"/>
  <c r="E868" i="1"/>
  <c r="D868" i="1"/>
  <c r="H868" i="1" s="1"/>
  <c r="I868" i="1" s="1"/>
  <c r="C868" i="1"/>
  <c r="B868" i="1"/>
  <c r="A868" i="1"/>
  <c r="W868" i="1" s="1"/>
  <c r="H867" i="1"/>
  <c r="I867" i="1" s="1"/>
  <c r="J867" i="1" s="1"/>
  <c r="K867" i="1" s="1"/>
  <c r="L867" i="1" s="1"/>
  <c r="M867" i="1" s="1"/>
  <c r="N867" i="1" s="1"/>
  <c r="O867" i="1" s="1"/>
  <c r="P867" i="1" s="1"/>
  <c r="Q867" i="1" s="1"/>
  <c r="R867" i="1" s="1"/>
  <c r="S867" i="1" s="1"/>
  <c r="T867" i="1" s="1"/>
  <c r="U867" i="1" s="1"/>
  <c r="V867" i="1" s="1"/>
  <c r="F867" i="1"/>
  <c r="E867" i="1"/>
  <c r="D867" i="1"/>
  <c r="C867" i="1"/>
  <c r="B867" i="1"/>
  <c r="A867" i="1"/>
  <c r="W867" i="1" s="1"/>
  <c r="J866" i="1"/>
  <c r="K866" i="1" s="1"/>
  <c r="L866" i="1" s="1"/>
  <c r="M866" i="1" s="1"/>
  <c r="N866" i="1" s="1"/>
  <c r="O866" i="1" s="1"/>
  <c r="P866" i="1" s="1"/>
  <c r="Q866" i="1" s="1"/>
  <c r="R866" i="1" s="1"/>
  <c r="S866" i="1" s="1"/>
  <c r="T866" i="1" s="1"/>
  <c r="U866" i="1" s="1"/>
  <c r="V866" i="1" s="1"/>
  <c r="H866" i="1"/>
  <c r="I866" i="1" s="1"/>
  <c r="F866" i="1"/>
  <c r="E866" i="1"/>
  <c r="D866" i="1"/>
  <c r="C866" i="1"/>
  <c r="B866" i="1"/>
  <c r="A866" i="1"/>
  <c r="W866" i="1" s="1"/>
  <c r="H865" i="1"/>
  <c r="I865" i="1" s="1"/>
  <c r="J865" i="1" s="1"/>
  <c r="K865" i="1" s="1"/>
  <c r="L865" i="1" s="1"/>
  <c r="M865" i="1" s="1"/>
  <c r="N865" i="1" s="1"/>
  <c r="O865" i="1" s="1"/>
  <c r="P865" i="1" s="1"/>
  <c r="Q865" i="1" s="1"/>
  <c r="R865" i="1" s="1"/>
  <c r="S865" i="1" s="1"/>
  <c r="T865" i="1" s="1"/>
  <c r="U865" i="1" s="1"/>
  <c r="V865" i="1" s="1"/>
  <c r="F865" i="1"/>
  <c r="E865" i="1"/>
  <c r="D865" i="1"/>
  <c r="C865" i="1"/>
  <c r="B865" i="1"/>
  <c r="A865" i="1"/>
  <c r="W865" i="1" s="1"/>
  <c r="H864" i="1"/>
  <c r="I864" i="1" s="1"/>
  <c r="J864" i="1" s="1"/>
  <c r="K864" i="1" s="1"/>
  <c r="L864" i="1" s="1"/>
  <c r="M864" i="1" s="1"/>
  <c r="N864" i="1" s="1"/>
  <c r="O864" i="1" s="1"/>
  <c r="P864" i="1" s="1"/>
  <c r="Q864" i="1" s="1"/>
  <c r="R864" i="1" s="1"/>
  <c r="S864" i="1" s="1"/>
  <c r="T864" i="1" s="1"/>
  <c r="U864" i="1" s="1"/>
  <c r="V864" i="1" s="1"/>
  <c r="F864" i="1"/>
  <c r="E864" i="1"/>
  <c r="D864" i="1"/>
  <c r="C864" i="1"/>
  <c r="B864" i="1"/>
  <c r="A864" i="1"/>
  <c r="W864" i="1" s="1"/>
  <c r="H863" i="1"/>
  <c r="I863" i="1" s="1"/>
  <c r="J863" i="1" s="1"/>
  <c r="K863" i="1" s="1"/>
  <c r="L863" i="1" s="1"/>
  <c r="M863" i="1" s="1"/>
  <c r="N863" i="1" s="1"/>
  <c r="O863" i="1" s="1"/>
  <c r="P863" i="1" s="1"/>
  <c r="Q863" i="1" s="1"/>
  <c r="R863" i="1" s="1"/>
  <c r="S863" i="1" s="1"/>
  <c r="T863" i="1" s="1"/>
  <c r="U863" i="1" s="1"/>
  <c r="V863" i="1" s="1"/>
  <c r="F863" i="1"/>
  <c r="E863" i="1"/>
  <c r="D863" i="1"/>
  <c r="C863" i="1"/>
  <c r="B863" i="1"/>
  <c r="A863" i="1"/>
  <c r="W863" i="1" s="1"/>
  <c r="P862" i="1"/>
  <c r="Q862" i="1" s="1"/>
  <c r="R862" i="1" s="1"/>
  <c r="S862" i="1" s="1"/>
  <c r="T862" i="1" s="1"/>
  <c r="U862" i="1" s="1"/>
  <c r="V862" i="1" s="1"/>
  <c r="J862" i="1"/>
  <c r="K862" i="1" s="1"/>
  <c r="L862" i="1" s="1"/>
  <c r="M862" i="1" s="1"/>
  <c r="N862" i="1" s="1"/>
  <c r="O862" i="1" s="1"/>
  <c r="H862" i="1"/>
  <c r="I862" i="1" s="1"/>
  <c r="F862" i="1"/>
  <c r="E862" i="1"/>
  <c r="D862" i="1"/>
  <c r="C862" i="1"/>
  <c r="B862" i="1"/>
  <c r="A862" i="1"/>
  <c r="W862" i="1" s="1"/>
  <c r="L861" i="1"/>
  <c r="M861" i="1" s="1"/>
  <c r="N861" i="1" s="1"/>
  <c r="O861" i="1" s="1"/>
  <c r="P861" i="1" s="1"/>
  <c r="Q861" i="1" s="1"/>
  <c r="R861" i="1" s="1"/>
  <c r="S861" i="1" s="1"/>
  <c r="T861" i="1" s="1"/>
  <c r="U861" i="1" s="1"/>
  <c r="V861" i="1" s="1"/>
  <c r="J861" i="1"/>
  <c r="K861" i="1" s="1"/>
  <c r="H861" i="1"/>
  <c r="I861" i="1" s="1"/>
  <c r="F861" i="1"/>
  <c r="E861" i="1"/>
  <c r="D861" i="1"/>
  <c r="C861" i="1"/>
  <c r="B861" i="1"/>
  <c r="A861" i="1"/>
  <c r="W861" i="1" s="1"/>
  <c r="H860" i="1"/>
  <c r="I860" i="1" s="1"/>
  <c r="J860" i="1" s="1"/>
  <c r="K860" i="1" s="1"/>
  <c r="L860" i="1" s="1"/>
  <c r="M860" i="1" s="1"/>
  <c r="N860" i="1" s="1"/>
  <c r="O860" i="1" s="1"/>
  <c r="P860" i="1" s="1"/>
  <c r="Q860" i="1" s="1"/>
  <c r="R860" i="1" s="1"/>
  <c r="S860" i="1" s="1"/>
  <c r="T860" i="1" s="1"/>
  <c r="U860" i="1" s="1"/>
  <c r="V860" i="1" s="1"/>
  <c r="F860" i="1"/>
  <c r="E860" i="1"/>
  <c r="D860" i="1"/>
  <c r="C860" i="1"/>
  <c r="B860" i="1"/>
  <c r="A860" i="1"/>
  <c r="W860" i="1" s="1"/>
  <c r="H859" i="1"/>
  <c r="I859" i="1" s="1"/>
  <c r="J859" i="1" s="1"/>
  <c r="K859" i="1" s="1"/>
  <c r="L859" i="1" s="1"/>
  <c r="M859" i="1" s="1"/>
  <c r="N859" i="1" s="1"/>
  <c r="O859" i="1" s="1"/>
  <c r="P859" i="1" s="1"/>
  <c r="Q859" i="1" s="1"/>
  <c r="R859" i="1" s="1"/>
  <c r="S859" i="1" s="1"/>
  <c r="T859" i="1" s="1"/>
  <c r="U859" i="1" s="1"/>
  <c r="V859" i="1" s="1"/>
  <c r="F859" i="1"/>
  <c r="E859" i="1"/>
  <c r="D859" i="1"/>
  <c r="C859" i="1"/>
  <c r="B859" i="1"/>
  <c r="A859" i="1"/>
  <c r="W859" i="1" s="1"/>
  <c r="P858" i="1"/>
  <c r="Q858" i="1" s="1"/>
  <c r="R858" i="1" s="1"/>
  <c r="S858" i="1" s="1"/>
  <c r="T858" i="1" s="1"/>
  <c r="U858" i="1" s="1"/>
  <c r="V858" i="1" s="1"/>
  <c r="J858" i="1"/>
  <c r="K858" i="1" s="1"/>
  <c r="L858" i="1" s="1"/>
  <c r="M858" i="1" s="1"/>
  <c r="N858" i="1" s="1"/>
  <c r="O858" i="1" s="1"/>
  <c r="H858" i="1"/>
  <c r="I858" i="1" s="1"/>
  <c r="F858" i="1"/>
  <c r="E858" i="1"/>
  <c r="D858" i="1"/>
  <c r="C858" i="1"/>
  <c r="B858" i="1"/>
  <c r="A858" i="1"/>
  <c r="W858" i="1" s="1"/>
  <c r="L857" i="1"/>
  <c r="M857" i="1" s="1"/>
  <c r="N857" i="1" s="1"/>
  <c r="O857" i="1" s="1"/>
  <c r="P857" i="1" s="1"/>
  <c r="Q857" i="1" s="1"/>
  <c r="R857" i="1" s="1"/>
  <c r="S857" i="1" s="1"/>
  <c r="T857" i="1" s="1"/>
  <c r="U857" i="1" s="1"/>
  <c r="V857" i="1" s="1"/>
  <c r="H857" i="1"/>
  <c r="I857" i="1" s="1"/>
  <c r="J857" i="1" s="1"/>
  <c r="K857" i="1" s="1"/>
  <c r="F857" i="1"/>
  <c r="E857" i="1"/>
  <c r="D857" i="1"/>
  <c r="C857" i="1"/>
  <c r="B857" i="1"/>
  <c r="A857" i="1"/>
  <c r="W857" i="1" s="1"/>
  <c r="L856" i="1"/>
  <c r="M856" i="1" s="1"/>
  <c r="N856" i="1" s="1"/>
  <c r="O856" i="1" s="1"/>
  <c r="P856" i="1" s="1"/>
  <c r="Q856" i="1" s="1"/>
  <c r="R856" i="1" s="1"/>
  <c r="S856" i="1" s="1"/>
  <c r="T856" i="1" s="1"/>
  <c r="U856" i="1" s="1"/>
  <c r="V856" i="1" s="1"/>
  <c r="H856" i="1"/>
  <c r="I856" i="1" s="1"/>
  <c r="J856" i="1" s="1"/>
  <c r="K856" i="1" s="1"/>
  <c r="F856" i="1"/>
  <c r="E856" i="1"/>
  <c r="D856" i="1"/>
  <c r="C856" i="1"/>
  <c r="B856" i="1"/>
  <c r="A856" i="1"/>
  <c r="W856" i="1" s="1"/>
  <c r="T855" i="1"/>
  <c r="U855" i="1" s="1"/>
  <c r="V855" i="1" s="1"/>
  <c r="H855" i="1"/>
  <c r="I855" i="1" s="1"/>
  <c r="J855" i="1" s="1"/>
  <c r="K855" i="1" s="1"/>
  <c r="L855" i="1" s="1"/>
  <c r="M855" i="1" s="1"/>
  <c r="N855" i="1" s="1"/>
  <c r="O855" i="1" s="1"/>
  <c r="P855" i="1" s="1"/>
  <c r="Q855" i="1" s="1"/>
  <c r="R855" i="1" s="1"/>
  <c r="S855" i="1" s="1"/>
  <c r="F855" i="1"/>
  <c r="E855" i="1"/>
  <c r="D855" i="1"/>
  <c r="C855" i="1"/>
  <c r="B855" i="1"/>
  <c r="A855" i="1"/>
  <c r="W855" i="1" s="1"/>
  <c r="J854" i="1"/>
  <c r="K854" i="1" s="1"/>
  <c r="L854" i="1" s="1"/>
  <c r="M854" i="1" s="1"/>
  <c r="N854" i="1" s="1"/>
  <c r="O854" i="1" s="1"/>
  <c r="P854" i="1" s="1"/>
  <c r="Q854" i="1" s="1"/>
  <c r="R854" i="1" s="1"/>
  <c r="S854" i="1" s="1"/>
  <c r="T854" i="1" s="1"/>
  <c r="U854" i="1" s="1"/>
  <c r="V854" i="1" s="1"/>
  <c r="H854" i="1"/>
  <c r="I854" i="1" s="1"/>
  <c r="F854" i="1"/>
  <c r="E854" i="1"/>
  <c r="D854" i="1"/>
  <c r="C854" i="1"/>
  <c r="B854" i="1"/>
  <c r="A854" i="1"/>
  <c r="W854" i="1" s="1"/>
  <c r="H853" i="1"/>
  <c r="I853" i="1" s="1"/>
  <c r="J853" i="1" s="1"/>
  <c r="K853" i="1" s="1"/>
  <c r="L853" i="1" s="1"/>
  <c r="M853" i="1" s="1"/>
  <c r="N853" i="1" s="1"/>
  <c r="O853" i="1" s="1"/>
  <c r="P853" i="1" s="1"/>
  <c r="Q853" i="1" s="1"/>
  <c r="R853" i="1" s="1"/>
  <c r="S853" i="1" s="1"/>
  <c r="T853" i="1" s="1"/>
  <c r="U853" i="1" s="1"/>
  <c r="V853" i="1" s="1"/>
  <c r="F853" i="1"/>
  <c r="E853" i="1"/>
  <c r="D853" i="1"/>
  <c r="C853" i="1"/>
  <c r="B853" i="1"/>
  <c r="A853" i="1"/>
  <c r="W853" i="1" s="1"/>
  <c r="H852" i="1"/>
  <c r="I852" i="1" s="1"/>
  <c r="J852" i="1" s="1"/>
  <c r="K852" i="1" s="1"/>
  <c r="L852" i="1" s="1"/>
  <c r="M852" i="1" s="1"/>
  <c r="N852" i="1" s="1"/>
  <c r="O852" i="1" s="1"/>
  <c r="P852" i="1" s="1"/>
  <c r="Q852" i="1" s="1"/>
  <c r="R852" i="1" s="1"/>
  <c r="S852" i="1" s="1"/>
  <c r="T852" i="1" s="1"/>
  <c r="U852" i="1" s="1"/>
  <c r="V852" i="1" s="1"/>
  <c r="F852" i="1"/>
  <c r="E852" i="1"/>
  <c r="D852" i="1"/>
  <c r="C852" i="1"/>
  <c r="B852" i="1"/>
  <c r="A852" i="1"/>
  <c r="W852" i="1" s="1"/>
  <c r="H851" i="1"/>
  <c r="I851" i="1" s="1"/>
  <c r="J851" i="1" s="1"/>
  <c r="K851" i="1" s="1"/>
  <c r="L851" i="1" s="1"/>
  <c r="M851" i="1" s="1"/>
  <c r="N851" i="1" s="1"/>
  <c r="O851" i="1" s="1"/>
  <c r="P851" i="1" s="1"/>
  <c r="Q851" i="1" s="1"/>
  <c r="R851" i="1" s="1"/>
  <c r="S851" i="1" s="1"/>
  <c r="T851" i="1" s="1"/>
  <c r="U851" i="1" s="1"/>
  <c r="V851" i="1" s="1"/>
  <c r="F851" i="1"/>
  <c r="E851" i="1"/>
  <c r="D851" i="1"/>
  <c r="C851" i="1"/>
  <c r="B851" i="1"/>
  <c r="A851" i="1"/>
  <c r="W851" i="1" s="1"/>
  <c r="P850" i="1"/>
  <c r="Q850" i="1" s="1"/>
  <c r="R850" i="1" s="1"/>
  <c r="S850" i="1" s="1"/>
  <c r="T850" i="1" s="1"/>
  <c r="U850" i="1" s="1"/>
  <c r="V850" i="1" s="1"/>
  <c r="J850" i="1"/>
  <c r="K850" i="1" s="1"/>
  <c r="L850" i="1" s="1"/>
  <c r="M850" i="1" s="1"/>
  <c r="N850" i="1" s="1"/>
  <c r="O850" i="1" s="1"/>
  <c r="H850" i="1"/>
  <c r="I850" i="1" s="1"/>
  <c r="F850" i="1"/>
  <c r="E850" i="1"/>
  <c r="D850" i="1"/>
  <c r="C850" i="1"/>
  <c r="B850" i="1"/>
  <c r="A850" i="1"/>
  <c r="W850" i="1" s="1"/>
  <c r="L849" i="1"/>
  <c r="M849" i="1" s="1"/>
  <c r="N849" i="1" s="1"/>
  <c r="O849" i="1" s="1"/>
  <c r="P849" i="1" s="1"/>
  <c r="Q849" i="1" s="1"/>
  <c r="R849" i="1" s="1"/>
  <c r="S849" i="1" s="1"/>
  <c r="T849" i="1" s="1"/>
  <c r="U849" i="1" s="1"/>
  <c r="V849" i="1" s="1"/>
  <c r="H849" i="1"/>
  <c r="I849" i="1" s="1"/>
  <c r="J849" i="1" s="1"/>
  <c r="K849" i="1" s="1"/>
  <c r="F849" i="1"/>
  <c r="E849" i="1"/>
  <c r="D849" i="1"/>
  <c r="C849" i="1"/>
  <c r="B849" i="1"/>
  <c r="A849" i="1"/>
  <c r="W849" i="1" s="1"/>
  <c r="L848" i="1"/>
  <c r="M848" i="1" s="1"/>
  <c r="N848" i="1" s="1"/>
  <c r="O848" i="1" s="1"/>
  <c r="P848" i="1" s="1"/>
  <c r="Q848" i="1" s="1"/>
  <c r="R848" i="1" s="1"/>
  <c r="S848" i="1" s="1"/>
  <c r="T848" i="1" s="1"/>
  <c r="U848" i="1" s="1"/>
  <c r="V848" i="1" s="1"/>
  <c r="H848" i="1"/>
  <c r="I848" i="1" s="1"/>
  <c r="J848" i="1" s="1"/>
  <c r="K848" i="1" s="1"/>
  <c r="F848" i="1"/>
  <c r="E848" i="1"/>
  <c r="D848" i="1"/>
  <c r="C848" i="1"/>
  <c r="B848" i="1"/>
  <c r="A848" i="1"/>
  <c r="W848" i="1" s="1"/>
  <c r="T847" i="1"/>
  <c r="U847" i="1" s="1"/>
  <c r="V847" i="1" s="1"/>
  <c r="H847" i="1"/>
  <c r="I847" i="1" s="1"/>
  <c r="J847" i="1" s="1"/>
  <c r="K847" i="1" s="1"/>
  <c r="L847" i="1" s="1"/>
  <c r="M847" i="1" s="1"/>
  <c r="N847" i="1" s="1"/>
  <c r="O847" i="1" s="1"/>
  <c r="P847" i="1" s="1"/>
  <c r="Q847" i="1" s="1"/>
  <c r="R847" i="1" s="1"/>
  <c r="S847" i="1" s="1"/>
  <c r="F847" i="1"/>
  <c r="E847" i="1"/>
  <c r="D847" i="1"/>
  <c r="C847" i="1"/>
  <c r="B847" i="1"/>
  <c r="A847" i="1"/>
  <c r="W847" i="1" s="1"/>
  <c r="T846" i="1"/>
  <c r="U846" i="1" s="1"/>
  <c r="V846" i="1" s="1"/>
  <c r="J846" i="1"/>
  <c r="K846" i="1" s="1"/>
  <c r="L846" i="1" s="1"/>
  <c r="M846" i="1" s="1"/>
  <c r="N846" i="1" s="1"/>
  <c r="O846" i="1" s="1"/>
  <c r="P846" i="1" s="1"/>
  <c r="Q846" i="1" s="1"/>
  <c r="R846" i="1" s="1"/>
  <c r="S846" i="1" s="1"/>
  <c r="H846" i="1"/>
  <c r="I846" i="1" s="1"/>
  <c r="F846" i="1"/>
  <c r="E846" i="1"/>
  <c r="D846" i="1"/>
  <c r="C846" i="1"/>
  <c r="B846" i="1"/>
  <c r="A846" i="1"/>
  <c r="W846" i="1" s="1"/>
  <c r="H845" i="1"/>
  <c r="I845" i="1" s="1"/>
  <c r="J845" i="1" s="1"/>
  <c r="K845" i="1" s="1"/>
  <c r="L845" i="1" s="1"/>
  <c r="M845" i="1" s="1"/>
  <c r="N845" i="1" s="1"/>
  <c r="O845" i="1" s="1"/>
  <c r="P845" i="1" s="1"/>
  <c r="Q845" i="1" s="1"/>
  <c r="R845" i="1" s="1"/>
  <c r="S845" i="1" s="1"/>
  <c r="T845" i="1" s="1"/>
  <c r="U845" i="1" s="1"/>
  <c r="V845" i="1" s="1"/>
  <c r="F845" i="1"/>
  <c r="E845" i="1"/>
  <c r="D845" i="1"/>
  <c r="C845" i="1"/>
  <c r="B845" i="1"/>
  <c r="A845" i="1"/>
  <c r="W845" i="1" s="1"/>
  <c r="H844" i="1"/>
  <c r="I844" i="1" s="1"/>
  <c r="J844" i="1" s="1"/>
  <c r="K844" i="1" s="1"/>
  <c r="L844" i="1" s="1"/>
  <c r="M844" i="1" s="1"/>
  <c r="N844" i="1" s="1"/>
  <c r="O844" i="1" s="1"/>
  <c r="P844" i="1" s="1"/>
  <c r="Q844" i="1" s="1"/>
  <c r="R844" i="1" s="1"/>
  <c r="S844" i="1" s="1"/>
  <c r="T844" i="1" s="1"/>
  <c r="U844" i="1" s="1"/>
  <c r="V844" i="1" s="1"/>
  <c r="F844" i="1"/>
  <c r="E844" i="1"/>
  <c r="D844" i="1"/>
  <c r="C844" i="1"/>
  <c r="B844" i="1"/>
  <c r="A844" i="1"/>
  <c r="W844" i="1" s="1"/>
  <c r="H843" i="1"/>
  <c r="I843" i="1" s="1"/>
  <c r="J843" i="1" s="1"/>
  <c r="K843" i="1" s="1"/>
  <c r="L843" i="1" s="1"/>
  <c r="M843" i="1" s="1"/>
  <c r="N843" i="1" s="1"/>
  <c r="O843" i="1" s="1"/>
  <c r="P843" i="1" s="1"/>
  <c r="Q843" i="1" s="1"/>
  <c r="R843" i="1" s="1"/>
  <c r="S843" i="1" s="1"/>
  <c r="T843" i="1" s="1"/>
  <c r="U843" i="1" s="1"/>
  <c r="V843" i="1" s="1"/>
  <c r="F843" i="1"/>
  <c r="E843" i="1"/>
  <c r="D843" i="1"/>
  <c r="C843" i="1"/>
  <c r="B843" i="1"/>
  <c r="A843" i="1"/>
  <c r="W843" i="1" s="1"/>
  <c r="P842" i="1"/>
  <c r="Q842" i="1" s="1"/>
  <c r="R842" i="1" s="1"/>
  <c r="S842" i="1" s="1"/>
  <c r="T842" i="1" s="1"/>
  <c r="U842" i="1" s="1"/>
  <c r="V842" i="1" s="1"/>
  <c r="J842" i="1"/>
  <c r="K842" i="1" s="1"/>
  <c r="L842" i="1" s="1"/>
  <c r="M842" i="1" s="1"/>
  <c r="N842" i="1" s="1"/>
  <c r="O842" i="1" s="1"/>
  <c r="H842" i="1"/>
  <c r="I842" i="1" s="1"/>
  <c r="F842" i="1"/>
  <c r="E842" i="1"/>
  <c r="D842" i="1"/>
  <c r="C842" i="1"/>
  <c r="B842" i="1"/>
  <c r="A842" i="1"/>
  <c r="W842" i="1" s="1"/>
  <c r="L841" i="1"/>
  <c r="M841" i="1" s="1"/>
  <c r="N841" i="1" s="1"/>
  <c r="O841" i="1" s="1"/>
  <c r="P841" i="1" s="1"/>
  <c r="Q841" i="1" s="1"/>
  <c r="R841" i="1" s="1"/>
  <c r="S841" i="1" s="1"/>
  <c r="T841" i="1" s="1"/>
  <c r="U841" i="1" s="1"/>
  <c r="V841" i="1" s="1"/>
  <c r="H841" i="1"/>
  <c r="I841" i="1" s="1"/>
  <c r="J841" i="1" s="1"/>
  <c r="K841" i="1" s="1"/>
  <c r="F841" i="1"/>
  <c r="E841" i="1"/>
  <c r="D841" i="1"/>
  <c r="C841" i="1"/>
  <c r="B841" i="1"/>
  <c r="A841" i="1"/>
  <c r="W841" i="1" s="1"/>
  <c r="L840" i="1"/>
  <c r="M840" i="1" s="1"/>
  <c r="N840" i="1" s="1"/>
  <c r="O840" i="1" s="1"/>
  <c r="P840" i="1" s="1"/>
  <c r="Q840" i="1" s="1"/>
  <c r="R840" i="1" s="1"/>
  <c r="S840" i="1" s="1"/>
  <c r="T840" i="1" s="1"/>
  <c r="U840" i="1" s="1"/>
  <c r="V840" i="1" s="1"/>
  <c r="H840" i="1"/>
  <c r="I840" i="1" s="1"/>
  <c r="J840" i="1" s="1"/>
  <c r="K840" i="1" s="1"/>
  <c r="F840" i="1"/>
  <c r="E840" i="1"/>
  <c r="D840" i="1"/>
  <c r="C840" i="1"/>
  <c r="B840" i="1"/>
  <c r="A840" i="1"/>
  <c r="W840" i="1" s="1"/>
  <c r="T839" i="1"/>
  <c r="U839" i="1" s="1"/>
  <c r="V839" i="1" s="1"/>
  <c r="H839" i="1"/>
  <c r="I839" i="1" s="1"/>
  <c r="J839" i="1" s="1"/>
  <c r="K839" i="1" s="1"/>
  <c r="L839" i="1" s="1"/>
  <c r="M839" i="1" s="1"/>
  <c r="N839" i="1" s="1"/>
  <c r="O839" i="1" s="1"/>
  <c r="P839" i="1" s="1"/>
  <c r="Q839" i="1" s="1"/>
  <c r="R839" i="1" s="1"/>
  <c r="S839" i="1" s="1"/>
  <c r="F839" i="1"/>
  <c r="E839" i="1"/>
  <c r="D839" i="1"/>
  <c r="C839" i="1"/>
  <c r="B839" i="1"/>
  <c r="A839" i="1"/>
  <c r="W839" i="1" s="1"/>
  <c r="H838" i="1"/>
  <c r="I838" i="1" s="1"/>
  <c r="J838" i="1" s="1"/>
  <c r="K838" i="1" s="1"/>
  <c r="L838" i="1" s="1"/>
  <c r="M838" i="1" s="1"/>
  <c r="N838" i="1" s="1"/>
  <c r="O838" i="1" s="1"/>
  <c r="P838" i="1" s="1"/>
  <c r="Q838" i="1" s="1"/>
  <c r="R838" i="1" s="1"/>
  <c r="S838" i="1" s="1"/>
  <c r="T838" i="1" s="1"/>
  <c r="U838" i="1" s="1"/>
  <c r="V838" i="1" s="1"/>
  <c r="F838" i="1"/>
  <c r="E838" i="1"/>
  <c r="D838" i="1"/>
  <c r="C838" i="1"/>
  <c r="B838" i="1"/>
  <c r="A838" i="1"/>
  <c r="W838" i="1" s="1"/>
  <c r="L837" i="1"/>
  <c r="M837" i="1" s="1"/>
  <c r="N837" i="1" s="1"/>
  <c r="O837" i="1" s="1"/>
  <c r="P837" i="1" s="1"/>
  <c r="Q837" i="1" s="1"/>
  <c r="R837" i="1" s="1"/>
  <c r="S837" i="1" s="1"/>
  <c r="T837" i="1" s="1"/>
  <c r="U837" i="1" s="1"/>
  <c r="V837" i="1" s="1"/>
  <c r="H837" i="1"/>
  <c r="I837" i="1" s="1"/>
  <c r="J837" i="1" s="1"/>
  <c r="K837" i="1" s="1"/>
  <c r="F837" i="1"/>
  <c r="E837" i="1"/>
  <c r="D837" i="1"/>
  <c r="C837" i="1"/>
  <c r="B837" i="1"/>
  <c r="A837" i="1"/>
  <c r="W837" i="1" s="1"/>
  <c r="L836" i="1"/>
  <c r="M836" i="1" s="1"/>
  <c r="N836" i="1" s="1"/>
  <c r="O836" i="1" s="1"/>
  <c r="P836" i="1" s="1"/>
  <c r="Q836" i="1" s="1"/>
  <c r="R836" i="1" s="1"/>
  <c r="S836" i="1" s="1"/>
  <c r="T836" i="1" s="1"/>
  <c r="U836" i="1" s="1"/>
  <c r="V836" i="1" s="1"/>
  <c r="H836" i="1"/>
  <c r="I836" i="1" s="1"/>
  <c r="J836" i="1" s="1"/>
  <c r="K836" i="1" s="1"/>
  <c r="F836" i="1"/>
  <c r="E836" i="1"/>
  <c r="D836" i="1"/>
  <c r="C836" i="1"/>
  <c r="B836" i="1"/>
  <c r="A836" i="1"/>
  <c r="W836" i="1" s="1"/>
  <c r="T835" i="1"/>
  <c r="U835" i="1" s="1"/>
  <c r="V835" i="1" s="1"/>
  <c r="H835" i="1"/>
  <c r="I835" i="1" s="1"/>
  <c r="J835" i="1" s="1"/>
  <c r="K835" i="1" s="1"/>
  <c r="L835" i="1" s="1"/>
  <c r="M835" i="1" s="1"/>
  <c r="N835" i="1" s="1"/>
  <c r="O835" i="1" s="1"/>
  <c r="P835" i="1" s="1"/>
  <c r="Q835" i="1" s="1"/>
  <c r="R835" i="1" s="1"/>
  <c r="S835" i="1" s="1"/>
  <c r="F835" i="1"/>
  <c r="E835" i="1"/>
  <c r="D835" i="1"/>
  <c r="C835" i="1"/>
  <c r="B835" i="1"/>
  <c r="A835" i="1"/>
  <c r="W835" i="1" s="1"/>
  <c r="F834" i="1"/>
  <c r="E834" i="1"/>
  <c r="D834" i="1"/>
  <c r="H834" i="1" s="1"/>
  <c r="I834" i="1" s="1"/>
  <c r="J834" i="1" s="1"/>
  <c r="K834" i="1" s="1"/>
  <c r="L834" i="1" s="1"/>
  <c r="M834" i="1" s="1"/>
  <c r="N834" i="1" s="1"/>
  <c r="O834" i="1" s="1"/>
  <c r="P834" i="1" s="1"/>
  <c r="Q834" i="1" s="1"/>
  <c r="R834" i="1" s="1"/>
  <c r="S834" i="1" s="1"/>
  <c r="T834" i="1" s="1"/>
  <c r="U834" i="1" s="1"/>
  <c r="V834" i="1" s="1"/>
  <c r="C834" i="1"/>
  <c r="B834" i="1"/>
  <c r="A834" i="1"/>
  <c r="W834" i="1" s="1"/>
  <c r="T833" i="1"/>
  <c r="U833" i="1" s="1"/>
  <c r="V833" i="1" s="1"/>
  <c r="H833" i="1"/>
  <c r="I833" i="1" s="1"/>
  <c r="J833" i="1" s="1"/>
  <c r="K833" i="1" s="1"/>
  <c r="L833" i="1" s="1"/>
  <c r="M833" i="1" s="1"/>
  <c r="N833" i="1" s="1"/>
  <c r="O833" i="1" s="1"/>
  <c r="P833" i="1" s="1"/>
  <c r="Q833" i="1" s="1"/>
  <c r="R833" i="1" s="1"/>
  <c r="S833" i="1" s="1"/>
  <c r="F833" i="1"/>
  <c r="E833" i="1"/>
  <c r="D833" i="1"/>
  <c r="C833" i="1"/>
  <c r="B833" i="1"/>
  <c r="A833" i="1"/>
  <c r="W833" i="1" s="1"/>
  <c r="H832" i="1"/>
  <c r="I832" i="1" s="1"/>
  <c r="J832" i="1" s="1"/>
  <c r="K832" i="1" s="1"/>
  <c r="L832" i="1" s="1"/>
  <c r="M832" i="1" s="1"/>
  <c r="N832" i="1" s="1"/>
  <c r="O832" i="1" s="1"/>
  <c r="P832" i="1" s="1"/>
  <c r="Q832" i="1" s="1"/>
  <c r="R832" i="1" s="1"/>
  <c r="S832" i="1" s="1"/>
  <c r="T832" i="1" s="1"/>
  <c r="U832" i="1" s="1"/>
  <c r="V832" i="1" s="1"/>
  <c r="F832" i="1"/>
  <c r="E832" i="1"/>
  <c r="D832" i="1"/>
  <c r="C832" i="1"/>
  <c r="B832" i="1"/>
  <c r="A832" i="1"/>
  <c r="W832" i="1" s="1"/>
  <c r="H831" i="1"/>
  <c r="I831" i="1" s="1"/>
  <c r="J831" i="1" s="1"/>
  <c r="K831" i="1" s="1"/>
  <c r="L831" i="1" s="1"/>
  <c r="M831" i="1" s="1"/>
  <c r="N831" i="1" s="1"/>
  <c r="O831" i="1" s="1"/>
  <c r="P831" i="1" s="1"/>
  <c r="Q831" i="1" s="1"/>
  <c r="R831" i="1" s="1"/>
  <c r="S831" i="1" s="1"/>
  <c r="T831" i="1" s="1"/>
  <c r="U831" i="1" s="1"/>
  <c r="V831" i="1" s="1"/>
  <c r="F831" i="1"/>
  <c r="E831" i="1"/>
  <c r="D831" i="1"/>
  <c r="C831" i="1"/>
  <c r="B831" i="1"/>
  <c r="A831" i="1"/>
  <c r="W831" i="1" s="1"/>
  <c r="T830" i="1"/>
  <c r="U830" i="1" s="1"/>
  <c r="V830" i="1" s="1"/>
  <c r="N830" i="1"/>
  <c r="O830" i="1" s="1"/>
  <c r="P830" i="1" s="1"/>
  <c r="Q830" i="1" s="1"/>
  <c r="R830" i="1" s="1"/>
  <c r="S830" i="1" s="1"/>
  <c r="L830" i="1"/>
  <c r="M830" i="1" s="1"/>
  <c r="H830" i="1"/>
  <c r="I830" i="1" s="1"/>
  <c r="J830" i="1" s="1"/>
  <c r="K830" i="1" s="1"/>
  <c r="F830" i="1"/>
  <c r="E830" i="1"/>
  <c r="D830" i="1"/>
  <c r="C830" i="1"/>
  <c r="B830" i="1"/>
  <c r="A830" i="1"/>
  <c r="W830" i="1" s="1"/>
  <c r="H829" i="1"/>
  <c r="I829" i="1" s="1"/>
  <c r="J829" i="1" s="1"/>
  <c r="K829" i="1" s="1"/>
  <c r="L829" i="1" s="1"/>
  <c r="M829" i="1" s="1"/>
  <c r="N829" i="1" s="1"/>
  <c r="O829" i="1" s="1"/>
  <c r="P829" i="1" s="1"/>
  <c r="Q829" i="1" s="1"/>
  <c r="R829" i="1" s="1"/>
  <c r="S829" i="1" s="1"/>
  <c r="T829" i="1" s="1"/>
  <c r="U829" i="1" s="1"/>
  <c r="V829" i="1" s="1"/>
  <c r="F829" i="1"/>
  <c r="E829" i="1"/>
  <c r="D829" i="1"/>
  <c r="C829" i="1"/>
  <c r="B829" i="1"/>
  <c r="A829" i="1"/>
  <c r="W829" i="1" s="1"/>
  <c r="H828" i="1"/>
  <c r="I828" i="1" s="1"/>
  <c r="J828" i="1" s="1"/>
  <c r="K828" i="1" s="1"/>
  <c r="L828" i="1" s="1"/>
  <c r="M828" i="1" s="1"/>
  <c r="N828" i="1" s="1"/>
  <c r="O828" i="1" s="1"/>
  <c r="P828" i="1" s="1"/>
  <c r="Q828" i="1" s="1"/>
  <c r="R828" i="1" s="1"/>
  <c r="S828" i="1" s="1"/>
  <c r="T828" i="1" s="1"/>
  <c r="U828" i="1" s="1"/>
  <c r="V828" i="1" s="1"/>
  <c r="F828" i="1"/>
  <c r="E828" i="1"/>
  <c r="D828" i="1"/>
  <c r="C828" i="1"/>
  <c r="B828" i="1"/>
  <c r="A828" i="1"/>
  <c r="W828" i="1" s="1"/>
  <c r="H827" i="1"/>
  <c r="I827" i="1" s="1"/>
  <c r="J827" i="1" s="1"/>
  <c r="K827" i="1" s="1"/>
  <c r="L827" i="1" s="1"/>
  <c r="M827" i="1" s="1"/>
  <c r="N827" i="1" s="1"/>
  <c r="O827" i="1" s="1"/>
  <c r="P827" i="1" s="1"/>
  <c r="Q827" i="1" s="1"/>
  <c r="R827" i="1" s="1"/>
  <c r="S827" i="1" s="1"/>
  <c r="T827" i="1" s="1"/>
  <c r="U827" i="1" s="1"/>
  <c r="V827" i="1" s="1"/>
  <c r="F827" i="1"/>
  <c r="E827" i="1"/>
  <c r="D827" i="1"/>
  <c r="C827" i="1"/>
  <c r="B827" i="1"/>
  <c r="A827" i="1"/>
  <c r="W827" i="1" s="1"/>
  <c r="H826" i="1"/>
  <c r="I826" i="1" s="1"/>
  <c r="J826" i="1" s="1"/>
  <c r="K826" i="1" s="1"/>
  <c r="L826" i="1" s="1"/>
  <c r="M826" i="1" s="1"/>
  <c r="N826" i="1" s="1"/>
  <c r="O826" i="1" s="1"/>
  <c r="P826" i="1" s="1"/>
  <c r="Q826" i="1" s="1"/>
  <c r="R826" i="1" s="1"/>
  <c r="S826" i="1" s="1"/>
  <c r="T826" i="1" s="1"/>
  <c r="U826" i="1" s="1"/>
  <c r="V826" i="1" s="1"/>
  <c r="F826" i="1"/>
  <c r="E826" i="1"/>
  <c r="D826" i="1"/>
  <c r="C826" i="1"/>
  <c r="B826" i="1"/>
  <c r="A826" i="1"/>
  <c r="W826" i="1" s="1"/>
  <c r="R825" i="1"/>
  <c r="S825" i="1" s="1"/>
  <c r="T825" i="1" s="1"/>
  <c r="U825" i="1" s="1"/>
  <c r="V825" i="1" s="1"/>
  <c r="H825" i="1"/>
  <c r="I825" i="1" s="1"/>
  <c r="J825" i="1" s="1"/>
  <c r="K825" i="1" s="1"/>
  <c r="L825" i="1" s="1"/>
  <c r="M825" i="1" s="1"/>
  <c r="N825" i="1" s="1"/>
  <c r="O825" i="1" s="1"/>
  <c r="P825" i="1" s="1"/>
  <c r="Q825" i="1" s="1"/>
  <c r="F825" i="1"/>
  <c r="E825" i="1"/>
  <c r="D825" i="1"/>
  <c r="C825" i="1"/>
  <c r="B825" i="1"/>
  <c r="A825" i="1"/>
  <c r="W825" i="1" s="1"/>
  <c r="H824" i="1"/>
  <c r="I824" i="1" s="1"/>
  <c r="J824" i="1" s="1"/>
  <c r="K824" i="1" s="1"/>
  <c r="L824" i="1" s="1"/>
  <c r="M824" i="1" s="1"/>
  <c r="N824" i="1" s="1"/>
  <c r="O824" i="1" s="1"/>
  <c r="P824" i="1" s="1"/>
  <c r="Q824" i="1" s="1"/>
  <c r="R824" i="1" s="1"/>
  <c r="S824" i="1" s="1"/>
  <c r="T824" i="1" s="1"/>
  <c r="U824" i="1" s="1"/>
  <c r="V824" i="1" s="1"/>
  <c r="F824" i="1"/>
  <c r="E824" i="1"/>
  <c r="D824" i="1"/>
  <c r="C824" i="1"/>
  <c r="B824" i="1"/>
  <c r="A824" i="1"/>
  <c r="W824" i="1" s="1"/>
  <c r="R823" i="1"/>
  <c r="S823" i="1" s="1"/>
  <c r="T823" i="1" s="1"/>
  <c r="U823" i="1" s="1"/>
  <c r="V823" i="1" s="1"/>
  <c r="H823" i="1"/>
  <c r="I823" i="1" s="1"/>
  <c r="J823" i="1" s="1"/>
  <c r="K823" i="1" s="1"/>
  <c r="L823" i="1" s="1"/>
  <c r="M823" i="1" s="1"/>
  <c r="N823" i="1" s="1"/>
  <c r="O823" i="1" s="1"/>
  <c r="P823" i="1" s="1"/>
  <c r="Q823" i="1" s="1"/>
  <c r="F823" i="1"/>
  <c r="E823" i="1"/>
  <c r="D823" i="1"/>
  <c r="C823" i="1"/>
  <c r="B823" i="1"/>
  <c r="A823" i="1"/>
  <c r="W823" i="1" s="1"/>
  <c r="H822" i="1"/>
  <c r="I822" i="1" s="1"/>
  <c r="J822" i="1" s="1"/>
  <c r="K822" i="1" s="1"/>
  <c r="L822" i="1" s="1"/>
  <c r="M822" i="1" s="1"/>
  <c r="N822" i="1" s="1"/>
  <c r="O822" i="1" s="1"/>
  <c r="P822" i="1" s="1"/>
  <c r="Q822" i="1" s="1"/>
  <c r="R822" i="1" s="1"/>
  <c r="S822" i="1" s="1"/>
  <c r="T822" i="1" s="1"/>
  <c r="U822" i="1" s="1"/>
  <c r="V822" i="1" s="1"/>
  <c r="F822" i="1"/>
  <c r="E822" i="1"/>
  <c r="D822" i="1"/>
  <c r="C822" i="1"/>
  <c r="B822" i="1"/>
  <c r="A822" i="1"/>
  <c r="W822" i="1" s="1"/>
  <c r="H821" i="1"/>
  <c r="I821" i="1" s="1"/>
  <c r="J821" i="1" s="1"/>
  <c r="K821" i="1" s="1"/>
  <c r="L821" i="1" s="1"/>
  <c r="M821" i="1" s="1"/>
  <c r="N821" i="1" s="1"/>
  <c r="O821" i="1" s="1"/>
  <c r="P821" i="1" s="1"/>
  <c r="Q821" i="1" s="1"/>
  <c r="R821" i="1" s="1"/>
  <c r="S821" i="1" s="1"/>
  <c r="T821" i="1" s="1"/>
  <c r="U821" i="1" s="1"/>
  <c r="V821" i="1" s="1"/>
  <c r="F821" i="1"/>
  <c r="E821" i="1"/>
  <c r="D821" i="1"/>
  <c r="C821" i="1"/>
  <c r="B821" i="1"/>
  <c r="A821" i="1"/>
  <c r="W821" i="1" s="1"/>
  <c r="R820" i="1"/>
  <c r="S820" i="1" s="1"/>
  <c r="T820" i="1" s="1"/>
  <c r="U820" i="1" s="1"/>
  <c r="V820" i="1" s="1"/>
  <c r="H820" i="1"/>
  <c r="I820" i="1" s="1"/>
  <c r="J820" i="1" s="1"/>
  <c r="K820" i="1" s="1"/>
  <c r="L820" i="1" s="1"/>
  <c r="M820" i="1" s="1"/>
  <c r="N820" i="1" s="1"/>
  <c r="O820" i="1" s="1"/>
  <c r="P820" i="1" s="1"/>
  <c r="Q820" i="1" s="1"/>
  <c r="F820" i="1"/>
  <c r="E820" i="1"/>
  <c r="D820" i="1"/>
  <c r="C820" i="1"/>
  <c r="B820" i="1"/>
  <c r="A820" i="1"/>
  <c r="W820" i="1" s="1"/>
  <c r="T819" i="1"/>
  <c r="U819" i="1" s="1"/>
  <c r="V819" i="1" s="1"/>
  <c r="R819" i="1"/>
  <c r="S819" i="1" s="1"/>
  <c r="H819" i="1"/>
  <c r="I819" i="1" s="1"/>
  <c r="J819" i="1" s="1"/>
  <c r="K819" i="1" s="1"/>
  <c r="L819" i="1" s="1"/>
  <c r="M819" i="1" s="1"/>
  <c r="N819" i="1" s="1"/>
  <c r="O819" i="1" s="1"/>
  <c r="P819" i="1" s="1"/>
  <c r="Q819" i="1" s="1"/>
  <c r="F819" i="1"/>
  <c r="E819" i="1"/>
  <c r="D819" i="1"/>
  <c r="C819" i="1"/>
  <c r="B819" i="1"/>
  <c r="A819" i="1"/>
  <c r="W819" i="1" s="1"/>
  <c r="T818" i="1"/>
  <c r="U818" i="1" s="1"/>
  <c r="V818" i="1" s="1"/>
  <c r="H818" i="1"/>
  <c r="I818" i="1" s="1"/>
  <c r="J818" i="1" s="1"/>
  <c r="K818" i="1" s="1"/>
  <c r="L818" i="1" s="1"/>
  <c r="M818" i="1" s="1"/>
  <c r="N818" i="1" s="1"/>
  <c r="O818" i="1" s="1"/>
  <c r="P818" i="1" s="1"/>
  <c r="Q818" i="1" s="1"/>
  <c r="R818" i="1" s="1"/>
  <c r="S818" i="1" s="1"/>
  <c r="F818" i="1"/>
  <c r="E818" i="1"/>
  <c r="D818" i="1"/>
  <c r="C818" i="1"/>
  <c r="B818" i="1"/>
  <c r="A818" i="1"/>
  <c r="W818" i="1" s="1"/>
  <c r="R817" i="1"/>
  <c r="S817" i="1" s="1"/>
  <c r="T817" i="1" s="1"/>
  <c r="U817" i="1" s="1"/>
  <c r="V817" i="1" s="1"/>
  <c r="H817" i="1"/>
  <c r="I817" i="1" s="1"/>
  <c r="J817" i="1" s="1"/>
  <c r="K817" i="1" s="1"/>
  <c r="L817" i="1" s="1"/>
  <c r="M817" i="1" s="1"/>
  <c r="N817" i="1" s="1"/>
  <c r="O817" i="1" s="1"/>
  <c r="P817" i="1" s="1"/>
  <c r="Q817" i="1" s="1"/>
  <c r="F817" i="1"/>
  <c r="E817" i="1"/>
  <c r="D817" i="1"/>
  <c r="C817" i="1"/>
  <c r="B817" i="1"/>
  <c r="A817" i="1"/>
  <c r="W817" i="1" s="1"/>
  <c r="H816" i="1"/>
  <c r="I816" i="1" s="1"/>
  <c r="J816" i="1" s="1"/>
  <c r="K816" i="1" s="1"/>
  <c r="L816" i="1" s="1"/>
  <c r="M816" i="1" s="1"/>
  <c r="N816" i="1" s="1"/>
  <c r="O816" i="1" s="1"/>
  <c r="P816" i="1" s="1"/>
  <c r="Q816" i="1" s="1"/>
  <c r="R816" i="1" s="1"/>
  <c r="S816" i="1" s="1"/>
  <c r="T816" i="1" s="1"/>
  <c r="U816" i="1" s="1"/>
  <c r="V816" i="1" s="1"/>
  <c r="F816" i="1"/>
  <c r="E816" i="1"/>
  <c r="D816" i="1"/>
  <c r="C816" i="1"/>
  <c r="B816" i="1"/>
  <c r="A816" i="1"/>
  <c r="W816" i="1" s="1"/>
  <c r="R815" i="1"/>
  <c r="S815" i="1" s="1"/>
  <c r="T815" i="1" s="1"/>
  <c r="U815" i="1" s="1"/>
  <c r="V815" i="1" s="1"/>
  <c r="H815" i="1"/>
  <c r="I815" i="1" s="1"/>
  <c r="J815" i="1" s="1"/>
  <c r="K815" i="1" s="1"/>
  <c r="L815" i="1" s="1"/>
  <c r="M815" i="1" s="1"/>
  <c r="N815" i="1" s="1"/>
  <c r="O815" i="1" s="1"/>
  <c r="P815" i="1" s="1"/>
  <c r="Q815" i="1" s="1"/>
  <c r="F815" i="1"/>
  <c r="E815" i="1"/>
  <c r="D815" i="1"/>
  <c r="C815" i="1"/>
  <c r="B815" i="1"/>
  <c r="A815" i="1"/>
  <c r="W815" i="1" s="1"/>
  <c r="T814" i="1"/>
  <c r="U814" i="1" s="1"/>
  <c r="V814" i="1" s="1"/>
  <c r="Q814" i="1"/>
  <c r="R814" i="1" s="1"/>
  <c r="S814" i="1" s="1"/>
  <c r="H814" i="1"/>
  <c r="I814" i="1" s="1"/>
  <c r="J814" i="1" s="1"/>
  <c r="K814" i="1" s="1"/>
  <c r="L814" i="1" s="1"/>
  <c r="M814" i="1" s="1"/>
  <c r="N814" i="1" s="1"/>
  <c r="O814" i="1" s="1"/>
  <c r="P814" i="1" s="1"/>
  <c r="F814" i="1"/>
  <c r="E814" i="1"/>
  <c r="D814" i="1"/>
  <c r="C814" i="1"/>
  <c r="B814" i="1"/>
  <c r="A814" i="1"/>
  <c r="W814" i="1" s="1"/>
  <c r="L813" i="1"/>
  <c r="M813" i="1" s="1"/>
  <c r="N813" i="1" s="1"/>
  <c r="O813" i="1" s="1"/>
  <c r="P813" i="1" s="1"/>
  <c r="Q813" i="1" s="1"/>
  <c r="R813" i="1" s="1"/>
  <c r="S813" i="1" s="1"/>
  <c r="T813" i="1" s="1"/>
  <c r="U813" i="1" s="1"/>
  <c r="V813" i="1" s="1"/>
  <c r="H813" i="1"/>
  <c r="I813" i="1" s="1"/>
  <c r="J813" i="1" s="1"/>
  <c r="K813" i="1" s="1"/>
  <c r="F813" i="1"/>
  <c r="E813" i="1"/>
  <c r="D813" i="1"/>
  <c r="C813" i="1"/>
  <c r="B813" i="1"/>
  <c r="A813" i="1"/>
  <c r="W813" i="1" s="1"/>
  <c r="H812" i="1"/>
  <c r="I812" i="1" s="1"/>
  <c r="J812" i="1" s="1"/>
  <c r="K812" i="1" s="1"/>
  <c r="L812" i="1" s="1"/>
  <c r="M812" i="1" s="1"/>
  <c r="N812" i="1" s="1"/>
  <c r="O812" i="1" s="1"/>
  <c r="P812" i="1" s="1"/>
  <c r="Q812" i="1" s="1"/>
  <c r="R812" i="1" s="1"/>
  <c r="S812" i="1" s="1"/>
  <c r="T812" i="1" s="1"/>
  <c r="U812" i="1" s="1"/>
  <c r="V812" i="1" s="1"/>
  <c r="F812" i="1"/>
  <c r="E812" i="1"/>
  <c r="D812" i="1"/>
  <c r="C812" i="1"/>
  <c r="B812" i="1"/>
  <c r="A812" i="1"/>
  <c r="W812" i="1" s="1"/>
  <c r="H811" i="1"/>
  <c r="I811" i="1" s="1"/>
  <c r="J811" i="1" s="1"/>
  <c r="K811" i="1" s="1"/>
  <c r="L811" i="1" s="1"/>
  <c r="M811" i="1" s="1"/>
  <c r="N811" i="1" s="1"/>
  <c r="O811" i="1" s="1"/>
  <c r="P811" i="1" s="1"/>
  <c r="Q811" i="1" s="1"/>
  <c r="R811" i="1" s="1"/>
  <c r="S811" i="1" s="1"/>
  <c r="T811" i="1" s="1"/>
  <c r="U811" i="1" s="1"/>
  <c r="V811" i="1" s="1"/>
  <c r="F811" i="1"/>
  <c r="E811" i="1"/>
  <c r="D811" i="1"/>
  <c r="C811" i="1"/>
  <c r="B811" i="1"/>
  <c r="A811" i="1"/>
  <c r="W811" i="1" s="1"/>
  <c r="H810" i="1"/>
  <c r="I810" i="1" s="1"/>
  <c r="J810" i="1" s="1"/>
  <c r="K810" i="1" s="1"/>
  <c r="L810" i="1" s="1"/>
  <c r="M810" i="1" s="1"/>
  <c r="N810" i="1" s="1"/>
  <c r="O810" i="1" s="1"/>
  <c r="P810" i="1" s="1"/>
  <c r="Q810" i="1" s="1"/>
  <c r="R810" i="1" s="1"/>
  <c r="S810" i="1" s="1"/>
  <c r="T810" i="1" s="1"/>
  <c r="U810" i="1" s="1"/>
  <c r="V810" i="1" s="1"/>
  <c r="F810" i="1"/>
  <c r="E810" i="1"/>
  <c r="D810" i="1"/>
  <c r="C810" i="1"/>
  <c r="B810" i="1"/>
  <c r="A810" i="1"/>
  <c r="W810" i="1" s="1"/>
  <c r="M809" i="1"/>
  <c r="N809" i="1" s="1"/>
  <c r="O809" i="1" s="1"/>
  <c r="P809" i="1" s="1"/>
  <c r="Q809" i="1" s="1"/>
  <c r="R809" i="1" s="1"/>
  <c r="S809" i="1" s="1"/>
  <c r="T809" i="1" s="1"/>
  <c r="U809" i="1" s="1"/>
  <c r="V809" i="1" s="1"/>
  <c r="J809" i="1"/>
  <c r="K809" i="1" s="1"/>
  <c r="L809" i="1" s="1"/>
  <c r="F809" i="1"/>
  <c r="E809" i="1"/>
  <c r="D809" i="1"/>
  <c r="H809" i="1" s="1"/>
  <c r="I809" i="1" s="1"/>
  <c r="C809" i="1"/>
  <c r="B809" i="1"/>
  <c r="A809" i="1"/>
  <c r="W808" i="1"/>
  <c r="U808" i="1"/>
  <c r="V808" i="1" s="1"/>
  <c r="F808" i="1"/>
  <c r="E808" i="1"/>
  <c r="D808" i="1"/>
  <c r="H808" i="1" s="1"/>
  <c r="I808" i="1" s="1"/>
  <c r="J808" i="1" s="1"/>
  <c r="K808" i="1" s="1"/>
  <c r="L808" i="1" s="1"/>
  <c r="M808" i="1" s="1"/>
  <c r="N808" i="1" s="1"/>
  <c r="O808" i="1" s="1"/>
  <c r="P808" i="1" s="1"/>
  <c r="Q808" i="1" s="1"/>
  <c r="R808" i="1" s="1"/>
  <c r="S808" i="1" s="1"/>
  <c r="T808" i="1" s="1"/>
  <c r="C808" i="1"/>
  <c r="B808" i="1"/>
  <c r="A808" i="1"/>
  <c r="W807" i="1"/>
  <c r="M807" i="1"/>
  <c r="N807" i="1" s="1"/>
  <c r="O807" i="1" s="1"/>
  <c r="P807" i="1" s="1"/>
  <c r="Q807" i="1" s="1"/>
  <c r="R807" i="1" s="1"/>
  <c r="S807" i="1" s="1"/>
  <c r="T807" i="1" s="1"/>
  <c r="U807" i="1" s="1"/>
  <c r="V807" i="1" s="1"/>
  <c r="K807" i="1"/>
  <c r="L807" i="1" s="1"/>
  <c r="F807" i="1"/>
  <c r="E807" i="1"/>
  <c r="D807" i="1"/>
  <c r="H807" i="1" s="1"/>
  <c r="I807" i="1" s="1"/>
  <c r="J807" i="1" s="1"/>
  <c r="C807" i="1"/>
  <c r="B807" i="1"/>
  <c r="A807" i="1"/>
  <c r="U806" i="1"/>
  <c r="V806" i="1" s="1"/>
  <c r="S806" i="1"/>
  <c r="T806" i="1" s="1"/>
  <c r="F806" i="1"/>
  <c r="E806" i="1"/>
  <c r="D806" i="1"/>
  <c r="H806" i="1" s="1"/>
  <c r="I806" i="1" s="1"/>
  <c r="J806" i="1" s="1"/>
  <c r="K806" i="1" s="1"/>
  <c r="L806" i="1" s="1"/>
  <c r="M806" i="1" s="1"/>
  <c r="N806" i="1" s="1"/>
  <c r="O806" i="1" s="1"/>
  <c r="P806" i="1" s="1"/>
  <c r="Q806" i="1" s="1"/>
  <c r="R806" i="1" s="1"/>
  <c r="C806" i="1"/>
  <c r="B806" i="1"/>
  <c r="W806" i="1" s="1"/>
  <c r="A806" i="1"/>
  <c r="W805" i="1"/>
  <c r="K805" i="1"/>
  <c r="L805" i="1" s="1"/>
  <c r="M805" i="1" s="1"/>
  <c r="N805" i="1" s="1"/>
  <c r="O805" i="1" s="1"/>
  <c r="P805" i="1" s="1"/>
  <c r="Q805" i="1" s="1"/>
  <c r="R805" i="1" s="1"/>
  <c r="S805" i="1" s="1"/>
  <c r="T805" i="1" s="1"/>
  <c r="U805" i="1" s="1"/>
  <c r="V805" i="1" s="1"/>
  <c r="I805" i="1"/>
  <c r="J805" i="1" s="1"/>
  <c r="F805" i="1"/>
  <c r="E805" i="1"/>
  <c r="D805" i="1"/>
  <c r="H805" i="1" s="1"/>
  <c r="C805" i="1"/>
  <c r="B805" i="1"/>
  <c r="A805" i="1"/>
  <c r="W804" i="1"/>
  <c r="F804" i="1"/>
  <c r="E804" i="1"/>
  <c r="D804" i="1"/>
  <c r="H804" i="1" s="1"/>
  <c r="I804" i="1" s="1"/>
  <c r="J804" i="1" s="1"/>
  <c r="K804" i="1" s="1"/>
  <c r="L804" i="1" s="1"/>
  <c r="M804" i="1" s="1"/>
  <c r="N804" i="1" s="1"/>
  <c r="O804" i="1" s="1"/>
  <c r="P804" i="1" s="1"/>
  <c r="Q804" i="1" s="1"/>
  <c r="R804" i="1" s="1"/>
  <c r="S804" i="1" s="1"/>
  <c r="T804" i="1" s="1"/>
  <c r="U804" i="1" s="1"/>
  <c r="V804" i="1" s="1"/>
  <c r="C804" i="1"/>
  <c r="B804" i="1"/>
  <c r="A804" i="1"/>
  <c r="F803" i="1"/>
  <c r="E803" i="1"/>
  <c r="D803" i="1"/>
  <c r="H803" i="1" s="1"/>
  <c r="I803" i="1" s="1"/>
  <c r="J803" i="1" s="1"/>
  <c r="K803" i="1" s="1"/>
  <c r="L803" i="1" s="1"/>
  <c r="M803" i="1" s="1"/>
  <c r="N803" i="1" s="1"/>
  <c r="O803" i="1" s="1"/>
  <c r="P803" i="1" s="1"/>
  <c r="Q803" i="1" s="1"/>
  <c r="R803" i="1" s="1"/>
  <c r="S803" i="1" s="1"/>
  <c r="T803" i="1" s="1"/>
  <c r="U803" i="1" s="1"/>
  <c r="V803" i="1" s="1"/>
  <c r="C803" i="1"/>
  <c r="B803" i="1"/>
  <c r="W803" i="1" s="1"/>
  <c r="A803" i="1"/>
  <c r="F802" i="1"/>
  <c r="E802" i="1"/>
  <c r="D802" i="1"/>
  <c r="H802" i="1" s="1"/>
  <c r="I802" i="1" s="1"/>
  <c r="J802" i="1" s="1"/>
  <c r="K802" i="1" s="1"/>
  <c r="L802" i="1" s="1"/>
  <c r="M802" i="1" s="1"/>
  <c r="N802" i="1" s="1"/>
  <c r="O802" i="1" s="1"/>
  <c r="P802" i="1" s="1"/>
  <c r="Q802" i="1" s="1"/>
  <c r="R802" i="1" s="1"/>
  <c r="S802" i="1" s="1"/>
  <c r="T802" i="1" s="1"/>
  <c r="U802" i="1" s="1"/>
  <c r="V802" i="1" s="1"/>
  <c r="C802" i="1"/>
  <c r="B802" i="1"/>
  <c r="A802" i="1"/>
  <c r="W802" i="1" s="1"/>
  <c r="W801" i="1"/>
  <c r="F801" i="1"/>
  <c r="E801" i="1"/>
  <c r="D801" i="1"/>
  <c r="H801" i="1" s="1"/>
  <c r="I801" i="1" s="1"/>
  <c r="J801" i="1" s="1"/>
  <c r="K801" i="1" s="1"/>
  <c r="L801" i="1" s="1"/>
  <c r="M801" i="1" s="1"/>
  <c r="N801" i="1" s="1"/>
  <c r="O801" i="1" s="1"/>
  <c r="P801" i="1" s="1"/>
  <c r="Q801" i="1" s="1"/>
  <c r="R801" i="1" s="1"/>
  <c r="S801" i="1" s="1"/>
  <c r="T801" i="1" s="1"/>
  <c r="U801" i="1" s="1"/>
  <c r="V801" i="1" s="1"/>
  <c r="C801" i="1"/>
  <c r="B801" i="1"/>
  <c r="A801" i="1"/>
  <c r="W800" i="1"/>
  <c r="M800" i="1"/>
  <c r="N800" i="1" s="1"/>
  <c r="O800" i="1" s="1"/>
  <c r="P800" i="1" s="1"/>
  <c r="Q800" i="1" s="1"/>
  <c r="R800" i="1" s="1"/>
  <c r="S800" i="1" s="1"/>
  <c r="T800" i="1" s="1"/>
  <c r="U800" i="1" s="1"/>
  <c r="V800" i="1" s="1"/>
  <c r="F800" i="1"/>
  <c r="E800" i="1"/>
  <c r="D800" i="1"/>
  <c r="H800" i="1" s="1"/>
  <c r="I800" i="1" s="1"/>
  <c r="J800" i="1" s="1"/>
  <c r="K800" i="1" s="1"/>
  <c r="L800" i="1" s="1"/>
  <c r="C800" i="1"/>
  <c r="B800" i="1"/>
  <c r="A800" i="1"/>
  <c r="L799" i="1"/>
  <c r="M799" i="1" s="1"/>
  <c r="N799" i="1" s="1"/>
  <c r="O799" i="1" s="1"/>
  <c r="P799" i="1" s="1"/>
  <c r="Q799" i="1" s="1"/>
  <c r="R799" i="1" s="1"/>
  <c r="S799" i="1" s="1"/>
  <c r="T799" i="1" s="1"/>
  <c r="U799" i="1" s="1"/>
  <c r="V799" i="1" s="1"/>
  <c r="F799" i="1"/>
  <c r="E799" i="1"/>
  <c r="D799" i="1"/>
  <c r="H799" i="1" s="1"/>
  <c r="I799" i="1" s="1"/>
  <c r="J799" i="1" s="1"/>
  <c r="K799" i="1" s="1"/>
  <c r="C799" i="1"/>
  <c r="B799" i="1"/>
  <c r="W799" i="1" s="1"/>
  <c r="A799" i="1"/>
  <c r="O798" i="1"/>
  <c r="P798" i="1" s="1"/>
  <c r="Q798" i="1" s="1"/>
  <c r="R798" i="1" s="1"/>
  <c r="S798" i="1" s="1"/>
  <c r="T798" i="1" s="1"/>
  <c r="U798" i="1" s="1"/>
  <c r="V798" i="1" s="1"/>
  <c r="K798" i="1"/>
  <c r="L798" i="1" s="1"/>
  <c r="M798" i="1" s="1"/>
  <c r="N798" i="1" s="1"/>
  <c r="F798" i="1"/>
  <c r="E798" i="1"/>
  <c r="D798" i="1"/>
  <c r="H798" i="1" s="1"/>
  <c r="I798" i="1" s="1"/>
  <c r="J798" i="1" s="1"/>
  <c r="C798" i="1"/>
  <c r="B798" i="1"/>
  <c r="A798" i="1"/>
  <c r="W798" i="1" s="1"/>
  <c r="Q797" i="1"/>
  <c r="R797" i="1" s="1"/>
  <c r="S797" i="1" s="1"/>
  <c r="T797" i="1" s="1"/>
  <c r="U797" i="1" s="1"/>
  <c r="V797" i="1" s="1"/>
  <c r="P797" i="1"/>
  <c r="N797" i="1"/>
  <c r="O797" i="1" s="1"/>
  <c r="F797" i="1"/>
  <c r="E797" i="1"/>
  <c r="D797" i="1"/>
  <c r="H797" i="1" s="1"/>
  <c r="I797" i="1" s="1"/>
  <c r="J797" i="1" s="1"/>
  <c r="K797" i="1" s="1"/>
  <c r="L797" i="1" s="1"/>
  <c r="M797" i="1" s="1"/>
  <c r="C797" i="1"/>
  <c r="B797" i="1"/>
  <c r="W797" i="1" s="1"/>
  <c r="A797" i="1"/>
  <c r="I796" i="1"/>
  <c r="J796" i="1" s="1"/>
  <c r="K796" i="1" s="1"/>
  <c r="L796" i="1" s="1"/>
  <c r="M796" i="1" s="1"/>
  <c r="N796" i="1" s="1"/>
  <c r="O796" i="1" s="1"/>
  <c r="P796" i="1" s="1"/>
  <c r="Q796" i="1" s="1"/>
  <c r="R796" i="1" s="1"/>
  <c r="S796" i="1" s="1"/>
  <c r="T796" i="1" s="1"/>
  <c r="U796" i="1" s="1"/>
  <c r="V796" i="1" s="1"/>
  <c r="F796" i="1"/>
  <c r="E796" i="1"/>
  <c r="D796" i="1"/>
  <c r="H796" i="1" s="1"/>
  <c r="C796" i="1"/>
  <c r="B796" i="1"/>
  <c r="W796" i="1" s="1"/>
  <c r="A796" i="1"/>
  <c r="L795" i="1"/>
  <c r="M795" i="1" s="1"/>
  <c r="N795" i="1" s="1"/>
  <c r="O795" i="1" s="1"/>
  <c r="P795" i="1" s="1"/>
  <c r="Q795" i="1" s="1"/>
  <c r="R795" i="1" s="1"/>
  <c r="S795" i="1" s="1"/>
  <c r="T795" i="1" s="1"/>
  <c r="U795" i="1" s="1"/>
  <c r="V795" i="1" s="1"/>
  <c r="K795" i="1"/>
  <c r="I795" i="1"/>
  <c r="J795" i="1" s="1"/>
  <c r="F795" i="1"/>
  <c r="E795" i="1"/>
  <c r="D795" i="1"/>
  <c r="H795" i="1" s="1"/>
  <c r="C795" i="1"/>
  <c r="B795" i="1"/>
  <c r="A795" i="1"/>
  <c r="W795" i="1" s="1"/>
  <c r="F794" i="1"/>
  <c r="E794" i="1"/>
  <c r="D794" i="1"/>
  <c r="H794" i="1" s="1"/>
  <c r="I794" i="1" s="1"/>
  <c r="J794" i="1" s="1"/>
  <c r="K794" i="1" s="1"/>
  <c r="L794" i="1" s="1"/>
  <c r="M794" i="1" s="1"/>
  <c r="N794" i="1" s="1"/>
  <c r="O794" i="1" s="1"/>
  <c r="P794" i="1" s="1"/>
  <c r="Q794" i="1" s="1"/>
  <c r="R794" i="1" s="1"/>
  <c r="S794" i="1" s="1"/>
  <c r="T794" i="1" s="1"/>
  <c r="U794" i="1" s="1"/>
  <c r="V794" i="1" s="1"/>
  <c r="C794" i="1"/>
  <c r="B794" i="1"/>
  <c r="A794" i="1"/>
  <c r="W794" i="1" s="1"/>
  <c r="F793" i="1"/>
  <c r="E793" i="1"/>
  <c r="D793" i="1"/>
  <c r="H793" i="1" s="1"/>
  <c r="I793" i="1" s="1"/>
  <c r="J793" i="1" s="1"/>
  <c r="K793" i="1" s="1"/>
  <c r="L793" i="1" s="1"/>
  <c r="M793" i="1" s="1"/>
  <c r="N793" i="1" s="1"/>
  <c r="O793" i="1" s="1"/>
  <c r="P793" i="1" s="1"/>
  <c r="Q793" i="1" s="1"/>
  <c r="R793" i="1" s="1"/>
  <c r="S793" i="1" s="1"/>
  <c r="T793" i="1" s="1"/>
  <c r="U793" i="1" s="1"/>
  <c r="V793" i="1" s="1"/>
  <c r="C793" i="1"/>
  <c r="B793" i="1"/>
  <c r="W793" i="1" s="1"/>
  <c r="A793" i="1"/>
  <c r="I792" i="1"/>
  <c r="J792" i="1" s="1"/>
  <c r="K792" i="1" s="1"/>
  <c r="L792" i="1" s="1"/>
  <c r="M792" i="1" s="1"/>
  <c r="N792" i="1" s="1"/>
  <c r="O792" i="1" s="1"/>
  <c r="P792" i="1" s="1"/>
  <c r="Q792" i="1" s="1"/>
  <c r="R792" i="1" s="1"/>
  <c r="S792" i="1" s="1"/>
  <c r="T792" i="1" s="1"/>
  <c r="U792" i="1" s="1"/>
  <c r="V792" i="1" s="1"/>
  <c r="F792" i="1"/>
  <c r="E792" i="1"/>
  <c r="D792" i="1"/>
  <c r="H792" i="1" s="1"/>
  <c r="C792" i="1"/>
  <c r="B792" i="1"/>
  <c r="W792" i="1" s="1"/>
  <c r="A792" i="1"/>
  <c r="S791" i="1"/>
  <c r="T791" i="1" s="1"/>
  <c r="U791" i="1" s="1"/>
  <c r="V791" i="1" s="1"/>
  <c r="L791" i="1"/>
  <c r="M791" i="1" s="1"/>
  <c r="N791" i="1" s="1"/>
  <c r="O791" i="1" s="1"/>
  <c r="P791" i="1" s="1"/>
  <c r="Q791" i="1" s="1"/>
  <c r="R791" i="1" s="1"/>
  <c r="K791" i="1"/>
  <c r="I791" i="1"/>
  <c r="J791" i="1" s="1"/>
  <c r="F791" i="1"/>
  <c r="E791" i="1"/>
  <c r="D791" i="1"/>
  <c r="H791" i="1" s="1"/>
  <c r="C791" i="1"/>
  <c r="B791" i="1"/>
  <c r="A791" i="1"/>
  <c r="F790" i="1"/>
  <c r="E790" i="1"/>
  <c r="D790" i="1"/>
  <c r="H790" i="1" s="1"/>
  <c r="I790" i="1" s="1"/>
  <c r="J790" i="1" s="1"/>
  <c r="K790" i="1" s="1"/>
  <c r="L790" i="1" s="1"/>
  <c r="M790" i="1" s="1"/>
  <c r="N790" i="1" s="1"/>
  <c r="O790" i="1" s="1"/>
  <c r="P790" i="1" s="1"/>
  <c r="Q790" i="1" s="1"/>
  <c r="R790" i="1" s="1"/>
  <c r="S790" i="1" s="1"/>
  <c r="T790" i="1" s="1"/>
  <c r="U790" i="1" s="1"/>
  <c r="V790" i="1" s="1"/>
  <c r="C790" i="1"/>
  <c r="B790" i="1"/>
  <c r="A790" i="1"/>
  <c r="W790" i="1" s="1"/>
  <c r="F789" i="1"/>
  <c r="E789" i="1"/>
  <c r="D789" i="1"/>
  <c r="H789" i="1" s="1"/>
  <c r="I789" i="1" s="1"/>
  <c r="J789" i="1" s="1"/>
  <c r="K789" i="1" s="1"/>
  <c r="L789" i="1" s="1"/>
  <c r="M789" i="1" s="1"/>
  <c r="N789" i="1" s="1"/>
  <c r="O789" i="1" s="1"/>
  <c r="P789" i="1" s="1"/>
  <c r="Q789" i="1" s="1"/>
  <c r="R789" i="1" s="1"/>
  <c r="S789" i="1" s="1"/>
  <c r="T789" i="1" s="1"/>
  <c r="U789" i="1" s="1"/>
  <c r="V789" i="1" s="1"/>
  <c r="C789" i="1"/>
  <c r="B789" i="1"/>
  <c r="W789" i="1" s="1"/>
  <c r="A789" i="1"/>
  <c r="K788" i="1"/>
  <c r="L788" i="1" s="1"/>
  <c r="M788" i="1" s="1"/>
  <c r="N788" i="1" s="1"/>
  <c r="O788" i="1" s="1"/>
  <c r="P788" i="1" s="1"/>
  <c r="Q788" i="1" s="1"/>
  <c r="R788" i="1" s="1"/>
  <c r="S788" i="1" s="1"/>
  <c r="T788" i="1" s="1"/>
  <c r="U788" i="1" s="1"/>
  <c r="V788" i="1" s="1"/>
  <c r="I788" i="1"/>
  <c r="J788" i="1" s="1"/>
  <c r="F788" i="1"/>
  <c r="E788" i="1"/>
  <c r="D788" i="1"/>
  <c r="H788" i="1" s="1"/>
  <c r="C788" i="1"/>
  <c r="B788" i="1"/>
  <c r="W788" i="1" s="1"/>
  <c r="A788" i="1"/>
  <c r="W787" i="1"/>
  <c r="U787" i="1"/>
  <c r="V787" i="1" s="1"/>
  <c r="I787" i="1"/>
  <c r="J787" i="1" s="1"/>
  <c r="K787" i="1" s="1"/>
  <c r="L787" i="1" s="1"/>
  <c r="M787" i="1" s="1"/>
  <c r="N787" i="1" s="1"/>
  <c r="O787" i="1" s="1"/>
  <c r="P787" i="1" s="1"/>
  <c r="Q787" i="1" s="1"/>
  <c r="R787" i="1" s="1"/>
  <c r="S787" i="1" s="1"/>
  <c r="T787" i="1" s="1"/>
  <c r="F787" i="1"/>
  <c r="E787" i="1"/>
  <c r="D787" i="1"/>
  <c r="H787" i="1" s="1"/>
  <c r="C787" i="1"/>
  <c r="B787" i="1"/>
  <c r="A787" i="1"/>
  <c r="J786" i="1"/>
  <c r="K786" i="1" s="1"/>
  <c r="L786" i="1" s="1"/>
  <c r="M786" i="1" s="1"/>
  <c r="N786" i="1" s="1"/>
  <c r="O786" i="1" s="1"/>
  <c r="P786" i="1" s="1"/>
  <c r="Q786" i="1" s="1"/>
  <c r="R786" i="1" s="1"/>
  <c r="S786" i="1" s="1"/>
  <c r="T786" i="1" s="1"/>
  <c r="U786" i="1" s="1"/>
  <c r="V786" i="1" s="1"/>
  <c r="I786" i="1"/>
  <c r="F786" i="1"/>
  <c r="E786" i="1"/>
  <c r="D786" i="1"/>
  <c r="H786" i="1" s="1"/>
  <c r="C786" i="1"/>
  <c r="B786" i="1"/>
  <c r="A786" i="1"/>
  <c r="W786" i="1" s="1"/>
  <c r="W785" i="1"/>
  <c r="F785" i="1"/>
  <c r="E785" i="1"/>
  <c r="D785" i="1"/>
  <c r="H785" i="1" s="1"/>
  <c r="I785" i="1" s="1"/>
  <c r="J785" i="1" s="1"/>
  <c r="K785" i="1" s="1"/>
  <c r="L785" i="1" s="1"/>
  <c r="M785" i="1" s="1"/>
  <c r="N785" i="1" s="1"/>
  <c r="O785" i="1" s="1"/>
  <c r="P785" i="1" s="1"/>
  <c r="Q785" i="1" s="1"/>
  <c r="R785" i="1" s="1"/>
  <c r="S785" i="1" s="1"/>
  <c r="T785" i="1" s="1"/>
  <c r="U785" i="1" s="1"/>
  <c r="V785" i="1" s="1"/>
  <c r="C785" i="1"/>
  <c r="B785" i="1"/>
  <c r="A785" i="1"/>
  <c r="K784" i="1"/>
  <c r="L784" i="1" s="1"/>
  <c r="M784" i="1" s="1"/>
  <c r="N784" i="1" s="1"/>
  <c r="O784" i="1" s="1"/>
  <c r="P784" i="1" s="1"/>
  <c r="Q784" i="1" s="1"/>
  <c r="R784" i="1" s="1"/>
  <c r="S784" i="1" s="1"/>
  <c r="T784" i="1" s="1"/>
  <c r="U784" i="1" s="1"/>
  <c r="V784" i="1" s="1"/>
  <c r="I784" i="1"/>
  <c r="J784" i="1" s="1"/>
  <c r="F784" i="1"/>
  <c r="E784" i="1"/>
  <c r="D784" i="1"/>
  <c r="H784" i="1" s="1"/>
  <c r="C784" i="1"/>
  <c r="B784" i="1"/>
  <c r="W784" i="1" s="1"/>
  <c r="A784" i="1"/>
  <c r="W783" i="1"/>
  <c r="I783" i="1"/>
  <c r="J783" i="1" s="1"/>
  <c r="K783" i="1" s="1"/>
  <c r="L783" i="1" s="1"/>
  <c r="M783" i="1" s="1"/>
  <c r="N783" i="1" s="1"/>
  <c r="O783" i="1" s="1"/>
  <c r="P783" i="1" s="1"/>
  <c r="Q783" i="1" s="1"/>
  <c r="R783" i="1" s="1"/>
  <c r="S783" i="1" s="1"/>
  <c r="T783" i="1" s="1"/>
  <c r="U783" i="1" s="1"/>
  <c r="V783" i="1" s="1"/>
  <c r="F783" i="1"/>
  <c r="E783" i="1"/>
  <c r="D783" i="1"/>
  <c r="H783" i="1" s="1"/>
  <c r="C783" i="1"/>
  <c r="B783" i="1"/>
  <c r="A783" i="1"/>
  <c r="F782" i="1"/>
  <c r="E782" i="1"/>
  <c r="D782" i="1"/>
  <c r="H782" i="1" s="1"/>
  <c r="I782" i="1" s="1"/>
  <c r="J782" i="1" s="1"/>
  <c r="K782" i="1" s="1"/>
  <c r="L782" i="1" s="1"/>
  <c r="M782" i="1" s="1"/>
  <c r="N782" i="1" s="1"/>
  <c r="O782" i="1" s="1"/>
  <c r="P782" i="1" s="1"/>
  <c r="Q782" i="1" s="1"/>
  <c r="R782" i="1" s="1"/>
  <c r="S782" i="1" s="1"/>
  <c r="T782" i="1" s="1"/>
  <c r="U782" i="1" s="1"/>
  <c r="V782" i="1" s="1"/>
  <c r="C782" i="1"/>
  <c r="B782" i="1"/>
  <c r="A782" i="1"/>
  <c r="H781" i="1"/>
  <c r="I781" i="1" s="1"/>
  <c r="J781" i="1" s="1"/>
  <c r="K781" i="1" s="1"/>
  <c r="L781" i="1" s="1"/>
  <c r="M781" i="1" s="1"/>
  <c r="N781" i="1" s="1"/>
  <c r="O781" i="1" s="1"/>
  <c r="P781" i="1" s="1"/>
  <c r="Q781" i="1" s="1"/>
  <c r="R781" i="1" s="1"/>
  <c r="S781" i="1" s="1"/>
  <c r="T781" i="1" s="1"/>
  <c r="U781" i="1" s="1"/>
  <c r="V781" i="1" s="1"/>
  <c r="F781" i="1"/>
  <c r="E781" i="1"/>
  <c r="D781" i="1"/>
  <c r="C781" i="1"/>
  <c r="B781" i="1"/>
  <c r="A781" i="1"/>
  <c r="P780" i="1"/>
  <c r="Q780" i="1" s="1"/>
  <c r="R780" i="1" s="1"/>
  <c r="S780" i="1" s="1"/>
  <c r="T780" i="1" s="1"/>
  <c r="U780" i="1" s="1"/>
  <c r="V780" i="1" s="1"/>
  <c r="H780" i="1"/>
  <c r="I780" i="1" s="1"/>
  <c r="J780" i="1" s="1"/>
  <c r="K780" i="1" s="1"/>
  <c r="L780" i="1" s="1"/>
  <c r="M780" i="1" s="1"/>
  <c r="N780" i="1" s="1"/>
  <c r="O780" i="1" s="1"/>
  <c r="F780" i="1"/>
  <c r="E780" i="1"/>
  <c r="D780" i="1"/>
  <c r="C780" i="1"/>
  <c r="B780" i="1"/>
  <c r="A780" i="1"/>
  <c r="W780" i="1" s="1"/>
  <c r="H779" i="1"/>
  <c r="I779" i="1" s="1"/>
  <c r="J779" i="1" s="1"/>
  <c r="K779" i="1" s="1"/>
  <c r="L779" i="1" s="1"/>
  <c r="M779" i="1" s="1"/>
  <c r="N779" i="1" s="1"/>
  <c r="O779" i="1" s="1"/>
  <c r="P779" i="1" s="1"/>
  <c r="Q779" i="1" s="1"/>
  <c r="R779" i="1" s="1"/>
  <c r="S779" i="1" s="1"/>
  <c r="T779" i="1" s="1"/>
  <c r="U779" i="1" s="1"/>
  <c r="V779" i="1" s="1"/>
  <c r="F779" i="1"/>
  <c r="E779" i="1"/>
  <c r="D779" i="1"/>
  <c r="C779" i="1"/>
  <c r="B779" i="1"/>
  <c r="W779" i="1" s="1"/>
  <c r="A779" i="1"/>
  <c r="K778" i="1"/>
  <c r="L778" i="1" s="1"/>
  <c r="M778" i="1" s="1"/>
  <c r="N778" i="1" s="1"/>
  <c r="O778" i="1" s="1"/>
  <c r="P778" i="1" s="1"/>
  <c r="Q778" i="1" s="1"/>
  <c r="R778" i="1" s="1"/>
  <c r="S778" i="1" s="1"/>
  <c r="T778" i="1" s="1"/>
  <c r="U778" i="1" s="1"/>
  <c r="V778" i="1" s="1"/>
  <c r="F778" i="1"/>
  <c r="E778" i="1"/>
  <c r="D778" i="1"/>
  <c r="H778" i="1" s="1"/>
  <c r="I778" i="1" s="1"/>
  <c r="J778" i="1" s="1"/>
  <c r="C778" i="1"/>
  <c r="B778" i="1"/>
  <c r="A778" i="1"/>
  <c r="O777" i="1"/>
  <c r="P777" i="1" s="1"/>
  <c r="Q777" i="1" s="1"/>
  <c r="R777" i="1" s="1"/>
  <c r="S777" i="1" s="1"/>
  <c r="T777" i="1" s="1"/>
  <c r="U777" i="1" s="1"/>
  <c r="V777" i="1" s="1"/>
  <c r="H777" i="1"/>
  <c r="I777" i="1" s="1"/>
  <c r="J777" i="1" s="1"/>
  <c r="K777" i="1" s="1"/>
  <c r="L777" i="1" s="1"/>
  <c r="M777" i="1" s="1"/>
  <c r="N777" i="1" s="1"/>
  <c r="F777" i="1"/>
  <c r="E777" i="1"/>
  <c r="D777" i="1"/>
  <c r="C777" i="1"/>
  <c r="B777" i="1"/>
  <c r="W777" i="1" s="1"/>
  <c r="A777" i="1"/>
  <c r="H776" i="1"/>
  <c r="I776" i="1" s="1"/>
  <c r="J776" i="1" s="1"/>
  <c r="K776" i="1" s="1"/>
  <c r="L776" i="1" s="1"/>
  <c r="M776" i="1" s="1"/>
  <c r="N776" i="1" s="1"/>
  <c r="O776" i="1" s="1"/>
  <c r="P776" i="1" s="1"/>
  <c r="Q776" i="1" s="1"/>
  <c r="R776" i="1" s="1"/>
  <c r="S776" i="1" s="1"/>
  <c r="T776" i="1" s="1"/>
  <c r="U776" i="1" s="1"/>
  <c r="V776" i="1" s="1"/>
  <c r="F776" i="1"/>
  <c r="E776" i="1"/>
  <c r="D776" i="1"/>
  <c r="C776" i="1"/>
  <c r="B776" i="1"/>
  <c r="A776" i="1"/>
  <c r="W776" i="1" s="1"/>
  <c r="H775" i="1"/>
  <c r="I775" i="1" s="1"/>
  <c r="J775" i="1" s="1"/>
  <c r="K775" i="1" s="1"/>
  <c r="L775" i="1" s="1"/>
  <c r="M775" i="1" s="1"/>
  <c r="N775" i="1" s="1"/>
  <c r="O775" i="1" s="1"/>
  <c r="P775" i="1" s="1"/>
  <c r="Q775" i="1" s="1"/>
  <c r="R775" i="1" s="1"/>
  <c r="S775" i="1" s="1"/>
  <c r="T775" i="1" s="1"/>
  <c r="U775" i="1" s="1"/>
  <c r="V775" i="1" s="1"/>
  <c r="F775" i="1"/>
  <c r="E775" i="1"/>
  <c r="D775" i="1"/>
  <c r="C775" i="1"/>
  <c r="B775" i="1"/>
  <c r="W775" i="1" s="1"/>
  <c r="A775" i="1"/>
  <c r="U774" i="1"/>
  <c r="V774" i="1" s="1"/>
  <c r="F774" i="1"/>
  <c r="E774" i="1"/>
  <c r="D774" i="1"/>
  <c r="H774" i="1" s="1"/>
  <c r="I774" i="1" s="1"/>
  <c r="J774" i="1" s="1"/>
  <c r="K774" i="1" s="1"/>
  <c r="L774" i="1" s="1"/>
  <c r="M774" i="1" s="1"/>
  <c r="N774" i="1" s="1"/>
  <c r="O774" i="1" s="1"/>
  <c r="P774" i="1" s="1"/>
  <c r="Q774" i="1" s="1"/>
  <c r="R774" i="1" s="1"/>
  <c r="S774" i="1" s="1"/>
  <c r="T774" i="1" s="1"/>
  <c r="C774" i="1"/>
  <c r="B774" i="1"/>
  <c r="A774" i="1"/>
  <c r="L773" i="1"/>
  <c r="M773" i="1" s="1"/>
  <c r="N773" i="1" s="1"/>
  <c r="O773" i="1" s="1"/>
  <c r="P773" i="1" s="1"/>
  <c r="Q773" i="1" s="1"/>
  <c r="R773" i="1" s="1"/>
  <c r="S773" i="1" s="1"/>
  <c r="T773" i="1" s="1"/>
  <c r="U773" i="1" s="1"/>
  <c r="V773" i="1" s="1"/>
  <c r="H773" i="1"/>
  <c r="I773" i="1" s="1"/>
  <c r="J773" i="1" s="1"/>
  <c r="K773" i="1" s="1"/>
  <c r="F773" i="1"/>
  <c r="E773" i="1"/>
  <c r="D773" i="1"/>
  <c r="C773" i="1"/>
  <c r="B773" i="1"/>
  <c r="W773" i="1" s="1"/>
  <c r="A773" i="1"/>
  <c r="H772" i="1"/>
  <c r="I772" i="1" s="1"/>
  <c r="J772" i="1" s="1"/>
  <c r="K772" i="1" s="1"/>
  <c r="L772" i="1" s="1"/>
  <c r="M772" i="1" s="1"/>
  <c r="N772" i="1" s="1"/>
  <c r="O772" i="1" s="1"/>
  <c r="P772" i="1" s="1"/>
  <c r="Q772" i="1" s="1"/>
  <c r="R772" i="1" s="1"/>
  <c r="S772" i="1" s="1"/>
  <c r="T772" i="1" s="1"/>
  <c r="U772" i="1" s="1"/>
  <c r="V772" i="1" s="1"/>
  <c r="F772" i="1"/>
  <c r="E772" i="1"/>
  <c r="D772" i="1"/>
  <c r="C772" i="1"/>
  <c r="B772" i="1"/>
  <c r="A772" i="1"/>
  <c r="W772" i="1" s="1"/>
  <c r="K771" i="1"/>
  <c r="L771" i="1" s="1"/>
  <c r="M771" i="1" s="1"/>
  <c r="N771" i="1" s="1"/>
  <c r="O771" i="1" s="1"/>
  <c r="P771" i="1" s="1"/>
  <c r="Q771" i="1" s="1"/>
  <c r="R771" i="1" s="1"/>
  <c r="S771" i="1" s="1"/>
  <c r="T771" i="1" s="1"/>
  <c r="U771" i="1" s="1"/>
  <c r="V771" i="1" s="1"/>
  <c r="H771" i="1"/>
  <c r="I771" i="1" s="1"/>
  <c r="J771" i="1" s="1"/>
  <c r="F771" i="1"/>
  <c r="E771" i="1"/>
  <c r="D771" i="1"/>
  <c r="C771" i="1"/>
  <c r="B771" i="1"/>
  <c r="W771" i="1" s="1"/>
  <c r="A771" i="1"/>
  <c r="M770" i="1"/>
  <c r="N770" i="1" s="1"/>
  <c r="O770" i="1" s="1"/>
  <c r="P770" i="1" s="1"/>
  <c r="Q770" i="1" s="1"/>
  <c r="R770" i="1" s="1"/>
  <c r="S770" i="1" s="1"/>
  <c r="T770" i="1" s="1"/>
  <c r="U770" i="1" s="1"/>
  <c r="V770" i="1" s="1"/>
  <c r="L770" i="1"/>
  <c r="K770" i="1"/>
  <c r="F770" i="1"/>
  <c r="E770" i="1"/>
  <c r="D770" i="1"/>
  <c r="H770" i="1" s="1"/>
  <c r="I770" i="1" s="1"/>
  <c r="J770" i="1" s="1"/>
  <c r="C770" i="1"/>
  <c r="B770" i="1"/>
  <c r="A770" i="1"/>
  <c r="W770" i="1" s="1"/>
  <c r="W769" i="1"/>
  <c r="O769" i="1"/>
  <c r="P769" i="1" s="1"/>
  <c r="Q769" i="1" s="1"/>
  <c r="R769" i="1" s="1"/>
  <c r="S769" i="1" s="1"/>
  <c r="T769" i="1" s="1"/>
  <c r="U769" i="1" s="1"/>
  <c r="V769" i="1" s="1"/>
  <c r="N769" i="1"/>
  <c r="H769" i="1"/>
  <c r="I769" i="1" s="1"/>
  <c r="J769" i="1" s="1"/>
  <c r="K769" i="1" s="1"/>
  <c r="L769" i="1" s="1"/>
  <c r="M769" i="1" s="1"/>
  <c r="F769" i="1"/>
  <c r="E769" i="1"/>
  <c r="D769" i="1"/>
  <c r="C769" i="1"/>
  <c r="B769" i="1"/>
  <c r="A769" i="1"/>
  <c r="J768" i="1"/>
  <c r="K768" i="1" s="1"/>
  <c r="L768" i="1" s="1"/>
  <c r="M768" i="1" s="1"/>
  <c r="N768" i="1" s="1"/>
  <c r="O768" i="1" s="1"/>
  <c r="P768" i="1" s="1"/>
  <c r="Q768" i="1" s="1"/>
  <c r="R768" i="1" s="1"/>
  <c r="S768" i="1" s="1"/>
  <c r="T768" i="1" s="1"/>
  <c r="U768" i="1" s="1"/>
  <c r="V768" i="1" s="1"/>
  <c r="I768" i="1"/>
  <c r="H768" i="1"/>
  <c r="F768" i="1"/>
  <c r="E768" i="1"/>
  <c r="D768" i="1"/>
  <c r="C768" i="1"/>
  <c r="B768" i="1"/>
  <c r="A768" i="1"/>
  <c r="W768" i="1" s="1"/>
  <c r="W767" i="1"/>
  <c r="N767" i="1"/>
  <c r="O767" i="1" s="1"/>
  <c r="P767" i="1" s="1"/>
  <c r="Q767" i="1" s="1"/>
  <c r="R767" i="1" s="1"/>
  <c r="S767" i="1" s="1"/>
  <c r="T767" i="1" s="1"/>
  <c r="U767" i="1" s="1"/>
  <c r="V767" i="1" s="1"/>
  <c r="F767" i="1"/>
  <c r="E767" i="1"/>
  <c r="D767" i="1"/>
  <c r="H767" i="1" s="1"/>
  <c r="I767" i="1" s="1"/>
  <c r="J767" i="1" s="1"/>
  <c r="K767" i="1" s="1"/>
  <c r="L767" i="1" s="1"/>
  <c r="M767" i="1" s="1"/>
  <c r="C767" i="1"/>
  <c r="B767" i="1"/>
  <c r="A767" i="1"/>
  <c r="I766" i="1"/>
  <c r="J766" i="1" s="1"/>
  <c r="K766" i="1" s="1"/>
  <c r="L766" i="1" s="1"/>
  <c r="M766" i="1" s="1"/>
  <c r="N766" i="1" s="1"/>
  <c r="O766" i="1" s="1"/>
  <c r="P766" i="1" s="1"/>
  <c r="Q766" i="1" s="1"/>
  <c r="R766" i="1" s="1"/>
  <c r="S766" i="1" s="1"/>
  <c r="T766" i="1" s="1"/>
  <c r="U766" i="1" s="1"/>
  <c r="V766" i="1" s="1"/>
  <c r="H766" i="1"/>
  <c r="F766" i="1"/>
  <c r="E766" i="1"/>
  <c r="D766" i="1"/>
  <c r="C766" i="1"/>
  <c r="B766" i="1"/>
  <c r="A766" i="1"/>
  <c r="W765" i="1"/>
  <c r="H765" i="1"/>
  <c r="I765" i="1" s="1"/>
  <c r="J765" i="1" s="1"/>
  <c r="K765" i="1" s="1"/>
  <c r="L765" i="1" s="1"/>
  <c r="M765" i="1" s="1"/>
  <c r="N765" i="1" s="1"/>
  <c r="O765" i="1" s="1"/>
  <c r="P765" i="1" s="1"/>
  <c r="Q765" i="1" s="1"/>
  <c r="R765" i="1" s="1"/>
  <c r="S765" i="1" s="1"/>
  <c r="T765" i="1" s="1"/>
  <c r="U765" i="1" s="1"/>
  <c r="V765" i="1" s="1"/>
  <c r="F765" i="1"/>
  <c r="E765" i="1"/>
  <c r="D765" i="1"/>
  <c r="C765" i="1"/>
  <c r="B765" i="1"/>
  <c r="A765" i="1"/>
  <c r="T764" i="1"/>
  <c r="U764" i="1" s="1"/>
  <c r="V764" i="1" s="1"/>
  <c r="J764" i="1"/>
  <c r="K764" i="1" s="1"/>
  <c r="L764" i="1" s="1"/>
  <c r="M764" i="1" s="1"/>
  <c r="N764" i="1" s="1"/>
  <c r="O764" i="1" s="1"/>
  <c r="P764" i="1" s="1"/>
  <c r="Q764" i="1" s="1"/>
  <c r="R764" i="1" s="1"/>
  <c r="S764" i="1" s="1"/>
  <c r="I764" i="1"/>
  <c r="H764" i="1"/>
  <c r="F764" i="1"/>
  <c r="E764" i="1"/>
  <c r="D764" i="1"/>
  <c r="C764" i="1"/>
  <c r="B764" i="1"/>
  <c r="A764" i="1"/>
  <c r="W764" i="1" s="1"/>
  <c r="W763" i="1"/>
  <c r="P763" i="1"/>
  <c r="Q763" i="1" s="1"/>
  <c r="R763" i="1" s="1"/>
  <c r="S763" i="1" s="1"/>
  <c r="T763" i="1" s="1"/>
  <c r="U763" i="1" s="1"/>
  <c r="V763" i="1" s="1"/>
  <c r="H763" i="1"/>
  <c r="I763" i="1" s="1"/>
  <c r="J763" i="1" s="1"/>
  <c r="K763" i="1" s="1"/>
  <c r="L763" i="1" s="1"/>
  <c r="M763" i="1" s="1"/>
  <c r="N763" i="1" s="1"/>
  <c r="O763" i="1" s="1"/>
  <c r="F763" i="1"/>
  <c r="E763" i="1"/>
  <c r="D763" i="1"/>
  <c r="C763" i="1"/>
  <c r="B763" i="1"/>
  <c r="A763" i="1"/>
  <c r="I762" i="1"/>
  <c r="J762" i="1" s="1"/>
  <c r="K762" i="1" s="1"/>
  <c r="L762" i="1" s="1"/>
  <c r="M762" i="1" s="1"/>
  <c r="N762" i="1" s="1"/>
  <c r="O762" i="1" s="1"/>
  <c r="P762" i="1" s="1"/>
  <c r="Q762" i="1" s="1"/>
  <c r="R762" i="1" s="1"/>
  <c r="S762" i="1" s="1"/>
  <c r="T762" i="1" s="1"/>
  <c r="U762" i="1" s="1"/>
  <c r="V762" i="1" s="1"/>
  <c r="H762" i="1"/>
  <c r="F762" i="1"/>
  <c r="E762" i="1"/>
  <c r="D762" i="1"/>
  <c r="C762" i="1"/>
  <c r="B762" i="1"/>
  <c r="A762" i="1"/>
  <c r="W762" i="1" s="1"/>
  <c r="W761" i="1"/>
  <c r="N761" i="1"/>
  <c r="O761" i="1" s="1"/>
  <c r="P761" i="1" s="1"/>
  <c r="Q761" i="1" s="1"/>
  <c r="R761" i="1" s="1"/>
  <c r="S761" i="1" s="1"/>
  <c r="T761" i="1" s="1"/>
  <c r="U761" i="1" s="1"/>
  <c r="V761" i="1" s="1"/>
  <c r="H761" i="1"/>
  <c r="I761" i="1" s="1"/>
  <c r="J761" i="1" s="1"/>
  <c r="K761" i="1" s="1"/>
  <c r="L761" i="1" s="1"/>
  <c r="M761" i="1" s="1"/>
  <c r="F761" i="1"/>
  <c r="E761" i="1"/>
  <c r="D761" i="1"/>
  <c r="C761" i="1"/>
  <c r="B761" i="1"/>
  <c r="A761" i="1"/>
  <c r="R760" i="1"/>
  <c r="S760" i="1" s="1"/>
  <c r="T760" i="1" s="1"/>
  <c r="U760" i="1" s="1"/>
  <c r="V760" i="1" s="1"/>
  <c r="J760" i="1"/>
  <c r="K760" i="1" s="1"/>
  <c r="L760" i="1" s="1"/>
  <c r="M760" i="1" s="1"/>
  <c r="N760" i="1" s="1"/>
  <c r="O760" i="1" s="1"/>
  <c r="P760" i="1" s="1"/>
  <c r="Q760" i="1" s="1"/>
  <c r="I760" i="1"/>
  <c r="H760" i="1"/>
  <c r="F760" i="1"/>
  <c r="E760" i="1"/>
  <c r="D760" i="1"/>
  <c r="C760" i="1"/>
  <c r="B760" i="1"/>
  <c r="A760" i="1"/>
  <c r="W760" i="1" s="1"/>
  <c r="W759" i="1"/>
  <c r="H759" i="1"/>
  <c r="I759" i="1" s="1"/>
  <c r="J759" i="1" s="1"/>
  <c r="K759" i="1" s="1"/>
  <c r="L759" i="1" s="1"/>
  <c r="M759" i="1" s="1"/>
  <c r="N759" i="1" s="1"/>
  <c r="O759" i="1" s="1"/>
  <c r="P759" i="1" s="1"/>
  <c r="Q759" i="1" s="1"/>
  <c r="R759" i="1" s="1"/>
  <c r="S759" i="1" s="1"/>
  <c r="T759" i="1" s="1"/>
  <c r="U759" i="1" s="1"/>
  <c r="V759" i="1" s="1"/>
  <c r="F759" i="1"/>
  <c r="E759" i="1"/>
  <c r="D759" i="1"/>
  <c r="C759" i="1"/>
  <c r="B759" i="1"/>
  <c r="A759" i="1"/>
  <c r="F758" i="1"/>
  <c r="E758" i="1"/>
  <c r="D758" i="1"/>
  <c r="H758" i="1" s="1"/>
  <c r="I758" i="1" s="1"/>
  <c r="J758" i="1" s="1"/>
  <c r="K758" i="1" s="1"/>
  <c r="L758" i="1" s="1"/>
  <c r="M758" i="1" s="1"/>
  <c r="N758" i="1" s="1"/>
  <c r="O758" i="1" s="1"/>
  <c r="P758" i="1" s="1"/>
  <c r="Q758" i="1" s="1"/>
  <c r="R758" i="1" s="1"/>
  <c r="S758" i="1" s="1"/>
  <c r="T758" i="1" s="1"/>
  <c r="U758" i="1" s="1"/>
  <c r="V758" i="1" s="1"/>
  <c r="C758" i="1"/>
  <c r="B758" i="1"/>
  <c r="A758" i="1"/>
  <c r="W758" i="1" s="1"/>
  <c r="P757" i="1"/>
  <c r="Q757" i="1" s="1"/>
  <c r="R757" i="1" s="1"/>
  <c r="S757" i="1" s="1"/>
  <c r="T757" i="1" s="1"/>
  <c r="U757" i="1" s="1"/>
  <c r="V757" i="1" s="1"/>
  <c r="H757" i="1"/>
  <c r="I757" i="1" s="1"/>
  <c r="J757" i="1" s="1"/>
  <c r="K757" i="1" s="1"/>
  <c r="L757" i="1" s="1"/>
  <c r="M757" i="1" s="1"/>
  <c r="N757" i="1" s="1"/>
  <c r="O757" i="1" s="1"/>
  <c r="F757" i="1"/>
  <c r="E757" i="1"/>
  <c r="D757" i="1"/>
  <c r="C757" i="1"/>
  <c r="B757" i="1"/>
  <c r="A757" i="1"/>
  <c r="W757" i="1" s="1"/>
  <c r="W756" i="1"/>
  <c r="F756" i="1"/>
  <c r="E756" i="1"/>
  <c r="D756" i="1"/>
  <c r="H756" i="1" s="1"/>
  <c r="I756" i="1" s="1"/>
  <c r="J756" i="1" s="1"/>
  <c r="K756" i="1" s="1"/>
  <c r="L756" i="1" s="1"/>
  <c r="M756" i="1" s="1"/>
  <c r="N756" i="1" s="1"/>
  <c r="O756" i="1" s="1"/>
  <c r="P756" i="1" s="1"/>
  <c r="Q756" i="1" s="1"/>
  <c r="R756" i="1" s="1"/>
  <c r="S756" i="1" s="1"/>
  <c r="T756" i="1" s="1"/>
  <c r="U756" i="1" s="1"/>
  <c r="V756" i="1" s="1"/>
  <c r="C756" i="1"/>
  <c r="B756" i="1"/>
  <c r="A756" i="1"/>
  <c r="F755" i="1"/>
  <c r="E755" i="1"/>
  <c r="D755" i="1"/>
  <c r="H755" i="1" s="1"/>
  <c r="I755" i="1" s="1"/>
  <c r="J755" i="1" s="1"/>
  <c r="K755" i="1" s="1"/>
  <c r="L755" i="1" s="1"/>
  <c r="M755" i="1" s="1"/>
  <c r="N755" i="1" s="1"/>
  <c r="O755" i="1" s="1"/>
  <c r="P755" i="1" s="1"/>
  <c r="Q755" i="1" s="1"/>
  <c r="R755" i="1" s="1"/>
  <c r="S755" i="1" s="1"/>
  <c r="T755" i="1" s="1"/>
  <c r="U755" i="1" s="1"/>
  <c r="V755" i="1" s="1"/>
  <c r="C755" i="1"/>
  <c r="B755" i="1"/>
  <c r="W755" i="1" s="1"/>
  <c r="A755" i="1"/>
  <c r="F754" i="1"/>
  <c r="E754" i="1"/>
  <c r="D754" i="1"/>
  <c r="H754" i="1" s="1"/>
  <c r="I754" i="1" s="1"/>
  <c r="J754" i="1" s="1"/>
  <c r="K754" i="1" s="1"/>
  <c r="L754" i="1" s="1"/>
  <c r="M754" i="1" s="1"/>
  <c r="N754" i="1" s="1"/>
  <c r="O754" i="1" s="1"/>
  <c r="P754" i="1" s="1"/>
  <c r="Q754" i="1" s="1"/>
  <c r="R754" i="1" s="1"/>
  <c r="S754" i="1" s="1"/>
  <c r="T754" i="1" s="1"/>
  <c r="U754" i="1" s="1"/>
  <c r="V754" i="1" s="1"/>
  <c r="C754" i="1"/>
  <c r="B754" i="1"/>
  <c r="A754" i="1"/>
  <c r="W754" i="1" s="1"/>
  <c r="H753" i="1"/>
  <c r="I753" i="1" s="1"/>
  <c r="J753" i="1" s="1"/>
  <c r="K753" i="1" s="1"/>
  <c r="L753" i="1" s="1"/>
  <c r="M753" i="1" s="1"/>
  <c r="N753" i="1" s="1"/>
  <c r="O753" i="1" s="1"/>
  <c r="P753" i="1" s="1"/>
  <c r="Q753" i="1" s="1"/>
  <c r="R753" i="1" s="1"/>
  <c r="S753" i="1" s="1"/>
  <c r="T753" i="1" s="1"/>
  <c r="U753" i="1" s="1"/>
  <c r="V753" i="1" s="1"/>
  <c r="F753" i="1"/>
  <c r="E753" i="1"/>
  <c r="D753" i="1"/>
  <c r="C753" i="1"/>
  <c r="B753" i="1"/>
  <c r="A753" i="1"/>
  <c r="W753" i="1" s="1"/>
  <c r="W752" i="1"/>
  <c r="P752" i="1"/>
  <c r="Q752" i="1" s="1"/>
  <c r="R752" i="1" s="1"/>
  <c r="S752" i="1" s="1"/>
  <c r="T752" i="1" s="1"/>
  <c r="U752" i="1" s="1"/>
  <c r="V752" i="1" s="1"/>
  <c r="F752" i="1"/>
  <c r="E752" i="1"/>
  <c r="D752" i="1"/>
  <c r="H752" i="1" s="1"/>
  <c r="I752" i="1" s="1"/>
  <c r="J752" i="1" s="1"/>
  <c r="K752" i="1" s="1"/>
  <c r="L752" i="1" s="1"/>
  <c r="M752" i="1" s="1"/>
  <c r="N752" i="1" s="1"/>
  <c r="O752" i="1" s="1"/>
  <c r="C752" i="1"/>
  <c r="B752" i="1"/>
  <c r="A752" i="1"/>
  <c r="S751" i="1"/>
  <c r="T751" i="1" s="1"/>
  <c r="U751" i="1" s="1"/>
  <c r="V751" i="1" s="1"/>
  <c r="F751" i="1"/>
  <c r="E751" i="1"/>
  <c r="D751" i="1"/>
  <c r="H751" i="1" s="1"/>
  <c r="I751" i="1" s="1"/>
  <c r="J751" i="1" s="1"/>
  <c r="K751" i="1" s="1"/>
  <c r="L751" i="1" s="1"/>
  <c r="M751" i="1" s="1"/>
  <c r="N751" i="1" s="1"/>
  <c r="O751" i="1" s="1"/>
  <c r="P751" i="1" s="1"/>
  <c r="Q751" i="1" s="1"/>
  <c r="R751" i="1" s="1"/>
  <c r="C751" i="1"/>
  <c r="B751" i="1"/>
  <c r="W751" i="1" s="1"/>
  <c r="A751" i="1"/>
  <c r="Q750" i="1"/>
  <c r="R750" i="1" s="1"/>
  <c r="S750" i="1" s="1"/>
  <c r="T750" i="1" s="1"/>
  <c r="U750" i="1" s="1"/>
  <c r="V750" i="1" s="1"/>
  <c r="F750" i="1"/>
  <c r="E750" i="1"/>
  <c r="D750" i="1"/>
  <c r="H750" i="1" s="1"/>
  <c r="I750" i="1" s="1"/>
  <c r="J750" i="1" s="1"/>
  <c r="K750" i="1" s="1"/>
  <c r="L750" i="1" s="1"/>
  <c r="M750" i="1" s="1"/>
  <c r="N750" i="1" s="1"/>
  <c r="O750" i="1" s="1"/>
  <c r="P750" i="1" s="1"/>
  <c r="C750" i="1"/>
  <c r="B750" i="1"/>
  <c r="A750" i="1"/>
  <c r="W750" i="1" s="1"/>
  <c r="H749" i="1"/>
  <c r="I749" i="1" s="1"/>
  <c r="J749" i="1" s="1"/>
  <c r="K749" i="1" s="1"/>
  <c r="L749" i="1" s="1"/>
  <c r="M749" i="1" s="1"/>
  <c r="N749" i="1" s="1"/>
  <c r="O749" i="1" s="1"/>
  <c r="P749" i="1" s="1"/>
  <c r="Q749" i="1" s="1"/>
  <c r="R749" i="1" s="1"/>
  <c r="S749" i="1" s="1"/>
  <c r="T749" i="1" s="1"/>
  <c r="U749" i="1" s="1"/>
  <c r="V749" i="1" s="1"/>
  <c r="F749" i="1"/>
  <c r="E749" i="1"/>
  <c r="D749" i="1"/>
  <c r="C749" i="1"/>
  <c r="B749" i="1"/>
  <c r="A749" i="1"/>
  <c r="W749" i="1" s="1"/>
  <c r="W748" i="1"/>
  <c r="P748" i="1"/>
  <c r="Q748" i="1" s="1"/>
  <c r="R748" i="1" s="1"/>
  <c r="S748" i="1" s="1"/>
  <c r="T748" i="1" s="1"/>
  <c r="U748" i="1" s="1"/>
  <c r="V748" i="1" s="1"/>
  <c r="O748" i="1"/>
  <c r="F748" i="1"/>
  <c r="E748" i="1"/>
  <c r="D748" i="1"/>
  <c r="H748" i="1" s="1"/>
  <c r="I748" i="1" s="1"/>
  <c r="J748" i="1" s="1"/>
  <c r="K748" i="1" s="1"/>
  <c r="L748" i="1" s="1"/>
  <c r="M748" i="1" s="1"/>
  <c r="N748" i="1" s="1"/>
  <c r="C748" i="1"/>
  <c r="B748" i="1"/>
  <c r="A748" i="1"/>
  <c r="S747" i="1"/>
  <c r="T747" i="1" s="1"/>
  <c r="U747" i="1" s="1"/>
  <c r="V747" i="1" s="1"/>
  <c r="O747" i="1"/>
  <c r="P747" i="1" s="1"/>
  <c r="Q747" i="1" s="1"/>
  <c r="R747" i="1" s="1"/>
  <c r="F747" i="1"/>
  <c r="E747" i="1"/>
  <c r="D747" i="1"/>
  <c r="H747" i="1" s="1"/>
  <c r="I747" i="1" s="1"/>
  <c r="J747" i="1" s="1"/>
  <c r="K747" i="1" s="1"/>
  <c r="L747" i="1" s="1"/>
  <c r="M747" i="1" s="1"/>
  <c r="N747" i="1" s="1"/>
  <c r="C747" i="1"/>
  <c r="B747" i="1"/>
  <c r="W747" i="1" s="1"/>
  <c r="A747" i="1"/>
  <c r="Q746" i="1"/>
  <c r="R746" i="1" s="1"/>
  <c r="S746" i="1" s="1"/>
  <c r="T746" i="1" s="1"/>
  <c r="U746" i="1" s="1"/>
  <c r="V746" i="1" s="1"/>
  <c r="M746" i="1"/>
  <c r="N746" i="1" s="1"/>
  <c r="O746" i="1" s="1"/>
  <c r="P746" i="1" s="1"/>
  <c r="F746" i="1"/>
  <c r="E746" i="1"/>
  <c r="D746" i="1"/>
  <c r="H746" i="1" s="1"/>
  <c r="I746" i="1" s="1"/>
  <c r="J746" i="1" s="1"/>
  <c r="K746" i="1" s="1"/>
  <c r="L746" i="1" s="1"/>
  <c r="C746" i="1"/>
  <c r="B746" i="1"/>
  <c r="A746" i="1"/>
  <c r="W746" i="1" s="1"/>
  <c r="H745" i="1"/>
  <c r="I745" i="1" s="1"/>
  <c r="J745" i="1" s="1"/>
  <c r="K745" i="1" s="1"/>
  <c r="L745" i="1" s="1"/>
  <c r="M745" i="1" s="1"/>
  <c r="N745" i="1" s="1"/>
  <c r="O745" i="1" s="1"/>
  <c r="P745" i="1" s="1"/>
  <c r="Q745" i="1" s="1"/>
  <c r="R745" i="1" s="1"/>
  <c r="S745" i="1" s="1"/>
  <c r="T745" i="1" s="1"/>
  <c r="U745" i="1" s="1"/>
  <c r="V745" i="1" s="1"/>
  <c r="F745" i="1"/>
  <c r="E745" i="1"/>
  <c r="D745" i="1"/>
  <c r="C745" i="1"/>
  <c r="B745" i="1"/>
  <c r="A745" i="1"/>
  <c r="W745" i="1" s="1"/>
  <c r="W744" i="1"/>
  <c r="O744" i="1"/>
  <c r="P744" i="1" s="1"/>
  <c r="Q744" i="1" s="1"/>
  <c r="R744" i="1" s="1"/>
  <c r="S744" i="1" s="1"/>
  <c r="T744" i="1" s="1"/>
  <c r="U744" i="1" s="1"/>
  <c r="V744" i="1" s="1"/>
  <c r="F744" i="1"/>
  <c r="E744" i="1"/>
  <c r="D744" i="1"/>
  <c r="H744" i="1" s="1"/>
  <c r="I744" i="1" s="1"/>
  <c r="J744" i="1" s="1"/>
  <c r="K744" i="1" s="1"/>
  <c r="L744" i="1" s="1"/>
  <c r="M744" i="1" s="1"/>
  <c r="N744" i="1" s="1"/>
  <c r="C744" i="1"/>
  <c r="B744" i="1"/>
  <c r="A744" i="1"/>
  <c r="P743" i="1"/>
  <c r="Q743" i="1" s="1"/>
  <c r="R743" i="1" s="1"/>
  <c r="S743" i="1" s="1"/>
  <c r="T743" i="1" s="1"/>
  <c r="U743" i="1" s="1"/>
  <c r="V743" i="1" s="1"/>
  <c r="F743" i="1"/>
  <c r="E743" i="1"/>
  <c r="D743" i="1"/>
  <c r="H743" i="1" s="1"/>
  <c r="I743" i="1" s="1"/>
  <c r="J743" i="1" s="1"/>
  <c r="K743" i="1" s="1"/>
  <c r="L743" i="1" s="1"/>
  <c r="M743" i="1" s="1"/>
  <c r="N743" i="1" s="1"/>
  <c r="O743" i="1" s="1"/>
  <c r="C743" i="1"/>
  <c r="B743" i="1"/>
  <c r="W743" i="1" s="1"/>
  <c r="A743" i="1"/>
  <c r="I742" i="1"/>
  <c r="J742" i="1" s="1"/>
  <c r="K742" i="1" s="1"/>
  <c r="L742" i="1" s="1"/>
  <c r="M742" i="1" s="1"/>
  <c r="N742" i="1" s="1"/>
  <c r="O742" i="1" s="1"/>
  <c r="P742" i="1" s="1"/>
  <c r="Q742" i="1" s="1"/>
  <c r="R742" i="1" s="1"/>
  <c r="S742" i="1" s="1"/>
  <c r="T742" i="1" s="1"/>
  <c r="U742" i="1" s="1"/>
  <c r="V742" i="1" s="1"/>
  <c r="F742" i="1"/>
  <c r="E742" i="1"/>
  <c r="D742" i="1"/>
  <c r="H742" i="1" s="1"/>
  <c r="C742" i="1"/>
  <c r="B742" i="1"/>
  <c r="A742" i="1"/>
  <c r="H741" i="1"/>
  <c r="I741" i="1" s="1"/>
  <c r="J741" i="1" s="1"/>
  <c r="K741" i="1" s="1"/>
  <c r="L741" i="1" s="1"/>
  <c r="M741" i="1" s="1"/>
  <c r="N741" i="1" s="1"/>
  <c r="O741" i="1" s="1"/>
  <c r="P741" i="1" s="1"/>
  <c r="Q741" i="1" s="1"/>
  <c r="R741" i="1" s="1"/>
  <c r="S741" i="1" s="1"/>
  <c r="T741" i="1" s="1"/>
  <c r="U741" i="1" s="1"/>
  <c r="V741" i="1" s="1"/>
  <c r="F741" i="1"/>
  <c r="E741" i="1"/>
  <c r="D741" i="1"/>
  <c r="C741" i="1"/>
  <c r="B741" i="1"/>
  <c r="A741" i="1"/>
  <c r="W741" i="1" s="1"/>
  <c r="F740" i="1"/>
  <c r="E740" i="1"/>
  <c r="D740" i="1"/>
  <c r="H740" i="1" s="1"/>
  <c r="I740" i="1" s="1"/>
  <c r="J740" i="1" s="1"/>
  <c r="K740" i="1" s="1"/>
  <c r="L740" i="1" s="1"/>
  <c r="M740" i="1" s="1"/>
  <c r="N740" i="1" s="1"/>
  <c r="O740" i="1" s="1"/>
  <c r="P740" i="1" s="1"/>
  <c r="Q740" i="1" s="1"/>
  <c r="R740" i="1" s="1"/>
  <c r="S740" i="1" s="1"/>
  <c r="T740" i="1" s="1"/>
  <c r="U740" i="1" s="1"/>
  <c r="V740" i="1" s="1"/>
  <c r="C740" i="1"/>
  <c r="B740" i="1"/>
  <c r="A740" i="1"/>
  <c r="W740" i="1" s="1"/>
  <c r="I739" i="1"/>
  <c r="J739" i="1" s="1"/>
  <c r="K739" i="1" s="1"/>
  <c r="L739" i="1" s="1"/>
  <c r="M739" i="1" s="1"/>
  <c r="N739" i="1" s="1"/>
  <c r="O739" i="1" s="1"/>
  <c r="P739" i="1" s="1"/>
  <c r="Q739" i="1" s="1"/>
  <c r="R739" i="1" s="1"/>
  <c r="S739" i="1" s="1"/>
  <c r="T739" i="1" s="1"/>
  <c r="U739" i="1" s="1"/>
  <c r="V739" i="1" s="1"/>
  <c r="H739" i="1"/>
  <c r="F739" i="1"/>
  <c r="E739" i="1"/>
  <c r="D739" i="1"/>
  <c r="C739" i="1"/>
  <c r="B739" i="1"/>
  <c r="W739" i="1" s="1"/>
  <c r="A739" i="1"/>
  <c r="I738" i="1"/>
  <c r="J738" i="1" s="1"/>
  <c r="K738" i="1" s="1"/>
  <c r="L738" i="1" s="1"/>
  <c r="M738" i="1" s="1"/>
  <c r="N738" i="1" s="1"/>
  <c r="O738" i="1" s="1"/>
  <c r="P738" i="1" s="1"/>
  <c r="Q738" i="1" s="1"/>
  <c r="R738" i="1" s="1"/>
  <c r="S738" i="1" s="1"/>
  <c r="T738" i="1" s="1"/>
  <c r="U738" i="1" s="1"/>
  <c r="V738" i="1" s="1"/>
  <c r="F738" i="1"/>
  <c r="E738" i="1"/>
  <c r="D738" i="1"/>
  <c r="H738" i="1" s="1"/>
  <c r="C738" i="1"/>
  <c r="B738" i="1"/>
  <c r="A738" i="1"/>
  <c r="W738" i="1" s="1"/>
  <c r="W737" i="1"/>
  <c r="P737" i="1"/>
  <c r="Q737" i="1" s="1"/>
  <c r="R737" i="1" s="1"/>
  <c r="S737" i="1" s="1"/>
  <c r="T737" i="1" s="1"/>
  <c r="U737" i="1" s="1"/>
  <c r="V737" i="1" s="1"/>
  <c r="H737" i="1"/>
  <c r="I737" i="1" s="1"/>
  <c r="J737" i="1" s="1"/>
  <c r="K737" i="1" s="1"/>
  <c r="L737" i="1" s="1"/>
  <c r="M737" i="1" s="1"/>
  <c r="N737" i="1" s="1"/>
  <c r="O737" i="1" s="1"/>
  <c r="F737" i="1"/>
  <c r="E737" i="1"/>
  <c r="D737" i="1"/>
  <c r="C737" i="1"/>
  <c r="B737" i="1"/>
  <c r="A737" i="1"/>
  <c r="M736" i="1"/>
  <c r="N736" i="1" s="1"/>
  <c r="O736" i="1" s="1"/>
  <c r="P736" i="1" s="1"/>
  <c r="Q736" i="1" s="1"/>
  <c r="R736" i="1" s="1"/>
  <c r="S736" i="1" s="1"/>
  <c r="T736" i="1" s="1"/>
  <c r="U736" i="1" s="1"/>
  <c r="V736" i="1" s="1"/>
  <c r="F736" i="1"/>
  <c r="E736" i="1"/>
  <c r="D736" i="1"/>
  <c r="H736" i="1" s="1"/>
  <c r="I736" i="1" s="1"/>
  <c r="J736" i="1" s="1"/>
  <c r="K736" i="1" s="1"/>
  <c r="L736" i="1" s="1"/>
  <c r="C736" i="1"/>
  <c r="B736" i="1"/>
  <c r="A736" i="1"/>
  <c r="W736" i="1" s="1"/>
  <c r="L735" i="1"/>
  <c r="M735" i="1" s="1"/>
  <c r="N735" i="1" s="1"/>
  <c r="O735" i="1" s="1"/>
  <c r="P735" i="1" s="1"/>
  <c r="Q735" i="1" s="1"/>
  <c r="R735" i="1" s="1"/>
  <c r="S735" i="1" s="1"/>
  <c r="T735" i="1" s="1"/>
  <c r="U735" i="1" s="1"/>
  <c r="V735" i="1" s="1"/>
  <c r="K735" i="1"/>
  <c r="F735" i="1"/>
  <c r="E735" i="1"/>
  <c r="D735" i="1"/>
  <c r="H735" i="1" s="1"/>
  <c r="I735" i="1" s="1"/>
  <c r="J735" i="1" s="1"/>
  <c r="C735" i="1"/>
  <c r="B735" i="1"/>
  <c r="W735" i="1" s="1"/>
  <c r="A735" i="1"/>
  <c r="R734" i="1"/>
  <c r="S734" i="1" s="1"/>
  <c r="T734" i="1" s="1"/>
  <c r="U734" i="1" s="1"/>
  <c r="V734" i="1" s="1"/>
  <c r="I734" i="1"/>
  <c r="J734" i="1" s="1"/>
  <c r="K734" i="1" s="1"/>
  <c r="L734" i="1" s="1"/>
  <c r="M734" i="1" s="1"/>
  <c r="N734" i="1" s="1"/>
  <c r="O734" i="1" s="1"/>
  <c r="P734" i="1" s="1"/>
  <c r="Q734" i="1" s="1"/>
  <c r="F734" i="1"/>
  <c r="E734" i="1"/>
  <c r="D734" i="1"/>
  <c r="H734" i="1" s="1"/>
  <c r="C734" i="1"/>
  <c r="B734" i="1"/>
  <c r="A734" i="1"/>
  <c r="W734" i="1" s="1"/>
  <c r="W733" i="1"/>
  <c r="P733" i="1"/>
  <c r="Q733" i="1" s="1"/>
  <c r="R733" i="1" s="1"/>
  <c r="S733" i="1" s="1"/>
  <c r="T733" i="1" s="1"/>
  <c r="U733" i="1" s="1"/>
  <c r="V733" i="1" s="1"/>
  <c r="H733" i="1"/>
  <c r="I733" i="1" s="1"/>
  <c r="J733" i="1" s="1"/>
  <c r="K733" i="1" s="1"/>
  <c r="L733" i="1" s="1"/>
  <c r="M733" i="1" s="1"/>
  <c r="N733" i="1" s="1"/>
  <c r="O733" i="1" s="1"/>
  <c r="F733" i="1"/>
  <c r="E733" i="1"/>
  <c r="D733" i="1"/>
  <c r="C733" i="1"/>
  <c r="B733" i="1"/>
  <c r="A733" i="1"/>
  <c r="M732" i="1"/>
  <c r="N732" i="1" s="1"/>
  <c r="O732" i="1" s="1"/>
  <c r="P732" i="1" s="1"/>
  <c r="Q732" i="1" s="1"/>
  <c r="R732" i="1" s="1"/>
  <c r="S732" i="1" s="1"/>
  <c r="T732" i="1" s="1"/>
  <c r="U732" i="1" s="1"/>
  <c r="V732" i="1" s="1"/>
  <c r="F732" i="1"/>
  <c r="E732" i="1"/>
  <c r="D732" i="1"/>
  <c r="H732" i="1" s="1"/>
  <c r="I732" i="1" s="1"/>
  <c r="J732" i="1" s="1"/>
  <c r="K732" i="1" s="1"/>
  <c r="L732" i="1" s="1"/>
  <c r="C732" i="1"/>
  <c r="B732" i="1"/>
  <c r="A732" i="1"/>
  <c r="W732" i="1" s="1"/>
  <c r="S731" i="1"/>
  <c r="T731" i="1" s="1"/>
  <c r="U731" i="1" s="1"/>
  <c r="V731" i="1" s="1"/>
  <c r="L731" i="1"/>
  <c r="M731" i="1" s="1"/>
  <c r="N731" i="1" s="1"/>
  <c r="O731" i="1" s="1"/>
  <c r="P731" i="1" s="1"/>
  <c r="Q731" i="1" s="1"/>
  <c r="R731" i="1" s="1"/>
  <c r="K731" i="1"/>
  <c r="F731" i="1"/>
  <c r="E731" i="1"/>
  <c r="D731" i="1"/>
  <c r="H731" i="1" s="1"/>
  <c r="I731" i="1" s="1"/>
  <c r="J731" i="1" s="1"/>
  <c r="C731" i="1"/>
  <c r="B731" i="1"/>
  <c r="W731" i="1" s="1"/>
  <c r="A731" i="1"/>
  <c r="R730" i="1"/>
  <c r="S730" i="1" s="1"/>
  <c r="T730" i="1" s="1"/>
  <c r="U730" i="1" s="1"/>
  <c r="V730" i="1" s="1"/>
  <c r="I730" i="1"/>
  <c r="J730" i="1" s="1"/>
  <c r="K730" i="1" s="1"/>
  <c r="L730" i="1" s="1"/>
  <c r="M730" i="1" s="1"/>
  <c r="N730" i="1" s="1"/>
  <c r="O730" i="1" s="1"/>
  <c r="P730" i="1" s="1"/>
  <c r="Q730" i="1" s="1"/>
  <c r="F730" i="1"/>
  <c r="E730" i="1"/>
  <c r="D730" i="1"/>
  <c r="H730" i="1" s="1"/>
  <c r="C730" i="1"/>
  <c r="B730" i="1"/>
  <c r="A730" i="1"/>
  <c r="W730" i="1" s="1"/>
  <c r="W729" i="1"/>
  <c r="P729" i="1"/>
  <c r="Q729" i="1" s="1"/>
  <c r="R729" i="1" s="1"/>
  <c r="S729" i="1" s="1"/>
  <c r="T729" i="1" s="1"/>
  <c r="U729" i="1" s="1"/>
  <c r="V729" i="1" s="1"/>
  <c r="H729" i="1"/>
  <c r="I729" i="1" s="1"/>
  <c r="J729" i="1" s="1"/>
  <c r="K729" i="1" s="1"/>
  <c r="L729" i="1" s="1"/>
  <c r="M729" i="1" s="1"/>
  <c r="N729" i="1" s="1"/>
  <c r="O729" i="1" s="1"/>
  <c r="F729" i="1"/>
  <c r="E729" i="1"/>
  <c r="D729" i="1"/>
  <c r="C729" i="1"/>
  <c r="B729" i="1"/>
  <c r="A729" i="1"/>
  <c r="M728" i="1"/>
  <c r="N728" i="1" s="1"/>
  <c r="O728" i="1" s="1"/>
  <c r="P728" i="1" s="1"/>
  <c r="Q728" i="1" s="1"/>
  <c r="R728" i="1" s="1"/>
  <c r="S728" i="1" s="1"/>
  <c r="T728" i="1" s="1"/>
  <c r="U728" i="1" s="1"/>
  <c r="V728" i="1" s="1"/>
  <c r="F728" i="1"/>
  <c r="E728" i="1"/>
  <c r="D728" i="1"/>
  <c r="H728" i="1" s="1"/>
  <c r="I728" i="1" s="1"/>
  <c r="J728" i="1" s="1"/>
  <c r="K728" i="1" s="1"/>
  <c r="L728" i="1" s="1"/>
  <c r="C728" i="1"/>
  <c r="B728" i="1"/>
  <c r="A728" i="1"/>
  <c r="W728" i="1" s="1"/>
  <c r="S727" i="1"/>
  <c r="T727" i="1" s="1"/>
  <c r="U727" i="1" s="1"/>
  <c r="V727" i="1" s="1"/>
  <c r="Q727" i="1"/>
  <c r="R727" i="1" s="1"/>
  <c r="I727" i="1"/>
  <c r="J727" i="1" s="1"/>
  <c r="K727" i="1" s="1"/>
  <c r="L727" i="1" s="1"/>
  <c r="M727" i="1" s="1"/>
  <c r="N727" i="1" s="1"/>
  <c r="O727" i="1" s="1"/>
  <c r="P727" i="1" s="1"/>
  <c r="F727" i="1"/>
  <c r="E727" i="1"/>
  <c r="D727" i="1"/>
  <c r="H727" i="1" s="1"/>
  <c r="C727" i="1"/>
  <c r="B727" i="1"/>
  <c r="W727" i="1" s="1"/>
  <c r="A727" i="1"/>
  <c r="R726" i="1"/>
  <c r="S726" i="1" s="1"/>
  <c r="T726" i="1" s="1"/>
  <c r="U726" i="1" s="1"/>
  <c r="V726" i="1" s="1"/>
  <c r="I726" i="1"/>
  <c r="J726" i="1" s="1"/>
  <c r="K726" i="1" s="1"/>
  <c r="L726" i="1" s="1"/>
  <c r="M726" i="1" s="1"/>
  <c r="N726" i="1" s="1"/>
  <c r="O726" i="1" s="1"/>
  <c r="P726" i="1" s="1"/>
  <c r="Q726" i="1" s="1"/>
  <c r="F726" i="1"/>
  <c r="E726" i="1"/>
  <c r="D726" i="1"/>
  <c r="H726" i="1" s="1"/>
  <c r="C726" i="1"/>
  <c r="B726" i="1"/>
  <c r="A726" i="1"/>
  <c r="W726" i="1" s="1"/>
  <c r="W725" i="1"/>
  <c r="H725" i="1"/>
  <c r="I725" i="1" s="1"/>
  <c r="J725" i="1" s="1"/>
  <c r="K725" i="1" s="1"/>
  <c r="L725" i="1" s="1"/>
  <c r="M725" i="1" s="1"/>
  <c r="N725" i="1" s="1"/>
  <c r="O725" i="1" s="1"/>
  <c r="P725" i="1" s="1"/>
  <c r="Q725" i="1" s="1"/>
  <c r="R725" i="1" s="1"/>
  <c r="S725" i="1" s="1"/>
  <c r="T725" i="1" s="1"/>
  <c r="U725" i="1" s="1"/>
  <c r="V725" i="1" s="1"/>
  <c r="F725" i="1"/>
  <c r="E725" i="1"/>
  <c r="D725" i="1"/>
  <c r="C725" i="1"/>
  <c r="B725" i="1"/>
  <c r="A725" i="1"/>
  <c r="N724" i="1"/>
  <c r="O724" i="1" s="1"/>
  <c r="P724" i="1" s="1"/>
  <c r="Q724" i="1" s="1"/>
  <c r="R724" i="1" s="1"/>
  <c r="S724" i="1" s="1"/>
  <c r="T724" i="1" s="1"/>
  <c r="U724" i="1" s="1"/>
  <c r="V724" i="1" s="1"/>
  <c r="K724" i="1"/>
  <c r="L724" i="1" s="1"/>
  <c r="M724" i="1" s="1"/>
  <c r="F724" i="1"/>
  <c r="E724" i="1"/>
  <c r="D724" i="1"/>
  <c r="H724" i="1" s="1"/>
  <c r="I724" i="1" s="1"/>
  <c r="J724" i="1" s="1"/>
  <c r="C724" i="1"/>
  <c r="B724" i="1"/>
  <c r="A724" i="1"/>
  <c r="W724" i="1" s="1"/>
  <c r="I723" i="1"/>
  <c r="J723" i="1" s="1"/>
  <c r="K723" i="1" s="1"/>
  <c r="L723" i="1" s="1"/>
  <c r="M723" i="1" s="1"/>
  <c r="N723" i="1" s="1"/>
  <c r="O723" i="1" s="1"/>
  <c r="P723" i="1" s="1"/>
  <c r="Q723" i="1" s="1"/>
  <c r="R723" i="1" s="1"/>
  <c r="S723" i="1" s="1"/>
  <c r="T723" i="1" s="1"/>
  <c r="U723" i="1" s="1"/>
  <c r="V723" i="1" s="1"/>
  <c r="F723" i="1"/>
  <c r="E723" i="1"/>
  <c r="D723" i="1"/>
  <c r="H723" i="1" s="1"/>
  <c r="C723" i="1"/>
  <c r="B723" i="1"/>
  <c r="W723" i="1" s="1"/>
  <c r="A723" i="1"/>
  <c r="I722" i="1"/>
  <c r="J722" i="1" s="1"/>
  <c r="K722" i="1" s="1"/>
  <c r="L722" i="1" s="1"/>
  <c r="M722" i="1" s="1"/>
  <c r="N722" i="1" s="1"/>
  <c r="O722" i="1" s="1"/>
  <c r="P722" i="1" s="1"/>
  <c r="Q722" i="1" s="1"/>
  <c r="R722" i="1" s="1"/>
  <c r="S722" i="1" s="1"/>
  <c r="T722" i="1" s="1"/>
  <c r="U722" i="1" s="1"/>
  <c r="V722" i="1" s="1"/>
  <c r="F722" i="1"/>
  <c r="E722" i="1"/>
  <c r="D722" i="1"/>
  <c r="H722" i="1" s="1"/>
  <c r="C722" i="1"/>
  <c r="B722" i="1"/>
  <c r="A722" i="1"/>
  <c r="W722" i="1" s="1"/>
  <c r="S721" i="1"/>
  <c r="T721" i="1" s="1"/>
  <c r="U721" i="1" s="1"/>
  <c r="V721" i="1" s="1"/>
  <c r="M721" i="1"/>
  <c r="N721" i="1" s="1"/>
  <c r="O721" i="1" s="1"/>
  <c r="P721" i="1" s="1"/>
  <c r="Q721" i="1" s="1"/>
  <c r="R721" i="1" s="1"/>
  <c r="H721" i="1"/>
  <c r="I721" i="1" s="1"/>
  <c r="J721" i="1" s="1"/>
  <c r="K721" i="1" s="1"/>
  <c r="L721" i="1" s="1"/>
  <c r="F721" i="1"/>
  <c r="E721" i="1"/>
  <c r="D721" i="1"/>
  <c r="C721" i="1"/>
  <c r="B721" i="1"/>
  <c r="W721" i="1" s="1"/>
  <c r="A721" i="1"/>
  <c r="U720" i="1"/>
  <c r="V720" i="1" s="1"/>
  <c r="Q720" i="1"/>
  <c r="R720" i="1" s="1"/>
  <c r="S720" i="1" s="1"/>
  <c r="T720" i="1" s="1"/>
  <c r="N720" i="1"/>
  <c r="O720" i="1" s="1"/>
  <c r="P720" i="1" s="1"/>
  <c r="I720" i="1"/>
  <c r="J720" i="1" s="1"/>
  <c r="K720" i="1" s="1"/>
  <c r="L720" i="1" s="1"/>
  <c r="M720" i="1" s="1"/>
  <c r="F720" i="1"/>
  <c r="E720" i="1"/>
  <c r="D720" i="1"/>
  <c r="H720" i="1" s="1"/>
  <c r="C720" i="1"/>
  <c r="B720" i="1"/>
  <c r="A720" i="1"/>
  <c r="L719" i="1"/>
  <c r="M719" i="1" s="1"/>
  <c r="N719" i="1" s="1"/>
  <c r="O719" i="1" s="1"/>
  <c r="P719" i="1" s="1"/>
  <c r="Q719" i="1" s="1"/>
  <c r="R719" i="1" s="1"/>
  <c r="S719" i="1" s="1"/>
  <c r="T719" i="1" s="1"/>
  <c r="U719" i="1" s="1"/>
  <c r="V719" i="1" s="1"/>
  <c r="K719" i="1"/>
  <c r="I719" i="1"/>
  <c r="J719" i="1" s="1"/>
  <c r="H719" i="1"/>
  <c r="F719" i="1"/>
  <c r="E719" i="1"/>
  <c r="D719" i="1"/>
  <c r="C719" i="1"/>
  <c r="B719" i="1"/>
  <c r="W719" i="1" s="1"/>
  <c r="A719" i="1"/>
  <c r="O718" i="1"/>
  <c r="P718" i="1" s="1"/>
  <c r="Q718" i="1" s="1"/>
  <c r="R718" i="1" s="1"/>
  <c r="S718" i="1" s="1"/>
  <c r="T718" i="1" s="1"/>
  <c r="U718" i="1" s="1"/>
  <c r="V718" i="1" s="1"/>
  <c r="J718" i="1"/>
  <c r="K718" i="1" s="1"/>
  <c r="L718" i="1" s="1"/>
  <c r="M718" i="1" s="1"/>
  <c r="N718" i="1" s="1"/>
  <c r="I718" i="1"/>
  <c r="F718" i="1"/>
  <c r="E718" i="1"/>
  <c r="D718" i="1"/>
  <c r="H718" i="1" s="1"/>
  <c r="C718" i="1"/>
  <c r="B718" i="1"/>
  <c r="A718" i="1"/>
  <c r="W718" i="1" s="1"/>
  <c r="W717" i="1"/>
  <c r="F717" i="1"/>
  <c r="E717" i="1"/>
  <c r="D717" i="1"/>
  <c r="H717" i="1" s="1"/>
  <c r="I717" i="1" s="1"/>
  <c r="J717" i="1" s="1"/>
  <c r="K717" i="1" s="1"/>
  <c r="L717" i="1" s="1"/>
  <c r="M717" i="1" s="1"/>
  <c r="N717" i="1" s="1"/>
  <c r="O717" i="1" s="1"/>
  <c r="P717" i="1" s="1"/>
  <c r="Q717" i="1" s="1"/>
  <c r="R717" i="1" s="1"/>
  <c r="S717" i="1" s="1"/>
  <c r="T717" i="1" s="1"/>
  <c r="U717" i="1" s="1"/>
  <c r="V717" i="1" s="1"/>
  <c r="C717" i="1"/>
  <c r="B717" i="1"/>
  <c r="A717" i="1"/>
  <c r="O716" i="1"/>
  <c r="P716" i="1" s="1"/>
  <c r="Q716" i="1" s="1"/>
  <c r="R716" i="1" s="1"/>
  <c r="S716" i="1" s="1"/>
  <c r="T716" i="1" s="1"/>
  <c r="U716" i="1" s="1"/>
  <c r="V716" i="1" s="1"/>
  <c r="M716" i="1"/>
  <c r="N716" i="1" s="1"/>
  <c r="L716" i="1"/>
  <c r="I716" i="1"/>
  <c r="J716" i="1" s="1"/>
  <c r="K716" i="1" s="1"/>
  <c r="F716" i="1"/>
  <c r="E716" i="1"/>
  <c r="D716" i="1"/>
  <c r="H716" i="1" s="1"/>
  <c r="C716" i="1"/>
  <c r="B716" i="1"/>
  <c r="A716" i="1"/>
  <c r="W716" i="1" s="1"/>
  <c r="W715" i="1"/>
  <c r="K715" i="1"/>
  <c r="L715" i="1" s="1"/>
  <c r="M715" i="1" s="1"/>
  <c r="N715" i="1" s="1"/>
  <c r="O715" i="1" s="1"/>
  <c r="P715" i="1" s="1"/>
  <c r="Q715" i="1" s="1"/>
  <c r="R715" i="1" s="1"/>
  <c r="S715" i="1" s="1"/>
  <c r="T715" i="1" s="1"/>
  <c r="U715" i="1" s="1"/>
  <c r="V715" i="1" s="1"/>
  <c r="J715" i="1"/>
  <c r="F715" i="1"/>
  <c r="E715" i="1"/>
  <c r="D715" i="1"/>
  <c r="H715" i="1" s="1"/>
  <c r="I715" i="1" s="1"/>
  <c r="C715" i="1"/>
  <c r="B715" i="1"/>
  <c r="A715" i="1"/>
  <c r="F714" i="1"/>
  <c r="E714" i="1"/>
  <c r="D714" i="1"/>
  <c r="H714" i="1" s="1"/>
  <c r="I714" i="1" s="1"/>
  <c r="J714" i="1" s="1"/>
  <c r="K714" i="1" s="1"/>
  <c r="L714" i="1" s="1"/>
  <c r="M714" i="1" s="1"/>
  <c r="N714" i="1" s="1"/>
  <c r="O714" i="1" s="1"/>
  <c r="P714" i="1" s="1"/>
  <c r="Q714" i="1" s="1"/>
  <c r="R714" i="1" s="1"/>
  <c r="S714" i="1" s="1"/>
  <c r="T714" i="1" s="1"/>
  <c r="U714" i="1" s="1"/>
  <c r="V714" i="1" s="1"/>
  <c r="C714" i="1"/>
  <c r="B714" i="1"/>
  <c r="A714" i="1"/>
  <c r="W714" i="1" s="1"/>
  <c r="S713" i="1"/>
  <c r="T713" i="1" s="1"/>
  <c r="U713" i="1" s="1"/>
  <c r="V713" i="1" s="1"/>
  <c r="Q713" i="1"/>
  <c r="R713" i="1" s="1"/>
  <c r="I713" i="1"/>
  <c r="J713" i="1" s="1"/>
  <c r="K713" i="1" s="1"/>
  <c r="L713" i="1" s="1"/>
  <c r="M713" i="1" s="1"/>
  <c r="N713" i="1" s="1"/>
  <c r="O713" i="1" s="1"/>
  <c r="P713" i="1" s="1"/>
  <c r="H713" i="1"/>
  <c r="F713" i="1"/>
  <c r="E713" i="1"/>
  <c r="D713" i="1"/>
  <c r="C713" i="1"/>
  <c r="B713" i="1"/>
  <c r="W713" i="1" s="1"/>
  <c r="A713" i="1"/>
  <c r="W712" i="1"/>
  <c r="O712" i="1"/>
  <c r="P712" i="1" s="1"/>
  <c r="Q712" i="1" s="1"/>
  <c r="R712" i="1" s="1"/>
  <c r="S712" i="1" s="1"/>
  <c r="T712" i="1" s="1"/>
  <c r="U712" i="1" s="1"/>
  <c r="V712" i="1" s="1"/>
  <c r="F712" i="1"/>
  <c r="E712" i="1"/>
  <c r="D712" i="1"/>
  <c r="H712" i="1" s="1"/>
  <c r="I712" i="1" s="1"/>
  <c r="J712" i="1" s="1"/>
  <c r="K712" i="1" s="1"/>
  <c r="L712" i="1" s="1"/>
  <c r="M712" i="1" s="1"/>
  <c r="N712" i="1" s="1"/>
  <c r="C712" i="1"/>
  <c r="B712" i="1"/>
  <c r="A712" i="1"/>
  <c r="K711" i="1"/>
  <c r="L711" i="1" s="1"/>
  <c r="M711" i="1" s="1"/>
  <c r="N711" i="1" s="1"/>
  <c r="O711" i="1" s="1"/>
  <c r="P711" i="1" s="1"/>
  <c r="Q711" i="1" s="1"/>
  <c r="R711" i="1" s="1"/>
  <c r="S711" i="1" s="1"/>
  <c r="T711" i="1" s="1"/>
  <c r="U711" i="1" s="1"/>
  <c r="V711" i="1" s="1"/>
  <c r="J711" i="1"/>
  <c r="F711" i="1"/>
  <c r="E711" i="1"/>
  <c r="D711" i="1"/>
  <c r="H711" i="1" s="1"/>
  <c r="I711" i="1" s="1"/>
  <c r="C711" i="1"/>
  <c r="B711" i="1"/>
  <c r="A711" i="1"/>
  <c r="W711" i="1" s="1"/>
  <c r="U710" i="1"/>
  <c r="V710" i="1" s="1"/>
  <c r="H710" i="1"/>
  <c r="I710" i="1" s="1"/>
  <c r="J710" i="1" s="1"/>
  <c r="K710" i="1" s="1"/>
  <c r="L710" i="1" s="1"/>
  <c r="M710" i="1" s="1"/>
  <c r="N710" i="1" s="1"/>
  <c r="O710" i="1" s="1"/>
  <c r="P710" i="1" s="1"/>
  <c r="Q710" i="1" s="1"/>
  <c r="R710" i="1" s="1"/>
  <c r="S710" i="1" s="1"/>
  <c r="T710" i="1" s="1"/>
  <c r="F710" i="1"/>
  <c r="E710" i="1"/>
  <c r="D710" i="1"/>
  <c r="C710" i="1"/>
  <c r="B710" i="1"/>
  <c r="A710" i="1"/>
  <c r="W709" i="1"/>
  <c r="K709" i="1"/>
  <c r="L709" i="1" s="1"/>
  <c r="M709" i="1" s="1"/>
  <c r="N709" i="1" s="1"/>
  <c r="O709" i="1" s="1"/>
  <c r="P709" i="1" s="1"/>
  <c r="Q709" i="1" s="1"/>
  <c r="R709" i="1" s="1"/>
  <c r="S709" i="1" s="1"/>
  <c r="T709" i="1" s="1"/>
  <c r="U709" i="1" s="1"/>
  <c r="V709" i="1" s="1"/>
  <c r="I709" i="1"/>
  <c r="J709" i="1" s="1"/>
  <c r="H709" i="1"/>
  <c r="F709" i="1"/>
  <c r="E709" i="1"/>
  <c r="D709" i="1"/>
  <c r="C709" i="1"/>
  <c r="B709" i="1"/>
  <c r="A709" i="1"/>
  <c r="W708" i="1"/>
  <c r="F708" i="1"/>
  <c r="E708" i="1"/>
  <c r="D708" i="1"/>
  <c r="H708" i="1" s="1"/>
  <c r="I708" i="1" s="1"/>
  <c r="J708" i="1" s="1"/>
  <c r="K708" i="1" s="1"/>
  <c r="L708" i="1" s="1"/>
  <c r="M708" i="1" s="1"/>
  <c r="N708" i="1" s="1"/>
  <c r="O708" i="1" s="1"/>
  <c r="P708" i="1" s="1"/>
  <c r="Q708" i="1" s="1"/>
  <c r="R708" i="1" s="1"/>
  <c r="S708" i="1" s="1"/>
  <c r="T708" i="1" s="1"/>
  <c r="U708" i="1" s="1"/>
  <c r="V708" i="1" s="1"/>
  <c r="C708" i="1"/>
  <c r="B708" i="1"/>
  <c r="A708" i="1"/>
  <c r="O707" i="1"/>
  <c r="P707" i="1" s="1"/>
  <c r="Q707" i="1" s="1"/>
  <c r="R707" i="1" s="1"/>
  <c r="S707" i="1" s="1"/>
  <c r="T707" i="1" s="1"/>
  <c r="U707" i="1" s="1"/>
  <c r="V707" i="1" s="1"/>
  <c r="M707" i="1"/>
  <c r="N707" i="1" s="1"/>
  <c r="K707" i="1"/>
  <c r="L707" i="1" s="1"/>
  <c r="J707" i="1"/>
  <c r="F707" i="1"/>
  <c r="E707" i="1"/>
  <c r="D707" i="1"/>
  <c r="H707" i="1" s="1"/>
  <c r="I707" i="1" s="1"/>
  <c r="C707" i="1"/>
  <c r="B707" i="1"/>
  <c r="A707" i="1"/>
  <c r="H706" i="1"/>
  <c r="I706" i="1" s="1"/>
  <c r="J706" i="1" s="1"/>
  <c r="K706" i="1" s="1"/>
  <c r="L706" i="1" s="1"/>
  <c r="M706" i="1" s="1"/>
  <c r="N706" i="1" s="1"/>
  <c r="O706" i="1" s="1"/>
  <c r="P706" i="1" s="1"/>
  <c r="Q706" i="1" s="1"/>
  <c r="R706" i="1" s="1"/>
  <c r="S706" i="1" s="1"/>
  <c r="T706" i="1" s="1"/>
  <c r="U706" i="1" s="1"/>
  <c r="V706" i="1" s="1"/>
  <c r="F706" i="1"/>
  <c r="E706" i="1"/>
  <c r="D706" i="1"/>
  <c r="C706" i="1"/>
  <c r="B706" i="1"/>
  <c r="A706" i="1"/>
  <c r="W706" i="1" s="1"/>
  <c r="W705" i="1"/>
  <c r="V705" i="1"/>
  <c r="I705" i="1"/>
  <c r="J705" i="1" s="1"/>
  <c r="K705" i="1" s="1"/>
  <c r="L705" i="1" s="1"/>
  <c r="M705" i="1" s="1"/>
  <c r="N705" i="1" s="1"/>
  <c r="O705" i="1" s="1"/>
  <c r="P705" i="1" s="1"/>
  <c r="Q705" i="1" s="1"/>
  <c r="R705" i="1" s="1"/>
  <c r="S705" i="1" s="1"/>
  <c r="T705" i="1" s="1"/>
  <c r="U705" i="1" s="1"/>
  <c r="H705" i="1"/>
  <c r="F705" i="1"/>
  <c r="E705" i="1"/>
  <c r="D705" i="1"/>
  <c r="C705" i="1"/>
  <c r="B705" i="1"/>
  <c r="A705" i="1"/>
  <c r="W704" i="1"/>
  <c r="F704" i="1"/>
  <c r="E704" i="1"/>
  <c r="D704" i="1"/>
  <c r="H704" i="1" s="1"/>
  <c r="I704" i="1" s="1"/>
  <c r="J704" i="1" s="1"/>
  <c r="K704" i="1" s="1"/>
  <c r="L704" i="1" s="1"/>
  <c r="M704" i="1" s="1"/>
  <c r="N704" i="1" s="1"/>
  <c r="O704" i="1" s="1"/>
  <c r="P704" i="1" s="1"/>
  <c r="Q704" i="1" s="1"/>
  <c r="R704" i="1" s="1"/>
  <c r="S704" i="1" s="1"/>
  <c r="T704" i="1" s="1"/>
  <c r="U704" i="1" s="1"/>
  <c r="V704" i="1" s="1"/>
  <c r="C704" i="1"/>
  <c r="B704" i="1"/>
  <c r="A704" i="1"/>
  <c r="F703" i="1"/>
  <c r="E703" i="1"/>
  <c r="D703" i="1"/>
  <c r="H703" i="1" s="1"/>
  <c r="I703" i="1" s="1"/>
  <c r="J703" i="1" s="1"/>
  <c r="K703" i="1" s="1"/>
  <c r="L703" i="1" s="1"/>
  <c r="M703" i="1" s="1"/>
  <c r="N703" i="1" s="1"/>
  <c r="O703" i="1" s="1"/>
  <c r="P703" i="1" s="1"/>
  <c r="Q703" i="1" s="1"/>
  <c r="R703" i="1" s="1"/>
  <c r="S703" i="1" s="1"/>
  <c r="T703" i="1" s="1"/>
  <c r="U703" i="1" s="1"/>
  <c r="V703" i="1" s="1"/>
  <c r="C703" i="1"/>
  <c r="B703" i="1"/>
  <c r="A703" i="1"/>
  <c r="I702" i="1"/>
  <c r="J702" i="1" s="1"/>
  <c r="K702" i="1" s="1"/>
  <c r="L702" i="1" s="1"/>
  <c r="M702" i="1" s="1"/>
  <c r="N702" i="1" s="1"/>
  <c r="O702" i="1" s="1"/>
  <c r="P702" i="1" s="1"/>
  <c r="Q702" i="1" s="1"/>
  <c r="R702" i="1" s="1"/>
  <c r="S702" i="1" s="1"/>
  <c r="T702" i="1" s="1"/>
  <c r="U702" i="1" s="1"/>
  <c r="V702" i="1" s="1"/>
  <c r="H702" i="1"/>
  <c r="F702" i="1"/>
  <c r="E702" i="1"/>
  <c r="D702" i="1"/>
  <c r="C702" i="1"/>
  <c r="B702" i="1"/>
  <c r="A702" i="1"/>
  <c r="W702" i="1" s="1"/>
  <c r="W701" i="1"/>
  <c r="I701" i="1"/>
  <c r="J701" i="1" s="1"/>
  <c r="K701" i="1" s="1"/>
  <c r="L701" i="1" s="1"/>
  <c r="M701" i="1" s="1"/>
  <c r="N701" i="1" s="1"/>
  <c r="O701" i="1" s="1"/>
  <c r="P701" i="1" s="1"/>
  <c r="Q701" i="1" s="1"/>
  <c r="R701" i="1" s="1"/>
  <c r="S701" i="1" s="1"/>
  <c r="T701" i="1" s="1"/>
  <c r="U701" i="1" s="1"/>
  <c r="V701" i="1" s="1"/>
  <c r="H701" i="1"/>
  <c r="F701" i="1"/>
  <c r="E701" i="1"/>
  <c r="D701" i="1"/>
  <c r="C701" i="1"/>
  <c r="B701" i="1"/>
  <c r="A701" i="1"/>
  <c r="W700" i="1"/>
  <c r="F700" i="1"/>
  <c r="E700" i="1"/>
  <c r="D700" i="1"/>
  <c r="H700" i="1" s="1"/>
  <c r="I700" i="1" s="1"/>
  <c r="J700" i="1" s="1"/>
  <c r="K700" i="1" s="1"/>
  <c r="L700" i="1" s="1"/>
  <c r="M700" i="1" s="1"/>
  <c r="N700" i="1" s="1"/>
  <c r="O700" i="1" s="1"/>
  <c r="P700" i="1" s="1"/>
  <c r="Q700" i="1" s="1"/>
  <c r="R700" i="1" s="1"/>
  <c r="S700" i="1" s="1"/>
  <c r="T700" i="1" s="1"/>
  <c r="U700" i="1" s="1"/>
  <c r="V700" i="1" s="1"/>
  <c r="C700" i="1"/>
  <c r="B700" i="1"/>
  <c r="A700" i="1"/>
  <c r="F699" i="1"/>
  <c r="E699" i="1"/>
  <c r="D699" i="1"/>
  <c r="H699" i="1" s="1"/>
  <c r="I699" i="1" s="1"/>
  <c r="J699" i="1" s="1"/>
  <c r="K699" i="1" s="1"/>
  <c r="L699" i="1" s="1"/>
  <c r="M699" i="1" s="1"/>
  <c r="N699" i="1" s="1"/>
  <c r="O699" i="1" s="1"/>
  <c r="P699" i="1" s="1"/>
  <c r="Q699" i="1" s="1"/>
  <c r="R699" i="1" s="1"/>
  <c r="S699" i="1" s="1"/>
  <c r="T699" i="1" s="1"/>
  <c r="U699" i="1" s="1"/>
  <c r="V699" i="1" s="1"/>
  <c r="C699" i="1"/>
  <c r="B699" i="1"/>
  <c r="A699" i="1"/>
  <c r="W699" i="1" s="1"/>
  <c r="M698" i="1"/>
  <c r="N698" i="1" s="1"/>
  <c r="O698" i="1" s="1"/>
  <c r="P698" i="1" s="1"/>
  <c r="Q698" i="1" s="1"/>
  <c r="R698" i="1" s="1"/>
  <c r="S698" i="1" s="1"/>
  <c r="T698" i="1" s="1"/>
  <c r="U698" i="1" s="1"/>
  <c r="V698" i="1" s="1"/>
  <c r="K698" i="1"/>
  <c r="L698" i="1" s="1"/>
  <c r="I698" i="1"/>
  <c r="J698" i="1" s="1"/>
  <c r="H698" i="1"/>
  <c r="F698" i="1"/>
  <c r="E698" i="1"/>
  <c r="D698" i="1"/>
  <c r="C698" i="1"/>
  <c r="B698" i="1"/>
  <c r="A698" i="1"/>
  <c r="W697" i="1"/>
  <c r="I697" i="1"/>
  <c r="J697" i="1" s="1"/>
  <c r="K697" i="1" s="1"/>
  <c r="L697" i="1" s="1"/>
  <c r="M697" i="1" s="1"/>
  <c r="N697" i="1" s="1"/>
  <c r="O697" i="1" s="1"/>
  <c r="P697" i="1" s="1"/>
  <c r="Q697" i="1" s="1"/>
  <c r="R697" i="1" s="1"/>
  <c r="S697" i="1" s="1"/>
  <c r="T697" i="1" s="1"/>
  <c r="U697" i="1" s="1"/>
  <c r="V697" i="1" s="1"/>
  <c r="H697" i="1"/>
  <c r="F697" i="1"/>
  <c r="E697" i="1"/>
  <c r="D697" i="1"/>
  <c r="C697" i="1"/>
  <c r="B697" i="1"/>
  <c r="A697" i="1"/>
  <c r="W696" i="1"/>
  <c r="I696" i="1"/>
  <c r="J696" i="1" s="1"/>
  <c r="K696" i="1" s="1"/>
  <c r="L696" i="1" s="1"/>
  <c r="M696" i="1" s="1"/>
  <c r="N696" i="1" s="1"/>
  <c r="O696" i="1" s="1"/>
  <c r="P696" i="1" s="1"/>
  <c r="Q696" i="1" s="1"/>
  <c r="R696" i="1" s="1"/>
  <c r="S696" i="1" s="1"/>
  <c r="T696" i="1" s="1"/>
  <c r="U696" i="1" s="1"/>
  <c r="V696" i="1" s="1"/>
  <c r="F696" i="1"/>
  <c r="E696" i="1"/>
  <c r="D696" i="1"/>
  <c r="H696" i="1" s="1"/>
  <c r="C696" i="1"/>
  <c r="B696" i="1"/>
  <c r="A696" i="1"/>
  <c r="W695" i="1"/>
  <c r="F695" i="1"/>
  <c r="E695" i="1"/>
  <c r="D695" i="1"/>
  <c r="H695" i="1" s="1"/>
  <c r="I695" i="1" s="1"/>
  <c r="J695" i="1" s="1"/>
  <c r="K695" i="1" s="1"/>
  <c r="L695" i="1" s="1"/>
  <c r="M695" i="1" s="1"/>
  <c r="N695" i="1" s="1"/>
  <c r="O695" i="1" s="1"/>
  <c r="P695" i="1" s="1"/>
  <c r="Q695" i="1" s="1"/>
  <c r="R695" i="1" s="1"/>
  <c r="S695" i="1" s="1"/>
  <c r="T695" i="1" s="1"/>
  <c r="U695" i="1" s="1"/>
  <c r="V695" i="1" s="1"/>
  <c r="C695" i="1"/>
  <c r="B695" i="1"/>
  <c r="A695" i="1"/>
  <c r="F694" i="1"/>
  <c r="E694" i="1"/>
  <c r="D694" i="1"/>
  <c r="H694" i="1" s="1"/>
  <c r="I694" i="1" s="1"/>
  <c r="J694" i="1" s="1"/>
  <c r="K694" i="1" s="1"/>
  <c r="L694" i="1" s="1"/>
  <c r="M694" i="1" s="1"/>
  <c r="N694" i="1" s="1"/>
  <c r="O694" i="1" s="1"/>
  <c r="P694" i="1" s="1"/>
  <c r="Q694" i="1" s="1"/>
  <c r="R694" i="1" s="1"/>
  <c r="S694" i="1" s="1"/>
  <c r="T694" i="1" s="1"/>
  <c r="U694" i="1" s="1"/>
  <c r="V694" i="1" s="1"/>
  <c r="C694" i="1"/>
  <c r="B694" i="1"/>
  <c r="A694" i="1"/>
  <c r="N693" i="1"/>
  <c r="O693" i="1" s="1"/>
  <c r="P693" i="1" s="1"/>
  <c r="Q693" i="1" s="1"/>
  <c r="R693" i="1" s="1"/>
  <c r="S693" i="1" s="1"/>
  <c r="T693" i="1" s="1"/>
  <c r="U693" i="1" s="1"/>
  <c r="V693" i="1" s="1"/>
  <c r="K693" i="1"/>
  <c r="L693" i="1" s="1"/>
  <c r="M693" i="1" s="1"/>
  <c r="I693" i="1"/>
  <c r="J693" i="1" s="1"/>
  <c r="H693" i="1"/>
  <c r="F693" i="1"/>
  <c r="E693" i="1"/>
  <c r="D693" i="1"/>
  <c r="C693" i="1"/>
  <c r="B693" i="1"/>
  <c r="W693" i="1" s="1"/>
  <c r="A693" i="1"/>
  <c r="W692" i="1"/>
  <c r="L692" i="1"/>
  <c r="M692" i="1" s="1"/>
  <c r="N692" i="1" s="1"/>
  <c r="O692" i="1" s="1"/>
  <c r="P692" i="1" s="1"/>
  <c r="Q692" i="1" s="1"/>
  <c r="R692" i="1" s="1"/>
  <c r="S692" i="1" s="1"/>
  <c r="T692" i="1" s="1"/>
  <c r="U692" i="1" s="1"/>
  <c r="V692" i="1" s="1"/>
  <c r="I692" i="1"/>
  <c r="J692" i="1" s="1"/>
  <c r="K692" i="1" s="1"/>
  <c r="F692" i="1"/>
  <c r="E692" i="1"/>
  <c r="D692" i="1"/>
  <c r="H692" i="1" s="1"/>
  <c r="C692" i="1"/>
  <c r="B692" i="1"/>
  <c r="A692" i="1"/>
  <c r="W691" i="1"/>
  <c r="F691" i="1"/>
  <c r="E691" i="1"/>
  <c r="D691" i="1"/>
  <c r="H691" i="1" s="1"/>
  <c r="I691" i="1" s="1"/>
  <c r="J691" i="1" s="1"/>
  <c r="K691" i="1" s="1"/>
  <c r="L691" i="1" s="1"/>
  <c r="M691" i="1" s="1"/>
  <c r="N691" i="1" s="1"/>
  <c r="O691" i="1" s="1"/>
  <c r="P691" i="1" s="1"/>
  <c r="Q691" i="1" s="1"/>
  <c r="R691" i="1" s="1"/>
  <c r="S691" i="1" s="1"/>
  <c r="T691" i="1" s="1"/>
  <c r="U691" i="1" s="1"/>
  <c r="V691" i="1" s="1"/>
  <c r="C691" i="1"/>
  <c r="B691" i="1"/>
  <c r="A691" i="1"/>
  <c r="F690" i="1"/>
  <c r="E690" i="1"/>
  <c r="D690" i="1"/>
  <c r="H690" i="1" s="1"/>
  <c r="I690" i="1" s="1"/>
  <c r="J690" i="1" s="1"/>
  <c r="K690" i="1" s="1"/>
  <c r="L690" i="1" s="1"/>
  <c r="M690" i="1" s="1"/>
  <c r="N690" i="1" s="1"/>
  <c r="O690" i="1" s="1"/>
  <c r="P690" i="1" s="1"/>
  <c r="Q690" i="1" s="1"/>
  <c r="R690" i="1" s="1"/>
  <c r="S690" i="1" s="1"/>
  <c r="T690" i="1" s="1"/>
  <c r="U690" i="1" s="1"/>
  <c r="V690" i="1" s="1"/>
  <c r="C690" i="1"/>
  <c r="B690" i="1"/>
  <c r="A690" i="1"/>
  <c r="O689" i="1"/>
  <c r="P689" i="1" s="1"/>
  <c r="Q689" i="1" s="1"/>
  <c r="R689" i="1" s="1"/>
  <c r="S689" i="1" s="1"/>
  <c r="T689" i="1" s="1"/>
  <c r="U689" i="1" s="1"/>
  <c r="V689" i="1" s="1"/>
  <c r="N689" i="1"/>
  <c r="K689" i="1"/>
  <c r="L689" i="1" s="1"/>
  <c r="M689" i="1" s="1"/>
  <c r="I689" i="1"/>
  <c r="J689" i="1" s="1"/>
  <c r="H689" i="1"/>
  <c r="F689" i="1"/>
  <c r="E689" i="1"/>
  <c r="D689" i="1"/>
  <c r="C689" i="1"/>
  <c r="B689" i="1"/>
  <c r="W689" i="1" s="1"/>
  <c r="A689" i="1"/>
  <c r="W688" i="1"/>
  <c r="M688" i="1"/>
  <c r="N688" i="1" s="1"/>
  <c r="O688" i="1" s="1"/>
  <c r="P688" i="1" s="1"/>
  <c r="Q688" i="1" s="1"/>
  <c r="R688" i="1" s="1"/>
  <c r="S688" i="1" s="1"/>
  <c r="T688" i="1" s="1"/>
  <c r="U688" i="1" s="1"/>
  <c r="V688" i="1" s="1"/>
  <c r="L688" i="1"/>
  <c r="I688" i="1"/>
  <c r="J688" i="1" s="1"/>
  <c r="K688" i="1" s="1"/>
  <c r="F688" i="1"/>
  <c r="E688" i="1"/>
  <c r="D688" i="1"/>
  <c r="H688" i="1" s="1"/>
  <c r="C688" i="1"/>
  <c r="B688" i="1"/>
  <c r="A688" i="1"/>
  <c r="W687" i="1"/>
  <c r="J687" i="1"/>
  <c r="K687" i="1" s="1"/>
  <c r="L687" i="1" s="1"/>
  <c r="M687" i="1" s="1"/>
  <c r="N687" i="1" s="1"/>
  <c r="O687" i="1" s="1"/>
  <c r="P687" i="1" s="1"/>
  <c r="Q687" i="1" s="1"/>
  <c r="R687" i="1" s="1"/>
  <c r="S687" i="1" s="1"/>
  <c r="T687" i="1" s="1"/>
  <c r="U687" i="1" s="1"/>
  <c r="V687" i="1" s="1"/>
  <c r="H687" i="1"/>
  <c r="I687" i="1" s="1"/>
  <c r="F687" i="1"/>
  <c r="E687" i="1"/>
  <c r="D687" i="1"/>
  <c r="C687" i="1"/>
  <c r="B687" i="1"/>
  <c r="A687" i="1"/>
  <c r="M686" i="1"/>
  <c r="N686" i="1" s="1"/>
  <c r="O686" i="1" s="1"/>
  <c r="P686" i="1" s="1"/>
  <c r="Q686" i="1" s="1"/>
  <c r="R686" i="1" s="1"/>
  <c r="S686" i="1" s="1"/>
  <c r="T686" i="1" s="1"/>
  <c r="U686" i="1" s="1"/>
  <c r="V686" i="1" s="1"/>
  <c r="F686" i="1"/>
  <c r="E686" i="1"/>
  <c r="D686" i="1"/>
  <c r="H686" i="1" s="1"/>
  <c r="I686" i="1" s="1"/>
  <c r="J686" i="1" s="1"/>
  <c r="K686" i="1" s="1"/>
  <c r="L686" i="1" s="1"/>
  <c r="C686" i="1"/>
  <c r="B686" i="1"/>
  <c r="A686" i="1"/>
  <c r="P685" i="1"/>
  <c r="Q685" i="1" s="1"/>
  <c r="R685" i="1" s="1"/>
  <c r="S685" i="1" s="1"/>
  <c r="T685" i="1" s="1"/>
  <c r="U685" i="1" s="1"/>
  <c r="V685" i="1" s="1"/>
  <c r="O685" i="1"/>
  <c r="I685" i="1"/>
  <c r="J685" i="1" s="1"/>
  <c r="K685" i="1" s="1"/>
  <c r="L685" i="1" s="1"/>
  <c r="M685" i="1" s="1"/>
  <c r="N685" i="1" s="1"/>
  <c r="H685" i="1"/>
  <c r="F685" i="1"/>
  <c r="E685" i="1"/>
  <c r="D685" i="1"/>
  <c r="C685" i="1"/>
  <c r="B685" i="1"/>
  <c r="W685" i="1" s="1"/>
  <c r="A685" i="1"/>
  <c r="W684" i="1"/>
  <c r="T684" i="1"/>
  <c r="U684" i="1" s="1"/>
  <c r="V684" i="1" s="1"/>
  <c r="R684" i="1"/>
  <c r="S684" i="1" s="1"/>
  <c r="I684" i="1"/>
  <c r="J684" i="1" s="1"/>
  <c r="K684" i="1" s="1"/>
  <c r="L684" i="1" s="1"/>
  <c r="M684" i="1" s="1"/>
  <c r="N684" i="1" s="1"/>
  <c r="O684" i="1" s="1"/>
  <c r="P684" i="1" s="1"/>
  <c r="Q684" i="1" s="1"/>
  <c r="F684" i="1"/>
  <c r="E684" i="1"/>
  <c r="D684" i="1"/>
  <c r="H684" i="1" s="1"/>
  <c r="C684" i="1"/>
  <c r="B684" i="1"/>
  <c r="A684" i="1"/>
  <c r="U683" i="1"/>
  <c r="V683" i="1" s="1"/>
  <c r="T683" i="1"/>
  <c r="K683" i="1"/>
  <c r="L683" i="1" s="1"/>
  <c r="M683" i="1" s="1"/>
  <c r="N683" i="1" s="1"/>
  <c r="O683" i="1" s="1"/>
  <c r="P683" i="1" s="1"/>
  <c r="Q683" i="1" s="1"/>
  <c r="R683" i="1" s="1"/>
  <c r="S683" i="1" s="1"/>
  <c r="J683" i="1"/>
  <c r="H683" i="1"/>
  <c r="I683" i="1" s="1"/>
  <c r="F683" i="1"/>
  <c r="E683" i="1"/>
  <c r="D683" i="1"/>
  <c r="C683" i="1"/>
  <c r="B683" i="1"/>
  <c r="A683" i="1"/>
  <c r="W683" i="1" s="1"/>
  <c r="M682" i="1"/>
  <c r="N682" i="1" s="1"/>
  <c r="O682" i="1" s="1"/>
  <c r="P682" i="1" s="1"/>
  <c r="Q682" i="1" s="1"/>
  <c r="R682" i="1" s="1"/>
  <c r="S682" i="1" s="1"/>
  <c r="T682" i="1" s="1"/>
  <c r="U682" i="1" s="1"/>
  <c r="V682" i="1" s="1"/>
  <c r="F682" i="1"/>
  <c r="E682" i="1"/>
  <c r="D682" i="1"/>
  <c r="H682" i="1" s="1"/>
  <c r="I682" i="1" s="1"/>
  <c r="J682" i="1" s="1"/>
  <c r="K682" i="1" s="1"/>
  <c r="L682" i="1" s="1"/>
  <c r="C682" i="1"/>
  <c r="B682" i="1"/>
  <c r="A682" i="1"/>
  <c r="P681" i="1"/>
  <c r="Q681" i="1" s="1"/>
  <c r="R681" i="1" s="1"/>
  <c r="S681" i="1" s="1"/>
  <c r="T681" i="1" s="1"/>
  <c r="U681" i="1" s="1"/>
  <c r="V681" i="1" s="1"/>
  <c r="O681" i="1"/>
  <c r="I681" i="1"/>
  <c r="J681" i="1" s="1"/>
  <c r="K681" i="1" s="1"/>
  <c r="L681" i="1" s="1"/>
  <c r="M681" i="1" s="1"/>
  <c r="N681" i="1" s="1"/>
  <c r="H681" i="1"/>
  <c r="F681" i="1"/>
  <c r="E681" i="1"/>
  <c r="D681" i="1"/>
  <c r="C681" i="1"/>
  <c r="B681" i="1"/>
  <c r="W681" i="1" s="1"/>
  <c r="A681" i="1"/>
  <c r="W680" i="1"/>
  <c r="T680" i="1"/>
  <c r="U680" i="1" s="1"/>
  <c r="V680" i="1" s="1"/>
  <c r="R680" i="1"/>
  <c r="S680" i="1" s="1"/>
  <c r="I680" i="1"/>
  <c r="J680" i="1" s="1"/>
  <c r="K680" i="1" s="1"/>
  <c r="L680" i="1" s="1"/>
  <c r="M680" i="1" s="1"/>
  <c r="N680" i="1" s="1"/>
  <c r="O680" i="1" s="1"/>
  <c r="P680" i="1" s="1"/>
  <c r="Q680" i="1" s="1"/>
  <c r="F680" i="1"/>
  <c r="E680" i="1"/>
  <c r="D680" i="1"/>
  <c r="H680" i="1" s="1"/>
  <c r="C680" i="1"/>
  <c r="B680" i="1"/>
  <c r="A680" i="1"/>
  <c r="U679" i="1"/>
  <c r="V679" i="1" s="1"/>
  <c r="T679" i="1"/>
  <c r="K679" i="1"/>
  <c r="L679" i="1" s="1"/>
  <c r="M679" i="1" s="1"/>
  <c r="N679" i="1" s="1"/>
  <c r="O679" i="1" s="1"/>
  <c r="P679" i="1" s="1"/>
  <c r="Q679" i="1" s="1"/>
  <c r="R679" i="1" s="1"/>
  <c r="S679" i="1" s="1"/>
  <c r="J679" i="1"/>
  <c r="H679" i="1"/>
  <c r="I679" i="1" s="1"/>
  <c r="F679" i="1"/>
  <c r="E679" i="1"/>
  <c r="D679" i="1"/>
  <c r="C679" i="1"/>
  <c r="B679" i="1"/>
  <c r="A679" i="1"/>
  <c r="W679" i="1" s="1"/>
  <c r="M678" i="1"/>
  <c r="N678" i="1" s="1"/>
  <c r="O678" i="1" s="1"/>
  <c r="P678" i="1" s="1"/>
  <c r="Q678" i="1" s="1"/>
  <c r="R678" i="1" s="1"/>
  <c r="S678" i="1" s="1"/>
  <c r="T678" i="1" s="1"/>
  <c r="U678" i="1" s="1"/>
  <c r="V678" i="1" s="1"/>
  <c r="F678" i="1"/>
  <c r="E678" i="1"/>
  <c r="D678" i="1"/>
  <c r="H678" i="1" s="1"/>
  <c r="I678" i="1" s="1"/>
  <c r="J678" i="1" s="1"/>
  <c r="K678" i="1" s="1"/>
  <c r="L678" i="1" s="1"/>
  <c r="C678" i="1"/>
  <c r="B678" i="1"/>
  <c r="A678" i="1"/>
  <c r="P677" i="1"/>
  <c r="Q677" i="1" s="1"/>
  <c r="R677" i="1" s="1"/>
  <c r="S677" i="1" s="1"/>
  <c r="T677" i="1" s="1"/>
  <c r="U677" i="1" s="1"/>
  <c r="V677" i="1" s="1"/>
  <c r="O677" i="1"/>
  <c r="I677" i="1"/>
  <c r="J677" i="1" s="1"/>
  <c r="K677" i="1" s="1"/>
  <c r="L677" i="1" s="1"/>
  <c r="M677" i="1" s="1"/>
  <c r="N677" i="1" s="1"/>
  <c r="H677" i="1"/>
  <c r="F677" i="1"/>
  <c r="E677" i="1"/>
  <c r="D677" i="1"/>
  <c r="C677" i="1"/>
  <c r="B677" i="1"/>
  <c r="W677" i="1" s="1"/>
  <c r="A677" i="1"/>
  <c r="W676" i="1"/>
  <c r="R676" i="1"/>
  <c r="S676" i="1" s="1"/>
  <c r="T676" i="1" s="1"/>
  <c r="U676" i="1" s="1"/>
  <c r="V676" i="1" s="1"/>
  <c r="I676" i="1"/>
  <c r="J676" i="1" s="1"/>
  <c r="K676" i="1" s="1"/>
  <c r="L676" i="1" s="1"/>
  <c r="M676" i="1" s="1"/>
  <c r="N676" i="1" s="1"/>
  <c r="O676" i="1" s="1"/>
  <c r="P676" i="1" s="1"/>
  <c r="Q676" i="1" s="1"/>
  <c r="F676" i="1"/>
  <c r="E676" i="1"/>
  <c r="D676" i="1"/>
  <c r="H676" i="1" s="1"/>
  <c r="C676" i="1"/>
  <c r="B676" i="1"/>
  <c r="A676" i="1"/>
  <c r="U675" i="1"/>
  <c r="V675" i="1" s="1"/>
  <c r="T675" i="1"/>
  <c r="K675" i="1"/>
  <c r="L675" i="1" s="1"/>
  <c r="M675" i="1" s="1"/>
  <c r="N675" i="1" s="1"/>
  <c r="O675" i="1" s="1"/>
  <c r="P675" i="1" s="1"/>
  <c r="Q675" i="1" s="1"/>
  <c r="R675" i="1" s="1"/>
  <c r="S675" i="1" s="1"/>
  <c r="J675" i="1"/>
  <c r="H675" i="1"/>
  <c r="I675" i="1" s="1"/>
  <c r="F675" i="1"/>
  <c r="E675" i="1"/>
  <c r="D675" i="1"/>
  <c r="C675" i="1"/>
  <c r="B675" i="1"/>
  <c r="A675" i="1"/>
  <c r="W675" i="1" s="1"/>
  <c r="F674" i="1"/>
  <c r="E674" i="1"/>
  <c r="D674" i="1"/>
  <c r="H674" i="1" s="1"/>
  <c r="I674" i="1" s="1"/>
  <c r="J674" i="1" s="1"/>
  <c r="K674" i="1" s="1"/>
  <c r="L674" i="1" s="1"/>
  <c r="M674" i="1" s="1"/>
  <c r="N674" i="1" s="1"/>
  <c r="O674" i="1" s="1"/>
  <c r="P674" i="1" s="1"/>
  <c r="Q674" i="1" s="1"/>
  <c r="R674" i="1" s="1"/>
  <c r="S674" i="1" s="1"/>
  <c r="T674" i="1" s="1"/>
  <c r="U674" i="1" s="1"/>
  <c r="V674" i="1" s="1"/>
  <c r="C674" i="1"/>
  <c r="B674" i="1"/>
  <c r="A674" i="1"/>
  <c r="I673" i="1"/>
  <c r="J673" i="1" s="1"/>
  <c r="K673" i="1" s="1"/>
  <c r="L673" i="1" s="1"/>
  <c r="M673" i="1" s="1"/>
  <c r="N673" i="1" s="1"/>
  <c r="O673" i="1" s="1"/>
  <c r="P673" i="1" s="1"/>
  <c r="Q673" i="1" s="1"/>
  <c r="R673" i="1" s="1"/>
  <c r="S673" i="1" s="1"/>
  <c r="T673" i="1" s="1"/>
  <c r="U673" i="1" s="1"/>
  <c r="V673" i="1" s="1"/>
  <c r="H673" i="1"/>
  <c r="F673" i="1"/>
  <c r="E673" i="1"/>
  <c r="D673" i="1"/>
  <c r="C673" i="1"/>
  <c r="B673" i="1"/>
  <c r="A673" i="1"/>
  <c r="W673" i="1" s="1"/>
  <c r="W672" i="1"/>
  <c r="F672" i="1"/>
  <c r="E672" i="1"/>
  <c r="D672" i="1"/>
  <c r="H672" i="1" s="1"/>
  <c r="I672" i="1" s="1"/>
  <c r="J672" i="1" s="1"/>
  <c r="K672" i="1" s="1"/>
  <c r="L672" i="1" s="1"/>
  <c r="M672" i="1" s="1"/>
  <c r="N672" i="1" s="1"/>
  <c r="O672" i="1" s="1"/>
  <c r="P672" i="1" s="1"/>
  <c r="Q672" i="1" s="1"/>
  <c r="R672" i="1" s="1"/>
  <c r="S672" i="1" s="1"/>
  <c r="T672" i="1" s="1"/>
  <c r="U672" i="1" s="1"/>
  <c r="V672" i="1" s="1"/>
  <c r="C672" i="1"/>
  <c r="B672" i="1"/>
  <c r="A672" i="1"/>
  <c r="R671" i="1"/>
  <c r="S671" i="1" s="1"/>
  <c r="T671" i="1" s="1"/>
  <c r="U671" i="1" s="1"/>
  <c r="V671" i="1" s="1"/>
  <c r="H671" i="1"/>
  <c r="I671" i="1" s="1"/>
  <c r="J671" i="1" s="1"/>
  <c r="K671" i="1" s="1"/>
  <c r="L671" i="1" s="1"/>
  <c r="M671" i="1" s="1"/>
  <c r="N671" i="1" s="1"/>
  <c r="O671" i="1" s="1"/>
  <c r="P671" i="1" s="1"/>
  <c r="Q671" i="1" s="1"/>
  <c r="F671" i="1"/>
  <c r="E671" i="1"/>
  <c r="D671" i="1"/>
  <c r="C671" i="1"/>
  <c r="B671" i="1"/>
  <c r="A671" i="1"/>
  <c r="W671" i="1" s="1"/>
  <c r="F670" i="1"/>
  <c r="E670" i="1"/>
  <c r="D670" i="1"/>
  <c r="H670" i="1" s="1"/>
  <c r="I670" i="1" s="1"/>
  <c r="J670" i="1" s="1"/>
  <c r="K670" i="1" s="1"/>
  <c r="L670" i="1" s="1"/>
  <c r="M670" i="1" s="1"/>
  <c r="N670" i="1" s="1"/>
  <c r="O670" i="1" s="1"/>
  <c r="P670" i="1" s="1"/>
  <c r="Q670" i="1" s="1"/>
  <c r="R670" i="1" s="1"/>
  <c r="S670" i="1" s="1"/>
  <c r="T670" i="1" s="1"/>
  <c r="U670" i="1" s="1"/>
  <c r="V670" i="1" s="1"/>
  <c r="C670" i="1"/>
  <c r="B670" i="1"/>
  <c r="A670" i="1"/>
  <c r="J669" i="1"/>
  <c r="K669" i="1" s="1"/>
  <c r="L669" i="1" s="1"/>
  <c r="M669" i="1" s="1"/>
  <c r="N669" i="1" s="1"/>
  <c r="O669" i="1" s="1"/>
  <c r="P669" i="1" s="1"/>
  <c r="Q669" i="1" s="1"/>
  <c r="R669" i="1" s="1"/>
  <c r="S669" i="1" s="1"/>
  <c r="T669" i="1" s="1"/>
  <c r="U669" i="1" s="1"/>
  <c r="V669" i="1" s="1"/>
  <c r="I669" i="1"/>
  <c r="H669" i="1"/>
  <c r="F669" i="1"/>
  <c r="E669" i="1"/>
  <c r="D669" i="1"/>
  <c r="C669" i="1"/>
  <c r="B669" i="1"/>
  <c r="A669" i="1"/>
  <c r="W669" i="1" s="1"/>
  <c r="W668" i="1"/>
  <c r="P668" i="1"/>
  <c r="Q668" i="1" s="1"/>
  <c r="R668" i="1" s="1"/>
  <c r="S668" i="1" s="1"/>
  <c r="T668" i="1" s="1"/>
  <c r="U668" i="1" s="1"/>
  <c r="V668" i="1" s="1"/>
  <c r="O668" i="1"/>
  <c r="N668" i="1"/>
  <c r="H668" i="1"/>
  <c r="I668" i="1" s="1"/>
  <c r="J668" i="1" s="1"/>
  <c r="K668" i="1" s="1"/>
  <c r="L668" i="1" s="1"/>
  <c r="M668" i="1" s="1"/>
  <c r="F668" i="1"/>
  <c r="E668" i="1"/>
  <c r="D668" i="1"/>
  <c r="C668" i="1"/>
  <c r="B668" i="1"/>
  <c r="A668" i="1"/>
  <c r="W667" i="1"/>
  <c r="L667" i="1"/>
  <c r="M667" i="1" s="1"/>
  <c r="N667" i="1" s="1"/>
  <c r="O667" i="1" s="1"/>
  <c r="P667" i="1" s="1"/>
  <c r="Q667" i="1" s="1"/>
  <c r="R667" i="1" s="1"/>
  <c r="S667" i="1" s="1"/>
  <c r="T667" i="1" s="1"/>
  <c r="U667" i="1" s="1"/>
  <c r="V667" i="1" s="1"/>
  <c r="F667" i="1"/>
  <c r="E667" i="1"/>
  <c r="D667" i="1"/>
  <c r="H667" i="1" s="1"/>
  <c r="I667" i="1" s="1"/>
  <c r="J667" i="1" s="1"/>
  <c r="K667" i="1" s="1"/>
  <c r="C667" i="1"/>
  <c r="B667" i="1"/>
  <c r="A667" i="1"/>
  <c r="R666" i="1"/>
  <c r="S666" i="1" s="1"/>
  <c r="T666" i="1" s="1"/>
  <c r="U666" i="1" s="1"/>
  <c r="V666" i="1" s="1"/>
  <c r="F666" i="1"/>
  <c r="E666" i="1"/>
  <c r="D666" i="1"/>
  <c r="H666" i="1" s="1"/>
  <c r="I666" i="1" s="1"/>
  <c r="J666" i="1" s="1"/>
  <c r="K666" i="1" s="1"/>
  <c r="L666" i="1" s="1"/>
  <c r="M666" i="1" s="1"/>
  <c r="N666" i="1" s="1"/>
  <c r="O666" i="1" s="1"/>
  <c r="P666" i="1" s="1"/>
  <c r="Q666" i="1" s="1"/>
  <c r="C666" i="1"/>
  <c r="B666" i="1"/>
  <c r="A666" i="1"/>
  <c r="H665" i="1"/>
  <c r="I665" i="1" s="1"/>
  <c r="J665" i="1" s="1"/>
  <c r="K665" i="1" s="1"/>
  <c r="L665" i="1" s="1"/>
  <c r="M665" i="1" s="1"/>
  <c r="N665" i="1" s="1"/>
  <c r="O665" i="1" s="1"/>
  <c r="P665" i="1" s="1"/>
  <c r="Q665" i="1" s="1"/>
  <c r="R665" i="1" s="1"/>
  <c r="S665" i="1" s="1"/>
  <c r="T665" i="1" s="1"/>
  <c r="U665" i="1" s="1"/>
  <c r="V665" i="1" s="1"/>
  <c r="F665" i="1"/>
  <c r="E665" i="1"/>
  <c r="D665" i="1"/>
  <c r="C665" i="1"/>
  <c r="B665" i="1"/>
  <c r="A665" i="1"/>
  <c r="W665" i="1" s="1"/>
  <c r="W664" i="1"/>
  <c r="V664" i="1"/>
  <c r="P664" i="1"/>
  <c r="Q664" i="1" s="1"/>
  <c r="R664" i="1" s="1"/>
  <c r="S664" i="1" s="1"/>
  <c r="T664" i="1" s="1"/>
  <c r="U664" i="1" s="1"/>
  <c r="O664" i="1"/>
  <c r="N664" i="1"/>
  <c r="H664" i="1"/>
  <c r="I664" i="1" s="1"/>
  <c r="J664" i="1" s="1"/>
  <c r="K664" i="1" s="1"/>
  <c r="L664" i="1" s="1"/>
  <c r="M664" i="1" s="1"/>
  <c r="F664" i="1"/>
  <c r="E664" i="1"/>
  <c r="D664" i="1"/>
  <c r="C664" i="1"/>
  <c r="B664" i="1"/>
  <c r="A664" i="1"/>
  <c r="W663" i="1"/>
  <c r="U663" i="1"/>
  <c r="V663" i="1" s="1"/>
  <c r="M663" i="1"/>
  <c r="N663" i="1" s="1"/>
  <c r="O663" i="1" s="1"/>
  <c r="P663" i="1" s="1"/>
  <c r="Q663" i="1" s="1"/>
  <c r="R663" i="1" s="1"/>
  <c r="S663" i="1" s="1"/>
  <c r="T663" i="1" s="1"/>
  <c r="L663" i="1"/>
  <c r="F663" i="1"/>
  <c r="E663" i="1"/>
  <c r="D663" i="1"/>
  <c r="H663" i="1" s="1"/>
  <c r="I663" i="1" s="1"/>
  <c r="J663" i="1" s="1"/>
  <c r="K663" i="1" s="1"/>
  <c r="C663" i="1"/>
  <c r="B663" i="1"/>
  <c r="A663" i="1"/>
  <c r="J662" i="1"/>
  <c r="K662" i="1" s="1"/>
  <c r="L662" i="1" s="1"/>
  <c r="M662" i="1" s="1"/>
  <c r="N662" i="1" s="1"/>
  <c r="O662" i="1" s="1"/>
  <c r="P662" i="1" s="1"/>
  <c r="Q662" i="1" s="1"/>
  <c r="R662" i="1" s="1"/>
  <c r="S662" i="1" s="1"/>
  <c r="T662" i="1" s="1"/>
  <c r="U662" i="1" s="1"/>
  <c r="V662" i="1" s="1"/>
  <c r="F662" i="1"/>
  <c r="E662" i="1"/>
  <c r="D662" i="1"/>
  <c r="H662" i="1" s="1"/>
  <c r="I662" i="1" s="1"/>
  <c r="C662" i="1"/>
  <c r="B662" i="1"/>
  <c r="A662" i="1"/>
  <c r="I661" i="1"/>
  <c r="J661" i="1" s="1"/>
  <c r="K661" i="1" s="1"/>
  <c r="L661" i="1" s="1"/>
  <c r="M661" i="1" s="1"/>
  <c r="N661" i="1" s="1"/>
  <c r="O661" i="1" s="1"/>
  <c r="P661" i="1" s="1"/>
  <c r="Q661" i="1" s="1"/>
  <c r="R661" i="1" s="1"/>
  <c r="S661" i="1" s="1"/>
  <c r="T661" i="1" s="1"/>
  <c r="U661" i="1" s="1"/>
  <c r="V661" i="1" s="1"/>
  <c r="H661" i="1"/>
  <c r="F661" i="1"/>
  <c r="E661" i="1"/>
  <c r="D661" i="1"/>
  <c r="C661" i="1"/>
  <c r="B661" i="1"/>
  <c r="A661" i="1"/>
  <c r="W661" i="1" s="1"/>
  <c r="W660" i="1"/>
  <c r="V660" i="1"/>
  <c r="H660" i="1"/>
  <c r="I660" i="1" s="1"/>
  <c r="J660" i="1" s="1"/>
  <c r="K660" i="1" s="1"/>
  <c r="L660" i="1" s="1"/>
  <c r="M660" i="1" s="1"/>
  <c r="N660" i="1" s="1"/>
  <c r="O660" i="1" s="1"/>
  <c r="P660" i="1" s="1"/>
  <c r="Q660" i="1" s="1"/>
  <c r="R660" i="1" s="1"/>
  <c r="S660" i="1" s="1"/>
  <c r="T660" i="1" s="1"/>
  <c r="U660" i="1" s="1"/>
  <c r="F660" i="1"/>
  <c r="E660" i="1"/>
  <c r="D660" i="1"/>
  <c r="C660" i="1"/>
  <c r="B660" i="1"/>
  <c r="A660" i="1"/>
  <c r="W659" i="1"/>
  <c r="F659" i="1"/>
  <c r="E659" i="1"/>
  <c r="D659" i="1"/>
  <c r="H659" i="1" s="1"/>
  <c r="I659" i="1" s="1"/>
  <c r="J659" i="1" s="1"/>
  <c r="K659" i="1" s="1"/>
  <c r="L659" i="1" s="1"/>
  <c r="M659" i="1" s="1"/>
  <c r="N659" i="1" s="1"/>
  <c r="O659" i="1" s="1"/>
  <c r="P659" i="1" s="1"/>
  <c r="Q659" i="1" s="1"/>
  <c r="R659" i="1" s="1"/>
  <c r="S659" i="1" s="1"/>
  <c r="T659" i="1" s="1"/>
  <c r="U659" i="1" s="1"/>
  <c r="V659" i="1" s="1"/>
  <c r="C659" i="1"/>
  <c r="B659" i="1"/>
  <c r="A659" i="1"/>
  <c r="F658" i="1"/>
  <c r="E658" i="1"/>
  <c r="D658" i="1"/>
  <c r="H658" i="1" s="1"/>
  <c r="I658" i="1" s="1"/>
  <c r="J658" i="1" s="1"/>
  <c r="K658" i="1" s="1"/>
  <c r="L658" i="1" s="1"/>
  <c r="M658" i="1" s="1"/>
  <c r="N658" i="1" s="1"/>
  <c r="O658" i="1" s="1"/>
  <c r="P658" i="1" s="1"/>
  <c r="Q658" i="1" s="1"/>
  <c r="R658" i="1" s="1"/>
  <c r="S658" i="1" s="1"/>
  <c r="T658" i="1" s="1"/>
  <c r="U658" i="1" s="1"/>
  <c r="V658" i="1" s="1"/>
  <c r="C658" i="1"/>
  <c r="B658" i="1"/>
  <c r="A658" i="1"/>
  <c r="I657" i="1"/>
  <c r="J657" i="1" s="1"/>
  <c r="K657" i="1" s="1"/>
  <c r="L657" i="1" s="1"/>
  <c r="M657" i="1" s="1"/>
  <c r="N657" i="1" s="1"/>
  <c r="O657" i="1" s="1"/>
  <c r="P657" i="1" s="1"/>
  <c r="Q657" i="1" s="1"/>
  <c r="R657" i="1" s="1"/>
  <c r="S657" i="1" s="1"/>
  <c r="T657" i="1" s="1"/>
  <c r="U657" i="1" s="1"/>
  <c r="V657" i="1" s="1"/>
  <c r="H657" i="1"/>
  <c r="F657" i="1"/>
  <c r="E657" i="1"/>
  <c r="D657" i="1"/>
  <c r="C657" i="1"/>
  <c r="B657" i="1"/>
  <c r="A657" i="1"/>
  <c r="W657" i="1" s="1"/>
  <c r="W656" i="1"/>
  <c r="N656" i="1"/>
  <c r="O656" i="1" s="1"/>
  <c r="P656" i="1" s="1"/>
  <c r="Q656" i="1" s="1"/>
  <c r="R656" i="1" s="1"/>
  <c r="S656" i="1" s="1"/>
  <c r="T656" i="1" s="1"/>
  <c r="U656" i="1" s="1"/>
  <c r="V656" i="1" s="1"/>
  <c r="H656" i="1"/>
  <c r="I656" i="1" s="1"/>
  <c r="J656" i="1" s="1"/>
  <c r="K656" i="1" s="1"/>
  <c r="L656" i="1" s="1"/>
  <c r="M656" i="1" s="1"/>
  <c r="F656" i="1"/>
  <c r="E656" i="1"/>
  <c r="D656" i="1"/>
  <c r="C656" i="1"/>
  <c r="B656" i="1"/>
  <c r="A656" i="1"/>
  <c r="W655" i="1"/>
  <c r="N655" i="1"/>
  <c r="O655" i="1" s="1"/>
  <c r="P655" i="1" s="1"/>
  <c r="Q655" i="1" s="1"/>
  <c r="R655" i="1" s="1"/>
  <c r="S655" i="1" s="1"/>
  <c r="T655" i="1" s="1"/>
  <c r="U655" i="1" s="1"/>
  <c r="V655" i="1" s="1"/>
  <c r="F655" i="1"/>
  <c r="E655" i="1"/>
  <c r="D655" i="1"/>
  <c r="H655" i="1" s="1"/>
  <c r="I655" i="1" s="1"/>
  <c r="J655" i="1" s="1"/>
  <c r="K655" i="1" s="1"/>
  <c r="L655" i="1" s="1"/>
  <c r="M655" i="1" s="1"/>
  <c r="C655" i="1"/>
  <c r="B655" i="1"/>
  <c r="A655" i="1"/>
  <c r="F654" i="1"/>
  <c r="E654" i="1"/>
  <c r="D654" i="1"/>
  <c r="H654" i="1" s="1"/>
  <c r="I654" i="1" s="1"/>
  <c r="J654" i="1" s="1"/>
  <c r="K654" i="1" s="1"/>
  <c r="L654" i="1" s="1"/>
  <c r="M654" i="1" s="1"/>
  <c r="N654" i="1" s="1"/>
  <c r="O654" i="1" s="1"/>
  <c r="P654" i="1" s="1"/>
  <c r="Q654" i="1" s="1"/>
  <c r="R654" i="1" s="1"/>
  <c r="S654" i="1" s="1"/>
  <c r="T654" i="1" s="1"/>
  <c r="U654" i="1" s="1"/>
  <c r="V654" i="1" s="1"/>
  <c r="C654" i="1"/>
  <c r="B654" i="1"/>
  <c r="A654" i="1"/>
  <c r="W654" i="1" s="1"/>
  <c r="P653" i="1"/>
  <c r="Q653" i="1" s="1"/>
  <c r="R653" i="1" s="1"/>
  <c r="S653" i="1" s="1"/>
  <c r="T653" i="1" s="1"/>
  <c r="U653" i="1" s="1"/>
  <c r="V653" i="1" s="1"/>
  <c r="J653" i="1"/>
  <c r="K653" i="1" s="1"/>
  <c r="L653" i="1" s="1"/>
  <c r="M653" i="1" s="1"/>
  <c r="N653" i="1" s="1"/>
  <c r="O653" i="1" s="1"/>
  <c r="I653" i="1"/>
  <c r="H653" i="1"/>
  <c r="F653" i="1"/>
  <c r="E653" i="1"/>
  <c r="D653" i="1"/>
  <c r="C653" i="1"/>
  <c r="B653" i="1"/>
  <c r="A653" i="1"/>
  <c r="W653" i="1" s="1"/>
  <c r="W652" i="1"/>
  <c r="O652" i="1"/>
  <c r="P652" i="1" s="1"/>
  <c r="Q652" i="1" s="1"/>
  <c r="R652" i="1" s="1"/>
  <c r="S652" i="1" s="1"/>
  <c r="T652" i="1" s="1"/>
  <c r="U652" i="1" s="1"/>
  <c r="V652" i="1" s="1"/>
  <c r="N652" i="1"/>
  <c r="H652" i="1"/>
  <c r="I652" i="1" s="1"/>
  <c r="J652" i="1" s="1"/>
  <c r="K652" i="1" s="1"/>
  <c r="L652" i="1" s="1"/>
  <c r="M652" i="1" s="1"/>
  <c r="F652" i="1"/>
  <c r="E652" i="1"/>
  <c r="D652" i="1"/>
  <c r="C652" i="1"/>
  <c r="B652" i="1"/>
  <c r="A652" i="1"/>
  <c r="W651" i="1"/>
  <c r="F651" i="1"/>
  <c r="E651" i="1"/>
  <c r="D651" i="1"/>
  <c r="H651" i="1" s="1"/>
  <c r="I651" i="1" s="1"/>
  <c r="J651" i="1" s="1"/>
  <c r="K651" i="1" s="1"/>
  <c r="L651" i="1" s="1"/>
  <c r="M651" i="1" s="1"/>
  <c r="N651" i="1" s="1"/>
  <c r="O651" i="1" s="1"/>
  <c r="P651" i="1" s="1"/>
  <c r="Q651" i="1" s="1"/>
  <c r="R651" i="1" s="1"/>
  <c r="S651" i="1" s="1"/>
  <c r="T651" i="1" s="1"/>
  <c r="U651" i="1" s="1"/>
  <c r="V651" i="1" s="1"/>
  <c r="C651" i="1"/>
  <c r="B651" i="1"/>
  <c r="A651" i="1"/>
  <c r="R650" i="1"/>
  <c r="S650" i="1" s="1"/>
  <c r="T650" i="1" s="1"/>
  <c r="U650" i="1" s="1"/>
  <c r="V650" i="1" s="1"/>
  <c r="J650" i="1"/>
  <c r="K650" i="1" s="1"/>
  <c r="L650" i="1" s="1"/>
  <c r="M650" i="1" s="1"/>
  <c r="N650" i="1" s="1"/>
  <c r="O650" i="1" s="1"/>
  <c r="P650" i="1" s="1"/>
  <c r="Q650" i="1" s="1"/>
  <c r="F650" i="1"/>
  <c r="E650" i="1"/>
  <c r="D650" i="1"/>
  <c r="H650" i="1" s="1"/>
  <c r="I650" i="1" s="1"/>
  <c r="C650" i="1"/>
  <c r="B650" i="1"/>
  <c r="A650" i="1"/>
  <c r="Q649" i="1"/>
  <c r="R649" i="1" s="1"/>
  <c r="S649" i="1" s="1"/>
  <c r="T649" i="1" s="1"/>
  <c r="U649" i="1" s="1"/>
  <c r="V649" i="1" s="1"/>
  <c r="P649" i="1"/>
  <c r="J649" i="1"/>
  <c r="K649" i="1" s="1"/>
  <c r="L649" i="1" s="1"/>
  <c r="M649" i="1" s="1"/>
  <c r="N649" i="1" s="1"/>
  <c r="O649" i="1" s="1"/>
  <c r="I649" i="1"/>
  <c r="H649" i="1"/>
  <c r="F649" i="1"/>
  <c r="E649" i="1"/>
  <c r="D649" i="1"/>
  <c r="C649" i="1"/>
  <c r="B649" i="1"/>
  <c r="A649" i="1"/>
  <c r="W649" i="1" s="1"/>
  <c r="W648" i="1"/>
  <c r="H648" i="1"/>
  <c r="I648" i="1" s="1"/>
  <c r="J648" i="1" s="1"/>
  <c r="K648" i="1" s="1"/>
  <c r="L648" i="1" s="1"/>
  <c r="M648" i="1" s="1"/>
  <c r="N648" i="1" s="1"/>
  <c r="O648" i="1" s="1"/>
  <c r="P648" i="1" s="1"/>
  <c r="Q648" i="1" s="1"/>
  <c r="R648" i="1" s="1"/>
  <c r="S648" i="1" s="1"/>
  <c r="T648" i="1" s="1"/>
  <c r="U648" i="1" s="1"/>
  <c r="V648" i="1" s="1"/>
  <c r="F648" i="1"/>
  <c r="E648" i="1"/>
  <c r="D648" i="1"/>
  <c r="C648" i="1"/>
  <c r="B648" i="1"/>
  <c r="A648" i="1"/>
  <c r="W647" i="1"/>
  <c r="F647" i="1"/>
  <c r="E647" i="1"/>
  <c r="D647" i="1"/>
  <c r="H647" i="1" s="1"/>
  <c r="I647" i="1" s="1"/>
  <c r="J647" i="1" s="1"/>
  <c r="K647" i="1" s="1"/>
  <c r="L647" i="1" s="1"/>
  <c r="M647" i="1" s="1"/>
  <c r="N647" i="1" s="1"/>
  <c r="O647" i="1" s="1"/>
  <c r="P647" i="1" s="1"/>
  <c r="Q647" i="1" s="1"/>
  <c r="R647" i="1" s="1"/>
  <c r="S647" i="1" s="1"/>
  <c r="T647" i="1" s="1"/>
  <c r="U647" i="1" s="1"/>
  <c r="V647" i="1" s="1"/>
  <c r="C647" i="1"/>
  <c r="B647" i="1"/>
  <c r="A647" i="1"/>
  <c r="F646" i="1"/>
  <c r="E646" i="1"/>
  <c r="D646" i="1"/>
  <c r="H646" i="1" s="1"/>
  <c r="I646" i="1" s="1"/>
  <c r="J646" i="1" s="1"/>
  <c r="K646" i="1" s="1"/>
  <c r="L646" i="1" s="1"/>
  <c r="M646" i="1" s="1"/>
  <c r="N646" i="1" s="1"/>
  <c r="O646" i="1" s="1"/>
  <c r="P646" i="1" s="1"/>
  <c r="Q646" i="1" s="1"/>
  <c r="R646" i="1" s="1"/>
  <c r="S646" i="1" s="1"/>
  <c r="T646" i="1" s="1"/>
  <c r="U646" i="1" s="1"/>
  <c r="V646" i="1" s="1"/>
  <c r="C646" i="1"/>
  <c r="B646" i="1"/>
  <c r="A646" i="1"/>
  <c r="W646" i="1" s="1"/>
  <c r="I645" i="1"/>
  <c r="J645" i="1" s="1"/>
  <c r="K645" i="1" s="1"/>
  <c r="L645" i="1" s="1"/>
  <c r="M645" i="1" s="1"/>
  <c r="N645" i="1" s="1"/>
  <c r="O645" i="1" s="1"/>
  <c r="P645" i="1" s="1"/>
  <c r="Q645" i="1" s="1"/>
  <c r="R645" i="1" s="1"/>
  <c r="S645" i="1" s="1"/>
  <c r="T645" i="1" s="1"/>
  <c r="U645" i="1" s="1"/>
  <c r="V645" i="1" s="1"/>
  <c r="H645" i="1"/>
  <c r="F645" i="1"/>
  <c r="E645" i="1"/>
  <c r="D645" i="1"/>
  <c r="C645" i="1"/>
  <c r="B645" i="1"/>
  <c r="A645" i="1"/>
  <c r="W644" i="1"/>
  <c r="N644" i="1"/>
  <c r="O644" i="1" s="1"/>
  <c r="P644" i="1" s="1"/>
  <c r="Q644" i="1" s="1"/>
  <c r="R644" i="1" s="1"/>
  <c r="S644" i="1" s="1"/>
  <c r="T644" i="1" s="1"/>
  <c r="U644" i="1" s="1"/>
  <c r="V644" i="1" s="1"/>
  <c r="I644" i="1"/>
  <c r="J644" i="1" s="1"/>
  <c r="K644" i="1" s="1"/>
  <c r="L644" i="1" s="1"/>
  <c r="M644" i="1" s="1"/>
  <c r="H644" i="1"/>
  <c r="F644" i="1"/>
  <c r="E644" i="1"/>
  <c r="D644" i="1"/>
  <c r="C644" i="1"/>
  <c r="B644" i="1"/>
  <c r="A644" i="1"/>
  <c r="W643" i="1"/>
  <c r="L643" i="1"/>
  <c r="M643" i="1" s="1"/>
  <c r="N643" i="1" s="1"/>
  <c r="O643" i="1" s="1"/>
  <c r="P643" i="1" s="1"/>
  <c r="Q643" i="1" s="1"/>
  <c r="R643" i="1" s="1"/>
  <c r="S643" i="1" s="1"/>
  <c r="T643" i="1" s="1"/>
  <c r="U643" i="1" s="1"/>
  <c r="V643" i="1" s="1"/>
  <c r="F643" i="1"/>
  <c r="E643" i="1"/>
  <c r="D643" i="1"/>
  <c r="H643" i="1" s="1"/>
  <c r="I643" i="1" s="1"/>
  <c r="J643" i="1" s="1"/>
  <c r="K643" i="1" s="1"/>
  <c r="C643" i="1"/>
  <c r="B643" i="1"/>
  <c r="A643" i="1"/>
  <c r="M642" i="1"/>
  <c r="N642" i="1" s="1"/>
  <c r="O642" i="1" s="1"/>
  <c r="P642" i="1" s="1"/>
  <c r="Q642" i="1" s="1"/>
  <c r="R642" i="1" s="1"/>
  <c r="S642" i="1" s="1"/>
  <c r="T642" i="1" s="1"/>
  <c r="U642" i="1" s="1"/>
  <c r="V642" i="1" s="1"/>
  <c r="F642" i="1"/>
  <c r="E642" i="1"/>
  <c r="D642" i="1"/>
  <c r="H642" i="1" s="1"/>
  <c r="I642" i="1" s="1"/>
  <c r="J642" i="1" s="1"/>
  <c r="K642" i="1" s="1"/>
  <c r="L642" i="1" s="1"/>
  <c r="C642" i="1"/>
  <c r="B642" i="1"/>
  <c r="A642" i="1"/>
  <c r="W642" i="1" s="1"/>
  <c r="H641" i="1"/>
  <c r="I641" i="1" s="1"/>
  <c r="J641" i="1" s="1"/>
  <c r="K641" i="1" s="1"/>
  <c r="L641" i="1" s="1"/>
  <c r="M641" i="1" s="1"/>
  <c r="N641" i="1" s="1"/>
  <c r="O641" i="1" s="1"/>
  <c r="P641" i="1" s="1"/>
  <c r="Q641" i="1" s="1"/>
  <c r="R641" i="1" s="1"/>
  <c r="S641" i="1" s="1"/>
  <c r="T641" i="1" s="1"/>
  <c r="U641" i="1" s="1"/>
  <c r="V641" i="1" s="1"/>
  <c r="F641" i="1"/>
  <c r="E641" i="1"/>
  <c r="D641" i="1"/>
  <c r="C641" i="1"/>
  <c r="B641" i="1"/>
  <c r="A641" i="1"/>
  <c r="W640" i="1"/>
  <c r="V640" i="1"/>
  <c r="N640" i="1"/>
  <c r="O640" i="1" s="1"/>
  <c r="P640" i="1" s="1"/>
  <c r="Q640" i="1" s="1"/>
  <c r="R640" i="1" s="1"/>
  <c r="S640" i="1" s="1"/>
  <c r="T640" i="1" s="1"/>
  <c r="U640" i="1" s="1"/>
  <c r="I640" i="1"/>
  <c r="J640" i="1" s="1"/>
  <c r="K640" i="1" s="1"/>
  <c r="L640" i="1" s="1"/>
  <c r="M640" i="1" s="1"/>
  <c r="H640" i="1"/>
  <c r="F640" i="1"/>
  <c r="E640" i="1"/>
  <c r="D640" i="1"/>
  <c r="C640" i="1"/>
  <c r="B640" i="1"/>
  <c r="A640" i="1"/>
  <c r="W639" i="1"/>
  <c r="L639" i="1"/>
  <c r="M639" i="1" s="1"/>
  <c r="N639" i="1" s="1"/>
  <c r="O639" i="1" s="1"/>
  <c r="P639" i="1" s="1"/>
  <c r="Q639" i="1" s="1"/>
  <c r="R639" i="1" s="1"/>
  <c r="S639" i="1" s="1"/>
  <c r="T639" i="1" s="1"/>
  <c r="U639" i="1" s="1"/>
  <c r="V639" i="1" s="1"/>
  <c r="F639" i="1"/>
  <c r="E639" i="1"/>
  <c r="D639" i="1"/>
  <c r="H639" i="1" s="1"/>
  <c r="I639" i="1" s="1"/>
  <c r="J639" i="1" s="1"/>
  <c r="K639" i="1" s="1"/>
  <c r="C639" i="1"/>
  <c r="B639" i="1"/>
  <c r="A639" i="1"/>
  <c r="M638" i="1"/>
  <c r="N638" i="1" s="1"/>
  <c r="O638" i="1" s="1"/>
  <c r="P638" i="1" s="1"/>
  <c r="Q638" i="1" s="1"/>
  <c r="R638" i="1" s="1"/>
  <c r="S638" i="1" s="1"/>
  <c r="T638" i="1" s="1"/>
  <c r="U638" i="1" s="1"/>
  <c r="V638" i="1" s="1"/>
  <c r="F638" i="1"/>
  <c r="E638" i="1"/>
  <c r="D638" i="1"/>
  <c r="H638" i="1" s="1"/>
  <c r="I638" i="1" s="1"/>
  <c r="J638" i="1" s="1"/>
  <c r="K638" i="1" s="1"/>
  <c r="L638" i="1" s="1"/>
  <c r="C638" i="1"/>
  <c r="B638" i="1"/>
  <c r="A638" i="1"/>
  <c r="O637" i="1"/>
  <c r="P637" i="1" s="1"/>
  <c r="Q637" i="1" s="1"/>
  <c r="R637" i="1" s="1"/>
  <c r="S637" i="1" s="1"/>
  <c r="T637" i="1" s="1"/>
  <c r="U637" i="1" s="1"/>
  <c r="V637" i="1" s="1"/>
  <c r="H637" i="1"/>
  <c r="I637" i="1" s="1"/>
  <c r="J637" i="1" s="1"/>
  <c r="K637" i="1" s="1"/>
  <c r="L637" i="1" s="1"/>
  <c r="M637" i="1" s="1"/>
  <c r="N637" i="1" s="1"/>
  <c r="F637" i="1"/>
  <c r="E637" i="1"/>
  <c r="D637" i="1"/>
  <c r="C637" i="1"/>
  <c r="B637" i="1"/>
  <c r="A637" i="1"/>
  <c r="W637" i="1" s="1"/>
  <c r="P636" i="1"/>
  <c r="Q636" i="1" s="1"/>
  <c r="R636" i="1" s="1"/>
  <c r="S636" i="1" s="1"/>
  <c r="T636" i="1" s="1"/>
  <c r="U636" i="1" s="1"/>
  <c r="V636" i="1" s="1"/>
  <c r="F636" i="1"/>
  <c r="E636" i="1"/>
  <c r="D636" i="1"/>
  <c r="H636" i="1" s="1"/>
  <c r="I636" i="1" s="1"/>
  <c r="J636" i="1" s="1"/>
  <c r="K636" i="1" s="1"/>
  <c r="L636" i="1" s="1"/>
  <c r="M636" i="1" s="1"/>
  <c r="N636" i="1" s="1"/>
  <c r="O636" i="1" s="1"/>
  <c r="C636" i="1"/>
  <c r="B636" i="1"/>
  <c r="W636" i="1" s="1"/>
  <c r="A636" i="1"/>
  <c r="K635" i="1"/>
  <c r="L635" i="1" s="1"/>
  <c r="M635" i="1" s="1"/>
  <c r="N635" i="1" s="1"/>
  <c r="O635" i="1" s="1"/>
  <c r="P635" i="1" s="1"/>
  <c r="Q635" i="1" s="1"/>
  <c r="R635" i="1" s="1"/>
  <c r="S635" i="1" s="1"/>
  <c r="T635" i="1" s="1"/>
  <c r="U635" i="1" s="1"/>
  <c r="V635" i="1" s="1"/>
  <c r="I635" i="1"/>
  <c r="J635" i="1" s="1"/>
  <c r="F635" i="1"/>
  <c r="E635" i="1"/>
  <c r="D635" i="1"/>
  <c r="H635" i="1" s="1"/>
  <c r="C635" i="1"/>
  <c r="B635" i="1"/>
  <c r="W635" i="1" s="1"/>
  <c r="A635" i="1"/>
  <c r="L634" i="1"/>
  <c r="M634" i="1" s="1"/>
  <c r="N634" i="1" s="1"/>
  <c r="O634" i="1" s="1"/>
  <c r="P634" i="1" s="1"/>
  <c r="Q634" i="1" s="1"/>
  <c r="R634" i="1" s="1"/>
  <c r="S634" i="1" s="1"/>
  <c r="T634" i="1" s="1"/>
  <c r="U634" i="1" s="1"/>
  <c r="V634" i="1" s="1"/>
  <c r="K634" i="1"/>
  <c r="F634" i="1"/>
  <c r="E634" i="1"/>
  <c r="D634" i="1"/>
  <c r="H634" i="1" s="1"/>
  <c r="I634" i="1" s="1"/>
  <c r="J634" i="1" s="1"/>
  <c r="C634" i="1"/>
  <c r="B634" i="1"/>
  <c r="W634" i="1" s="1"/>
  <c r="A634" i="1"/>
  <c r="F633" i="1"/>
  <c r="E633" i="1"/>
  <c r="D633" i="1"/>
  <c r="H633" i="1" s="1"/>
  <c r="I633" i="1" s="1"/>
  <c r="J633" i="1" s="1"/>
  <c r="K633" i="1" s="1"/>
  <c r="L633" i="1" s="1"/>
  <c r="M633" i="1" s="1"/>
  <c r="N633" i="1" s="1"/>
  <c r="O633" i="1" s="1"/>
  <c r="P633" i="1" s="1"/>
  <c r="Q633" i="1" s="1"/>
  <c r="R633" i="1" s="1"/>
  <c r="S633" i="1" s="1"/>
  <c r="T633" i="1" s="1"/>
  <c r="U633" i="1" s="1"/>
  <c r="V633" i="1" s="1"/>
  <c r="C633" i="1"/>
  <c r="B633" i="1"/>
  <c r="W633" i="1" s="1"/>
  <c r="A633" i="1"/>
  <c r="K632" i="1"/>
  <c r="L632" i="1" s="1"/>
  <c r="M632" i="1" s="1"/>
  <c r="N632" i="1" s="1"/>
  <c r="O632" i="1" s="1"/>
  <c r="P632" i="1" s="1"/>
  <c r="Q632" i="1" s="1"/>
  <c r="R632" i="1" s="1"/>
  <c r="S632" i="1" s="1"/>
  <c r="T632" i="1" s="1"/>
  <c r="U632" i="1" s="1"/>
  <c r="V632" i="1" s="1"/>
  <c r="F632" i="1"/>
  <c r="E632" i="1"/>
  <c r="D632" i="1"/>
  <c r="H632" i="1" s="1"/>
  <c r="I632" i="1" s="1"/>
  <c r="J632" i="1" s="1"/>
  <c r="C632" i="1"/>
  <c r="B632" i="1"/>
  <c r="W632" i="1" s="1"/>
  <c r="A632" i="1"/>
  <c r="N631" i="1"/>
  <c r="O631" i="1" s="1"/>
  <c r="P631" i="1" s="1"/>
  <c r="Q631" i="1" s="1"/>
  <c r="R631" i="1" s="1"/>
  <c r="S631" i="1" s="1"/>
  <c r="T631" i="1" s="1"/>
  <c r="U631" i="1" s="1"/>
  <c r="V631" i="1" s="1"/>
  <c r="I631" i="1"/>
  <c r="J631" i="1" s="1"/>
  <c r="K631" i="1" s="1"/>
  <c r="L631" i="1" s="1"/>
  <c r="M631" i="1" s="1"/>
  <c r="F631" i="1"/>
  <c r="E631" i="1"/>
  <c r="D631" i="1"/>
  <c r="H631" i="1" s="1"/>
  <c r="C631" i="1"/>
  <c r="B631" i="1"/>
  <c r="W631" i="1" s="1"/>
  <c r="A631" i="1"/>
  <c r="F630" i="1"/>
  <c r="E630" i="1"/>
  <c r="D630" i="1"/>
  <c r="H630" i="1" s="1"/>
  <c r="I630" i="1" s="1"/>
  <c r="J630" i="1" s="1"/>
  <c r="K630" i="1" s="1"/>
  <c r="L630" i="1" s="1"/>
  <c r="M630" i="1" s="1"/>
  <c r="N630" i="1" s="1"/>
  <c r="O630" i="1" s="1"/>
  <c r="P630" i="1" s="1"/>
  <c r="Q630" i="1" s="1"/>
  <c r="R630" i="1" s="1"/>
  <c r="S630" i="1" s="1"/>
  <c r="T630" i="1" s="1"/>
  <c r="U630" i="1" s="1"/>
  <c r="V630" i="1" s="1"/>
  <c r="C630" i="1"/>
  <c r="B630" i="1"/>
  <c r="A630" i="1"/>
  <c r="W630" i="1" s="1"/>
  <c r="H629" i="1"/>
  <c r="I629" i="1" s="1"/>
  <c r="J629" i="1" s="1"/>
  <c r="K629" i="1" s="1"/>
  <c r="L629" i="1" s="1"/>
  <c r="M629" i="1" s="1"/>
  <c r="N629" i="1" s="1"/>
  <c r="O629" i="1" s="1"/>
  <c r="P629" i="1" s="1"/>
  <c r="Q629" i="1" s="1"/>
  <c r="R629" i="1" s="1"/>
  <c r="S629" i="1" s="1"/>
  <c r="T629" i="1" s="1"/>
  <c r="U629" i="1" s="1"/>
  <c r="V629" i="1" s="1"/>
  <c r="F629" i="1"/>
  <c r="E629" i="1"/>
  <c r="D629" i="1"/>
  <c r="C629" i="1"/>
  <c r="B629" i="1"/>
  <c r="W629" i="1" s="1"/>
  <c r="A629" i="1"/>
  <c r="Q628" i="1"/>
  <c r="R628" i="1" s="1"/>
  <c r="S628" i="1" s="1"/>
  <c r="T628" i="1" s="1"/>
  <c r="U628" i="1" s="1"/>
  <c r="V628" i="1" s="1"/>
  <c r="I628" i="1"/>
  <c r="J628" i="1" s="1"/>
  <c r="K628" i="1" s="1"/>
  <c r="L628" i="1" s="1"/>
  <c r="M628" i="1" s="1"/>
  <c r="N628" i="1" s="1"/>
  <c r="O628" i="1" s="1"/>
  <c r="P628" i="1" s="1"/>
  <c r="H628" i="1"/>
  <c r="F628" i="1"/>
  <c r="E628" i="1"/>
  <c r="D628" i="1"/>
  <c r="C628" i="1"/>
  <c r="B628" i="1"/>
  <c r="A628" i="1"/>
  <c r="W628" i="1" s="1"/>
  <c r="W627" i="1"/>
  <c r="H627" i="1"/>
  <c r="I627" i="1" s="1"/>
  <c r="J627" i="1" s="1"/>
  <c r="K627" i="1" s="1"/>
  <c r="L627" i="1" s="1"/>
  <c r="M627" i="1" s="1"/>
  <c r="N627" i="1" s="1"/>
  <c r="O627" i="1" s="1"/>
  <c r="P627" i="1" s="1"/>
  <c r="Q627" i="1" s="1"/>
  <c r="R627" i="1" s="1"/>
  <c r="S627" i="1" s="1"/>
  <c r="T627" i="1" s="1"/>
  <c r="U627" i="1" s="1"/>
  <c r="V627" i="1" s="1"/>
  <c r="F627" i="1"/>
  <c r="E627" i="1"/>
  <c r="D627" i="1"/>
  <c r="C627" i="1"/>
  <c r="B627" i="1"/>
  <c r="A627" i="1"/>
  <c r="R626" i="1"/>
  <c r="S626" i="1" s="1"/>
  <c r="T626" i="1" s="1"/>
  <c r="U626" i="1" s="1"/>
  <c r="V626" i="1" s="1"/>
  <c r="J626" i="1"/>
  <c r="K626" i="1" s="1"/>
  <c r="L626" i="1" s="1"/>
  <c r="M626" i="1" s="1"/>
  <c r="N626" i="1" s="1"/>
  <c r="O626" i="1" s="1"/>
  <c r="P626" i="1" s="1"/>
  <c r="Q626" i="1" s="1"/>
  <c r="I626" i="1"/>
  <c r="F626" i="1"/>
  <c r="E626" i="1"/>
  <c r="D626" i="1"/>
  <c r="H626" i="1" s="1"/>
  <c r="C626" i="1"/>
  <c r="B626" i="1"/>
  <c r="A626" i="1"/>
  <c r="W626" i="1" s="1"/>
  <c r="W625" i="1"/>
  <c r="H625" i="1"/>
  <c r="I625" i="1" s="1"/>
  <c r="J625" i="1" s="1"/>
  <c r="K625" i="1" s="1"/>
  <c r="L625" i="1" s="1"/>
  <c r="M625" i="1" s="1"/>
  <c r="N625" i="1" s="1"/>
  <c r="O625" i="1" s="1"/>
  <c r="P625" i="1" s="1"/>
  <c r="Q625" i="1" s="1"/>
  <c r="R625" i="1" s="1"/>
  <c r="S625" i="1" s="1"/>
  <c r="T625" i="1" s="1"/>
  <c r="U625" i="1" s="1"/>
  <c r="V625" i="1" s="1"/>
  <c r="F625" i="1"/>
  <c r="E625" i="1"/>
  <c r="D625" i="1"/>
  <c r="C625" i="1"/>
  <c r="B625" i="1"/>
  <c r="A625" i="1"/>
  <c r="Q624" i="1"/>
  <c r="R624" i="1" s="1"/>
  <c r="S624" i="1" s="1"/>
  <c r="T624" i="1" s="1"/>
  <c r="U624" i="1" s="1"/>
  <c r="V624" i="1" s="1"/>
  <c r="I624" i="1"/>
  <c r="J624" i="1" s="1"/>
  <c r="K624" i="1" s="1"/>
  <c r="L624" i="1" s="1"/>
  <c r="M624" i="1" s="1"/>
  <c r="N624" i="1" s="1"/>
  <c r="O624" i="1" s="1"/>
  <c r="P624" i="1" s="1"/>
  <c r="H624" i="1"/>
  <c r="F624" i="1"/>
  <c r="E624" i="1"/>
  <c r="D624" i="1"/>
  <c r="C624" i="1"/>
  <c r="B624" i="1"/>
  <c r="A624" i="1"/>
  <c r="W624" i="1" s="1"/>
  <c r="W623" i="1"/>
  <c r="Q623" i="1"/>
  <c r="R623" i="1" s="1"/>
  <c r="S623" i="1" s="1"/>
  <c r="T623" i="1" s="1"/>
  <c r="U623" i="1" s="1"/>
  <c r="V623" i="1" s="1"/>
  <c r="H623" i="1"/>
  <c r="I623" i="1" s="1"/>
  <c r="J623" i="1" s="1"/>
  <c r="K623" i="1" s="1"/>
  <c r="L623" i="1" s="1"/>
  <c r="M623" i="1" s="1"/>
  <c r="N623" i="1" s="1"/>
  <c r="O623" i="1" s="1"/>
  <c r="P623" i="1" s="1"/>
  <c r="F623" i="1"/>
  <c r="E623" i="1"/>
  <c r="D623" i="1"/>
  <c r="C623" i="1"/>
  <c r="B623" i="1"/>
  <c r="A623" i="1"/>
  <c r="S622" i="1"/>
  <c r="T622" i="1" s="1"/>
  <c r="U622" i="1" s="1"/>
  <c r="V622" i="1" s="1"/>
  <c r="R622" i="1"/>
  <c r="J622" i="1"/>
  <c r="K622" i="1" s="1"/>
  <c r="L622" i="1" s="1"/>
  <c r="M622" i="1" s="1"/>
  <c r="N622" i="1" s="1"/>
  <c r="O622" i="1" s="1"/>
  <c r="P622" i="1" s="1"/>
  <c r="Q622" i="1" s="1"/>
  <c r="I622" i="1"/>
  <c r="F622" i="1"/>
  <c r="E622" i="1"/>
  <c r="D622" i="1"/>
  <c r="H622" i="1" s="1"/>
  <c r="C622" i="1"/>
  <c r="B622" i="1"/>
  <c r="A622" i="1"/>
  <c r="W621" i="1"/>
  <c r="L621" i="1"/>
  <c r="M621" i="1" s="1"/>
  <c r="N621" i="1" s="1"/>
  <c r="O621" i="1" s="1"/>
  <c r="P621" i="1" s="1"/>
  <c r="Q621" i="1" s="1"/>
  <c r="R621" i="1" s="1"/>
  <c r="S621" i="1" s="1"/>
  <c r="T621" i="1" s="1"/>
  <c r="U621" i="1" s="1"/>
  <c r="V621" i="1" s="1"/>
  <c r="H621" i="1"/>
  <c r="I621" i="1" s="1"/>
  <c r="J621" i="1" s="1"/>
  <c r="K621" i="1" s="1"/>
  <c r="F621" i="1"/>
  <c r="E621" i="1"/>
  <c r="D621" i="1"/>
  <c r="C621" i="1"/>
  <c r="B621" i="1"/>
  <c r="A621" i="1"/>
  <c r="K620" i="1"/>
  <c r="L620" i="1" s="1"/>
  <c r="M620" i="1" s="1"/>
  <c r="N620" i="1" s="1"/>
  <c r="O620" i="1" s="1"/>
  <c r="P620" i="1" s="1"/>
  <c r="Q620" i="1" s="1"/>
  <c r="R620" i="1" s="1"/>
  <c r="S620" i="1" s="1"/>
  <c r="T620" i="1" s="1"/>
  <c r="U620" i="1" s="1"/>
  <c r="V620" i="1" s="1"/>
  <c r="I620" i="1"/>
  <c r="J620" i="1" s="1"/>
  <c r="H620" i="1"/>
  <c r="F620" i="1"/>
  <c r="E620" i="1"/>
  <c r="D620" i="1"/>
  <c r="C620" i="1"/>
  <c r="B620" i="1"/>
  <c r="A620" i="1"/>
  <c r="W620" i="1" s="1"/>
  <c r="W619" i="1"/>
  <c r="Q619" i="1"/>
  <c r="R619" i="1" s="1"/>
  <c r="S619" i="1" s="1"/>
  <c r="T619" i="1" s="1"/>
  <c r="U619" i="1" s="1"/>
  <c r="V619" i="1" s="1"/>
  <c r="P619" i="1"/>
  <c r="M619" i="1"/>
  <c r="N619" i="1" s="1"/>
  <c r="O619" i="1" s="1"/>
  <c r="H619" i="1"/>
  <c r="I619" i="1" s="1"/>
  <c r="J619" i="1" s="1"/>
  <c r="K619" i="1" s="1"/>
  <c r="L619" i="1" s="1"/>
  <c r="F619" i="1"/>
  <c r="E619" i="1"/>
  <c r="D619" i="1"/>
  <c r="C619" i="1"/>
  <c r="B619" i="1"/>
  <c r="A619" i="1"/>
  <c r="L618" i="1"/>
  <c r="M618" i="1" s="1"/>
  <c r="N618" i="1" s="1"/>
  <c r="O618" i="1" s="1"/>
  <c r="P618" i="1" s="1"/>
  <c r="Q618" i="1" s="1"/>
  <c r="R618" i="1" s="1"/>
  <c r="S618" i="1" s="1"/>
  <c r="T618" i="1" s="1"/>
  <c r="U618" i="1" s="1"/>
  <c r="V618" i="1" s="1"/>
  <c r="J618" i="1"/>
  <c r="K618" i="1" s="1"/>
  <c r="I618" i="1"/>
  <c r="F618" i="1"/>
  <c r="E618" i="1"/>
  <c r="D618" i="1"/>
  <c r="H618" i="1" s="1"/>
  <c r="C618" i="1"/>
  <c r="B618" i="1"/>
  <c r="A618" i="1"/>
  <c r="W618" i="1" s="1"/>
  <c r="W617" i="1"/>
  <c r="M617" i="1"/>
  <c r="N617" i="1" s="1"/>
  <c r="O617" i="1" s="1"/>
  <c r="P617" i="1" s="1"/>
  <c r="Q617" i="1" s="1"/>
  <c r="R617" i="1" s="1"/>
  <c r="S617" i="1" s="1"/>
  <c r="T617" i="1" s="1"/>
  <c r="U617" i="1" s="1"/>
  <c r="V617" i="1" s="1"/>
  <c r="L617" i="1"/>
  <c r="H617" i="1"/>
  <c r="I617" i="1" s="1"/>
  <c r="J617" i="1" s="1"/>
  <c r="K617" i="1" s="1"/>
  <c r="F617" i="1"/>
  <c r="E617" i="1"/>
  <c r="D617" i="1"/>
  <c r="C617" i="1"/>
  <c r="B617" i="1"/>
  <c r="A617" i="1"/>
  <c r="H616" i="1"/>
  <c r="I616" i="1" s="1"/>
  <c r="J616" i="1" s="1"/>
  <c r="K616" i="1" s="1"/>
  <c r="L616" i="1" s="1"/>
  <c r="M616" i="1" s="1"/>
  <c r="N616" i="1" s="1"/>
  <c r="O616" i="1" s="1"/>
  <c r="P616" i="1" s="1"/>
  <c r="Q616" i="1" s="1"/>
  <c r="R616" i="1" s="1"/>
  <c r="S616" i="1" s="1"/>
  <c r="T616" i="1" s="1"/>
  <c r="U616" i="1" s="1"/>
  <c r="V616" i="1" s="1"/>
  <c r="F616" i="1"/>
  <c r="E616" i="1"/>
  <c r="D616" i="1"/>
  <c r="C616" i="1"/>
  <c r="B616" i="1"/>
  <c r="A616" i="1"/>
  <c r="W616" i="1" s="1"/>
  <c r="W615" i="1"/>
  <c r="V615" i="1"/>
  <c r="F615" i="1"/>
  <c r="E615" i="1"/>
  <c r="D615" i="1"/>
  <c r="H615" i="1" s="1"/>
  <c r="I615" i="1" s="1"/>
  <c r="J615" i="1" s="1"/>
  <c r="K615" i="1" s="1"/>
  <c r="L615" i="1" s="1"/>
  <c r="M615" i="1" s="1"/>
  <c r="N615" i="1" s="1"/>
  <c r="O615" i="1" s="1"/>
  <c r="P615" i="1" s="1"/>
  <c r="Q615" i="1" s="1"/>
  <c r="R615" i="1" s="1"/>
  <c r="S615" i="1" s="1"/>
  <c r="T615" i="1" s="1"/>
  <c r="U615" i="1" s="1"/>
  <c r="C615" i="1"/>
  <c r="B615" i="1"/>
  <c r="A615" i="1"/>
  <c r="J614" i="1"/>
  <c r="K614" i="1" s="1"/>
  <c r="L614" i="1" s="1"/>
  <c r="M614" i="1" s="1"/>
  <c r="N614" i="1" s="1"/>
  <c r="O614" i="1" s="1"/>
  <c r="P614" i="1" s="1"/>
  <c r="Q614" i="1" s="1"/>
  <c r="R614" i="1" s="1"/>
  <c r="S614" i="1" s="1"/>
  <c r="T614" i="1" s="1"/>
  <c r="U614" i="1" s="1"/>
  <c r="V614" i="1" s="1"/>
  <c r="F614" i="1"/>
  <c r="E614" i="1"/>
  <c r="D614" i="1"/>
  <c r="H614" i="1" s="1"/>
  <c r="I614" i="1" s="1"/>
  <c r="C614" i="1"/>
  <c r="B614" i="1"/>
  <c r="A614" i="1"/>
  <c r="I613" i="1"/>
  <c r="J613" i="1" s="1"/>
  <c r="K613" i="1" s="1"/>
  <c r="L613" i="1" s="1"/>
  <c r="M613" i="1" s="1"/>
  <c r="N613" i="1" s="1"/>
  <c r="O613" i="1" s="1"/>
  <c r="P613" i="1" s="1"/>
  <c r="Q613" i="1" s="1"/>
  <c r="R613" i="1" s="1"/>
  <c r="S613" i="1" s="1"/>
  <c r="T613" i="1" s="1"/>
  <c r="U613" i="1" s="1"/>
  <c r="V613" i="1" s="1"/>
  <c r="H613" i="1"/>
  <c r="F613" i="1"/>
  <c r="E613" i="1"/>
  <c r="D613" i="1"/>
  <c r="C613" i="1"/>
  <c r="B613" i="1"/>
  <c r="W613" i="1" s="1"/>
  <c r="A613" i="1"/>
  <c r="W612" i="1"/>
  <c r="O612" i="1"/>
  <c r="P612" i="1" s="1"/>
  <c r="Q612" i="1" s="1"/>
  <c r="R612" i="1" s="1"/>
  <c r="S612" i="1" s="1"/>
  <c r="T612" i="1" s="1"/>
  <c r="U612" i="1" s="1"/>
  <c r="V612" i="1" s="1"/>
  <c r="J612" i="1"/>
  <c r="K612" i="1" s="1"/>
  <c r="L612" i="1" s="1"/>
  <c r="M612" i="1" s="1"/>
  <c r="N612" i="1" s="1"/>
  <c r="I612" i="1"/>
  <c r="F612" i="1"/>
  <c r="E612" i="1"/>
  <c r="D612" i="1"/>
  <c r="H612" i="1" s="1"/>
  <c r="C612" i="1"/>
  <c r="B612" i="1"/>
  <c r="A612" i="1"/>
  <c r="W611" i="1"/>
  <c r="F611" i="1"/>
  <c r="E611" i="1"/>
  <c r="D611" i="1"/>
  <c r="H611" i="1" s="1"/>
  <c r="I611" i="1" s="1"/>
  <c r="J611" i="1" s="1"/>
  <c r="K611" i="1" s="1"/>
  <c r="L611" i="1" s="1"/>
  <c r="M611" i="1" s="1"/>
  <c r="N611" i="1" s="1"/>
  <c r="O611" i="1" s="1"/>
  <c r="P611" i="1" s="1"/>
  <c r="Q611" i="1" s="1"/>
  <c r="R611" i="1" s="1"/>
  <c r="S611" i="1" s="1"/>
  <c r="T611" i="1" s="1"/>
  <c r="U611" i="1" s="1"/>
  <c r="V611" i="1" s="1"/>
  <c r="C611" i="1"/>
  <c r="B611" i="1"/>
  <c r="A611" i="1"/>
  <c r="J610" i="1"/>
  <c r="K610" i="1" s="1"/>
  <c r="L610" i="1" s="1"/>
  <c r="M610" i="1" s="1"/>
  <c r="N610" i="1" s="1"/>
  <c r="O610" i="1" s="1"/>
  <c r="P610" i="1" s="1"/>
  <c r="Q610" i="1" s="1"/>
  <c r="R610" i="1" s="1"/>
  <c r="S610" i="1" s="1"/>
  <c r="T610" i="1" s="1"/>
  <c r="U610" i="1" s="1"/>
  <c r="V610" i="1" s="1"/>
  <c r="F610" i="1"/>
  <c r="E610" i="1"/>
  <c r="D610" i="1"/>
  <c r="H610" i="1" s="1"/>
  <c r="I610" i="1" s="1"/>
  <c r="C610" i="1"/>
  <c r="B610" i="1"/>
  <c r="A610" i="1"/>
  <c r="I609" i="1"/>
  <c r="J609" i="1" s="1"/>
  <c r="K609" i="1" s="1"/>
  <c r="L609" i="1" s="1"/>
  <c r="M609" i="1" s="1"/>
  <c r="N609" i="1" s="1"/>
  <c r="O609" i="1" s="1"/>
  <c r="P609" i="1" s="1"/>
  <c r="Q609" i="1" s="1"/>
  <c r="R609" i="1" s="1"/>
  <c r="S609" i="1" s="1"/>
  <c r="T609" i="1" s="1"/>
  <c r="U609" i="1" s="1"/>
  <c r="V609" i="1" s="1"/>
  <c r="H609" i="1"/>
  <c r="F609" i="1"/>
  <c r="E609" i="1"/>
  <c r="D609" i="1"/>
  <c r="C609" i="1"/>
  <c r="B609" i="1"/>
  <c r="W609" i="1" s="1"/>
  <c r="A609" i="1"/>
  <c r="W608" i="1"/>
  <c r="O608" i="1"/>
  <c r="P608" i="1" s="1"/>
  <c r="Q608" i="1" s="1"/>
  <c r="R608" i="1" s="1"/>
  <c r="S608" i="1" s="1"/>
  <c r="T608" i="1" s="1"/>
  <c r="U608" i="1" s="1"/>
  <c r="V608" i="1" s="1"/>
  <c r="J608" i="1"/>
  <c r="K608" i="1" s="1"/>
  <c r="L608" i="1" s="1"/>
  <c r="M608" i="1" s="1"/>
  <c r="N608" i="1" s="1"/>
  <c r="I608" i="1"/>
  <c r="F608" i="1"/>
  <c r="E608" i="1"/>
  <c r="D608" i="1"/>
  <c r="H608" i="1" s="1"/>
  <c r="C608" i="1"/>
  <c r="B608" i="1"/>
  <c r="A608" i="1"/>
  <c r="W607" i="1"/>
  <c r="F607" i="1"/>
  <c r="E607" i="1"/>
  <c r="D607" i="1"/>
  <c r="H607" i="1" s="1"/>
  <c r="I607" i="1" s="1"/>
  <c r="J607" i="1" s="1"/>
  <c r="K607" i="1" s="1"/>
  <c r="L607" i="1" s="1"/>
  <c r="M607" i="1" s="1"/>
  <c r="N607" i="1" s="1"/>
  <c r="O607" i="1" s="1"/>
  <c r="P607" i="1" s="1"/>
  <c r="Q607" i="1" s="1"/>
  <c r="R607" i="1" s="1"/>
  <c r="S607" i="1" s="1"/>
  <c r="T607" i="1" s="1"/>
  <c r="U607" i="1" s="1"/>
  <c r="V607" i="1" s="1"/>
  <c r="C607" i="1"/>
  <c r="B607" i="1"/>
  <c r="A607" i="1"/>
  <c r="J606" i="1"/>
  <c r="K606" i="1" s="1"/>
  <c r="L606" i="1" s="1"/>
  <c r="M606" i="1" s="1"/>
  <c r="N606" i="1" s="1"/>
  <c r="O606" i="1" s="1"/>
  <c r="P606" i="1" s="1"/>
  <c r="Q606" i="1" s="1"/>
  <c r="R606" i="1" s="1"/>
  <c r="S606" i="1" s="1"/>
  <c r="T606" i="1" s="1"/>
  <c r="U606" i="1" s="1"/>
  <c r="V606" i="1" s="1"/>
  <c r="F606" i="1"/>
  <c r="E606" i="1"/>
  <c r="D606" i="1"/>
  <c r="H606" i="1" s="1"/>
  <c r="I606" i="1" s="1"/>
  <c r="C606" i="1"/>
  <c r="B606" i="1"/>
  <c r="A606" i="1"/>
  <c r="I605" i="1"/>
  <c r="J605" i="1" s="1"/>
  <c r="K605" i="1" s="1"/>
  <c r="L605" i="1" s="1"/>
  <c r="M605" i="1" s="1"/>
  <c r="N605" i="1" s="1"/>
  <c r="O605" i="1" s="1"/>
  <c r="P605" i="1" s="1"/>
  <c r="Q605" i="1" s="1"/>
  <c r="R605" i="1" s="1"/>
  <c r="S605" i="1" s="1"/>
  <c r="T605" i="1" s="1"/>
  <c r="U605" i="1" s="1"/>
  <c r="V605" i="1" s="1"/>
  <c r="H605" i="1"/>
  <c r="F605" i="1"/>
  <c r="E605" i="1"/>
  <c r="D605" i="1"/>
  <c r="C605" i="1"/>
  <c r="B605" i="1"/>
  <c r="W605" i="1" s="1"/>
  <c r="A605" i="1"/>
  <c r="W604" i="1"/>
  <c r="O604" i="1"/>
  <c r="P604" i="1" s="1"/>
  <c r="Q604" i="1" s="1"/>
  <c r="R604" i="1" s="1"/>
  <c r="S604" i="1" s="1"/>
  <c r="T604" i="1" s="1"/>
  <c r="U604" i="1" s="1"/>
  <c r="V604" i="1" s="1"/>
  <c r="J604" i="1"/>
  <c r="K604" i="1" s="1"/>
  <c r="L604" i="1" s="1"/>
  <c r="M604" i="1" s="1"/>
  <c r="N604" i="1" s="1"/>
  <c r="I604" i="1"/>
  <c r="F604" i="1"/>
  <c r="E604" i="1"/>
  <c r="D604" i="1"/>
  <c r="H604" i="1" s="1"/>
  <c r="C604" i="1"/>
  <c r="B604" i="1"/>
  <c r="A604" i="1"/>
  <c r="W603" i="1"/>
  <c r="F603" i="1"/>
  <c r="E603" i="1"/>
  <c r="D603" i="1"/>
  <c r="H603" i="1" s="1"/>
  <c r="I603" i="1" s="1"/>
  <c r="J603" i="1" s="1"/>
  <c r="K603" i="1" s="1"/>
  <c r="L603" i="1" s="1"/>
  <c r="M603" i="1" s="1"/>
  <c r="N603" i="1" s="1"/>
  <c r="O603" i="1" s="1"/>
  <c r="P603" i="1" s="1"/>
  <c r="Q603" i="1" s="1"/>
  <c r="R603" i="1" s="1"/>
  <c r="S603" i="1" s="1"/>
  <c r="T603" i="1" s="1"/>
  <c r="U603" i="1" s="1"/>
  <c r="V603" i="1" s="1"/>
  <c r="C603" i="1"/>
  <c r="B603" i="1"/>
  <c r="A603" i="1"/>
  <c r="J602" i="1"/>
  <c r="K602" i="1" s="1"/>
  <c r="L602" i="1" s="1"/>
  <c r="M602" i="1" s="1"/>
  <c r="N602" i="1" s="1"/>
  <c r="O602" i="1" s="1"/>
  <c r="P602" i="1" s="1"/>
  <c r="Q602" i="1" s="1"/>
  <c r="R602" i="1" s="1"/>
  <c r="S602" i="1" s="1"/>
  <c r="T602" i="1" s="1"/>
  <c r="U602" i="1" s="1"/>
  <c r="V602" i="1" s="1"/>
  <c r="F602" i="1"/>
  <c r="E602" i="1"/>
  <c r="D602" i="1"/>
  <c r="H602" i="1" s="1"/>
  <c r="I602" i="1" s="1"/>
  <c r="C602" i="1"/>
  <c r="B602" i="1"/>
  <c r="A602" i="1"/>
  <c r="I601" i="1"/>
  <c r="J601" i="1" s="1"/>
  <c r="K601" i="1" s="1"/>
  <c r="L601" i="1" s="1"/>
  <c r="M601" i="1" s="1"/>
  <c r="N601" i="1" s="1"/>
  <c r="O601" i="1" s="1"/>
  <c r="P601" i="1" s="1"/>
  <c r="Q601" i="1" s="1"/>
  <c r="R601" i="1" s="1"/>
  <c r="S601" i="1" s="1"/>
  <c r="T601" i="1" s="1"/>
  <c r="U601" i="1" s="1"/>
  <c r="V601" i="1" s="1"/>
  <c r="H601" i="1"/>
  <c r="F601" i="1"/>
  <c r="E601" i="1"/>
  <c r="D601" i="1"/>
  <c r="C601" i="1"/>
  <c r="B601" i="1"/>
  <c r="W601" i="1" s="1"/>
  <c r="A601" i="1"/>
  <c r="W600" i="1"/>
  <c r="O600" i="1"/>
  <c r="P600" i="1" s="1"/>
  <c r="Q600" i="1" s="1"/>
  <c r="R600" i="1" s="1"/>
  <c r="S600" i="1" s="1"/>
  <c r="T600" i="1" s="1"/>
  <c r="U600" i="1" s="1"/>
  <c r="V600" i="1" s="1"/>
  <c r="J600" i="1"/>
  <c r="K600" i="1" s="1"/>
  <c r="L600" i="1" s="1"/>
  <c r="M600" i="1" s="1"/>
  <c r="N600" i="1" s="1"/>
  <c r="I600" i="1"/>
  <c r="F600" i="1"/>
  <c r="E600" i="1"/>
  <c r="D600" i="1"/>
  <c r="H600" i="1" s="1"/>
  <c r="C600" i="1"/>
  <c r="B600" i="1"/>
  <c r="A600" i="1"/>
  <c r="W599" i="1"/>
  <c r="T599" i="1"/>
  <c r="U599" i="1" s="1"/>
  <c r="V599" i="1" s="1"/>
  <c r="F599" i="1"/>
  <c r="E599" i="1"/>
  <c r="D599" i="1"/>
  <c r="H599" i="1" s="1"/>
  <c r="I599" i="1" s="1"/>
  <c r="J599" i="1" s="1"/>
  <c r="K599" i="1" s="1"/>
  <c r="L599" i="1" s="1"/>
  <c r="M599" i="1" s="1"/>
  <c r="N599" i="1" s="1"/>
  <c r="O599" i="1" s="1"/>
  <c r="P599" i="1" s="1"/>
  <c r="Q599" i="1" s="1"/>
  <c r="R599" i="1" s="1"/>
  <c r="S599" i="1" s="1"/>
  <c r="C599" i="1"/>
  <c r="B599" i="1"/>
  <c r="A599" i="1"/>
  <c r="J598" i="1"/>
  <c r="K598" i="1" s="1"/>
  <c r="L598" i="1" s="1"/>
  <c r="M598" i="1" s="1"/>
  <c r="N598" i="1" s="1"/>
  <c r="O598" i="1" s="1"/>
  <c r="P598" i="1" s="1"/>
  <c r="Q598" i="1" s="1"/>
  <c r="R598" i="1" s="1"/>
  <c r="S598" i="1" s="1"/>
  <c r="T598" i="1" s="1"/>
  <c r="U598" i="1" s="1"/>
  <c r="V598" i="1" s="1"/>
  <c r="F598" i="1"/>
  <c r="E598" i="1"/>
  <c r="D598" i="1"/>
  <c r="H598" i="1" s="1"/>
  <c r="I598" i="1" s="1"/>
  <c r="C598" i="1"/>
  <c r="B598" i="1"/>
  <c r="A598" i="1"/>
  <c r="I597" i="1"/>
  <c r="J597" i="1" s="1"/>
  <c r="K597" i="1" s="1"/>
  <c r="L597" i="1" s="1"/>
  <c r="M597" i="1" s="1"/>
  <c r="N597" i="1" s="1"/>
  <c r="O597" i="1" s="1"/>
  <c r="P597" i="1" s="1"/>
  <c r="Q597" i="1" s="1"/>
  <c r="R597" i="1" s="1"/>
  <c r="S597" i="1" s="1"/>
  <c r="T597" i="1" s="1"/>
  <c r="U597" i="1" s="1"/>
  <c r="V597" i="1" s="1"/>
  <c r="H597" i="1"/>
  <c r="F597" i="1"/>
  <c r="E597" i="1"/>
  <c r="D597" i="1"/>
  <c r="C597" i="1"/>
  <c r="B597" i="1"/>
  <c r="W597" i="1" s="1"/>
  <c r="A597" i="1"/>
  <c r="W596" i="1"/>
  <c r="O596" i="1"/>
  <c r="P596" i="1" s="1"/>
  <c r="Q596" i="1" s="1"/>
  <c r="R596" i="1" s="1"/>
  <c r="S596" i="1" s="1"/>
  <c r="T596" i="1" s="1"/>
  <c r="U596" i="1" s="1"/>
  <c r="V596" i="1" s="1"/>
  <c r="J596" i="1"/>
  <c r="K596" i="1" s="1"/>
  <c r="L596" i="1" s="1"/>
  <c r="M596" i="1" s="1"/>
  <c r="N596" i="1" s="1"/>
  <c r="I596" i="1"/>
  <c r="F596" i="1"/>
  <c r="E596" i="1"/>
  <c r="D596" i="1"/>
  <c r="H596" i="1" s="1"/>
  <c r="C596" i="1"/>
  <c r="B596" i="1"/>
  <c r="A596" i="1"/>
  <c r="W595" i="1"/>
  <c r="F595" i="1"/>
  <c r="E595" i="1"/>
  <c r="D595" i="1"/>
  <c r="H595" i="1" s="1"/>
  <c r="I595" i="1" s="1"/>
  <c r="J595" i="1" s="1"/>
  <c r="K595" i="1" s="1"/>
  <c r="L595" i="1" s="1"/>
  <c r="M595" i="1" s="1"/>
  <c r="N595" i="1" s="1"/>
  <c r="O595" i="1" s="1"/>
  <c r="P595" i="1" s="1"/>
  <c r="Q595" i="1" s="1"/>
  <c r="R595" i="1" s="1"/>
  <c r="S595" i="1" s="1"/>
  <c r="T595" i="1" s="1"/>
  <c r="U595" i="1" s="1"/>
  <c r="V595" i="1" s="1"/>
  <c r="C595" i="1"/>
  <c r="B595" i="1"/>
  <c r="A595" i="1"/>
  <c r="K594" i="1"/>
  <c r="L594" i="1" s="1"/>
  <c r="M594" i="1" s="1"/>
  <c r="N594" i="1" s="1"/>
  <c r="O594" i="1" s="1"/>
  <c r="P594" i="1" s="1"/>
  <c r="Q594" i="1" s="1"/>
  <c r="R594" i="1" s="1"/>
  <c r="S594" i="1" s="1"/>
  <c r="T594" i="1" s="1"/>
  <c r="U594" i="1" s="1"/>
  <c r="V594" i="1" s="1"/>
  <c r="J594" i="1"/>
  <c r="F594" i="1"/>
  <c r="E594" i="1"/>
  <c r="D594" i="1"/>
  <c r="H594" i="1" s="1"/>
  <c r="I594" i="1" s="1"/>
  <c r="C594" i="1"/>
  <c r="B594" i="1"/>
  <c r="A594" i="1"/>
  <c r="W594" i="1" s="1"/>
  <c r="W593" i="1"/>
  <c r="I593" i="1"/>
  <c r="J593" i="1" s="1"/>
  <c r="K593" i="1" s="1"/>
  <c r="L593" i="1" s="1"/>
  <c r="M593" i="1" s="1"/>
  <c r="N593" i="1" s="1"/>
  <c r="O593" i="1" s="1"/>
  <c r="P593" i="1" s="1"/>
  <c r="Q593" i="1" s="1"/>
  <c r="R593" i="1" s="1"/>
  <c r="S593" i="1" s="1"/>
  <c r="T593" i="1" s="1"/>
  <c r="U593" i="1" s="1"/>
  <c r="V593" i="1" s="1"/>
  <c r="H593" i="1"/>
  <c r="F593" i="1"/>
  <c r="E593" i="1"/>
  <c r="D593" i="1"/>
  <c r="C593" i="1"/>
  <c r="B593" i="1"/>
  <c r="A593" i="1"/>
  <c r="W592" i="1"/>
  <c r="F592" i="1"/>
  <c r="E592" i="1"/>
  <c r="D592" i="1"/>
  <c r="H592" i="1" s="1"/>
  <c r="I592" i="1" s="1"/>
  <c r="J592" i="1" s="1"/>
  <c r="K592" i="1" s="1"/>
  <c r="L592" i="1" s="1"/>
  <c r="M592" i="1" s="1"/>
  <c r="N592" i="1" s="1"/>
  <c r="O592" i="1" s="1"/>
  <c r="P592" i="1" s="1"/>
  <c r="Q592" i="1" s="1"/>
  <c r="R592" i="1" s="1"/>
  <c r="S592" i="1" s="1"/>
  <c r="T592" i="1" s="1"/>
  <c r="U592" i="1" s="1"/>
  <c r="V592" i="1" s="1"/>
  <c r="C592" i="1"/>
  <c r="B592" i="1"/>
  <c r="A592" i="1"/>
  <c r="W591" i="1"/>
  <c r="K591" i="1"/>
  <c r="L591" i="1" s="1"/>
  <c r="M591" i="1" s="1"/>
  <c r="N591" i="1" s="1"/>
  <c r="O591" i="1" s="1"/>
  <c r="P591" i="1" s="1"/>
  <c r="Q591" i="1" s="1"/>
  <c r="R591" i="1" s="1"/>
  <c r="S591" i="1" s="1"/>
  <c r="T591" i="1" s="1"/>
  <c r="U591" i="1" s="1"/>
  <c r="V591" i="1" s="1"/>
  <c r="F591" i="1"/>
  <c r="E591" i="1"/>
  <c r="D591" i="1"/>
  <c r="H591" i="1" s="1"/>
  <c r="I591" i="1" s="1"/>
  <c r="J591" i="1" s="1"/>
  <c r="C591" i="1"/>
  <c r="B591" i="1"/>
  <c r="A591" i="1"/>
  <c r="F590" i="1"/>
  <c r="E590" i="1"/>
  <c r="D590" i="1"/>
  <c r="H590" i="1" s="1"/>
  <c r="I590" i="1" s="1"/>
  <c r="J590" i="1" s="1"/>
  <c r="K590" i="1" s="1"/>
  <c r="L590" i="1" s="1"/>
  <c r="M590" i="1" s="1"/>
  <c r="N590" i="1" s="1"/>
  <c r="O590" i="1" s="1"/>
  <c r="P590" i="1" s="1"/>
  <c r="Q590" i="1" s="1"/>
  <c r="R590" i="1" s="1"/>
  <c r="S590" i="1" s="1"/>
  <c r="T590" i="1" s="1"/>
  <c r="U590" i="1" s="1"/>
  <c r="V590" i="1" s="1"/>
  <c r="C590" i="1"/>
  <c r="B590" i="1"/>
  <c r="A590" i="1"/>
  <c r="W590" i="1" s="1"/>
  <c r="W589" i="1"/>
  <c r="K589" i="1"/>
  <c r="L589" i="1" s="1"/>
  <c r="M589" i="1" s="1"/>
  <c r="N589" i="1" s="1"/>
  <c r="O589" i="1" s="1"/>
  <c r="P589" i="1" s="1"/>
  <c r="Q589" i="1" s="1"/>
  <c r="R589" i="1" s="1"/>
  <c r="S589" i="1" s="1"/>
  <c r="T589" i="1" s="1"/>
  <c r="U589" i="1" s="1"/>
  <c r="V589" i="1" s="1"/>
  <c r="I589" i="1"/>
  <c r="J589" i="1" s="1"/>
  <c r="H589" i="1"/>
  <c r="F589" i="1"/>
  <c r="E589" i="1"/>
  <c r="D589" i="1"/>
  <c r="C589" i="1"/>
  <c r="B589" i="1"/>
  <c r="A589" i="1"/>
  <c r="F588" i="1"/>
  <c r="E588" i="1"/>
  <c r="D588" i="1"/>
  <c r="H588" i="1" s="1"/>
  <c r="I588" i="1" s="1"/>
  <c r="J588" i="1" s="1"/>
  <c r="K588" i="1" s="1"/>
  <c r="L588" i="1" s="1"/>
  <c r="M588" i="1" s="1"/>
  <c r="N588" i="1" s="1"/>
  <c r="O588" i="1" s="1"/>
  <c r="P588" i="1" s="1"/>
  <c r="Q588" i="1" s="1"/>
  <c r="R588" i="1" s="1"/>
  <c r="S588" i="1" s="1"/>
  <c r="T588" i="1" s="1"/>
  <c r="U588" i="1" s="1"/>
  <c r="V588" i="1" s="1"/>
  <c r="C588" i="1"/>
  <c r="B588" i="1"/>
  <c r="A588" i="1"/>
  <c r="W588" i="1" s="1"/>
  <c r="W587" i="1"/>
  <c r="L587" i="1"/>
  <c r="M587" i="1" s="1"/>
  <c r="N587" i="1" s="1"/>
  <c r="O587" i="1" s="1"/>
  <c r="P587" i="1" s="1"/>
  <c r="Q587" i="1" s="1"/>
  <c r="R587" i="1" s="1"/>
  <c r="S587" i="1" s="1"/>
  <c r="T587" i="1" s="1"/>
  <c r="U587" i="1" s="1"/>
  <c r="V587" i="1" s="1"/>
  <c r="K587" i="1"/>
  <c r="F587" i="1"/>
  <c r="E587" i="1"/>
  <c r="D587" i="1"/>
  <c r="H587" i="1" s="1"/>
  <c r="I587" i="1" s="1"/>
  <c r="J587" i="1" s="1"/>
  <c r="C587" i="1"/>
  <c r="B587" i="1"/>
  <c r="A587" i="1"/>
  <c r="F586" i="1"/>
  <c r="E586" i="1"/>
  <c r="D586" i="1"/>
  <c r="H586" i="1" s="1"/>
  <c r="I586" i="1" s="1"/>
  <c r="J586" i="1" s="1"/>
  <c r="K586" i="1" s="1"/>
  <c r="L586" i="1" s="1"/>
  <c r="M586" i="1" s="1"/>
  <c r="N586" i="1" s="1"/>
  <c r="O586" i="1" s="1"/>
  <c r="P586" i="1" s="1"/>
  <c r="Q586" i="1" s="1"/>
  <c r="R586" i="1" s="1"/>
  <c r="S586" i="1" s="1"/>
  <c r="T586" i="1" s="1"/>
  <c r="U586" i="1" s="1"/>
  <c r="V586" i="1" s="1"/>
  <c r="C586" i="1"/>
  <c r="B586" i="1"/>
  <c r="A586" i="1"/>
  <c r="W586" i="1" s="1"/>
  <c r="W585" i="1"/>
  <c r="P585" i="1"/>
  <c r="Q585" i="1" s="1"/>
  <c r="R585" i="1" s="1"/>
  <c r="S585" i="1" s="1"/>
  <c r="T585" i="1" s="1"/>
  <c r="U585" i="1" s="1"/>
  <c r="V585" i="1" s="1"/>
  <c r="K585" i="1"/>
  <c r="L585" i="1" s="1"/>
  <c r="M585" i="1" s="1"/>
  <c r="N585" i="1" s="1"/>
  <c r="O585" i="1" s="1"/>
  <c r="I585" i="1"/>
  <c r="J585" i="1" s="1"/>
  <c r="H585" i="1"/>
  <c r="F585" i="1"/>
  <c r="E585" i="1"/>
  <c r="D585" i="1"/>
  <c r="C585" i="1"/>
  <c r="B585" i="1"/>
  <c r="A585" i="1"/>
  <c r="Q584" i="1"/>
  <c r="R584" i="1" s="1"/>
  <c r="S584" i="1" s="1"/>
  <c r="T584" i="1" s="1"/>
  <c r="U584" i="1" s="1"/>
  <c r="V584" i="1" s="1"/>
  <c r="J584" i="1"/>
  <c r="K584" i="1" s="1"/>
  <c r="L584" i="1" s="1"/>
  <c r="M584" i="1" s="1"/>
  <c r="N584" i="1" s="1"/>
  <c r="O584" i="1" s="1"/>
  <c r="P584" i="1" s="1"/>
  <c r="F584" i="1"/>
  <c r="E584" i="1"/>
  <c r="D584" i="1"/>
  <c r="H584" i="1" s="1"/>
  <c r="I584" i="1" s="1"/>
  <c r="C584" i="1"/>
  <c r="B584" i="1"/>
  <c r="A584" i="1"/>
  <c r="W584" i="1" s="1"/>
  <c r="W583" i="1"/>
  <c r="F583" i="1"/>
  <c r="E583" i="1"/>
  <c r="D583" i="1"/>
  <c r="H583" i="1" s="1"/>
  <c r="I583" i="1" s="1"/>
  <c r="J583" i="1" s="1"/>
  <c r="K583" i="1" s="1"/>
  <c r="L583" i="1" s="1"/>
  <c r="M583" i="1" s="1"/>
  <c r="N583" i="1" s="1"/>
  <c r="O583" i="1" s="1"/>
  <c r="P583" i="1" s="1"/>
  <c r="Q583" i="1" s="1"/>
  <c r="R583" i="1" s="1"/>
  <c r="S583" i="1" s="1"/>
  <c r="T583" i="1" s="1"/>
  <c r="U583" i="1" s="1"/>
  <c r="V583" i="1" s="1"/>
  <c r="C583" i="1"/>
  <c r="B583" i="1"/>
  <c r="A583" i="1"/>
  <c r="J582" i="1"/>
  <c r="K582" i="1" s="1"/>
  <c r="L582" i="1" s="1"/>
  <c r="M582" i="1" s="1"/>
  <c r="N582" i="1" s="1"/>
  <c r="O582" i="1" s="1"/>
  <c r="P582" i="1" s="1"/>
  <c r="Q582" i="1" s="1"/>
  <c r="R582" i="1" s="1"/>
  <c r="S582" i="1" s="1"/>
  <c r="T582" i="1" s="1"/>
  <c r="U582" i="1" s="1"/>
  <c r="V582" i="1" s="1"/>
  <c r="F582" i="1"/>
  <c r="E582" i="1"/>
  <c r="D582" i="1"/>
  <c r="H582" i="1" s="1"/>
  <c r="I582" i="1" s="1"/>
  <c r="C582" i="1"/>
  <c r="B582" i="1"/>
  <c r="A582" i="1"/>
  <c r="W582" i="1" s="1"/>
  <c r="W581" i="1"/>
  <c r="S581" i="1"/>
  <c r="T581" i="1" s="1"/>
  <c r="U581" i="1" s="1"/>
  <c r="V581" i="1" s="1"/>
  <c r="K581" i="1"/>
  <c r="L581" i="1" s="1"/>
  <c r="M581" i="1" s="1"/>
  <c r="N581" i="1" s="1"/>
  <c r="O581" i="1" s="1"/>
  <c r="P581" i="1" s="1"/>
  <c r="Q581" i="1" s="1"/>
  <c r="R581" i="1" s="1"/>
  <c r="I581" i="1"/>
  <c r="J581" i="1" s="1"/>
  <c r="H581" i="1"/>
  <c r="F581" i="1"/>
  <c r="E581" i="1"/>
  <c r="D581" i="1"/>
  <c r="C581" i="1"/>
  <c r="B581" i="1"/>
  <c r="A581" i="1"/>
  <c r="U580" i="1"/>
  <c r="V580" i="1" s="1"/>
  <c r="J580" i="1"/>
  <c r="K580" i="1" s="1"/>
  <c r="L580" i="1" s="1"/>
  <c r="M580" i="1" s="1"/>
  <c r="N580" i="1" s="1"/>
  <c r="O580" i="1" s="1"/>
  <c r="P580" i="1" s="1"/>
  <c r="Q580" i="1" s="1"/>
  <c r="R580" i="1" s="1"/>
  <c r="S580" i="1" s="1"/>
  <c r="T580" i="1" s="1"/>
  <c r="F580" i="1"/>
  <c r="E580" i="1"/>
  <c r="D580" i="1"/>
  <c r="H580" i="1" s="1"/>
  <c r="I580" i="1" s="1"/>
  <c r="C580" i="1"/>
  <c r="B580" i="1"/>
  <c r="A580" i="1"/>
  <c r="W580" i="1" s="1"/>
  <c r="W579" i="1"/>
  <c r="K579" i="1"/>
  <c r="L579" i="1" s="1"/>
  <c r="M579" i="1" s="1"/>
  <c r="N579" i="1" s="1"/>
  <c r="O579" i="1" s="1"/>
  <c r="P579" i="1" s="1"/>
  <c r="Q579" i="1" s="1"/>
  <c r="R579" i="1" s="1"/>
  <c r="S579" i="1" s="1"/>
  <c r="T579" i="1" s="1"/>
  <c r="U579" i="1" s="1"/>
  <c r="V579" i="1" s="1"/>
  <c r="F579" i="1"/>
  <c r="E579" i="1"/>
  <c r="D579" i="1"/>
  <c r="H579" i="1" s="1"/>
  <c r="I579" i="1" s="1"/>
  <c r="J579" i="1" s="1"/>
  <c r="C579" i="1"/>
  <c r="B579" i="1"/>
  <c r="A579" i="1"/>
  <c r="K578" i="1"/>
  <c r="L578" i="1" s="1"/>
  <c r="M578" i="1" s="1"/>
  <c r="N578" i="1" s="1"/>
  <c r="O578" i="1" s="1"/>
  <c r="P578" i="1" s="1"/>
  <c r="Q578" i="1" s="1"/>
  <c r="R578" i="1" s="1"/>
  <c r="S578" i="1" s="1"/>
  <c r="T578" i="1" s="1"/>
  <c r="U578" i="1" s="1"/>
  <c r="V578" i="1" s="1"/>
  <c r="F578" i="1"/>
  <c r="E578" i="1"/>
  <c r="D578" i="1"/>
  <c r="H578" i="1" s="1"/>
  <c r="I578" i="1" s="1"/>
  <c r="J578" i="1" s="1"/>
  <c r="C578" i="1"/>
  <c r="B578" i="1"/>
  <c r="A578" i="1"/>
  <c r="W578" i="1" s="1"/>
  <c r="W577" i="1"/>
  <c r="I577" i="1"/>
  <c r="J577" i="1" s="1"/>
  <c r="K577" i="1" s="1"/>
  <c r="L577" i="1" s="1"/>
  <c r="M577" i="1" s="1"/>
  <c r="N577" i="1" s="1"/>
  <c r="O577" i="1" s="1"/>
  <c r="P577" i="1" s="1"/>
  <c r="Q577" i="1" s="1"/>
  <c r="R577" i="1" s="1"/>
  <c r="S577" i="1" s="1"/>
  <c r="T577" i="1" s="1"/>
  <c r="U577" i="1" s="1"/>
  <c r="V577" i="1" s="1"/>
  <c r="H577" i="1"/>
  <c r="F577" i="1"/>
  <c r="E577" i="1"/>
  <c r="D577" i="1"/>
  <c r="C577" i="1"/>
  <c r="B577" i="1"/>
  <c r="A577" i="1"/>
  <c r="W576" i="1"/>
  <c r="J576" i="1"/>
  <c r="K576" i="1" s="1"/>
  <c r="L576" i="1" s="1"/>
  <c r="M576" i="1" s="1"/>
  <c r="N576" i="1" s="1"/>
  <c r="O576" i="1" s="1"/>
  <c r="P576" i="1" s="1"/>
  <c r="Q576" i="1" s="1"/>
  <c r="R576" i="1" s="1"/>
  <c r="S576" i="1" s="1"/>
  <c r="T576" i="1" s="1"/>
  <c r="U576" i="1" s="1"/>
  <c r="V576" i="1" s="1"/>
  <c r="F576" i="1"/>
  <c r="E576" i="1"/>
  <c r="D576" i="1"/>
  <c r="H576" i="1" s="1"/>
  <c r="I576" i="1" s="1"/>
  <c r="C576" i="1"/>
  <c r="B576" i="1"/>
  <c r="A576" i="1"/>
  <c r="W575" i="1"/>
  <c r="T575" i="1"/>
  <c r="U575" i="1" s="1"/>
  <c r="V575" i="1" s="1"/>
  <c r="K575" i="1"/>
  <c r="L575" i="1" s="1"/>
  <c r="M575" i="1" s="1"/>
  <c r="N575" i="1" s="1"/>
  <c r="O575" i="1" s="1"/>
  <c r="P575" i="1" s="1"/>
  <c r="Q575" i="1" s="1"/>
  <c r="R575" i="1" s="1"/>
  <c r="S575" i="1" s="1"/>
  <c r="F575" i="1"/>
  <c r="E575" i="1"/>
  <c r="D575" i="1"/>
  <c r="H575" i="1" s="1"/>
  <c r="I575" i="1" s="1"/>
  <c r="J575" i="1" s="1"/>
  <c r="C575" i="1"/>
  <c r="B575" i="1"/>
  <c r="A575" i="1"/>
  <c r="S574" i="1"/>
  <c r="T574" i="1" s="1"/>
  <c r="U574" i="1" s="1"/>
  <c r="V574" i="1" s="1"/>
  <c r="J574" i="1"/>
  <c r="K574" i="1" s="1"/>
  <c r="L574" i="1" s="1"/>
  <c r="M574" i="1" s="1"/>
  <c r="N574" i="1" s="1"/>
  <c r="O574" i="1" s="1"/>
  <c r="P574" i="1" s="1"/>
  <c r="Q574" i="1" s="1"/>
  <c r="R574" i="1" s="1"/>
  <c r="F574" i="1"/>
  <c r="E574" i="1"/>
  <c r="D574" i="1"/>
  <c r="H574" i="1" s="1"/>
  <c r="I574" i="1" s="1"/>
  <c r="C574" i="1"/>
  <c r="B574" i="1"/>
  <c r="A574" i="1"/>
  <c r="W574" i="1" s="1"/>
  <c r="W573" i="1"/>
  <c r="K573" i="1"/>
  <c r="L573" i="1" s="1"/>
  <c r="M573" i="1" s="1"/>
  <c r="N573" i="1" s="1"/>
  <c r="O573" i="1" s="1"/>
  <c r="P573" i="1" s="1"/>
  <c r="Q573" i="1" s="1"/>
  <c r="R573" i="1" s="1"/>
  <c r="S573" i="1" s="1"/>
  <c r="T573" i="1" s="1"/>
  <c r="U573" i="1" s="1"/>
  <c r="V573" i="1" s="1"/>
  <c r="I573" i="1"/>
  <c r="J573" i="1" s="1"/>
  <c r="H573" i="1"/>
  <c r="F573" i="1"/>
  <c r="E573" i="1"/>
  <c r="D573" i="1"/>
  <c r="C573" i="1"/>
  <c r="B573" i="1"/>
  <c r="A573" i="1"/>
  <c r="F572" i="1"/>
  <c r="E572" i="1"/>
  <c r="D572" i="1"/>
  <c r="H572" i="1" s="1"/>
  <c r="I572" i="1" s="1"/>
  <c r="J572" i="1" s="1"/>
  <c r="K572" i="1" s="1"/>
  <c r="L572" i="1" s="1"/>
  <c r="M572" i="1" s="1"/>
  <c r="N572" i="1" s="1"/>
  <c r="O572" i="1" s="1"/>
  <c r="P572" i="1" s="1"/>
  <c r="Q572" i="1" s="1"/>
  <c r="R572" i="1" s="1"/>
  <c r="S572" i="1" s="1"/>
  <c r="T572" i="1" s="1"/>
  <c r="U572" i="1" s="1"/>
  <c r="V572" i="1" s="1"/>
  <c r="C572" i="1"/>
  <c r="B572" i="1"/>
  <c r="A572" i="1"/>
  <c r="W572" i="1" s="1"/>
  <c r="W571" i="1"/>
  <c r="F571" i="1"/>
  <c r="E571" i="1"/>
  <c r="D571" i="1"/>
  <c r="H571" i="1" s="1"/>
  <c r="I571" i="1" s="1"/>
  <c r="J571" i="1" s="1"/>
  <c r="K571" i="1" s="1"/>
  <c r="L571" i="1" s="1"/>
  <c r="M571" i="1" s="1"/>
  <c r="N571" i="1" s="1"/>
  <c r="O571" i="1" s="1"/>
  <c r="P571" i="1" s="1"/>
  <c r="Q571" i="1" s="1"/>
  <c r="R571" i="1" s="1"/>
  <c r="S571" i="1" s="1"/>
  <c r="T571" i="1" s="1"/>
  <c r="U571" i="1" s="1"/>
  <c r="V571" i="1" s="1"/>
  <c r="C571" i="1"/>
  <c r="B571" i="1"/>
  <c r="A571" i="1"/>
  <c r="J570" i="1"/>
  <c r="K570" i="1" s="1"/>
  <c r="L570" i="1" s="1"/>
  <c r="M570" i="1" s="1"/>
  <c r="N570" i="1" s="1"/>
  <c r="O570" i="1" s="1"/>
  <c r="P570" i="1" s="1"/>
  <c r="Q570" i="1" s="1"/>
  <c r="R570" i="1" s="1"/>
  <c r="S570" i="1" s="1"/>
  <c r="T570" i="1" s="1"/>
  <c r="U570" i="1" s="1"/>
  <c r="V570" i="1" s="1"/>
  <c r="F570" i="1"/>
  <c r="E570" i="1"/>
  <c r="D570" i="1"/>
  <c r="H570" i="1" s="1"/>
  <c r="I570" i="1" s="1"/>
  <c r="C570" i="1"/>
  <c r="B570" i="1"/>
  <c r="A570" i="1"/>
  <c r="W570" i="1" s="1"/>
  <c r="W569" i="1"/>
  <c r="I569" i="1"/>
  <c r="J569" i="1" s="1"/>
  <c r="K569" i="1" s="1"/>
  <c r="L569" i="1" s="1"/>
  <c r="M569" i="1" s="1"/>
  <c r="N569" i="1" s="1"/>
  <c r="O569" i="1" s="1"/>
  <c r="P569" i="1" s="1"/>
  <c r="Q569" i="1" s="1"/>
  <c r="R569" i="1" s="1"/>
  <c r="S569" i="1" s="1"/>
  <c r="T569" i="1" s="1"/>
  <c r="U569" i="1" s="1"/>
  <c r="V569" i="1" s="1"/>
  <c r="H569" i="1"/>
  <c r="F569" i="1"/>
  <c r="E569" i="1"/>
  <c r="D569" i="1"/>
  <c r="C569" i="1"/>
  <c r="B569" i="1"/>
  <c r="A569" i="1"/>
  <c r="Q568" i="1"/>
  <c r="R568" i="1" s="1"/>
  <c r="S568" i="1" s="1"/>
  <c r="T568" i="1" s="1"/>
  <c r="U568" i="1" s="1"/>
  <c r="V568" i="1" s="1"/>
  <c r="F568" i="1"/>
  <c r="E568" i="1"/>
  <c r="D568" i="1"/>
  <c r="H568" i="1" s="1"/>
  <c r="I568" i="1" s="1"/>
  <c r="J568" i="1" s="1"/>
  <c r="K568" i="1" s="1"/>
  <c r="L568" i="1" s="1"/>
  <c r="M568" i="1" s="1"/>
  <c r="N568" i="1" s="1"/>
  <c r="O568" i="1" s="1"/>
  <c r="P568" i="1" s="1"/>
  <c r="C568" i="1"/>
  <c r="B568" i="1"/>
  <c r="A568" i="1"/>
  <c r="W568" i="1" s="1"/>
  <c r="W567" i="1"/>
  <c r="L567" i="1"/>
  <c r="M567" i="1" s="1"/>
  <c r="N567" i="1" s="1"/>
  <c r="O567" i="1" s="1"/>
  <c r="P567" i="1" s="1"/>
  <c r="Q567" i="1" s="1"/>
  <c r="R567" i="1" s="1"/>
  <c r="S567" i="1" s="1"/>
  <c r="T567" i="1" s="1"/>
  <c r="U567" i="1" s="1"/>
  <c r="V567" i="1" s="1"/>
  <c r="F567" i="1"/>
  <c r="E567" i="1"/>
  <c r="D567" i="1"/>
  <c r="H567" i="1" s="1"/>
  <c r="I567" i="1" s="1"/>
  <c r="J567" i="1" s="1"/>
  <c r="K567" i="1" s="1"/>
  <c r="C567" i="1"/>
  <c r="B567" i="1"/>
  <c r="A567" i="1"/>
  <c r="J566" i="1"/>
  <c r="K566" i="1" s="1"/>
  <c r="L566" i="1" s="1"/>
  <c r="M566" i="1" s="1"/>
  <c r="N566" i="1" s="1"/>
  <c r="O566" i="1" s="1"/>
  <c r="P566" i="1" s="1"/>
  <c r="Q566" i="1" s="1"/>
  <c r="R566" i="1" s="1"/>
  <c r="S566" i="1" s="1"/>
  <c r="T566" i="1" s="1"/>
  <c r="U566" i="1" s="1"/>
  <c r="V566" i="1" s="1"/>
  <c r="F566" i="1"/>
  <c r="E566" i="1"/>
  <c r="D566" i="1"/>
  <c r="H566" i="1" s="1"/>
  <c r="I566" i="1" s="1"/>
  <c r="C566" i="1"/>
  <c r="B566" i="1"/>
  <c r="A566" i="1"/>
  <c r="W566" i="1" s="1"/>
  <c r="W565" i="1"/>
  <c r="I565" i="1"/>
  <c r="J565" i="1" s="1"/>
  <c r="K565" i="1" s="1"/>
  <c r="L565" i="1" s="1"/>
  <c r="M565" i="1" s="1"/>
  <c r="N565" i="1" s="1"/>
  <c r="O565" i="1" s="1"/>
  <c r="P565" i="1" s="1"/>
  <c r="Q565" i="1" s="1"/>
  <c r="R565" i="1" s="1"/>
  <c r="S565" i="1" s="1"/>
  <c r="T565" i="1" s="1"/>
  <c r="U565" i="1" s="1"/>
  <c r="V565" i="1" s="1"/>
  <c r="H565" i="1"/>
  <c r="F565" i="1"/>
  <c r="E565" i="1"/>
  <c r="D565" i="1"/>
  <c r="C565" i="1"/>
  <c r="B565" i="1"/>
  <c r="A565" i="1"/>
  <c r="W564" i="1"/>
  <c r="I564" i="1"/>
  <c r="J564" i="1" s="1"/>
  <c r="K564" i="1" s="1"/>
  <c r="L564" i="1" s="1"/>
  <c r="M564" i="1" s="1"/>
  <c r="N564" i="1" s="1"/>
  <c r="O564" i="1" s="1"/>
  <c r="P564" i="1" s="1"/>
  <c r="Q564" i="1" s="1"/>
  <c r="R564" i="1" s="1"/>
  <c r="S564" i="1" s="1"/>
  <c r="T564" i="1" s="1"/>
  <c r="U564" i="1" s="1"/>
  <c r="V564" i="1" s="1"/>
  <c r="F564" i="1"/>
  <c r="E564" i="1"/>
  <c r="D564" i="1"/>
  <c r="H564" i="1" s="1"/>
  <c r="C564" i="1"/>
  <c r="B564" i="1"/>
  <c r="A564" i="1"/>
  <c r="K563" i="1"/>
  <c r="L563" i="1" s="1"/>
  <c r="M563" i="1" s="1"/>
  <c r="N563" i="1" s="1"/>
  <c r="O563" i="1" s="1"/>
  <c r="P563" i="1" s="1"/>
  <c r="Q563" i="1" s="1"/>
  <c r="R563" i="1" s="1"/>
  <c r="S563" i="1" s="1"/>
  <c r="T563" i="1" s="1"/>
  <c r="U563" i="1" s="1"/>
  <c r="V563" i="1" s="1"/>
  <c r="H563" i="1"/>
  <c r="I563" i="1" s="1"/>
  <c r="J563" i="1" s="1"/>
  <c r="F563" i="1"/>
  <c r="E563" i="1"/>
  <c r="D563" i="1"/>
  <c r="C563" i="1"/>
  <c r="B563" i="1"/>
  <c r="A563" i="1"/>
  <c r="W563" i="1" s="1"/>
  <c r="F562" i="1"/>
  <c r="E562" i="1"/>
  <c r="D562" i="1"/>
  <c r="H562" i="1" s="1"/>
  <c r="I562" i="1" s="1"/>
  <c r="J562" i="1" s="1"/>
  <c r="K562" i="1" s="1"/>
  <c r="L562" i="1" s="1"/>
  <c r="M562" i="1" s="1"/>
  <c r="N562" i="1" s="1"/>
  <c r="O562" i="1" s="1"/>
  <c r="P562" i="1" s="1"/>
  <c r="Q562" i="1" s="1"/>
  <c r="R562" i="1" s="1"/>
  <c r="S562" i="1" s="1"/>
  <c r="T562" i="1" s="1"/>
  <c r="U562" i="1" s="1"/>
  <c r="V562" i="1" s="1"/>
  <c r="C562" i="1"/>
  <c r="B562" i="1"/>
  <c r="A562" i="1"/>
  <c r="L561" i="1"/>
  <c r="M561" i="1" s="1"/>
  <c r="N561" i="1" s="1"/>
  <c r="O561" i="1" s="1"/>
  <c r="P561" i="1" s="1"/>
  <c r="Q561" i="1" s="1"/>
  <c r="R561" i="1" s="1"/>
  <c r="S561" i="1" s="1"/>
  <c r="T561" i="1" s="1"/>
  <c r="U561" i="1" s="1"/>
  <c r="V561" i="1" s="1"/>
  <c r="K561" i="1"/>
  <c r="I561" i="1"/>
  <c r="J561" i="1" s="1"/>
  <c r="H561" i="1"/>
  <c r="F561" i="1"/>
  <c r="E561" i="1"/>
  <c r="D561" i="1"/>
  <c r="C561" i="1"/>
  <c r="B561" i="1"/>
  <c r="W561" i="1" s="1"/>
  <c r="A561" i="1"/>
  <c r="W560" i="1"/>
  <c r="H560" i="1"/>
  <c r="I560" i="1" s="1"/>
  <c r="J560" i="1" s="1"/>
  <c r="K560" i="1" s="1"/>
  <c r="L560" i="1" s="1"/>
  <c r="M560" i="1" s="1"/>
  <c r="N560" i="1" s="1"/>
  <c r="O560" i="1" s="1"/>
  <c r="P560" i="1" s="1"/>
  <c r="Q560" i="1" s="1"/>
  <c r="R560" i="1" s="1"/>
  <c r="S560" i="1" s="1"/>
  <c r="T560" i="1" s="1"/>
  <c r="U560" i="1" s="1"/>
  <c r="V560" i="1" s="1"/>
  <c r="F560" i="1"/>
  <c r="E560" i="1"/>
  <c r="D560" i="1"/>
  <c r="C560" i="1"/>
  <c r="B560" i="1"/>
  <c r="A560" i="1"/>
  <c r="F559" i="1"/>
  <c r="E559" i="1"/>
  <c r="D559" i="1"/>
  <c r="H559" i="1" s="1"/>
  <c r="I559" i="1" s="1"/>
  <c r="J559" i="1" s="1"/>
  <c r="K559" i="1" s="1"/>
  <c r="L559" i="1" s="1"/>
  <c r="M559" i="1" s="1"/>
  <c r="N559" i="1" s="1"/>
  <c r="O559" i="1" s="1"/>
  <c r="P559" i="1" s="1"/>
  <c r="Q559" i="1" s="1"/>
  <c r="R559" i="1" s="1"/>
  <c r="S559" i="1" s="1"/>
  <c r="T559" i="1" s="1"/>
  <c r="U559" i="1" s="1"/>
  <c r="V559" i="1" s="1"/>
  <c r="C559" i="1"/>
  <c r="B559" i="1"/>
  <c r="A559" i="1"/>
  <c r="W559" i="1" s="1"/>
  <c r="N558" i="1"/>
  <c r="O558" i="1" s="1"/>
  <c r="P558" i="1" s="1"/>
  <c r="Q558" i="1" s="1"/>
  <c r="R558" i="1" s="1"/>
  <c r="S558" i="1" s="1"/>
  <c r="T558" i="1" s="1"/>
  <c r="U558" i="1" s="1"/>
  <c r="V558" i="1" s="1"/>
  <c r="J558" i="1"/>
  <c r="K558" i="1" s="1"/>
  <c r="L558" i="1" s="1"/>
  <c r="M558" i="1" s="1"/>
  <c r="H558" i="1"/>
  <c r="I558" i="1" s="1"/>
  <c r="F558" i="1"/>
  <c r="E558" i="1"/>
  <c r="D558" i="1"/>
  <c r="C558" i="1"/>
  <c r="B558" i="1"/>
  <c r="A558" i="1"/>
  <c r="L557" i="1"/>
  <c r="M557" i="1" s="1"/>
  <c r="N557" i="1" s="1"/>
  <c r="O557" i="1" s="1"/>
  <c r="P557" i="1" s="1"/>
  <c r="Q557" i="1" s="1"/>
  <c r="R557" i="1" s="1"/>
  <c r="S557" i="1" s="1"/>
  <c r="T557" i="1" s="1"/>
  <c r="U557" i="1" s="1"/>
  <c r="V557" i="1" s="1"/>
  <c r="I557" i="1"/>
  <c r="J557" i="1" s="1"/>
  <c r="K557" i="1" s="1"/>
  <c r="H557" i="1"/>
  <c r="F557" i="1"/>
  <c r="E557" i="1"/>
  <c r="D557" i="1"/>
  <c r="C557" i="1"/>
  <c r="B557" i="1"/>
  <c r="A557" i="1"/>
  <c r="W557" i="1" s="1"/>
  <c r="J556" i="1"/>
  <c r="K556" i="1" s="1"/>
  <c r="L556" i="1" s="1"/>
  <c r="M556" i="1" s="1"/>
  <c r="N556" i="1" s="1"/>
  <c r="O556" i="1" s="1"/>
  <c r="P556" i="1" s="1"/>
  <c r="Q556" i="1" s="1"/>
  <c r="R556" i="1" s="1"/>
  <c r="S556" i="1" s="1"/>
  <c r="T556" i="1" s="1"/>
  <c r="U556" i="1" s="1"/>
  <c r="V556" i="1" s="1"/>
  <c r="I556" i="1"/>
  <c r="H556" i="1"/>
  <c r="F556" i="1"/>
  <c r="E556" i="1"/>
  <c r="D556" i="1"/>
  <c r="C556" i="1"/>
  <c r="B556" i="1"/>
  <c r="A556" i="1"/>
  <c r="W556" i="1" s="1"/>
  <c r="U555" i="1"/>
  <c r="V555" i="1" s="1"/>
  <c r="H555" i="1"/>
  <c r="I555" i="1" s="1"/>
  <c r="J555" i="1" s="1"/>
  <c r="K555" i="1" s="1"/>
  <c r="L555" i="1" s="1"/>
  <c r="M555" i="1" s="1"/>
  <c r="N555" i="1" s="1"/>
  <c r="O555" i="1" s="1"/>
  <c r="P555" i="1" s="1"/>
  <c r="Q555" i="1" s="1"/>
  <c r="R555" i="1" s="1"/>
  <c r="S555" i="1" s="1"/>
  <c r="T555" i="1" s="1"/>
  <c r="F555" i="1"/>
  <c r="E555" i="1"/>
  <c r="D555" i="1"/>
  <c r="C555" i="1"/>
  <c r="B555" i="1"/>
  <c r="A555" i="1"/>
  <c r="W555" i="1" s="1"/>
  <c r="R554" i="1"/>
  <c r="S554" i="1" s="1"/>
  <c r="T554" i="1" s="1"/>
  <c r="U554" i="1" s="1"/>
  <c r="V554" i="1" s="1"/>
  <c r="J554" i="1"/>
  <c r="K554" i="1" s="1"/>
  <c r="L554" i="1" s="1"/>
  <c r="M554" i="1" s="1"/>
  <c r="N554" i="1" s="1"/>
  <c r="O554" i="1" s="1"/>
  <c r="P554" i="1" s="1"/>
  <c r="Q554" i="1" s="1"/>
  <c r="H554" i="1"/>
  <c r="I554" i="1" s="1"/>
  <c r="F554" i="1"/>
  <c r="E554" i="1"/>
  <c r="D554" i="1"/>
  <c r="C554" i="1"/>
  <c r="B554" i="1"/>
  <c r="A554" i="1"/>
  <c r="I553" i="1"/>
  <c r="J553" i="1" s="1"/>
  <c r="K553" i="1" s="1"/>
  <c r="L553" i="1" s="1"/>
  <c r="M553" i="1" s="1"/>
  <c r="N553" i="1" s="1"/>
  <c r="O553" i="1" s="1"/>
  <c r="P553" i="1" s="1"/>
  <c r="Q553" i="1" s="1"/>
  <c r="R553" i="1" s="1"/>
  <c r="S553" i="1" s="1"/>
  <c r="T553" i="1" s="1"/>
  <c r="U553" i="1" s="1"/>
  <c r="V553" i="1" s="1"/>
  <c r="H553" i="1"/>
  <c r="F553" i="1"/>
  <c r="E553" i="1"/>
  <c r="D553" i="1"/>
  <c r="C553" i="1"/>
  <c r="B553" i="1"/>
  <c r="A553" i="1"/>
  <c r="W553" i="1" s="1"/>
  <c r="W552" i="1"/>
  <c r="N552" i="1"/>
  <c r="O552" i="1" s="1"/>
  <c r="P552" i="1" s="1"/>
  <c r="Q552" i="1" s="1"/>
  <c r="R552" i="1" s="1"/>
  <c r="S552" i="1" s="1"/>
  <c r="T552" i="1" s="1"/>
  <c r="U552" i="1" s="1"/>
  <c r="V552" i="1" s="1"/>
  <c r="L552" i="1"/>
  <c r="M552" i="1" s="1"/>
  <c r="J552" i="1"/>
  <c r="K552" i="1" s="1"/>
  <c r="I552" i="1"/>
  <c r="H552" i="1"/>
  <c r="F552" i="1"/>
  <c r="E552" i="1"/>
  <c r="D552" i="1"/>
  <c r="C552" i="1"/>
  <c r="B552" i="1"/>
  <c r="A552" i="1"/>
  <c r="J551" i="1"/>
  <c r="K551" i="1" s="1"/>
  <c r="L551" i="1" s="1"/>
  <c r="M551" i="1" s="1"/>
  <c r="N551" i="1" s="1"/>
  <c r="O551" i="1" s="1"/>
  <c r="P551" i="1" s="1"/>
  <c r="Q551" i="1" s="1"/>
  <c r="R551" i="1" s="1"/>
  <c r="S551" i="1" s="1"/>
  <c r="T551" i="1" s="1"/>
  <c r="U551" i="1" s="1"/>
  <c r="V551" i="1" s="1"/>
  <c r="F551" i="1"/>
  <c r="E551" i="1"/>
  <c r="D551" i="1"/>
  <c r="H551" i="1" s="1"/>
  <c r="I551" i="1" s="1"/>
  <c r="C551" i="1"/>
  <c r="B551" i="1"/>
  <c r="A551" i="1"/>
  <c r="W551" i="1" s="1"/>
  <c r="H550" i="1"/>
  <c r="I550" i="1" s="1"/>
  <c r="J550" i="1" s="1"/>
  <c r="K550" i="1" s="1"/>
  <c r="L550" i="1" s="1"/>
  <c r="M550" i="1" s="1"/>
  <c r="N550" i="1" s="1"/>
  <c r="O550" i="1" s="1"/>
  <c r="P550" i="1" s="1"/>
  <c r="Q550" i="1" s="1"/>
  <c r="R550" i="1" s="1"/>
  <c r="S550" i="1" s="1"/>
  <c r="T550" i="1" s="1"/>
  <c r="U550" i="1" s="1"/>
  <c r="V550" i="1" s="1"/>
  <c r="F550" i="1"/>
  <c r="E550" i="1"/>
  <c r="D550" i="1"/>
  <c r="C550" i="1"/>
  <c r="B550" i="1"/>
  <c r="A550" i="1"/>
  <c r="Q549" i="1"/>
  <c r="R549" i="1" s="1"/>
  <c r="S549" i="1" s="1"/>
  <c r="T549" i="1" s="1"/>
  <c r="U549" i="1" s="1"/>
  <c r="V549" i="1" s="1"/>
  <c r="I549" i="1"/>
  <c r="J549" i="1" s="1"/>
  <c r="K549" i="1" s="1"/>
  <c r="L549" i="1" s="1"/>
  <c r="M549" i="1" s="1"/>
  <c r="N549" i="1" s="1"/>
  <c r="O549" i="1" s="1"/>
  <c r="P549" i="1" s="1"/>
  <c r="H549" i="1"/>
  <c r="F549" i="1"/>
  <c r="E549" i="1"/>
  <c r="D549" i="1"/>
  <c r="C549" i="1"/>
  <c r="B549" i="1"/>
  <c r="A549" i="1"/>
  <c r="W549" i="1" s="1"/>
  <c r="W548" i="1"/>
  <c r="O548" i="1"/>
  <c r="P548" i="1" s="1"/>
  <c r="Q548" i="1" s="1"/>
  <c r="R548" i="1" s="1"/>
  <c r="S548" i="1" s="1"/>
  <c r="T548" i="1" s="1"/>
  <c r="U548" i="1" s="1"/>
  <c r="V548" i="1" s="1"/>
  <c r="L548" i="1"/>
  <c r="M548" i="1" s="1"/>
  <c r="N548" i="1" s="1"/>
  <c r="J548" i="1"/>
  <c r="K548" i="1" s="1"/>
  <c r="I548" i="1"/>
  <c r="H548" i="1"/>
  <c r="F548" i="1"/>
  <c r="E548" i="1"/>
  <c r="D548" i="1"/>
  <c r="C548" i="1"/>
  <c r="B548" i="1"/>
  <c r="A548" i="1"/>
  <c r="J547" i="1"/>
  <c r="K547" i="1" s="1"/>
  <c r="L547" i="1" s="1"/>
  <c r="M547" i="1" s="1"/>
  <c r="N547" i="1" s="1"/>
  <c r="O547" i="1" s="1"/>
  <c r="P547" i="1" s="1"/>
  <c r="Q547" i="1" s="1"/>
  <c r="R547" i="1" s="1"/>
  <c r="S547" i="1" s="1"/>
  <c r="T547" i="1" s="1"/>
  <c r="U547" i="1" s="1"/>
  <c r="V547" i="1" s="1"/>
  <c r="F547" i="1"/>
  <c r="E547" i="1"/>
  <c r="D547" i="1"/>
  <c r="H547" i="1" s="1"/>
  <c r="I547" i="1" s="1"/>
  <c r="C547" i="1"/>
  <c r="B547" i="1"/>
  <c r="A547" i="1"/>
  <c r="W547" i="1" s="1"/>
  <c r="J546" i="1"/>
  <c r="K546" i="1" s="1"/>
  <c r="L546" i="1" s="1"/>
  <c r="M546" i="1" s="1"/>
  <c r="N546" i="1" s="1"/>
  <c r="O546" i="1" s="1"/>
  <c r="P546" i="1" s="1"/>
  <c r="Q546" i="1" s="1"/>
  <c r="R546" i="1" s="1"/>
  <c r="S546" i="1" s="1"/>
  <c r="T546" i="1" s="1"/>
  <c r="U546" i="1" s="1"/>
  <c r="V546" i="1" s="1"/>
  <c r="H546" i="1"/>
  <c r="I546" i="1" s="1"/>
  <c r="F546" i="1"/>
  <c r="E546" i="1"/>
  <c r="D546" i="1"/>
  <c r="C546" i="1"/>
  <c r="B546" i="1"/>
  <c r="A546" i="1"/>
  <c r="W546" i="1" s="1"/>
  <c r="H545" i="1"/>
  <c r="I545" i="1" s="1"/>
  <c r="J545" i="1" s="1"/>
  <c r="K545" i="1" s="1"/>
  <c r="L545" i="1" s="1"/>
  <c r="M545" i="1" s="1"/>
  <c r="N545" i="1" s="1"/>
  <c r="O545" i="1" s="1"/>
  <c r="P545" i="1" s="1"/>
  <c r="Q545" i="1" s="1"/>
  <c r="R545" i="1" s="1"/>
  <c r="S545" i="1" s="1"/>
  <c r="T545" i="1" s="1"/>
  <c r="U545" i="1" s="1"/>
  <c r="V545" i="1" s="1"/>
  <c r="F545" i="1"/>
  <c r="E545" i="1"/>
  <c r="D545" i="1"/>
  <c r="C545" i="1"/>
  <c r="B545" i="1"/>
  <c r="A545" i="1"/>
  <c r="W545" i="1" s="1"/>
  <c r="I544" i="1"/>
  <c r="J544" i="1" s="1"/>
  <c r="K544" i="1" s="1"/>
  <c r="L544" i="1" s="1"/>
  <c r="M544" i="1" s="1"/>
  <c r="N544" i="1" s="1"/>
  <c r="O544" i="1" s="1"/>
  <c r="P544" i="1" s="1"/>
  <c r="Q544" i="1" s="1"/>
  <c r="R544" i="1" s="1"/>
  <c r="S544" i="1" s="1"/>
  <c r="T544" i="1" s="1"/>
  <c r="U544" i="1" s="1"/>
  <c r="V544" i="1" s="1"/>
  <c r="H544" i="1"/>
  <c r="F544" i="1"/>
  <c r="E544" i="1"/>
  <c r="D544" i="1"/>
  <c r="C544" i="1"/>
  <c r="B544" i="1"/>
  <c r="A544" i="1"/>
  <c r="W544" i="1" s="1"/>
  <c r="W543" i="1"/>
  <c r="H543" i="1"/>
  <c r="I543" i="1" s="1"/>
  <c r="J543" i="1" s="1"/>
  <c r="K543" i="1" s="1"/>
  <c r="L543" i="1" s="1"/>
  <c r="M543" i="1" s="1"/>
  <c r="N543" i="1" s="1"/>
  <c r="O543" i="1" s="1"/>
  <c r="P543" i="1" s="1"/>
  <c r="Q543" i="1" s="1"/>
  <c r="R543" i="1" s="1"/>
  <c r="S543" i="1" s="1"/>
  <c r="T543" i="1" s="1"/>
  <c r="U543" i="1" s="1"/>
  <c r="V543" i="1" s="1"/>
  <c r="F543" i="1"/>
  <c r="E543" i="1"/>
  <c r="D543" i="1"/>
  <c r="C543" i="1"/>
  <c r="B543" i="1"/>
  <c r="A543" i="1"/>
  <c r="R542" i="1"/>
  <c r="S542" i="1" s="1"/>
  <c r="T542" i="1" s="1"/>
  <c r="U542" i="1" s="1"/>
  <c r="V542" i="1" s="1"/>
  <c r="J542" i="1"/>
  <c r="K542" i="1" s="1"/>
  <c r="L542" i="1" s="1"/>
  <c r="M542" i="1" s="1"/>
  <c r="N542" i="1" s="1"/>
  <c r="O542" i="1" s="1"/>
  <c r="P542" i="1" s="1"/>
  <c r="Q542" i="1" s="1"/>
  <c r="H542" i="1"/>
  <c r="I542" i="1" s="1"/>
  <c r="F542" i="1"/>
  <c r="E542" i="1"/>
  <c r="D542" i="1"/>
  <c r="C542" i="1"/>
  <c r="B542" i="1"/>
  <c r="A542" i="1"/>
  <c r="H541" i="1"/>
  <c r="I541" i="1" s="1"/>
  <c r="J541" i="1" s="1"/>
  <c r="K541" i="1" s="1"/>
  <c r="L541" i="1" s="1"/>
  <c r="M541" i="1" s="1"/>
  <c r="N541" i="1" s="1"/>
  <c r="O541" i="1" s="1"/>
  <c r="P541" i="1" s="1"/>
  <c r="Q541" i="1" s="1"/>
  <c r="R541" i="1" s="1"/>
  <c r="S541" i="1" s="1"/>
  <c r="T541" i="1" s="1"/>
  <c r="U541" i="1" s="1"/>
  <c r="V541" i="1" s="1"/>
  <c r="F541" i="1"/>
  <c r="E541" i="1"/>
  <c r="D541" i="1"/>
  <c r="C541" i="1"/>
  <c r="B541" i="1"/>
  <c r="A541" i="1"/>
  <c r="J540" i="1"/>
  <c r="K540" i="1" s="1"/>
  <c r="L540" i="1" s="1"/>
  <c r="M540" i="1" s="1"/>
  <c r="N540" i="1" s="1"/>
  <c r="O540" i="1" s="1"/>
  <c r="P540" i="1" s="1"/>
  <c r="Q540" i="1" s="1"/>
  <c r="R540" i="1" s="1"/>
  <c r="S540" i="1" s="1"/>
  <c r="T540" i="1" s="1"/>
  <c r="U540" i="1" s="1"/>
  <c r="V540" i="1" s="1"/>
  <c r="I540" i="1"/>
  <c r="H540" i="1"/>
  <c r="F540" i="1"/>
  <c r="E540" i="1"/>
  <c r="D540" i="1"/>
  <c r="C540" i="1"/>
  <c r="B540" i="1"/>
  <c r="A540" i="1"/>
  <c r="W540" i="1" s="1"/>
  <c r="J539" i="1"/>
  <c r="K539" i="1" s="1"/>
  <c r="L539" i="1" s="1"/>
  <c r="M539" i="1" s="1"/>
  <c r="N539" i="1" s="1"/>
  <c r="O539" i="1" s="1"/>
  <c r="P539" i="1" s="1"/>
  <c r="Q539" i="1" s="1"/>
  <c r="R539" i="1" s="1"/>
  <c r="S539" i="1" s="1"/>
  <c r="T539" i="1" s="1"/>
  <c r="U539" i="1" s="1"/>
  <c r="V539" i="1" s="1"/>
  <c r="F539" i="1"/>
  <c r="E539" i="1"/>
  <c r="D539" i="1"/>
  <c r="H539" i="1" s="1"/>
  <c r="I539" i="1" s="1"/>
  <c r="C539" i="1"/>
  <c r="B539" i="1"/>
  <c r="A539" i="1"/>
  <c r="W539" i="1" s="1"/>
  <c r="P538" i="1"/>
  <c r="Q538" i="1" s="1"/>
  <c r="R538" i="1" s="1"/>
  <c r="S538" i="1" s="1"/>
  <c r="T538" i="1" s="1"/>
  <c r="U538" i="1" s="1"/>
  <c r="V538" i="1" s="1"/>
  <c r="J538" i="1"/>
  <c r="K538" i="1" s="1"/>
  <c r="L538" i="1" s="1"/>
  <c r="M538" i="1" s="1"/>
  <c r="N538" i="1" s="1"/>
  <c r="O538" i="1" s="1"/>
  <c r="F538" i="1"/>
  <c r="E538" i="1"/>
  <c r="D538" i="1"/>
  <c r="H538" i="1" s="1"/>
  <c r="I538" i="1" s="1"/>
  <c r="C538" i="1"/>
  <c r="B538" i="1"/>
  <c r="A538" i="1"/>
  <c r="W538" i="1" s="1"/>
  <c r="K537" i="1"/>
  <c r="L537" i="1" s="1"/>
  <c r="M537" i="1" s="1"/>
  <c r="N537" i="1" s="1"/>
  <c r="O537" i="1" s="1"/>
  <c r="P537" i="1" s="1"/>
  <c r="Q537" i="1" s="1"/>
  <c r="R537" i="1" s="1"/>
  <c r="S537" i="1" s="1"/>
  <c r="T537" i="1" s="1"/>
  <c r="U537" i="1" s="1"/>
  <c r="V537" i="1" s="1"/>
  <c r="I537" i="1"/>
  <c r="J537" i="1" s="1"/>
  <c r="H537" i="1"/>
  <c r="F537" i="1"/>
  <c r="E537" i="1"/>
  <c r="D537" i="1"/>
  <c r="C537" i="1"/>
  <c r="B537" i="1"/>
  <c r="A537" i="1"/>
  <c r="W537" i="1" s="1"/>
  <c r="W536" i="1"/>
  <c r="L536" i="1"/>
  <c r="M536" i="1" s="1"/>
  <c r="N536" i="1" s="1"/>
  <c r="O536" i="1" s="1"/>
  <c r="P536" i="1" s="1"/>
  <c r="Q536" i="1" s="1"/>
  <c r="R536" i="1" s="1"/>
  <c r="S536" i="1" s="1"/>
  <c r="T536" i="1" s="1"/>
  <c r="U536" i="1" s="1"/>
  <c r="V536" i="1" s="1"/>
  <c r="J536" i="1"/>
  <c r="K536" i="1" s="1"/>
  <c r="I536" i="1"/>
  <c r="H536" i="1"/>
  <c r="F536" i="1"/>
  <c r="E536" i="1"/>
  <c r="D536" i="1"/>
  <c r="C536" i="1"/>
  <c r="B536" i="1"/>
  <c r="A536" i="1"/>
  <c r="H535" i="1"/>
  <c r="I535" i="1" s="1"/>
  <c r="J535" i="1" s="1"/>
  <c r="K535" i="1" s="1"/>
  <c r="L535" i="1" s="1"/>
  <c r="M535" i="1" s="1"/>
  <c r="N535" i="1" s="1"/>
  <c r="O535" i="1" s="1"/>
  <c r="P535" i="1" s="1"/>
  <c r="Q535" i="1" s="1"/>
  <c r="R535" i="1" s="1"/>
  <c r="S535" i="1" s="1"/>
  <c r="T535" i="1" s="1"/>
  <c r="U535" i="1" s="1"/>
  <c r="V535" i="1" s="1"/>
  <c r="F535" i="1"/>
  <c r="E535" i="1"/>
  <c r="D535" i="1"/>
  <c r="C535" i="1"/>
  <c r="B535" i="1"/>
  <c r="A535" i="1"/>
  <c r="W535" i="1" s="1"/>
  <c r="K534" i="1"/>
  <c r="L534" i="1" s="1"/>
  <c r="M534" i="1" s="1"/>
  <c r="N534" i="1" s="1"/>
  <c r="O534" i="1" s="1"/>
  <c r="P534" i="1" s="1"/>
  <c r="Q534" i="1" s="1"/>
  <c r="R534" i="1" s="1"/>
  <c r="S534" i="1" s="1"/>
  <c r="T534" i="1" s="1"/>
  <c r="U534" i="1" s="1"/>
  <c r="V534" i="1" s="1"/>
  <c r="H534" i="1"/>
  <c r="I534" i="1" s="1"/>
  <c r="J534" i="1" s="1"/>
  <c r="F534" i="1"/>
  <c r="E534" i="1"/>
  <c r="D534" i="1"/>
  <c r="C534" i="1"/>
  <c r="B534" i="1"/>
  <c r="A534" i="1"/>
  <c r="W534" i="1" s="1"/>
  <c r="T533" i="1"/>
  <c r="U533" i="1" s="1"/>
  <c r="V533" i="1" s="1"/>
  <c r="H533" i="1"/>
  <c r="I533" i="1" s="1"/>
  <c r="J533" i="1" s="1"/>
  <c r="K533" i="1" s="1"/>
  <c r="L533" i="1" s="1"/>
  <c r="M533" i="1" s="1"/>
  <c r="N533" i="1" s="1"/>
  <c r="O533" i="1" s="1"/>
  <c r="P533" i="1" s="1"/>
  <c r="Q533" i="1" s="1"/>
  <c r="R533" i="1" s="1"/>
  <c r="S533" i="1" s="1"/>
  <c r="F533" i="1"/>
  <c r="E533" i="1"/>
  <c r="D533" i="1"/>
  <c r="C533" i="1"/>
  <c r="B533" i="1"/>
  <c r="A533" i="1"/>
  <c r="W533" i="1" s="1"/>
  <c r="I532" i="1"/>
  <c r="J532" i="1" s="1"/>
  <c r="K532" i="1" s="1"/>
  <c r="L532" i="1" s="1"/>
  <c r="M532" i="1" s="1"/>
  <c r="N532" i="1" s="1"/>
  <c r="O532" i="1" s="1"/>
  <c r="P532" i="1" s="1"/>
  <c r="Q532" i="1" s="1"/>
  <c r="R532" i="1" s="1"/>
  <c r="S532" i="1" s="1"/>
  <c r="T532" i="1" s="1"/>
  <c r="U532" i="1" s="1"/>
  <c r="V532" i="1" s="1"/>
  <c r="H532" i="1"/>
  <c r="F532" i="1"/>
  <c r="E532" i="1"/>
  <c r="D532" i="1"/>
  <c r="C532" i="1"/>
  <c r="B532" i="1"/>
  <c r="A532" i="1"/>
  <c r="W532" i="1" s="1"/>
  <c r="W531" i="1"/>
  <c r="T531" i="1"/>
  <c r="U531" i="1" s="1"/>
  <c r="V531" i="1" s="1"/>
  <c r="F531" i="1"/>
  <c r="E531" i="1"/>
  <c r="D531" i="1"/>
  <c r="H531" i="1" s="1"/>
  <c r="I531" i="1" s="1"/>
  <c r="J531" i="1" s="1"/>
  <c r="K531" i="1" s="1"/>
  <c r="L531" i="1" s="1"/>
  <c r="M531" i="1" s="1"/>
  <c r="N531" i="1" s="1"/>
  <c r="O531" i="1" s="1"/>
  <c r="P531" i="1" s="1"/>
  <c r="Q531" i="1" s="1"/>
  <c r="R531" i="1" s="1"/>
  <c r="S531" i="1" s="1"/>
  <c r="C531" i="1"/>
  <c r="B531" i="1"/>
  <c r="A531" i="1"/>
  <c r="J530" i="1"/>
  <c r="K530" i="1" s="1"/>
  <c r="L530" i="1" s="1"/>
  <c r="M530" i="1" s="1"/>
  <c r="N530" i="1" s="1"/>
  <c r="O530" i="1" s="1"/>
  <c r="P530" i="1" s="1"/>
  <c r="Q530" i="1" s="1"/>
  <c r="R530" i="1" s="1"/>
  <c r="S530" i="1" s="1"/>
  <c r="T530" i="1" s="1"/>
  <c r="U530" i="1" s="1"/>
  <c r="V530" i="1" s="1"/>
  <c r="F530" i="1"/>
  <c r="E530" i="1"/>
  <c r="D530" i="1"/>
  <c r="H530" i="1" s="1"/>
  <c r="I530" i="1" s="1"/>
  <c r="C530" i="1"/>
  <c r="B530" i="1"/>
  <c r="A530" i="1"/>
  <c r="L529" i="1"/>
  <c r="M529" i="1" s="1"/>
  <c r="N529" i="1" s="1"/>
  <c r="O529" i="1" s="1"/>
  <c r="P529" i="1" s="1"/>
  <c r="Q529" i="1" s="1"/>
  <c r="R529" i="1" s="1"/>
  <c r="S529" i="1" s="1"/>
  <c r="T529" i="1" s="1"/>
  <c r="U529" i="1" s="1"/>
  <c r="V529" i="1" s="1"/>
  <c r="I529" i="1"/>
  <c r="J529" i="1" s="1"/>
  <c r="K529" i="1" s="1"/>
  <c r="H529" i="1"/>
  <c r="F529" i="1"/>
  <c r="E529" i="1"/>
  <c r="D529" i="1"/>
  <c r="C529" i="1"/>
  <c r="B529" i="1"/>
  <c r="A529" i="1"/>
  <c r="H528" i="1"/>
  <c r="I528" i="1" s="1"/>
  <c r="J528" i="1" s="1"/>
  <c r="K528" i="1" s="1"/>
  <c r="L528" i="1" s="1"/>
  <c r="M528" i="1" s="1"/>
  <c r="N528" i="1" s="1"/>
  <c r="O528" i="1" s="1"/>
  <c r="P528" i="1" s="1"/>
  <c r="Q528" i="1" s="1"/>
  <c r="R528" i="1" s="1"/>
  <c r="S528" i="1" s="1"/>
  <c r="T528" i="1" s="1"/>
  <c r="U528" i="1" s="1"/>
  <c r="V528" i="1" s="1"/>
  <c r="F528" i="1"/>
  <c r="E528" i="1"/>
  <c r="D528" i="1"/>
  <c r="C528" i="1"/>
  <c r="B528" i="1"/>
  <c r="A528" i="1"/>
  <c r="W528" i="1" s="1"/>
  <c r="P527" i="1"/>
  <c r="Q527" i="1" s="1"/>
  <c r="R527" i="1" s="1"/>
  <c r="S527" i="1" s="1"/>
  <c r="T527" i="1" s="1"/>
  <c r="U527" i="1" s="1"/>
  <c r="V527" i="1" s="1"/>
  <c r="N527" i="1"/>
  <c r="O527" i="1" s="1"/>
  <c r="F527" i="1"/>
  <c r="E527" i="1"/>
  <c r="D527" i="1"/>
  <c r="H527" i="1" s="1"/>
  <c r="I527" i="1" s="1"/>
  <c r="J527" i="1" s="1"/>
  <c r="K527" i="1" s="1"/>
  <c r="L527" i="1" s="1"/>
  <c r="M527" i="1" s="1"/>
  <c r="C527" i="1"/>
  <c r="B527" i="1"/>
  <c r="A527" i="1"/>
  <c r="W527" i="1" s="1"/>
  <c r="F526" i="1"/>
  <c r="E526" i="1"/>
  <c r="D526" i="1"/>
  <c r="H526" i="1" s="1"/>
  <c r="I526" i="1" s="1"/>
  <c r="J526" i="1" s="1"/>
  <c r="K526" i="1" s="1"/>
  <c r="L526" i="1" s="1"/>
  <c r="M526" i="1" s="1"/>
  <c r="N526" i="1" s="1"/>
  <c r="O526" i="1" s="1"/>
  <c r="P526" i="1" s="1"/>
  <c r="Q526" i="1" s="1"/>
  <c r="R526" i="1" s="1"/>
  <c r="S526" i="1" s="1"/>
  <c r="T526" i="1" s="1"/>
  <c r="U526" i="1" s="1"/>
  <c r="V526" i="1" s="1"/>
  <c r="C526" i="1"/>
  <c r="B526" i="1"/>
  <c r="A526" i="1"/>
  <c r="W526" i="1" s="1"/>
  <c r="N525" i="1"/>
  <c r="O525" i="1" s="1"/>
  <c r="P525" i="1" s="1"/>
  <c r="Q525" i="1" s="1"/>
  <c r="R525" i="1" s="1"/>
  <c r="S525" i="1" s="1"/>
  <c r="T525" i="1" s="1"/>
  <c r="U525" i="1" s="1"/>
  <c r="V525" i="1" s="1"/>
  <c r="I525" i="1"/>
  <c r="J525" i="1" s="1"/>
  <c r="K525" i="1" s="1"/>
  <c r="L525" i="1" s="1"/>
  <c r="M525" i="1" s="1"/>
  <c r="H525" i="1"/>
  <c r="F525" i="1"/>
  <c r="E525" i="1"/>
  <c r="D525" i="1"/>
  <c r="C525" i="1"/>
  <c r="B525" i="1"/>
  <c r="W525" i="1" s="1"/>
  <c r="A525" i="1"/>
  <c r="W524" i="1"/>
  <c r="L524" i="1"/>
  <c r="M524" i="1" s="1"/>
  <c r="N524" i="1" s="1"/>
  <c r="O524" i="1" s="1"/>
  <c r="P524" i="1" s="1"/>
  <c r="Q524" i="1" s="1"/>
  <c r="R524" i="1" s="1"/>
  <c r="S524" i="1" s="1"/>
  <c r="T524" i="1" s="1"/>
  <c r="U524" i="1" s="1"/>
  <c r="V524" i="1" s="1"/>
  <c r="K524" i="1"/>
  <c r="F524" i="1"/>
  <c r="E524" i="1"/>
  <c r="D524" i="1"/>
  <c r="H524" i="1" s="1"/>
  <c r="I524" i="1" s="1"/>
  <c r="J524" i="1" s="1"/>
  <c r="C524" i="1"/>
  <c r="B524" i="1"/>
  <c r="A524" i="1"/>
  <c r="W523" i="1"/>
  <c r="I523" i="1"/>
  <c r="J523" i="1" s="1"/>
  <c r="K523" i="1" s="1"/>
  <c r="L523" i="1" s="1"/>
  <c r="M523" i="1" s="1"/>
  <c r="N523" i="1" s="1"/>
  <c r="O523" i="1" s="1"/>
  <c r="P523" i="1" s="1"/>
  <c r="Q523" i="1" s="1"/>
  <c r="R523" i="1" s="1"/>
  <c r="S523" i="1" s="1"/>
  <c r="T523" i="1" s="1"/>
  <c r="U523" i="1" s="1"/>
  <c r="V523" i="1" s="1"/>
  <c r="F523" i="1"/>
  <c r="E523" i="1"/>
  <c r="D523" i="1"/>
  <c r="H523" i="1" s="1"/>
  <c r="C523" i="1"/>
  <c r="B523" i="1"/>
  <c r="A523" i="1"/>
  <c r="U522" i="1"/>
  <c r="V522" i="1" s="1"/>
  <c r="S522" i="1"/>
  <c r="T522" i="1" s="1"/>
  <c r="F522" i="1"/>
  <c r="E522" i="1"/>
  <c r="D522" i="1"/>
  <c r="H522" i="1" s="1"/>
  <c r="I522" i="1" s="1"/>
  <c r="J522" i="1" s="1"/>
  <c r="K522" i="1" s="1"/>
  <c r="L522" i="1" s="1"/>
  <c r="M522" i="1" s="1"/>
  <c r="N522" i="1" s="1"/>
  <c r="O522" i="1" s="1"/>
  <c r="P522" i="1" s="1"/>
  <c r="Q522" i="1" s="1"/>
  <c r="R522" i="1" s="1"/>
  <c r="C522" i="1"/>
  <c r="B522" i="1"/>
  <c r="W522" i="1" s="1"/>
  <c r="A522" i="1"/>
  <c r="Q521" i="1"/>
  <c r="R521" i="1" s="1"/>
  <c r="S521" i="1" s="1"/>
  <c r="T521" i="1" s="1"/>
  <c r="U521" i="1" s="1"/>
  <c r="V521" i="1" s="1"/>
  <c r="N521" i="1"/>
  <c r="O521" i="1" s="1"/>
  <c r="P521" i="1" s="1"/>
  <c r="F521" i="1"/>
  <c r="E521" i="1"/>
  <c r="D521" i="1"/>
  <c r="H521" i="1" s="1"/>
  <c r="I521" i="1" s="1"/>
  <c r="J521" i="1" s="1"/>
  <c r="K521" i="1" s="1"/>
  <c r="L521" i="1" s="1"/>
  <c r="M521" i="1" s="1"/>
  <c r="C521" i="1"/>
  <c r="B521" i="1"/>
  <c r="W521" i="1" s="1"/>
  <c r="A521" i="1"/>
  <c r="W520" i="1"/>
  <c r="F520" i="1"/>
  <c r="E520" i="1"/>
  <c r="D520" i="1"/>
  <c r="H520" i="1" s="1"/>
  <c r="I520" i="1" s="1"/>
  <c r="J520" i="1" s="1"/>
  <c r="K520" i="1" s="1"/>
  <c r="L520" i="1" s="1"/>
  <c r="M520" i="1" s="1"/>
  <c r="N520" i="1" s="1"/>
  <c r="O520" i="1" s="1"/>
  <c r="P520" i="1" s="1"/>
  <c r="Q520" i="1" s="1"/>
  <c r="R520" i="1" s="1"/>
  <c r="S520" i="1" s="1"/>
  <c r="T520" i="1" s="1"/>
  <c r="U520" i="1" s="1"/>
  <c r="V520" i="1" s="1"/>
  <c r="C520" i="1"/>
  <c r="B520" i="1"/>
  <c r="A520" i="1"/>
  <c r="W519" i="1"/>
  <c r="I519" i="1"/>
  <c r="J519" i="1" s="1"/>
  <c r="K519" i="1" s="1"/>
  <c r="L519" i="1" s="1"/>
  <c r="M519" i="1" s="1"/>
  <c r="N519" i="1" s="1"/>
  <c r="O519" i="1" s="1"/>
  <c r="P519" i="1" s="1"/>
  <c r="Q519" i="1" s="1"/>
  <c r="R519" i="1" s="1"/>
  <c r="S519" i="1" s="1"/>
  <c r="T519" i="1" s="1"/>
  <c r="U519" i="1" s="1"/>
  <c r="V519" i="1" s="1"/>
  <c r="F519" i="1"/>
  <c r="E519" i="1"/>
  <c r="D519" i="1"/>
  <c r="H519" i="1" s="1"/>
  <c r="C519" i="1"/>
  <c r="B519" i="1"/>
  <c r="A519" i="1"/>
  <c r="U518" i="1"/>
  <c r="V518" i="1" s="1"/>
  <c r="F518" i="1"/>
  <c r="E518" i="1"/>
  <c r="D518" i="1"/>
  <c r="H518" i="1" s="1"/>
  <c r="I518" i="1" s="1"/>
  <c r="J518" i="1" s="1"/>
  <c r="K518" i="1" s="1"/>
  <c r="L518" i="1" s="1"/>
  <c r="M518" i="1" s="1"/>
  <c r="N518" i="1" s="1"/>
  <c r="O518" i="1" s="1"/>
  <c r="P518" i="1" s="1"/>
  <c r="Q518" i="1" s="1"/>
  <c r="R518" i="1" s="1"/>
  <c r="S518" i="1" s="1"/>
  <c r="T518" i="1" s="1"/>
  <c r="C518" i="1"/>
  <c r="B518" i="1"/>
  <c r="W518" i="1" s="1"/>
  <c r="A518" i="1"/>
  <c r="Q517" i="1"/>
  <c r="R517" i="1" s="1"/>
  <c r="S517" i="1" s="1"/>
  <c r="T517" i="1" s="1"/>
  <c r="U517" i="1" s="1"/>
  <c r="V517" i="1" s="1"/>
  <c r="F517" i="1"/>
  <c r="E517" i="1"/>
  <c r="D517" i="1"/>
  <c r="H517" i="1" s="1"/>
  <c r="I517" i="1" s="1"/>
  <c r="J517" i="1" s="1"/>
  <c r="K517" i="1" s="1"/>
  <c r="L517" i="1" s="1"/>
  <c r="M517" i="1" s="1"/>
  <c r="N517" i="1" s="1"/>
  <c r="O517" i="1" s="1"/>
  <c r="P517" i="1" s="1"/>
  <c r="C517" i="1"/>
  <c r="B517" i="1"/>
  <c r="W517" i="1" s="1"/>
  <c r="A517" i="1"/>
  <c r="W516" i="1"/>
  <c r="F516" i="1"/>
  <c r="E516" i="1"/>
  <c r="D516" i="1"/>
  <c r="H516" i="1" s="1"/>
  <c r="I516" i="1" s="1"/>
  <c r="J516" i="1" s="1"/>
  <c r="K516" i="1" s="1"/>
  <c r="L516" i="1" s="1"/>
  <c r="M516" i="1" s="1"/>
  <c r="N516" i="1" s="1"/>
  <c r="O516" i="1" s="1"/>
  <c r="P516" i="1" s="1"/>
  <c r="Q516" i="1" s="1"/>
  <c r="R516" i="1" s="1"/>
  <c r="S516" i="1" s="1"/>
  <c r="T516" i="1" s="1"/>
  <c r="U516" i="1" s="1"/>
  <c r="V516" i="1" s="1"/>
  <c r="C516" i="1"/>
  <c r="B516" i="1"/>
  <c r="A516" i="1"/>
  <c r="W515" i="1"/>
  <c r="I515" i="1"/>
  <c r="J515" i="1" s="1"/>
  <c r="K515" i="1" s="1"/>
  <c r="L515" i="1" s="1"/>
  <c r="M515" i="1" s="1"/>
  <c r="N515" i="1" s="1"/>
  <c r="O515" i="1" s="1"/>
  <c r="P515" i="1" s="1"/>
  <c r="Q515" i="1" s="1"/>
  <c r="R515" i="1" s="1"/>
  <c r="S515" i="1" s="1"/>
  <c r="T515" i="1" s="1"/>
  <c r="U515" i="1" s="1"/>
  <c r="V515" i="1" s="1"/>
  <c r="F515" i="1"/>
  <c r="E515" i="1"/>
  <c r="D515" i="1"/>
  <c r="H515" i="1" s="1"/>
  <c r="C515" i="1"/>
  <c r="B515" i="1"/>
  <c r="A515" i="1"/>
  <c r="F514" i="1"/>
  <c r="E514" i="1"/>
  <c r="D514" i="1"/>
  <c r="H514" i="1" s="1"/>
  <c r="I514" i="1" s="1"/>
  <c r="J514" i="1" s="1"/>
  <c r="K514" i="1" s="1"/>
  <c r="L514" i="1" s="1"/>
  <c r="M514" i="1" s="1"/>
  <c r="N514" i="1" s="1"/>
  <c r="O514" i="1" s="1"/>
  <c r="P514" i="1" s="1"/>
  <c r="Q514" i="1" s="1"/>
  <c r="R514" i="1" s="1"/>
  <c r="S514" i="1" s="1"/>
  <c r="T514" i="1" s="1"/>
  <c r="U514" i="1" s="1"/>
  <c r="V514" i="1" s="1"/>
  <c r="C514" i="1"/>
  <c r="B514" i="1"/>
  <c r="W514" i="1" s="1"/>
  <c r="A514" i="1"/>
  <c r="F513" i="1"/>
  <c r="E513" i="1"/>
  <c r="D513" i="1"/>
  <c r="H513" i="1" s="1"/>
  <c r="I513" i="1" s="1"/>
  <c r="J513" i="1" s="1"/>
  <c r="K513" i="1" s="1"/>
  <c r="L513" i="1" s="1"/>
  <c r="M513" i="1" s="1"/>
  <c r="N513" i="1" s="1"/>
  <c r="O513" i="1" s="1"/>
  <c r="P513" i="1" s="1"/>
  <c r="Q513" i="1" s="1"/>
  <c r="R513" i="1" s="1"/>
  <c r="S513" i="1" s="1"/>
  <c r="T513" i="1" s="1"/>
  <c r="U513" i="1" s="1"/>
  <c r="V513" i="1" s="1"/>
  <c r="C513" i="1"/>
  <c r="B513" i="1"/>
  <c r="W513" i="1" s="1"/>
  <c r="A513" i="1"/>
  <c r="W512" i="1"/>
  <c r="F512" i="1"/>
  <c r="E512" i="1"/>
  <c r="D512" i="1"/>
  <c r="H512" i="1" s="1"/>
  <c r="I512" i="1" s="1"/>
  <c r="J512" i="1" s="1"/>
  <c r="K512" i="1" s="1"/>
  <c r="L512" i="1" s="1"/>
  <c r="M512" i="1" s="1"/>
  <c r="N512" i="1" s="1"/>
  <c r="O512" i="1" s="1"/>
  <c r="P512" i="1" s="1"/>
  <c r="Q512" i="1" s="1"/>
  <c r="R512" i="1" s="1"/>
  <c r="S512" i="1" s="1"/>
  <c r="T512" i="1" s="1"/>
  <c r="U512" i="1" s="1"/>
  <c r="V512" i="1" s="1"/>
  <c r="C512" i="1"/>
  <c r="B512" i="1"/>
  <c r="A512" i="1"/>
  <c r="W511" i="1"/>
  <c r="I511" i="1"/>
  <c r="J511" i="1" s="1"/>
  <c r="K511" i="1" s="1"/>
  <c r="L511" i="1" s="1"/>
  <c r="M511" i="1" s="1"/>
  <c r="N511" i="1" s="1"/>
  <c r="O511" i="1" s="1"/>
  <c r="P511" i="1" s="1"/>
  <c r="Q511" i="1" s="1"/>
  <c r="R511" i="1" s="1"/>
  <c r="S511" i="1" s="1"/>
  <c r="T511" i="1" s="1"/>
  <c r="U511" i="1" s="1"/>
  <c r="V511" i="1" s="1"/>
  <c r="F511" i="1"/>
  <c r="E511" i="1"/>
  <c r="D511" i="1"/>
  <c r="H511" i="1" s="1"/>
  <c r="C511" i="1"/>
  <c r="B511" i="1"/>
  <c r="A511" i="1"/>
  <c r="F510" i="1"/>
  <c r="E510" i="1"/>
  <c r="D510" i="1"/>
  <c r="H510" i="1" s="1"/>
  <c r="I510" i="1" s="1"/>
  <c r="J510" i="1" s="1"/>
  <c r="K510" i="1" s="1"/>
  <c r="L510" i="1" s="1"/>
  <c r="M510" i="1" s="1"/>
  <c r="N510" i="1" s="1"/>
  <c r="O510" i="1" s="1"/>
  <c r="P510" i="1" s="1"/>
  <c r="Q510" i="1" s="1"/>
  <c r="R510" i="1" s="1"/>
  <c r="S510" i="1" s="1"/>
  <c r="T510" i="1" s="1"/>
  <c r="U510" i="1" s="1"/>
  <c r="V510" i="1" s="1"/>
  <c r="C510" i="1"/>
  <c r="B510" i="1"/>
  <c r="W510" i="1" s="1"/>
  <c r="A510" i="1"/>
  <c r="F509" i="1"/>
  <c r="E509" i="1"/>
  <c r="D509" i="1"/>
  <c r="H509" i="1" s="1"/>
  <c r="I509" i="1" s="1"/>
  <c r="J509" i="1" s="1"/>
  <c r="K509" i="1" s="1"/>
  <c r="L509" i="1" s="1"/>
  <c r="M509" i="1" s="1"/>
  <c r="N509" i="1" s="1"/>
  <c r="O509" i="1" s="1"/>
  <c r="P509" i="1" s="1"/>
  <c r="Q509" i="1" s="1"/>
  <c r="R509" i="1" s="1"/>
  <c r="S509" i="1" s="1"/>
  <c r="T509" i="1" s="1"/>
  <c r="U509" i="1" s="1"/>
  <c r="V509" i="1" s="1"/>
  <c r="C509" i="1"/>
  <c r="B509" i="1"/>
  <c r="W509" i="1" s="1"/>
  <c r="A509" i="1"/>
  <c r="W508" i="1"/>
  <c r="F508" i="1"/>
  <c r="E508" i="1"/>
  <c r="D508" i="1"/>
  <c r="H508" i="1" s="1"/>
  <c r="I508" i="1" s="1"/>
  <c r="J508" i="1" s="1"/>
  <c r="K508" i="1" s="1"/>
  <c r="L508" i="1" s="1"/>
  <c r="M508" i="1" s="1"/>
  <c r="N508" i="1" s="1"/>
  <c r="O508" i="1" s="1"/>
  <c r="P508" i="1" s="1"/>
  <c r="Q508" i="1" s="1"/>
  <c r="R508" i="1" s="1"/>
  <c r="S508" i="1" s="1"/>
  <c r="T508" i="1" s="1"/>
  <c r="U508" i="1" s="1"/>
  <c r="V508" i="1" s="1"/>
  <c r="C508" i="1"/>
  <c r="B508" i="1"/>
  <c r="A508" i="1"/>
  <c r="W507" i="1"/>
  <c r="I507" i="1"/>
  <c r="J507" i="1" s="1"/>
  <c r="K507" i="1" s="1"/>
  <c r="L507" i="1" s="1"/>
  <c r="M507" i="1" s="1"/>
  <c r="N507" i="1" s="1"/>
  <c r="O507" i="1" s="1"/>
  <c r="P507" i="1" s="1"/>
  <c r="Q507" i="1" s="1"/>
  <c r="R507" i="1" s="1"/>
  <c r="S507" i="1" s="1"/>
  <c r="T507" i="1" s="1"/>
  <c r="U507" i="1" s="1"/>
  <c r="V507" i="1" s="1"/>
  <c r="F507" i="1"/>
  <c r="E507" i="1"/>
  <c r="D507" i="1"/>
  <c r="H507" i="1" s="1"/>
  <c r="C507" i="1"/>
  <c r="B507" i="1"/>
  <c r="A507" i="1"/>
  <c r="F506" i="1"/>
  <c r="E506" i="1"/>
  <c r="D506" i="1"/>
  <c r="H506" i="1" s="1"/>
  <c r="I506" i="1" s="1"/>
  <c r="J506" i="1" s="1"/>
  <c r="K506" i="1" s="1"/>
  <c r="L506" i="1" s="1"/>
  <c r="M506" i="1" s="1"/>
  <c r="N506" i="1" s="1"/>
  <c r="O506" i="1" s="1"/>
  <c r="P506" i="1" s="1"/>
  <c r="Q506" i="1" s="1"/>
  <c r="R506" i="1" s="1"/>
  <c r="S506" i="1" s="1"/>
  <c r="T506" i="1" s="1"/>
  <c r="U506" i="1" s="1"/>
  <c r="V506" i="1" s="1"/>
  <c r="C506" i="1"/>
  <c r="B506" i="1"/>
  <c r="W506" i="1" s="1"/>
  <c r="A506" i="1"/>
  <c r="F505" i="1"/>
  <c r="E505" i="1"/>
  <c r="D505" i="1"/>
  <c r="H505" i="1" s="1"/>
  <c r="I505" i="1" s="1"/>
  <c r="J505" i="1" s="1"/>
  <c r="K505" i="1" s="1"/>
  <c r="L505" i="1" s="1"/>
  <c r="M505" i="1" s="1"/>
  <c r="N505" i="1" s="1"/>
  <c r="O505" i="1" s="1"/>
  <c r="P505" i="1" s="1"/>
  <c r="Q505" i="1" s="1"/>
  <c r="R505" i="1" s="1"/>
  <c r="S505" i="1" s="1"/>
  <c r="T505" i="1" s="1"/>
  <c r="U505" i="1" s="1"/>
  <c r="V505" i="1" s="1"/>
  <c r="C505" i="1"/>
  <c r="B505" i="1"/>
  <c r="W505" i="1" s="1"/>
  <c r="A505" i="1"/>
  <c r="F504" i="1"/>
  <c r="E504" i="1"/>
  <c r="D504" i="1"/>
  <c r="H504" i="1" s="1"/>
  <c r="I504" i="1" s="1"/>
  <c r="J504" i="1" s="1"/>
  <c r="K504" i="1" s="1"/>
  <c r="L504" i="1" s="1"/>
  <c r="M504" i="1" s="1"/>
  <c r="N504" i="1" s="1"/>
  <c r="O504" i="1" s="1"/>
  <c r="P504" i="1" s="1"/>
  <c r="Q504" i="1" s="1"/>
  <c r="R504" i="1" s="1"/>
  <c r="S504" i="1" s="1"/>
  <c r="T504" i="1" s="1"/>
  <c r="U504" i="1" s="1"/>
  <c r="V504" i="1" s="1"/>
  <c r="C504" i="1"/>
  <c r="B504" i="1"/>
  <c r="W504" i="1" s="1"/>
  <c r="A504" i="1"/>
  <c r="W503" i="1"/>
  <c r="M503" i="1"/>
  <c r="N503" i="1" s="1"/>
  <c r="O503" i="1" s="1"/>
  <c r="P503" i="1" s="1"/>
  <c r="Q503" i="1" s="1"/>
  <c r="R503" i="1" s="1"/>
  <c r="S503" i="1" s="1"/>
  <c r="T503" i="1" s="1"/>
  <c r="U503" i="1" s="1"/>
  <c r="V503" i="1" s="1"/>
  <c r="I503" i="1"/>
  <c r="J503" i="1" s="1"/>
  <c r="K503" i="1" s="1"/>
  <c r="L503" i="1" s="1"/>
  <c r="F503" i="1"/>
  <c r="E503" i="1"/>
  <c r="D503" i="1"/>
  <c r="H503" i="1" s="1"/>
  <c r="C503" i="1"/>
  <c r="B503" i="1"/>
  <c r="A503" i="1"/>
  <c r="K502" i="1"/>
  <c r="L502" i="1" s="1"/>
  <c r="M502" i="1" s="1"/>
  <c r="N502" i="1" s="1"/>
  <c r="O502" i="1" s="1"/>
  <c r="P502" i="1" s="1"/>
  <c r="Q502" i="1" s="1"/>
  <c r="R502" i="1" s="1"/>
  <c r="S502" i="1" s="1"/>
  <c r="T502" i="1" s="1"/>
  <c r="U502" i="1" s="1"/>
  <c r="V502" i="1" s="1"/>
  <c r="F502" i="1"/>
  <c r="E502" i="1"/>
  <c r="D502" i="1"/>
  <c r="H502" i="1" s="1"/>
  <c r="I502" i="1" s="1"/>
  <c r="J502" i="1" s="1"/>
  <c r="C502" i="1"/>
  <c r="B502" i="1"/>
  <c r="W502" i="1" s="1"/>
  <c r="A502" i="1"/>
  <c r="N501" i="1"/>
  <c r="O501" i="1" s="1"/>
  <c r="P501" i="1" s="1"/>
  <c r="Q501" i="1" s="1"/>
  <c r="R501" i="1" s="1"/>
  <c r="S501" i="1" s="1"/>
  <c r="T501" i="1" s="1"/>
  <c r="U501" i="1" s="1"/>
  <c r="V501" i="1" s="1"/>
  <c r="F501" i="1"/>
  <c r="E501" i="1"/>
  <c r="D501" i="1"/>
  <c r="H501" i="1" s="1"/>
  <c r="I501" i="1" s="1"/>
  <c r="J501" i="1" s="1"/>
  <c r="K501" i="1" s="1"/>
  <c r="L501" i="1" s="1"/>
  <c r="M501" i="1" s="1"/>
  <c r="C501" i="1"/>
  <c r="B501" i="1"/>
  <c r="W501" i="1" s="1"/>
  <c r="A501" i="1"/>
  <c r="F500" i="1"/>
  <c r="E500" i="1"/>
  <c r="D500" i="1"/>
  <c r="H500" i="1" s="1"/>
  <c r="I500" i="1" s="1"/>
  <c r="J500" i="1" s="1"/>
  <c r="K500" i="1" s="1"/>
  <c r="L500" i="1" s="1"/>
  <c r="M500" i="1" s="1"/>
  <c r="N500" i="1" s="1"/>
  <c r="O500" i="1" s="1"/>
  <c r="P500" i="1" s="1"/>
  <c r="Q500" i="1" s="1"/>
  <c r="R500" i="1" s="1"/>
  <c r="S500" i="1" s="1"/>
  <c r="T500" i="1" s="1"/>
  <c r="U500" i="1" s="1"/>
  <c r="V500" i="1" s="1"/>
  <c r="C500" i="1"/>
  <c r="B500" i="1"/>
  <c r="W500" i="1" s="1"/>
  <c r="A500" i="1"/>
  <c r="W499" i="1"/>
  <c r="M499" i="1"/>
  <c r="N499" i="1" s="1"/>
  <c r="O499" i="1" s="1"/>
  <c r="P499" i="1" s="1"/>
  <c r="Q499" i="1" s="1"/>
  <c r="R499" i="1" s="1"/>
  <c r="S499" i="1" s="1"/>
  <c r="T499" i="1" s="1"/>
  <c r="U499" i="1" s="1"/>
  <c r="V499" i="1" s="1"/>
  <c r="I499" i="1"/>
  <c r="J499" i="1" s="1"/>
  <c r="K499" i="1" s="1"/>
  <c r="L499" i="1" s="1"/>
  <c r="F499" i="1"/>
  <c r="E499" i="1"/>
  <c r="D499" i="1"/>
  <c r="H499" i="1" s="1"/>
  <c r="C499" i="1"/>
  <c r="B499" i="1"/>
  <c r="A499" i="1"/>
  <c r="K498" i="1"/>
  <c r="L498" i="1" s="1"/>
  <c r="M498" i="1" s="1"/>
  <c r="N498" i="1" s="1"/>
  <c r="O498" i="1" s="1"/>
  <c r="P498" i="1" s="1"/>
  <c r="Q498" i="1" s="1"/>
  <c r="R498" i="1" s="1"/>
  <c r="S498" i="1" s="1"/>
  <c r="T498" i="1" s="1"/>
  <c r="U498" i="1" s="1"/>
  <c r="V498" i="1" s="1"/>
  <c r="F498" i="1"/>
  <c r="E498" i="1"/>
  <c r="D498" i="1"/>
  <c r="H498" i="1" s="1"/>
  <c r="I498" i="1" s="1"/>
  <c r="J498" i="1" s="1"/>
  <c r="C498" i="1"/>
  <c r="B498" i="1"/>
  <c r="W498" i="1" s="1"/>
  <c r="A498" i="1"/>
  <c r="N497" i="1"/>
  <c r="O497" i="1" s="1"/>
  <c r="P497" i="1" s="1"/>
  <c r="Q497" i="1" s="1"/>
  <c r="R497" i="1" s="1"/>
  <c r="S497" i="1" s="1"/>
  <c r="T497" i="1" s="1"/>
  <c r="U497" i="1" s="1"/>
  <c r="V497" i="1" s="1"/>
  <c r="F497" i="1"/>
  <c r="E497" i="1"/>
  <c r="D497" i="1"/>
  <c r="H497" i="1" s="1"/>
  <c r="I497" i="1" s="1"/>
  <c r="J497" i="1" s="1"/>
  <c r="K497" i="1" s="1"/>
  <c r="L497" i="1" s="1"/>
  <c r="M497" i="1" s="1"/>
  <c r="C497" i="1"/>
  <c r="B497" i="1"/>
  <c r="W497" i="1" s="1"/>
  <c r="A497" i="1"/>
  <c r="F496" i="1"/>
  <c r="E496" i="1"/>
  <c r="D496" i="1"/>
  <c r="H496" i="1" s="1"/>
  <c r="I496" i="1" s="1"/>
  <c r="J496" i="1" s="1"/>
  <c r="K496" i="1" s="1"/>
  <c r="L496" i="1" s="1"/>
  <c r="M496" i="1" s="1"/>
  <c r="N496" i="1" s="1"/>
  <c r="O496" i="1" s="1"/>
  <c r="P496" i="1" s="1"/>
  <c r="Q496" i="1" s="1"/>
  <c r="R496" i="1" s="1"/>
  <c r="S496" i="1" s="1"/>
  <c r="T496" i="1" s="1"/>
  <c r="U496" i="1" s="1"/>
  <c r="V496" i="1" s="1"/>
  <c r="C496" i="1"/>
  <c r="B496" i="1"/>
  <c r="W496" i="1" s="1"/>
  <c r="A496" i="1"/>
  <c r="W495" i="1"/>
  <c r="M495" i="1"/>
  <c r="N495" i="1" s="1"/>
  <c r="O495" i="1" s="1"/>
  <c r="P495" i="1" s="1"/>
  <c r="Q495" i="1" s="1"/>
  <c r="R495" i="1" s="1"/>
  <c r="S495" i="1" s="1"/>
  <c r="T495" i="1" s="1"/>
  <c r="U495" i="1" s="1"/>
  <c r="V495" i="1" s="1"/>
  <c r="I495" i="1"/>
  <c r="J495" i="1" s="1"/>
  <c r="K495" i="1" s="1"/>
  <c r="L495" i="1" s="1"/>
  <c r="F495" i="1"/>
  <c r="E495" i="1"/>
  <c r="D495" i="1"/>
  <c r="H495" i="1" s="1"/>
  <c r="C495" i="1"/>
  <c r="B495" i="1"/>
  <c r="A495" i="1"/>
  <c r="O494" i="1"/>
  <c r="P494" i="1" s="1"/>
  <c r="Q494" i="1" s="1"/>
  <c r="R494" i="1" s="1"/>
  <c r="S494" i="1" s="1"/>
  <c r="T494" i="1" s="1"/>
  <c r="U494" i="1" s="1"/>
  <c r="V494" i="1" s="1"/>
  <c r="M494" i="1"/>
  <c r="N494" i="1" s="1"/>
  <c r="F494" i="1"/>
  <c r="E494" i="1"/>
  <c r="D494" i="1"/>
  <c r="H494" i="1" s="1"/>
  <c r="I494" i="1" s="1"/>
  <c r="J494" i="1" s="1"/>
  <c r="K494" i="1" s="1"/>
  <c r="L494" i="1" s="1"/>
  <c r="C494" i="1"/>
  <c r="B494" i="1"/>
  <c r="W494" i="1" s="1"/>
  <c r="A494" i="1"/>
  <c r="F493" i="1"/>
  <c r="E493" i="1"/>
  <c r="D493" i="1"/>
  <c r="H493" i="1" s="1"/>
  <c r="I493" i="1" s="1"/>
  <c r="J493" i="1" s="1"/>
  <c r="K493" i="1" s="1"/>
  <c r="L493" i="1" s="1"/>
  <c r="M493" i="1" s="1"/>
  <c r="N493" i="1" s="1"/>
  <c r="O493" i="1" s="1"/>
  <c r="P493" i="1" s="1"/>
  <c r="Q493" i="1" s="1"/>
  <c r="R493" i="1" s="1"/>
  <c r="S493" i="1" s="1"/>
  <c r="T493" i="1" s="1"/>
  <c r="U493" i="1" s="1"/>
  <c r="V493" i="1" s="1"/>
  <c r="C493" i="1"/>
  <c r="B493" i="1"/>
  <c r="W493" i="1" s="1"/>
  <c r="A493" i="1"/>
  <c r="F492" i="1"/>
  <c r="E492" i="1"/>
  <c r="D492" i="1"/>
  <c r="H492" i="1" s="1"/>
  <c r="I492" i="1" s="1"/>
  <c r="J492" i="1" s="1"/>
  <c r="K492" i="1" s="1"/>
  <c r="L492" i="1" s="1"/>
  <c r="M492" i="1" s="1"/>
  <c r="N492" i="1" s="1"/>
  <c r="O492" i="1" s="1"/>
  <c r="P492" i="1" s="1"/>
  <c r="Q492" i="1" s="1"/>
  <c r="R492" i="1" s="1"/>
  <c r="S492" i="1" s="1"/>
  <c r="T492" i="1" s="1"/>
  <c r="U492" i="1" s="1"/>
  <c r="V492" i="1" s="1"/>
  <c r="C492" i="1"/>
  <c r="B492" i="1"/>
  <c r="A492" i="1"/>
  <c r="W492" i="1" s="1"/>
  <c r="W491" i="1"/>
  <c r="I491" i="1"/>
  <c r="J491" i="1" s="1"/>
  <c r="K491" i="1" s="1"/>
  <c r="L491" i="1" s="1"/>
  <c r="M491" i="1" s="1"/>
  <c r="N491" i="1" s="1"/>
  <c r="O491" i="1" s="1"/>
  <c r="P491" i="1" s="1"/>
  <c r="Q491" i="1" s="1"/>
  <c r="R491" i="1" s="1"/>
  <c r="S491" i="1" s="1"/>
  <c r="T491" i="1" s="1"/>
  <c r="U491" i="1" s="1"/>
  <c r="V491" i="1" s="1"/>
  <c r="F491" i="1"/>
  <c r="E491" i="1"/>
  <c r="D491" i="1"/>
  <c r="H491" i="1" s="1"/>
  <c r="C491" i="1"/>
  <c r="B491" i="1"/>
  <c r="A491" i="1"/>
  <c r="F490" i="1"/>
  <c r="E490" i="1"/>
  <c r="D490" i="1"/>
  <c r="H490" i="1" s="1"/>
  <c r="I490" i="1" s="1"/>
  <c r="J490" i="1" s="1"/>
  <c r="K490" i="1" s="1"/>
  <c r="L490" i="1" s="1"/>
  <c r="M490" i="1" s="1"/>
  <c r="N490" i="1" s="1"/>
  <c r="O490" i="1" s="1"/>
  <c r="P490" i="1" s="1"/>
  <c r="Q490" i="1" s="1"/>
  <c r="R490" i="1" s="1"/>
  <c r="S490" i="1" s="1"/>
  <c r="T490" i="1" s="1"/>
  <c r="U490" i="1" s="1"/>
  <c r="V490" i="1" s="1"/>
  <c r="C490" i="1"/>
  <c r="B490" i="1"/>
  <c r="W490" i="1" s="1"/>
  <c r="A490" i="1"/>
  <c r="F489" i="1"/>
  <c r="E489" i="1"/>
  <c r="D489" i="1"/>
  <c r="H489" i="1" s="1"/>
  <c r="I489" i="1" s="1"/>
  <c r="J489" i="1" s="1"/>
  <c r="K489" i="1" s="1"/>
  <c r="L489" i="1" s="1"/>
  <c r="M489" i="1" s="1"/>
  <c r="N489" i="1" s="1"/>
  <c r="O489" i="1" s="1"/>
  <c r="P489" i="1" s="1"/>
  <c r="Q489" i="1" s="1"/>
  <c r="R489" i="1" s="1"/>
  <c r="S489" i="1" s="1"/>
  <c r="T489" i="1" s="1"/>
  <c r="U489" i="1" s="1"/>
  <c r="V489" i="1" s="1"/>
  <c r="C489" i="1"/>
  <c r="B489" i="1"/>
  <c r="W489" i="1" s="1"/>
  <c r="A489" i="1"/>
  <c r="J488" i="1"/>
  <c r="K488" i="1" s="1"/>
  <c r="L488" i="1" s="1"/>
  <c r="M488" i="1" s="1"/>
  <c r="N488" i="1" s="1"/>
  <c r="O488" i="1" s="1"/>
  <c r="P488" i="1" s="1"/>
  <c r="Q488" i="1" s="1"/>
  <c r="R488" i="1" s="1"/>
  <c r="S488" i="1" s="1"/>
  <c r="T488" i="1" s="1"/>
  <c r="U488" i="1" s="1"/>
  <c r="V488" i="1" s="1"/>
  <c r="F488" i="1"/>
  <c r="E488" i="1"/>
  <c r="D488" i="1"/>
  <c r="H488" i="1" s="1"/>
  <c r="I488" i="1" s="1"/>
  <c r="C488" i="1"/>
  <c r="B488" i="1"/>
  <c r="A488" i="1"/>
  <c r="W488" i="1" s="1"/>
  <c r="W487" i="1"/>
  <c r="F487" i="1"/>
  <c r="E487" i="1"/>
  <c r="D487" i="1"/>
  <c r="H487" i="1" s="1"/>
  <c r="I487" i="1" s="1"/>
  <c r="J487" i="1" s="1"/>
  <c r="K487" i="1" s="1"/>
  <c r="L487" i="1" s="1"/>
  <c r="M487" i="1" s="1"/>
  <c r="N487" i="1" s="1"/>
  <c r="O487" i="1" s="1"/>
  <c r="P487" i="1" s="1"/>
  <c r="Q487" i="1" s="1"/>
  <c r="R487" i="1" s="1"/>
  <c r="S487" i="1" s="1"/>
  <c r="T487" i="1" s="1"/>
  <c r="U487" i="1" s="1"/>
  <c r="V487" i="1" s="1"/>
  <c r="C487" i="1"/>
  <c r="B487" i="1"/>
  <c r="A487" i="1"/>
  <c r="F486" i="1"/>
  <c r="E486" i="1"/>
  <c r="D486" i="1"/>
  <c r="H486" i="1" s="1"/>
  <c r="I486" i="1" s="1"/>
  <c r="J486" i="1" s="1"/>
  <c r="K486" i="1" s="1"/>
  <c r="L486" i="1" s="1"/>
  <c r="M486" i="1" s="1"/>
  <c r="N486" i="1" s="1"/>
  <c r="O486" i="1" s="1"/>
  <c r="P486" i="1" s="1"/>
  <c r="Q486" i="1" s="1"/>
  <c r="R486" i="1" s="1"/>
  <c r="S486" i="1" s="1"/>
  <c r="T486" i="1" s="1"/>
  <c r="U486" i="1" s="1"/>
  <c r="V486" i="1" s="1"/>
  <c r="C486" i="1"/>
  <c r="B486" i="1"/>
  <c r="W486" i="1" s="1"/>
  <c r="A486" i="1"/>
  <c r="N485" i="1"/>
  <c r="O485" i="1" s="1"/>
  <c r="P485" i="1" s="1"/>
  <c r="Q485" i="1" s="1"/>
  <c r="R485" i="1" s="1"/>
  <c r="S485" i="1" s="1"/>
  <c r="T485" i="1" s="1"/>
  <c r="U485" i="1" s="1"/>
  <c r="V485" i="1" s="1"/>
  <c r="H485" i="1"/>
  <c r="I485" i="1" s="1"/>
  <c r="J485" i="1" s="1"/>
  <c r="K485" i="1" s="1"/>
  <c r="L485" i="1" s="1"/>
  <c r="M485" i="1" s="1"/>
  <c r="F485" i="1"/>
  <c r="E485" i="1"/>
  <c r="D485" i="1"/>
  <c r="C485" i="1"/>
  <c r="B485" i="1"/>
  <c r="W485" i="1" s="1"/>
  <c r="A485" i="1"/>
  <c r="R484" i="1"/>
  <c r="S484" i="1" s="1"/>
  <c r="T484" i="1" s="1"/>
  <c r="U484" i="1" s="1"/>
  <c r="V484" i="1" s="1"/>
  <c r="K484" i="1"/>
  <c r="L484" i="1" s="1"/>
  <c r="M484" i="1" s="1"/>
  <c r="N484" i="1" s="1"/>
  <c r="O484" i="1" s="1"/>
  <c r="P484" i="1" s="1"/>
  <c r="Q484" i="1" s="1"/>
  <c r="F484" i="1"/>
  <c r="E484" i="1"/>
  <c r="D484" i="1"/>
  <c r="H484" i="1" s="1"/>
  <c r="I484" i="1" s="1"/>
  <c r="J484" i="1" s="1"/>
  <c r="C484" i="1"/>
  <c r="B484" i="1"/>
  <c r="A484" i="1"/>
  <c r="W484" i="1" s="1"/>
  <c r="W483" i="1"/>
  <c r="F483" i="1"/>
  <c r="E483" i="1"/>
  <c r="D483" i="1"/>
  <c r="H483" i="1" s="1"/>
  <c r="I483" i="1" s="1"/>
  <c r="J483" i="1" s="1"/>
  <c r="K483" i="1" s="1"/>
  <c r="L483" i="1" s="1"/>
  <c r="M483" i="1" s="1"/>
  <c r="N483" i="1" s="1"/>
  <c r="O483" i="1" s="1"/>
  <c r="P483" i="1" s="1"/>
  <c r="Q483" i="1" s="1"/>
  <c r="R483" i="1" s="1"/>
  <c r="S483" i="1" s="1"/>
  <c r="T483" i="1" s="1"/>
  <c r="U483" i="1" s="1"/>
  <c r="V483" i="1" s="1"/>
  <c r="C483" i="1"/>
  <c r="B483" i="1"/>
  <c r="A483" i="1"/>
  <c r="O482" i="1"/>
  <c r="P482" i="1" s="1"/>
  <c r="Q482" i="1" s="1"/>
  <c r="R482" i="1" s="1"/>
  <c r="S482" i="1" s="1"/>
  <c r="T482" i="1" s="1"/>
  <c r="U482" i="1" s="1"/>
  <c r="V482" i="1" s="1"/>
  <c r="F482" i="1"/>
  <c r="E482" i="1"/>
  <c r="D482" i="1"/>
  <c r="H482" i="1" s="1"/>
  <c r="I482" i="1" s="1"/>
  <c r="J482" i="1" s="1"/>
  <c r="K482" i="1" s="1"/>
  <c r="L482" i="1" s="1"/>
  <c r="M482" i="1" s="1"/>
  <c r="N482" i="1" s="1"/>
  <c r="C482" i="1"/>
  <c r="B482" i="1"/>
  <c r="W482" i="1" s="1"/>
  <c r="A482" i="1"/>
  <c r="H481" i="1"/>
  <c r="I481" i="1" s="1"/>
  <c r="J481" i="1" s="1"/>
  <c r="K481" i="1" s="1"/>
  <c r="L481" i="1" s="1"/>
  <c r="M481" i="1" s="1"/>
  <c r="N481" i="1" s="1"/>
  <c r="O481" i="1" s="1"/>
  <c r="P481" i="1" s="1"/>
  <c r="Q481" i="1" s="1"/>
  <c r="R481" i="1" s="1"/>
  <c r="S481" i="1" s="1"/>
  <c r="T481" i="1" s="1"/>
  <c r="U481" i="1" s="1"/>
  <c r="V481" i="1" s="1"/>
  <c r="F481" i="1"/>
  <c r="E481" i="1"/>
  <c r="D481" i="1"/>
  <c r="C481" i="1"/>
  <c r="B481" i="1"/>
  <c r="W481" i="1" s="1"/>
  <c r="A481" i="1"/>
  <c r="W480" i="1"/>
  <c r="V480" i="1"/>
  <c r="I480" i="1"/>
  <c r="J480" i="1" s="1"/>
  <c r="K480" i="1" s="1"/>
  <c r="L480" i="1" s="1"/>
  <c r="M480" i="1" s="1"/>
  <c r="N480" i="1" s="1"/>
  <c r="O480" i="1" s="1"/>
  <c r="P480" i="1" s="1"/>
  <c r="Q480" i="1" s="1"/>
  <c r="R480" i="1" s="1"/>
  <c r="S480" i="1" s="1"/>
  <c r="T480" i="1" s="1"/>
  <c r="U480" i="1" s="1"/>
  <c r="F480" i="1"/>
  <c r="E480" i="1"/>
  <c r="D480" i="1"/>
  <c r="H480" i="1" s="1"/>
  <c r="C480" i="1"/>
  <c r="B480" i="1"/>
  <c r="A480" i="1"/>
  <c r="S479" i="1"/>
  <c r="T479" i="1" s="1"/>
  <c r="U479" i="1" s="1"/>
  <c r="V479" i="1" s="1"/>
  <c r="Q479" i="1"/>
  <c r="R479" i="1" s="1"/>
  <c r="H479" i="1"/>
  <c r="I479" i="1" s="1"/>
  <c r="J479" i="1" s="1"/>
  <c r="K479" i="1" s="1"/>
  <c r="L479" i="1" s="1"/>
  <c r="M479" i="1" s="1"/>
  <c r="N479" i="1" s="1"/>
  <c r="O479" i="1" s="1"/>
  <c r="P479" i="1" s="1"/>
  <c r="F479" i="1"/>
  <c r="E479" i="1"/>
  <c r="D479" i="1"/>
  <c r="C479" i="1"/>
  <c r="B479" i="1"/>
  <c r="A479" i="1"/>
  <c r="W479" i="1" s="1"/>
  <c r="Q478" i="1"/>
  <c r="R478" i="1" s="1"/>
  <c r="S478" i="1" s="1"/>
  <c r="T478" i="1" s="1"/>
  <c r="U478" i="1" s="1"/>
  <c r="V478" i="1" s="1"/>
  <c r="O478" i="1"/>
  <c r="P478" i="1" s="1"/>
  <c r="J478" i="1"/>
  <c r="K478" i="1" s="1"/>
  <c r="L478" i="1" s="1"/>
  <c r="M478" i="1" s="1"/>
  <c r="N478" i="1" s="1"/>
  <c r="H478" i="1"/>
  <c r="I478" i="1" s="1"/>
  <c r="F478" i="1"/>
  <c r="E478" i="1"/>
  <c r="D478" i="1"/>
  <c r="C478" i="1"/>
  <c r="B478" i="1"/>
  <c r="A478" i="1"/>
  <c r="W478" i="1" s="1"/>
  <c r="W477" i="1"/>
  <c r="O477" i="1"/>
  <c r="P477" i="1" s="1"/>
  <c r="Q477" i="1" s="1"/>
  <c r="R477" i="1" s="1"/>
  <c r="S477" i="1" s="1"/>
  <c r="T477" i="1" s="1"/>
  <c r="U477" i="1" s="1"/>
  <c r="V477" i="1" s="1"/>
  <c r="H477" i="1"/>
  <c r="I477" i="1" s="1"/>
  <c r="J477" i="1" s="1"/>
  <c r="K477" i="1" s="1"/>
  <c r="L477" i="1" s="1"/>
  <c r="M477" i="1" s="1"/>
  <c r="N477" i="1" s="1"/>
  <c r="F477" i="1"/>
  <c r="E477" i="1"/>
  <c r="D477" i="1"/>
  <c r="C477" i="1"/>
  <c r="B477" i="1"/>
  <c r="A477" i="1"/>
  <c r="I476" i="1"/>
  <c r="J476" i="1" s="1"/>
  <c r="K476" i="1" s="1"/>
  <c r="L476" i="1" s="1"/>
  <c r="M476" i="1" s="1"/>
  <c r="N476" i="1" s="1"/>
  <c r="O476" i="1" s="1"/>
  <c r="P476" i="1" s="1"/>
  <c r="Q476" i="1" s="1"/>
  <c r="R476" i="1" s="1"/>
  <c r="S476" i="1" s="1"/>
  <c r="T476" i="1" s="1"/>
  <c r="U476" i="1" s="1"/>
  <c r="V476" i="1" s="1"/>
  <c r="F476" i="1"/>
  <c r="E476" i="1"/>
  <c r="D476" i="1"/>
  <c r="H476" i="1" s="1"/>
  <c r="C476" i="1"/>
  <c r="B476" i="1"/>
  <c r="A476" i="1"/>
  <c r="W476" i="1" s="1"/>
  <c r="H475" i="1"/>
  <c r="I475" i="1" s="1"/>
  <c r="J475" i="1" s="1"/>
  <c r="K475" i="1" s="1"/>
  <c r="L475" i="1" s="1"/>
  <c r="M475" i="1" s="1"/>
  <c r="N475" i="1" s="1"/>
  <c r="O475" i="1" s="1"/>
  <c r="P475" i="1" s="1"/>
  <c r="Q475" i="1" s="1"/>
  <c r="R475" i="1" s="1"/>
  <c r="S475" i="1" s="1"/>
  <c r="T475" i="1" s="1"/>
  <c r="U475" i="1" s="1"/>
  <c r="V475" i="1" s="1"/>
  <c r="F475" i="1"/>
  <c r="E475" i="1"/>
  <c r="D475" i="1"/>
  <c r="C475" i="1"/>
  <c r="B475" i="1"/>
  <c r="A475" i="1"/>
  <c r="W475" i="1" s="1"/>
  <c r="U474" i="1"/>
  <c r="V474" i="1" s="1"/>
  <c r="H474" i="1"/>
  <c r="I474" i="1" s="1"/>
  <c r="J474" i="1" s="1"/>
  <c r="K474" i="1" s="1"/>
  <c r="L474" i="1" s="1"/>
  <c r="M474" i="1" s="1"/>
  <c r="N474" i="1" s="1"/>
  <c r="O474" i="1" s="1"/>
  <c r="P474" i="1" s="1"/>
  <c r="Q474" i="1" s="1"/>
  <c r="R474" i="1" s="1"/>
  <c r="S474" i="1" s="1"/>
  <c r="T474" i="1" s="1"/>
  <c r="F474" i="1"/>
  <c r="E474" i="1"/>
  <c r="D474" i="1"/>
  <c r="C474" i="1"/>
  <c r="B474" i="1"/>
  <c r="A474" i="1"/>
  <c r="W474" i="1" s="1"/>
  <c r="W473" i="1"/>
  <c r="V473" i="1"/>
  <c r="T473" i="1"/>
  <c r="U473" i="1" s="1"/>
  <c r="K473" i="1"/>
  <c r="L473" i="1" s="1"/>
  <c r="M473" i="1" s="1"/>
  <c r="N473" i="1" s="1"/>
  <c r="O473" i="1" s="1"/>
  <c r="P473" i="1" s="1"/>
  <c r="Q473" i="1" s="1"/>
  <c r="R473" i="1" s="1"/>
  <c r="S473" i="1" s="1"/>
  <c r="H473" i="1"/>
  <c r="I473" i="1" s="1"/>
  <c r="J473" i="1" s="1"/>
  <c r="F473" i="1"/>
  <c r="E473" i="1"/>
  <c r="D473" i="1"/>
  <c r="C473" i="1"/>
  <c r="B473" i="1"/>
  <c r="A473" i="1"/>
  <c r="T472" i="1"/>
  <c r="U472" i="1" s="1"/>
  <c r="V472" i="1" s="1"/>
  <c r="R472" i="1"/>
  <c r="S472" i="1" s="1"/>
  <c r="I472" i="1"/>
  <c r="J472" i="1" s="1"/>
  <c r="K472" i="1" s="1"/>
  <c r="L472" i="1" s="1"/>
  <c r="M472" i="1" s="1"/>
  <c r="N472" i="1" s="1"/>
  <c r="O472" i="1" s="1"/>
  <c r="P472" i="1" s="1"/>
  <c r="Q472" i="1" s="1"/>
  <c r="F472" i="1"/>
  <c r="E472" i="1"/>
  <c r="D472" i="1"/>
  <c r="H472" i="1" s="1"/>
  <c r="C472" i="1"/>
  <c r="B472" i="1"/>
  <c r="A472" i="1"/>
  <c r="W472" i="1" s="1"/>
  <c r="H471" i="1"/>
  <c r="I471" i="1" s="1"/>
  <c r="J471" i="1" s="1"/>
  <c r="K471" i="1" s="1"/>
  <c r="L471" i="1" s="1"/>
  <c r="M471" i="1" s="1"/>
  <c r="N471" i="1" s="1"/>
  <c r="O471" i="1" s="1"/>
  <c r="P471" i="1" s="1"/>
  <c r="Q471" i="1" s="1"/>
  <c r="R471" i="1" s="1"/>
  <c r="S471" i="1" s="1"/>
  <c r="T471" i="1" s="1"/>
  <c r="U471" i="1" s="1"/>
  <c r="V471" i="1" s="1"/>
  <c r="F471" i="1"/>
  <c r="E471" i="1"/>
  <c r="D471" i="1"/>
  <c r="C471" i="1"/>
  <c r="B471" i="1"/>
  <c r="A471" i="1"/>
  <c r="W471" i="1" s="1"/>
  <c r="K470" i="1"/>
  <c r="L470" i="1" s="1"/>
  <c r="M470" i="1" s="1"/>
  <c r="N470" i="1" s="1"/>
  <c r="O470" i="1" s="1"/>
  <c r="P470" i="1" s="1"/>
  <c r="Q470" i="1" s="1"/>
  <c r="R470" i="1" s="1"/>
  <c r="S470" i="1" s="1"/>
  <c r="T470" i="1" s="1"/>
  <c r="U470" i="1" s="1"/>
  <c r="V470" i="1" s="1"/>
  <c r="H470" i="1"/>
  <c r="I470" i="1" s="1"/>
  <c r="J470" i="1" s="1"/>
  <c r="F470" i="1"/>
  <c r="E470" i="1"/>
  <c r="D470" i="1"/>
  <c r="C470" i="1"/>
  <c r="B470" i="1"/>
  <c r="A470" i="1"/>
  <c r="W469" i="1"/>
  <c r="K469" i="1"/>
  <c r="L469" i="1" s="1"/>
  <c r="M469" i="1" s="1"/>
  <c r="N469" i="1" s="1"/>
  <c r="O469" i="1" s="1"/>
  <c r="P469" i="1" s="1"/>
  <c r="Q469" i="1" s="1"/>
  <c r="R469" i="1" s="1"/>
  <c r="S469" i="1" s="1"/>
  <c r="T469" i="1" s="1"/>
  <c r="U469" i="1" s="1"/>
  <c r="V469" i="1" s="1"/>
  <c r="H469" i="1"/>
  <c r="I469" i="1" s="1"/>
  <c r="J469" i="1" s="1"/>
  <c r="F469" i="1"/>
  <c r="E469" i="1"/>
  <c r="D469" i="1"/>
  <c r="C469" i="1"/>
  <c r="B469" i="1"/>
  <c r="A469" i="1"/>
  <c r="V468" i="1"/>
  <c r="K468" i="1"/>
  <c r="L468" i="1" s="1"/>
  <c r="M468" i="1" s="1"/>
  <c r="N468" i="1" s="1"/>
  <c r="O468" i="1" s="1"/>
  <c r="P468" i="1" s="1"/>
  <c r="Q468" i="1" s="1"/>
  <c r="R468" i="1" s="1"/>
  <c r="S468" i="1" s="1"/>
  <c r="T468" i="1" s="1"/>
  <c r="U468" i="1" s="1"/>
  <c r="I468" i="1"/>
  <c r="J468" i="1" s="1"/>
  <c r="F468" i="1"/>
  <c r="E468" i="1"/>
  <c r="D468" i="1"/>
  <c r="H468" i="1" s="1"/>
  <c r="C468" i="1"/>
  <c r="B468" i="1"/>
  <c r="A468" i="1"/>
  <c r="U467" i="1"/>
  <c r="V467" i="1" s="1"/>
  <c r="S467" i="1"/>
  <c r="T467" i="1" s="1"/>
  <c r="J467" i="1"/>
  <c r="K467" i="1" s="1"/>
  <c r="L467" i="1" s="1"/>
  <c r="M467" i="1" s="1"/>
  <c r="N467" i="1" s="1"/>
  <c r="O467" i="1" s="1"/>
  <c r="P467" i="1" s="1"/>
  <c r="Q467" i="1" s="1"/>
  <c r="R467" i="1" s="1"/>
  <c r="H467" i="1"/>
  <c r="I467" i="1" s="1"/>
  <c r="F467" i="1"/>
  <c r="E467" i="1"/>
  <c r="D467" i="1"/>
  <c r="C467" i="1"/>
  <c r="B467" i="1"/>
  <c r="A467" i="1"/>
  <c r="W467" i="1" s="1"/>
  <c r="S466" i="1"/>
  <c r="T466" i="1" s="1"/>
  <c r="U466" i="1" s="1"/>
  <c r="V466" i="1" s="1"/>
  <c r="Q466" i="1"/>
  <c r="R466" i="1" s="1"/>
  <c r="H466" i="1"/>
  <c r="I466" i="1" s="1"/>
  <c r="J466" i="1" s="1"/>
  <c r="K466" i="1" s="1"/>
  <c r="L466" i="1" s="1"/>
  <c r="M466" i="1" s="1"/>
  <c r="N466" i="1" s="1"/>
  <c r="O466" i="1" s="1"/>
  <c r="P466" i="1" s="1"/>
  <c r="F466" i="1"/>
  <c r="E466" i="1"/>
  <c r="D466" i="1"/>
  <c r="C466" i="1"/>
  <c r="B466" i="1"/>
  <c r="A466" i="1"/>
  <c r="W466" i="1" s="1"/>
  <c r="W465" i="1"/>
  <c r="P465" i="1"/>
  <c r="Q465" i="1" s="1"/>
  <c r="R465" i="1" s="1"/>
  <c r="S465" i="1" s="1"/>
  <c r="T465" i="1" s="1"/>
  <c r="U465" i="1" s="1"/>
  <c r="V465" i="1" s="1"/>
  <c r="K465" i="1"/>
  <c r="L465" i="1" s="1"/>
  <c r="M465" i="1" s="1"/>
  <c r="N465" i="1" s="1"/>
  <c r="O465" i="1" s="1"/>
  <c r="H465" i="1"/>
  <c r="I465" i="1" s="1"/>
  <c r="J465" i="1" s="1"/>
  <c r="F465" i="1"/>
  <c r="E465" i="1"/>
  <c r="D465" i="1"/>
  <c r="C465" i="1"/>
  <c r="B465" i="1"/>
  <c r="A465" i="1"/>
  <c r="I464" i="1"/>
  <c r="J464" i="1" s="1"/>
  <c r="K464" i="1" s="1"/>
  <c r="L464" i="1" s="1"/>
  <c r="M464" i="1" s="1"/>
  <c r="N464" i="1" s="1"/>
  <c r="O464" i="1" s="1"/>
  <c r="P464" i="1" s="1"/>
  <c r="Q464" i="1" s="1"/>
  <c r="R464" i="1" s="1"/>
  <c r="S464" i="1" s="1"/>
  <c r="T464" i="1" s="1"/>
  <c r="U464" i="1" s="1"/>
  <c r="V464" i="1" s="1"/>
  <c r="F464" i="1"/>
  <c r="E464" i="1"/>
  <c r="D464" i="1"/>
  <c r="H464" i="1" s="1"/>
  <c r="C464" i="1"/>
  <c r="B464" i="1"/>
  <c r="A464" i="1"/>
  <c r="J463" i="1"/>
  <c r="K463" i="1" s="1"/>
  <c r="L463" i="1" s="1"/>
  <c r="M463" i="1" s="1"/>
  <c r="N463" i="1" s="1"/>
  <c r="O463" i="1" s="1"/>
  <c r="P463" i="1" s="1"/>
  <c r="Q463" i="1" s="1"/>
  <c r="R463" i="1" s="1"/>
  <c r="S463" i="1" s="1"/>
  <c r="T463" i="1" s="1"/>
  <c r="U463" i="1" s="1"/>
  <c r="V463" i="1" s="1"/>
  <c r="H463" i="1"/>
  <c r="I463" i="1" s="1"/>
  <c r="F463" i="1"/>
  <c r="E463" i="1"/>
  <c r="D463" i="1"/>
  <c r="C463" i="1"/>
  <c r="B463" i="1"/>
  <c r="A463" i="1"/>
  <c r="W463" i="1" s="1"/>
  <c r="V462" i="1"/>
  <c r="J462" i="1"/>
  <c r="K462" i="1" s="1"/>
  <c r="L462" i="1" s="1"/>
  <c r="M462" i="1" s="1"/>
  <c r="N462" i="1" s="1"/>
  <c r="O462" i="1" s="1"/>
  <c r="P462" i="1" s="1"/>
  <c r="Q462" i="1" s="1"/>
  <c r="R462" i="1" s="1"/>
  <c r="S462" i="1" s="1"/>
  <c r="T462" i="1" s="1"/>
  <c r="U462" i="1" s="1"/>
  <c r="H462" i="1"/>
  <c r="I462" i="1" s="1"/>
  <c r="F462" i="1"/>
  <c r="E462" i="1"/>
  <c r="D462" i="1"/>
  <c r="C462" i="1"/>
  <c r="B462" i="1"/>
  <c r="A462" i="1"/>
  <c r="V461" i="1"/>
  <c r="T461" i="1"/>
  <c r="U461" i="1" s="1"/>
  <c r="K461" i="1"/>
  <c r="L461" i="1" s="1"/>
  <c r="M461" i="1" s="1"/>
  <c r="N461" i="1" s="1"/>
  <c r="O461" i="1" s="1"/>
  <c r="P461" i="1" s="1"/>
  <c r="Q461" i="1" s="1"/>
  <c r="R461" i="1" s="1"/>
  <c r="S461" i="1" s="1"/>
  <c r="H461" i="1"/>
  <c r="I461" i="1" s="1"/>
  <c r="J461" i="1" s="1"/>
  <c r="F461" i="1"/>
  <c r="E461" i="1"/>
  <c r="D461" i="1"/>
  <c r="C461" i="1"/>
  <c r="B461" i="1"/>
  <c r="A461" i="1"/>
  <c r="W461" i="1" s="1"/>
  <c r="J460" i="1"/>
  <c r="K460" i="1" s="1"/>
  <c r="L460" i="1" s="1"/>
  <c r="M460" i="1" s="1"/>
  <c r="N460" i="1" s="1"/>
  <c r="O460" i="1" s="1"/>
  <c r="P460" i="1" s="1"/>
  <c r="Q460" i="1" s="1"/>
  <c r="R460" i="1" s="1"/>
  <c r="S460" i="1" s="1"/>
  <c r="T460" i="1" s="1"/>
  <c r="U460" i="1" s="1"/>
  <c r="V460" i="1" s="1"/>
  <c r="H460" i="1"/>
  <c r="I460" i="1" s="1"/>
  <c r="F460" i="1"/>
  <c r="E460" i="1"/>
  <c r="D460" i="1"/>
  <c r="C460" i="1"/>
  <c r="B460" i="1"/>
  <c r="A460" i="1"/>
  <c r="W460" i="1" s="1"/>
  <c r="J459" i="1"/>
  <c r="K459" i="1" s="1"/>
  <c r="L459" i="1" s="1"/>
  <c r="M459" i="1" s="1"/>
  <c r="N459" i="1" s="1"/>
  <c r="O459" i="1" s="1"/>
  <c r="P459" i="1" s="1"/>
  <c r="Q459" i="1" s="1"/>
  <c r="R459" i="1" s="1"/>
  <c r="S459" i="1" s="1"/>
  <c r="T459" i="1" s="1"/>
  <c r="U459" i="1" s="1"/>
  <c r="V459" i="1" s="1"/>
  <c r="H459" i="1"/>
  <c r="I459" i="1" s="1"/>
  <c r="F459" i="1"/>
  <c r="E459" i="1"/>
  <c r="D459" i="1"/>
  <c r="C459" i="1"/>
  <c r="B459" i="1"/>
  <c r="A459" i="1"/>
  <c r="R458" i="1"/>
  <c r="S458" i="1" s="1"/>
  <c r="T458" i="1" s="1"/>
  <c r="U458" i="1" s="1"/>
  <c r="V458" i="1" s="1"/>
  <c r="Q458" i="1"/>
  <c r="I458" i="1"/>
  <c r="J458" i="1" s="1"/>
  <c r="K458" i="1" s="1"/>
  <c r="L458" i="1" s="1"/>
  <c r="M458" i="1" s="1"/>
  <c r="N458" i="1" s="1"/>
  <c r="O458" i="1" s="1"/>
  <c r="P458" i="1" s="1"/>
  <c r="H458" i="1"/>
  <c r="F458" i="1"/>
  <c r="E458" i="1"/>
  <c r="D458" i="1"/>
  <c r="C458" i="1"/>
  <c r="B458" i="1"/>
  <c r="A458" i="1"/>
  <c r="W458" i="1" s="1"/>
  <c r="W457" i="1"/>
  <c r="T457" i="1"/>
  <c r="U457" i="1" s="1"/>
  <c r="V457" i="1" s="1"/>
  <c r="R457" i="1"/>
  <c r="S457" i="1" s="1"/>
  <c r="J457" i="1"/>
  <c r="K457" i="1" s="1"/>
  <c r="L457" i="1" s="1"/>
  <c r="M457" i="1" s="1"/>
  <c r="N457" i="1" s="1"/>
  <c r="O457" i="1" s="1"/>
  <c r="P457" i="1" s="1"/>
  <c r="Q457" i="1" s="1"/>
  <c r="H457" i="1"/>
  <c r="I457" i="1" s="1"/>
  <c r="F457" i="1"/>
  <c r="E457" i="1"/>
  <c r="D457" i="1"/>
  <c r="C457" i="1"/>
  <c r="B457" i="1"/>
  <c r="A457" i="1"/>
  <c r="R456" i="1"/>
  <c r="S456" i="1" s="1"/>
  <c r="T456" i="1" s="1"/>
  <c r="U456" i="1" s="1"/>
  <c r="V456" i="1" s="1"/>
  <c r="J456" i="1"/>
  <c r="K456" i="1" s="1"/>
  <c r="L456" i="1" s="1"/>
  <c r="M456" i="1" s="1"/>
  <c r="N456" i="1" s="1"/>
  <c r="O456" i="1" s="1"/>
  <c r="P456" i="1" s="1"/>
  <c r="Q456" i="1" s="1"/>
  <c r="H456" i="1"/>
  <c r="I456" i="1" s="1"/>
  <c r="F456" i="1"/>
  <c r="E456" i="1"/>
  <c r="D456" i="1"/>
  <c r="C456" i="1"/>
  <c r="B456" i="1"/>
  <c r="A456" i="1"/>
  <c r="W456" i="1" s="1"/>
  <c r="R455" i="1"/>
  <c r="S455" i="1" s="1"/>
  <c r="T455" i="1" s="1"/>
  <c r="U455" i="1" s="1"/>
  <c r="V455" i="1" s="1"/>
  <c r="J455" i="1"/>
  <c r="K455" i="1" s="1"/>
  <c r="L455" i="1" s="1"/>
  <c r="M455" i="1" s="1"/>
  <c r="N455" i="1" s="1"/>
  <c r="O455" i="1" s="1"/>
  <c r="P455" i="1" s="1"/>
  <c r="Q455" i="1" s="1"/>
  <c r="H455" i="1"/>
  <c r="I455" i="1" s="1"/>
  <c r="F455" i="1"/>
  <c r="E455" i="1"/>
  <c r="D455" i="1"/>
  <c r="C455" i="1"/>
  <c r="B455" i="1"/>
  <c r="A455" i="1"/>
  <c r="R454" i="1"/>
  <c r="S454" i="1" s="1"/>
  <c r="T454" i="1" s="1"/>
  <c r="U454" i="1" s="1"/>
  <c r="V454" i="1" s="1"/>
  <c r="Q454" i="1"/>
  <c r="I454" i="1"/>
  <c r="J454" i="1" s="1"/>
  <c r="K454" i="1" s="1"/>
  <c r="L454" i="1" s="1"/>
  <c r="M454" i="1" s="1"/>
  <c r="N454" i="1" s="1"/>
  <c r="O454" i="1" s="1"/>
  <c r="P454" i="1" s="1"/>
  <c r="H454" i="1"/>
  <c r="F454" i="1"/>
  <c r="E454" i="1"/>
  <c r="D454" i="1"/>
  <c r="C454" i="1"/>
  <c r="B454" i="1"/>
  <c r="A454" i="1"/>
  <c r="W454" i="1" s="1"/>
  <c r="W453" i="1"/>
  <c r="J453" i="1"/>
  <c r="K453" i="1" s="1"/>
  <c r="L453" i="1" s="1"/>
  <c r="M453" i="1" s="1"/>
  <c r="N453" i="1" s="1"/>
  <c r="O453" i="1" s="1"/>
  <c r="P453" i="1" s="1"/>
  <c r="Q453" i="1" s="1"/>
  <c r="R453" i="1" s="1"/>
  <c r="S453" i="1" s="1"/>
  <c r="T453" i="1" s="1"/>
  <c r="U453" i="1" s="1"/>
  <c r="V453" i="1" s="1"/>
  <c r="H453" i="1"/>
  <c r="I453" i="1" s="1"/>
  <c r="F453" i="1"/>
  <c r="E453" i="1"/>
  <c r="D453" i="1"/>
  <c r="C453" i="1"/>
  <c r="B453" i="1"/>
  <c r="A453" i="1"/>
  <c r="J452" i="1"/>
  <c r="K452" i="1" s="1"/>
  <c r="L452" i="1" s="1"/>
  <c r="M452" i="1" s="1"/>
  <c r="N452" i="1" s="1"/>
  <c r="O452" i="1" s="1"/>
  <c r="P452" i="1" s="1"/>
  <c r="Q452" i="1" s="1"/>
  <c r="R452" i="1" s="1"/>
  <c r="S452" i="1" s="1"/>
  <c r="T452" i="1" s="1"/>
  <c r="U452" i="1" s="1"/>
  <c r="V452" i="1" s="1"/>
  <c r="H452" i="1"/>
  <c r="I452" i="1" s="1"/>
  <c r="F452" i="1"/>
  <c r="E452" i="1"/>
  <c r="D452" i="1"/>
  <c r="C452" i="1"/>
  <c r="B452" i="1"/>
  <c r="A452" i="1"/>
  <c r="W452" i="1" s="1"/>
  <c r="S451" i="1"/>
  <c r="T451" i="1" s="1"/>
  <c r="U451" i="1" s="1"/>
  <c r="V451" i="1" s="1"/>
  <c r="R451" i="1"/>
  <c r="J451" i="1"/>
  <c r="K451" i="1" s="1"/>
  <c r="L451" i="1" s="1"/>
  <c r="M451" i="1" s="1"/>
  <c r="N451" i="1" s="1"/>
  <c r="O451" i="1" s="1"/>
  <c r="P451" i="1" s="1"/>
  <c r="Q451" i="1" s="1"/>
  <c r="H451" i="1"/>
  <c r="I451" i="1" s="1"/>
  <c r="F451" i="1"/>
  <c r="E451" i="1"/>
  <c r="D451" i="1"/>
  <c r="C451" i="1"/>
  <c r="B451" i="1"/>
  <c r="A451" i="1"/>
  <c r="R450" i="1"/>
  <c r="S450" i="1" s="1"/>
  <c r="T450" i="1" s="1"/>
  <c r="U450" i="1" s="1"/>
  <c r="V450" i="1" s="1"/>
  <c r="Q450" i="1"/>
  <c r="I450" i="1"/>
  <c r="J450" i="1" s="1"/>
  <c r="K450" i="1" s="1"/>
  <c r="L450" i="1" s="1"/>
  <c r="M450" i="1" s="1"/>
  <c r="N450" i="1" s="1"/>
  <c r="O450" i="1" s="1"/>
  <c r="P450" i="1" s="1"/>
  <c r="H450" i="1"/>
  <c r="F450" i="1"/>
  <c r="E450" i="1"/>
  <c r="D450" i="1"/>
  <c r="C450" i="1"/>
  <c r="B450" i="1"/>
  <c r="A450" i="1"/>
  <c r="W450" i="1" s="1"/>
  <c r="W449" i="1"/>
  <c r="R449" i="1"/>
  <c r="S449" i="1" s="1"/>
  <c r="T449" i="1" s="1"/>
  <c r="U449" i="1" s="1"/>
  <c r="V449" i="1" s="1"/>
  <c r="J449" i="1"/>
  <c r="K449" i="1" s="1"/>
  <c r="L449" i="1" s="1"/>
  <c r="M449" i="1" s="1"/>
  <c r="N449" i="1" s="1"/>
  <c r="O449" i="1" s="1"/>
  <c r="P449" i="1" s="1"/>
  <c r="Q449" i="1" s="1"/>
  <c r="H449" i="1"/>
  <c r="I449" i="1" s="1"/>
  <c r="F449" i="1"/>
  <c r="E449" i="1"/>
  <c r="D449" i="1"/>
  <c r="C449" i="1"/>
  <c r="B449" i="1"/>
  <c r="A449" i="1"/>
  <c r="R448" i="1"/>
  <c r="S448" i="1" s="1"/>
  <c r="T448" i="1" s="1"/>
  <c r="U448" i="1" s="1"/>
  <c r="V448" i="1" s="1"/>
  <c r="J448" i="1"/>
  <c r="K448" i="1" s="1"/>
  <c r="L448" i="1" s="1"/>
  <c r="M448" i="1" s="1"/>
  <c r="N448" i="1" s="1"/>
  <c r="O448" i="1" s="1"/>
  <c r="P448" i="1" s="1"/>
  <c r="Q448" i="1" s="1"/>
  <c r="H448" i="1"/>
  <c r="I448" i="1" s="1"/>
  <c r="F448" i="1"/>
  <c r="E448" i="1"/>
  <c r="D448" i="1"/>
  <c r="C448" i="1"/>
  <c r="B448" i="1"/>
  <c r="A448" i="1"/>
  <c r="W448" i="1" s="1"/>
  <c r="S447" i="1"/>
  <c r="T447" i="1" s="1"/>
  <c r="U447" i="1" s="1"/>
  <c r="V447" i="1" s="1"/>
  <c r="R447" i="1"/>
  <c r="J447" i="1"/>
  <c r="K447" i="1" s="1"/>
  <c r="L447" i="1" s="1"/>
  <c r="M447" i="1" s="1"/>
  <c r="N447" i="1" s="1"/>
  <c r="O447" i="1" s="1"/>
  <c r="P447" i="1" s="1"/>
  <c r="Q447" i="1" s="1"/>
  <c r="H447" i="1"/>
  <c r="I447" i="1" s="1"/>
  <c r="F447" i="1"/>
  <c r="E447" i="1"/>
  <c r="D447" i="1"/>
  <c r="C447" i="1"/>
  <c r="B447" i="1"/>
  <c r="A447" i="1"/>
  <c r="W447" i="1" s="1"/>
  <c r="R446" i="1"/>
  <c r="S446" i="1" s="1"/>
  <c r="T446" i="1" s="1"/>
  <c r="U446" i="1" s="1"/>
  <c r="V446" i="1" s="1"/>
  <c r="Q446" i="1"/>
  <c r="I446" i="1"/>
  <c r="J446" i="1" s="1"/>
  <c r="K446" i="1" s="1"/>
  <c r="L446" i="1" s="1"/>
  <c r="M446" i="1" s="1"/>
  <c r="N446" i="1" s="1"/>
  <c r="O446" i="1" s="1"/>
  <c r="P446" i="1" s="1"/>
  <c r="H446" i="1"/>
  <c r="F446" i="1"/>
  <c r="E446" i="1"/>
  <c r="D446" i="1"/>
  <c r="C446" i="1"/>
  <c r="B446" i="1"/>
  <c r="A446" i="1"/>
  <c r="W446" i="1" s="1"/>
  <c r="W445" i="1"/>
  <c r="J445" i="1"/>
  <c r="K445" i="1" s="1"/>
  <c r="L445" i="1" s="1"/>
  <c r="M445" i="1" s="1"/>
  <c r="N445" i="1" s="1"/>
  <c r="O445" i="1" s="1"/>
  <c r="P445" i="1" s="1"/>
  <c r="Q445" i="1" s="1"/>
  <c r="R445" i="1" s="1"/>
  <c r="S445" i="1" s="1"/>
  <c r="T445" i="1" s="1"/>
  <c r="U445" i="1" s="1"/>
  <c r="V445" i="1" s="1"/>
  <c r="H445" i="1"/>
  <c r="I445" i="1" s="1"/>
  <c r="F445" i="1"/>
  <c r="E445" i="1"/>
  <c r="D445" i="1"/>
  <c r="C445" i="1"/>
  <c r="B445" i="1"/>
  <c r="A445" i="1"/>
  <c r="T444" i="1"/>
  <c r="U444" i="1" s="1"/>
  <c r="V444" i="1" s="1"/>
  <c r="R444" i="1"/>
  <c r="S444" i="1" s="1"/>
  <c r="J444" i="1"/>
  <c r="K444" i="1" s="1"/>
  <c r="L444" i="1" s="1"/>
  <c r="M444" i="1" s="1"/>
  <c r="N444" i="1" s="1"/>
  <c r="O444" i="1" s="1"/>
  <c r="P444" i="1" s="1"/>
  <c r="Q444" i="1" s="1"/>
  <c r="H444" i="1"/>
  <c r="I444" i="1" s="1"/>
  <c r="F444" i="1"/>
  <c r="E444" i="1"/>
  <c r="D444" i="1"/>
  <c r="C444" i="1"/>
  <c r="B444" i="1"/>
  <c r="A444" i="1"/>
  <c r="W444" i="1" s="1"/>
  <c r="S443" i="1"/>
  <c r="T443" i="1" s="1"/>
  <c r="U443" i="1" s="1"/>
  <c r="V443" i="1" s="1"/>
  <c r="R443" i="1"/>
  <c r="J443" i="1"/>
  <c r="K443" i="1" s="1"/>
  <c r="L443" i="1" s="1"/>
  <c r="M443" i="1" s="1"/>
  <c r="N443" i="1" s="1"/>
  <c r="O443" i="1" s="1"/>
  <c r="P443" i="1" s="1"/>
  <c r="Q443" i="1" s="1"/>
  <c r="H443" i="1"/>
  <c r="I443" i="1" s="1"/>
  <c r="F443" i="1"/>
  <c r="E443" i="1"/>
  <c r="D443" i="1"/>
  <c r="C443" i="1"/>
  <c r="B443" i="1"/>
  <c r="A443" i="1"/>
  <c r="W443" i="1" s="1"/>
  <c r="I442" i="1"/>
  <c r="J442" i="1" s="1"/>
  <c r="K442" i="1" s="1"/>
  <c r="L442" i="1" s="1"/>
  <c r="M442" i="1" s="1"/>
  <c r="N442" i="1" s="1"/>
  <c r="O442" i="1" s="1"/>
  <c r="P442" i="1" s="1"/>
  <c r="Q442" i="1" s="1"/>
  <c r="R442" i="1" s="1"/>
  <c r="S442" i="1" s="1"/>
  <c r="T442" i="1" s="1"/>
  <c r="U442" i="1" s="1"/>
  <c r="V442" i="1" s="1"/>
  <c r="H442" i="1"/>
  <c r="F442" i="1"/>
  <c r="E442" i="1"/>
  <c r="D442" i="1"/>
  <c r="C442" i="1"/>
  <c r="B442" i="1"/>
  <c r="A442" i="1"/>
  <c r="W442" i="1" s="1"/>
  <c r="W441" i="1"/>
  <c r="J441" i="1"/>
  <c r="K441" i="1" s="1"/>
  <c r="L441" i="1" s="1"/>
  <c r="M441" i="1" s="1"/>
  <c r="N441" i="1" s="1"/>
  <c r="O441" i="1" s="1"/>
  <c r="P441" i="1" s="1"/>
  <c r="Q441" i="1" s="1"/>
  <c r="R441" i="1" s="1"/>
  <c r="S441" i="1" s="1"/>
  <c r="T441" i="1" s="1"/>
  <c r="U441" i="1" s="1"/>
  <c r="V441" i="1" s="1"/>
  <c r="H441" i="1"/>
  <c r="I441" i="1" s="1"/>
  <c r="F441" i="1"/>
  <c r="E441" i="1"/>
  <c r="D441" i="1"/>
  <c r="C441" i="1"/>
  <c r="B441" i="1"/>
  <c r="A441" i="1"/>
  <c r="T440" i="1"/>
  <c r="U440" i="1" s="1"/>
  <c r="V440" i="1" s="1"/>
  <c r="R440" i="1"/>
  <c r="S440" i="1" s="1"/>
  <c r="J440" i="1"/>
  <c r="K440" i="1" s="1"/>
  <c r="L440" i="1" s="1"/>
  <c r="M440" i="1" s="1"/>
  <c r="N440" i="1" s="1"/>
  <c r="O440" i="1" s="1"/>
  <c r="P440" i="1" s="1"/>
  <c r="Q440" i="1" s="1"/>
  <c r="H440" i="1"/>
  <c r="I440" i="1" s="1"/>
  <c r="F440" i="1"/>
  <c r="E440" i="1"/>
  <c r="D440" i="1"/>
  <c r="C440" i="1"/>
  <c r="B440" i="1"/>
  <c r="A440" i="1"/>
  <c r="W440" i="1" s="1"/>
  <c r="S439" i="1"/>
  <c r="T439" i="1" s="1"/>
  <c r="U439" i="1" s="1"/>
  <c r="V439" i="1" s="1"/>
  <c r="R439" i="1"/>
  <c r="J439" i="1"/>
  <c r="K439" i="1" s="1"/>
  <c r="L439" i="1" s="1"/>
  <c r="M439" i="1" s="1"/>
  <c r="N439" i="1" s="1"/>
  <c r="O439" i="1" s="1"/>
  <c r="P439" i="1" s="1"/>
  <c r="Q439" i="1" s="1"/>
  <c r="H439" i="1"/>
  <c r="I439" i="1" s="1"/>
  <c r="F439" i="1"/>
  <c r="E439" i="1"/>
  <c r="D439" i="1"/>
  <c r="C439" i="1"/>
  <c r="B439" i="1"/>
  <c r="A439" i="1"/>
  <c r="W439" i="1" s="1"/>
  <c r="Q438" i="1"/>
  <c r="R438" i="1" s="1"/>
  <c r="S438" i="1" s="1"/>
  <c r="T438" i="1" s="1"/>
  <c r="U438" i="1" s="1"/>
  <c r="V438" i="1" s="1"/>
  <c r="I438" i="1"/>
  <c r="J438" i="1" s="1"/>
  <c r="K438" i="1" s="1"/>
  <c r="L438" i="1" s="1"/>
  <c r="M438" i="1" s="1"/>
  <c r="N438" i="1" s="1"/>
  <c r="O438" i="1" s="1"/>
  <c r="P438" i="1" s="1"/>
  <c r="H438" i="1"/>
  <c r="F438" i="1"/>
  <c r="E438" i="1"/>
  <c r="D438" i="1"/>
  <c r="C438" i="1"/>
  <c r="B438" i="1"/>
  <c r="A438" i="1"/>
  <c r="W438" i="1" s="1"/>
  <c r="W437" i="1"/>
  <c r="T437" i="1"/>
  <c r="U437" i="1" s="1"/>
  <c r="V437" i="1" s="1"/>
  <c r="R437" i="1"/>
  <c r="S437" i="1" s="1"/>
  <c r="J437" i="1"/>
  <c r="K437" i="1" s="1"/>
  <c r="L437" i="1" s="1"/>
  <c r="M437" i="1" s="1"/>
  <c r="N437" i="1" s="1"/>
  <c r="O437" i="1" s="1"/>
  <c r="P437" i="1" s="1"/>
  <c r="Q437" i="1" s="1"/>
  <c r="H437" i="1"/>
  <c r="I437" i="1" s="1"/>
  <c r="F437" i="1"/>
  <c r="E437" i="1"/>
  <c r="D437" i="1"/>
  <c r="C437" i="1"/>
  <c r="B437" i="1"/>
  <c r="A437" i="1"/>
  <c r="T436" i="1"/>
  <c r="U436" i="1" s="1"/>
  <c r="V436" i="1" s="1"/>
  <c r="R436" i="1"/>
  <c r="S436" i="1" s="1"/>
  <c r="J436" i="1"/>
  <c r="K436" i="1" s="1"/>
  <c r="L436" i="1" s="1"/>
  <c r="M436" i="1" s="1"/>
  <c r="N436" i="1" s="1"/>
  <c r="O436" i="1" s="1"/>
  <c r="P436" i="1" s="1"/>
  <c r="Q436" i="1" s="1"/>
  <c r="H436" i="1"/>
  <c r="I436" i="1" s="1"/>
  <c r="F436" i="1"/>
  <c r="E436" i="1"/>
  <c r="D436" i="1"/>
  <c r="C436" i="1"/>
  <c r="B436" i="1"/>
  <c r="A436" i="1"/>
  <c r="W436" i="1" s="1"/>
  <c r="J435" i="1"/>
  <c r="K435" i="1" s="1"/>
  <c r="L435" i="1" s="1"/>
  <c r="M435" i="1" s="1"/>
  <c r="N435" i="1" s="1"/>
  <c r="O435" i="1" s="1"/>
  <c r="P435" i="1" s="1"/>
  <c r="Q435" i="1" s="1"/>
  <c r="R435" i="1" s="1"/>
  <c r="S435" i="1" s="1"/>
  <c r="T435" i="1" s="1"/>
  <c r="U435" i="1" s="1"/>
  <c r="V435" i="1" s="1"/>
  <c r="H435" i="1"/>
  <c r="I435" i="1" s="1"/>
  <c r="F435" i="1"/>
  <c r="E435" i="1"/>
  <c r="D435" i="1"/>
  <c r="C435" i="1"/>
  <c r="B435" i="1"/>
  <c r="A435" i="1"/>
  <c r="W435" i="1" s="1"/>
  <c r="I434" i="1"/>
  <c r="J434" i="1" s="1"/>
  <c r="K434" i="1" s="1"/>
  <c r="L434" i="1" s="1"/>
  <c r="M434" i="1" s="1"/>
  <c r="N434" i="1" s="1"/>
  <c r="O434" i="1" s="1"/>
  <c r="P434" i="1" s="1"/>
  <c r="Q434" i="1" s="1"/>
  <c r="R434" i="1" s="1"/>
  <c r="S434" i="1" s="1"/>
  <c r="T434" i="1" s="1"/>
  <c r="U434" i="1" s="1"/>
  <c r="V434" i="1" s="1"/>
  <c r="H434" i="1"/>
  <c r="F434" i="1"/>
  <c r="E434" i="1"/>
  <c r="D434" i="1"/>
  <c r="C434" i="1"/>
  <c r="B434" i="1"/>
  <c r="A434" i="1"/>
  <c r="W434" i="1" s="1"/>
  <c r="W433" i="1"/>
  <c r="T433" i="1"/>
  <c r="U433" i="1" s="1"/>
  <c r="V433" i="1" s="1"/>
  <c r="R433" i="1"/>
  <c r="S433" i="1" s="1"/>
  <c r="J433" i="1"/>
  <c r="K433" i="1" s="1"/>
  <c r="L433" i="1" s="1"/>
  <c r="M433" i="1" s="1"/>
  <c r="N433" i="1" s="1"/>
  <c r="O433" i="1" s="1"/>
  <c r="P433" i="1" s="1"/>
  <c r="Q433" i="1" s="1"/>
  <c r="H433" i="1"/>
  <c r="I433" i="1" s="1"/>
  <c r="F433" i="1"/>
  <c r="E433" i="1"/>
  <c r="D433" i="1"/>
  <c r="C433" i="1"/>
  <c r="B433" i="1"/>
  <c r="A433" i="1"/>
  <c r="W432" i="1"/>
  <c r="J432" i="1"/>
  <c r="K432" i="1" s="1"/>
  <c r="L432" i="1" s="1"/>
  <c r="M432" i="1" s="1"/>
  <c r="N432" i="1" s="1"/>
  <c r="O432" i="1" s="1"/>
  <c r="P432" i="1" s="1"/>
  <c r="Q432" i="1" s="1"/>
  <c r="R432" i="1" s="1"/>
  <c r="S432" i="1" s="1"/>
  <c r="T432" i="1" s="1"/>
  <c r="U432" i="1" s="1"/>
  <c r="V432" i="1" s="1"/>
  <c r="H432" i="1"/>
  <c r="I432" i="1" s="1"/>
  <c r="F432" i="1"/>
  <c r="E432" i="1"/>
  <c r="D432" i="1"/>
  <c r="C432" i="1"/>
  <c r="B432" i="1"/>
  <c r="A432" i="1"/>
  <c r="L431" i="1"/>
  <c r="M431" i="1" s="1"/>
  <c r="N431" i="1" s="1"/>
  <c r="O431" i="1" s="1"/>
  <c r="P431" i="1" s="1"/>
  <c r="Q431" i="1" s="1"/>
  <c r="R431" i="1" s="1"/>
  <c r="S431" i="1" s="1"/>
  <c r="T431" i="1" s="1"/>
  <c r="U431" i="1" s="1"/>
  <c r="V431" i="1" s="1"/>
  <c r="K431" i="1"/>
  <c r="F431" i="1"/>
  <c r="E431" i="1"/>
  <c r="D431" i="1"/>
  <c r="H431" i="1" s="1"/>
  <c r="I431" i="1" s="1"/>
  <c r="J431" i="1" s="1"/>
  <c r="C431" i="1"/>
  <c r="B431" i="1"/>
  <c r="A431" i="1"/>
  <c r="N430" i="1"/>
  <c r="O430" i="1" s="1"/>
  <c r="P430" i="1" s="1"/>
  <c r="Q430" i="1" s="1"/>
  <c r="R430" i="1" s="1"/>
  <c r="S430" i="1" s="1"/>
  <c r="T430" i="1" s="1"/>
  <c r="U430" i="1" s="1"/>
  <c r="V430" i="1" s="1"/>
  <c r="L430" i="1"/>
  <c r="M430" i="1" s="1"/>
  <c r="H430" i="1"/>
  <c r="I430" i="1" s="1"/>
  <c r="J430" i="1" s="1"/>
  <c r="K430" i="1" s="1"/>
  <c r="F430" i="1"/>
  <c r="E430" i="1"/>
  <c r="D430" i="1"/>
  <c r="C430" i="1"/>
  <c r="B430" i="1"/>
  <c r="A430" i="1"/>
  <c r="W430" i="1" s="1"/>
  <c r="Q429" i="1"/>
  <c r="R429" i="1" s="1"/>
  <c r="S429" i="1" s="1"/>
  <c r="T429" i="1" s="1"/>
  <c r="U429" i="1" s="1"/>
  <c r="V429" i="1" s="1"/>
  <c r="P429" i="1"/>
  <c r="I429" i="1"/>
  <c r="J429" i="1" s="1"/>
  <c r="K429" i="1" s="1"/>
  <c r="L429" i="1" s="1"/>
  <c r="M429" i="1" s="1"/>
  <c r="N429" i="1" s="1"/>
  <c r="O429" i="1" s="1"/>
  <c r="H429" i="1"/>
  <c r="F429" i="1"/>
  <c r="E429" i="1"/>
  <c r="D429" i="1"/>
  <c r="C429" i="1"/>
  <c r="B429" i="1"/>
  <c r="A429" i="1"/>
  <c r="W429" i="1" s="1"/>
  <c r="W428" i="1"/>
  <c r="H428" i="1"/>
  <c r="I428" i="1" s="1"/>
  <c r="J428" i="1" s="1"/>
  <c r="K428" i="1" s="1"/>
  <c r="L428" i="1" s="1"/>
  <c r="M428" i="1" s="1"/>
  <c r="N428" i="1" s="1"/>
  <c r="O428" i="1" s="1"/>
  <c r="P428" i="1" s="1"/>
  <c r="Q428" i="1" s="1"/>
  <c r="R428" i="1" s="1"/>
  <c r="S428" i="1" s="1"/>
  <c r="T428" i="1" s="1"/>
  <c r="U428" i="1" s="1"/>
  <c r="V428" i="1" s="1"/>
  <c r="F428" i="1"/>
  <c r="E428" i="1"/>
  <c r="D428" i="1"/>
  <c r="C428" i="1"/>
  <c r="B428" i="1"/>
  <c r="A428" i="1"/>
  <c r="U427" i="1"/>
  <c r="V427" i="1" s="1"/>
  <c r="P427" i="1"/>
  <c r="Q427" i="1" s="1"/>
  <c r="R427" i="1" s="1"/>
  <c r="S427" i="1" s="1"/>
  <c r="T427" i="1" s="1"/>
  <c r="F427" i="1"/>
  <c r="E427" i="1"/>
  <c r="D427" i="1"/>
  <c r="H427" i="1" s="1"/>
  <c r="I427" i="1" s="1"/>
  <c r="J427" i="1" s="1"/>
  <c r="K427" i="1" s="1"/>
  <c r="L427" i="1" s="1"/>
  <c r="M427" i="1" s="1"/>
  <c r="N427" i="1" s="1"/>
  <c r="O427" i="1" s="1"/>
  <c r="C427" i="1"/>
  <c r="B427" i="1"/>
  <c r="A427" i="1"/>
  <c r="W427" i="1" s="1"/>
  <c r="I426" i="1"/>
  <c r="J426" i="1" s="1"/>
  <c r="K426" i="1" s="1"/>
  <c r="L426" i="1" s="1"/>
  <c r="M426" i="1" s="1"/>
  <c r="N426" i="1" s="1"/>
  <c r="O426" i="1" s="1"/>
  <c r="P426" i="1" s="1"/>
  <c r="Q426" i="1" s="1"/>
  <c r="R426" i="1" s="1"/>
  <c r="S426" i="1" s="1"/>
  <c r="T426" i="1" s="1"/>
  <c r="U426" i="1" s="1"/>
  <c r="V426" i="1" s="1"/>
  <c r="H426" i="1"/>
  <c r="F426" i="1"/>
  <c r="E426" i="1"/>
  <c r="D426" i="1"/>
  <c r="C426" i="1"/>
  <c r="B426" i="1"/>
  <c r="A426" i="1"/>
  <c r="W425" i="1"/>
  <c r="P425" i="1"/>
  <c r="Q425" i="1" s="1"/>
  <c r="R425" i="1" s="1"/>
  <c r="S425" i="1" s="1"/>
  <c r="T425" i="1" s="1"/>
  <c r="U425" i="1" s="1"/>
  <c r="V425" i="1" s="1"/>
  <c r="N425" i="1"/>
  <c r="O425" i="1" s="1"/>
  <c r="M425" i="1"/>
  <c r="F425" i="1"/>
  <c r="E425" i="1"/>
  <c r="D425" i="1"/>
  <c r="H425" i="1" s="1"/>
  <c r="I425" i="1" s="1"/>
  <c r="J425" i="1" s="1"/>
  <c r="K425" i="1" s="1"/>
  <c r="L425" i="1" s="1"/>
  <c r="C425" i="1"/>
  <c r="B425" i="1"/>
  <c r="A425" i="1"/>
  <c r="H424" i="1"/>
  <c r="I424" i="1" s="1"/>
  <c r="J424" i="1" s="1"/>
  <c r="K424" i="1" s="1"/>
  <c r="L424" i="1" s="1"/>
  <c r="M424" i="1" s="1"/>
  <c r="N424" i="1" s="1"/>
  <c r="O424" i="1" s="1"/>
  <c r="P424" i="1" s="1"/>
  <c r="Q424" i="1" s="1"/>
  <c r="R424" i="1" s="1"/>
  <c r="S424" i="1" s="1"/>
  <c r="T424" i="1" s="1"/>
  <c r="U424" i="1" s="1"/>
  <c r="V424" i="1" s="1"/>
  <c r="F424" i="1"/>
  <c r="E424" i="1"/>
  <c r="D424" i="1"/>
  <c r="C424" i="1"/>
  <c r="B424" i="1"/>
  <c r="A424" i="1"/>
  <c r="L423" i="1"/>
  <c r="M423" i="1" s="1"/>
  <c r="N423" i="1" s="1"/>
  <c r="O423" i="1" s="1"/>
  <c r="P423" i="1" s="1"/>
  <c r="Q423" i="1" s="1"/>
  <c r="R423" i="1" s="1"/>
  <c r="S423" i="1" s="1"/>
  <c r="T423" i="1" s="1"/>
  <c r="U423" i="1" s="1"/>
  <c r="V423" i="1" s="1"/>
  <c r="F423" i="1"/>
  <c r="E423" i="1"/>
  <c r="D423" i="1"/>
  <c r="H423" i="1" s="1"/>
  <c r="I423" i="1" s="1"/>
  <c r="J423" i="1" s="1"/>
  <c r="K423" i="1" s="1"/>
  <c r="C423" i="1"/>
  <c r="B423" i="1"/>
  <c r="A423" i="1"/>
  <c r="W423" i="1" s="1"/>
  <c r="R422" i="1"/>
  <c r="S422" i="1" s="1"/>
  <c r="T422" i="1" s="1"/>
  <c r="U422" i="1" s="1"/>
  <c r="V422" i="1" s="1"/>
  <c r="Q422" i="1"/>
  <c r="K422" i="1"/>
  <c r="L422" i="1" s="1"/>
  <c r="M422" i="1" s="1"/>
  <c r="N422" i="1" s="1"/>
  <c r="O422" i="1" s="1"/>
  <c r="P422" i="1" s="1"/>
  <c r="I422" i="1"/>
  <c r="J422" i="1" s="1"/>
  <c r="H422" i="1"/>
  <c r="F422" i="1"/>
  <c r="E422" i="1"/>
  <c r="D422" i="1"/>
  <c r="C422" i="1"/>
  <c r="B422" i="1"/>
  <c r="A422" i="1"/>
  <c r="W421" i="1"/>
  <c r="M421" i="1"/>
  <c r="N421" i="1" s="1"/>
  <c r="O421" i="1" s="1"/>
  <c r="P421" i="1" s="1"/>
  <c r="Q421" i="1" s="1"/>
  <c r="R421" i="1" s="1"/>
  <c r="S421" i="1" s="1"/>
  <c r="T421" i="1" s="1"/>
  <c r="U421" i="1" s="1"/>
  <c r="V421" i="1" s="1"/>
  <c r="F421" i="1"/>
  <c r="E421" i="1"/>
  <c r="D421" i="1"/>
  <c r="H421" i="1" s="1"/>
  <c r="I421" i="1" s="1"/>
  <c r="J421" i="1" s="1"/>
  <c r="K421" i="1" s="1"/>
  <c r="L421" i="1" s="1"/>
  <c r="C421" i="1"/>
  <c r="B421" i="1"/>
  <c r="A421" i="1"/>
  <c r="R420" i="1"/>
  <c r="S420" i="1" s="1"/>
  <c r="T420" i="1" s="1"/>
  <c r="U420" i="1" s="1"/>
  <c r="V420" i="1" s="1"/>
  <c r="L420" i="1"/>
  <c r="M420" i="1" s="1"/>
  <c r="N420" i="1" s="1"/>
  <c r="O420" i="1" s="1"/>
  <c r="P420" i="1" s="1"/>
  <c r="Q420" i="1" s="1"/>
  <c r="J420" i="1"/>
  <c r="K420" i="1" s="1"/>
  <c r="H420" i="1"/>
  <c r="I420" i="1" s="1"/>
  <c r="F420" i="1"/>
  <c r="E420" i="1"/>
  <c r="D420" i="1"/>
  <c r="C420" i="1"/>
  <c r="B420" i="1"/>
  <c r="A420" i="1"/>
  <c r="F419" i="1"/>
  <c r="E419" i="1"/>
  <c r="D419" i="1"/>
  <c r="H419" i="1" s="1"/>
  <c r="I419" i="1" s="1"/>
  <c r="J419" i="1" s="1"/>
  <c r="K419" i="1" s="1"/>
  <c r="L419" i="1" s="1"/>
  <c r="M419" i="1" s="1"/>
  <c r="N419" i="1" s="1"/>
  <c r="O419" i="1" s="1"/>
  <c r="P419" i="1" s="1"/>
  <c r="Q419" i="1" s="1"/>
  <c r="R419" i="1" s="1"/>
  <c r="S419" i="1" s="1"/>
  <c r="T419" i="1" s="1"/>
  <c r="U419" i="1" s="1"/>
  <c r="V419" i="1" s="1"/>
  <c r="C419" i="1"/>
  <c r="B419" i="1"/>
  <c r="A419" i="1"/>
  <c r="W419" i="1" s="1"/>
  <c r="K418" i="1"/>
  <c r="L418" i="1" s="1"/>
  <c r="M418" i="1" s="1"/>
  <c r="N418" i="1" s="1"/>
  <c r="O418" i="1" s="1"/>
  <c r="P418" i="1" s="1"/>
  <c r="Q418" i="1" s="1"/>
  <c r="R418" i="1" s="1"/>
  <c r="S418" i="1" s="1"/>
  <c r="T418" i="1" s="1"/>
  <c r="U418" i="1" s="1"/>
  <c r="V418" i="1" s="1"/>
  <c r="I418" i="1"/>
  <c r="J418" i="1" s="1"/>
  <c r="H418" i="1"/>
  <c r="F418" i="1"/>
  <c r="E418" i="1"/>
  <c r="D418" i="1"/>
  <c r="C418" i="1"/>
  <c r="B418" i="1"/>
  <c r="A418" i="1"/>
  <c r="W418" i="1" s="1"/>
  <c r="W417" i="1"/>
  <c r="N417" i="1"/>
  <c r="O417" i="1" s="1"/>
  <c r="P417" i="1" s="1"/>
  <c r="Q417" i="1" s="1"/>
  <c r="R417" i="1" s="1"/>
  <c r="S417" i="1" s="1"/>
  <c r="T417" i="1" s="1"/>
  <c r="U417" i="1" s="1"/>
  <c r="V417" i="1" s="1"/>
  <c r="I417" i="1"/>
  <c r="J417" i="1" s="1"/>
  <c r="K417" i="1" s="1"/>
  <c r="L417" i="1" s="1"/>
  <c r="M417" i="1" s="1"/>
  <c r="H417" i="1"/>
  <c r="F417" i="1"/>
  <c r="E417" i="1"/>
  <c r="D417" i="1"/>
  <c r="C417" i="1"/>
  <c r="B417" i="1"/>
  <c r="A417" i="1"/>
  <c r="W416" i="1"/>
  <c r="F416" i="1"/>
  <c r="E416" i="1"/>
  <c r="D416" i="1"/>
  <c r="H416" i="1" s="1"/>
  <c r="I416" i="1" s="1"/>
  <c r="J416" i="1" s="1"/>
  <c r="K416" i="1" s="1"/>
  <c r="L416" i="1" s="1"/>
  <c r="M416" i="1" s="1"/>
  <c r="N416" i="1" s="1"/>
  <c r="O416" i="1" s="1"/>
  <c r="P416" i="1" s="1"/>
  <c r="Q416" i="1" s="1"/>
  <c r="R416" i="1" s="1"/>
  <c r="S416" i="1" s="1"/>
  <c r="T416" i="1" s="1"/>
  <c r="U416" i="1" s="1"/>
  <c r="V416" i="1" s="1"/>
  <c r="C416" i="1"/>
  <c r="B416" i="1"/>
  <c r="A416" i="1"/>
  <c r="J415" i="1"/>
  <c r="K415" i="1" s="1"/>
  <c r="L415" i="1" s="1"/>
  <c r="M415" i="1" s="1"/>
  <c r="N415" i="1" s="1"/>
  <c r="O415" i="1" s="1"/>
  <c r="P415" i="1" s="1"/>
  <c r="Q415" i="1" s="1"/>
  <c r="R415" i="1" s="1"/>
  <c r="S415" i="1" s="1"/>
  <c r="T415" i="1" s="1"/>
  <c r="U415" i="1" s="1"/>
  <c r="V415" i="1" s="1"/>
  <c r="F415" i="1"/>
  <c r="E415" i="1"/>
  <c r="D415" i="1"/>
  <c r="H415" i="1" s="1"/>
  <c r="I415" i="1" s="1"/>
  <c r="C415" i="1"/>
  <c r="B415" i="1"/>
  <c r="A415" i="1"/>
  <c r="W415" i="1" s="1"/>
  <c r="Q414" i="1"/>
  <c r="R414" i="1" s="1"/>
  <c r="S414" i="1" s="1"/>
  <c r="T414" i="1" s="1"/>
  <c r="U414" i="1" s="1"/>
  <c r="V414" i="1" s="1"/>
  <c r="P414" i="1"/>
  <c r="K414" i="1"/>
  <c r="L414" i="1" s="1"/>
  <c r="M414" i="1" s="1"/>
  <c r="N414" i="1" s="1"/>
  <c r="O414" i="1" s="1"/>
  <c r="I414" i="1"/>
  <c r="J414" i="1" s="1"/>
  <c r="H414" i="1"/>
  <c r="F414" i="1"/>
  <c r="E414" i="1"/>
  <c r="D414" i="1"/>
  <c r="C414" i="1"/>
  <c r="B414" i="1"/>
  <c r="A414" i="1"/>
  <c r="W413" i="1"/>
  <c r="I413" i="1"/>
  <c r="J413" i="1" s="1"/>
  <c r="K413" i="1" s="1"/>
  <c r="L413" i="1" s="1"/>
  <c r="M413" i="1" s="1"/>
  <c r="N413" i="1" s="1"/>
  <c r="O413" i="1" s="1"/>
  <c r="P413" i="1" s="1"/>
  <c r="Q413" i="1" s="1"/>
  <c r="R413" i="1" s="1"/>
  <c r="S413" i="1" s="1"/>
  <c r="T413" i="1" s="1"/>
  <c r="U413" i="1" s="1"/>
  <c r="V413" i="1" s="1"/>
  <c r="H413" i="1"/>
  <c r="F413" i="1"/>
  <c r="E413" i="1"/>
  <c r="D413" i="1"/>
  <c r="C413" i="1"/>
  <c r="B413" i="1"/>
  <c r="A413" i="1"/>
  <c r="W412" i="1"/>
  <c r="U412" i="1"/>
  <c r="V412" i="1" s="1"/>
  <c r="F412" i="1"/>
  <c r="E412" i="1"/>
  <c r="D412" i="1"/>
  <c r="H412" i="1" s="1"/>
  <c r="I412" i="1" s="1"/>
  <c r="J412" i="1" s="1"/>
  <c r="K412" i="1" s="1"/>
  <c r="L412" i="1" s="1"/>
  <c r="M412" i="1" s="1"/>
  <c r="N412" i="1" s="1"/>
  <c r="O412" i="1" s="1"/>
  <c r="P412" i="1" s="1"/>
  <c r="Q412" i="1" s="1"/>
  <c r="R412" i="1" s="1"/>
  <c r="S412" i="1" s="1"/>
  <c r="T412" i="1" s="1"/>
  <c r="C412" i="1"/>
  <c r="B412" i="1"/>
  <c r="A412" i="1"/>
  <c r="J411" i="1"/>
  <c r="K411" i="1" s="1"/>
  <c r="L411" i="1" s="1"/>
  <c r="M411" i="1" s="1"/>
  <c r="N411" i="1" s="1"/>
  <c r="O411" i="1" s="1"/>
  <c r="P411" i="1" s="1"/>
  <c r="Q411" i="1" s="1"/>
  <c r="R411" i="1" s="1"/>
  <c r="S411" i="1" s="1"/>
  <c r="T411" i="1" s="1"/>
  <c r="U411" i="1" s="1"/>
  <c r="V411" i="1" s="1"/>
  <c r="F411" i="1"/>
  <c r="E411" i="1"/>
  <c r="D411" i="1"/>
  <c r="H411" i="1" s="1"/>
  <c r="I411" i="1" s="1"/>
  <c r="C411" i="1"/>
  <c r="B411" i="1"/>
  <c r="A411" i="1"/>
  <c r="Q410" i="1"/>
  <c r="R410" i="1" s="1"/>
  <c r="S410" i="1" s="1"/>
  <c r="T410" i="1" s="1"/>
  <c r="U410" i="1" s="1"/>
  <c r="V410" i="1" s="1"/>
  <c r="P410" i="1"/>
  <c r="K410" i="1"/>
  <c r="L410" i="1" s="1"/>
  <c r="M410" i="1" s="1"/>
  <c r="N410" i="1" s="1"/>
  <c r="O410" i="1" s="1"/>
  <c r="I410" i="1"/>
  <c r="J410" i="1" s="1"/>
  <c r="H410" i="1"/>
  <c r="F410" i="1"/>
  <c r="E410" i="1"/>
  <c r="D410" i="1"/>
  <c r="C410" i="1"/>
  <c r="B410" i="1"/>
  <c r="A410" i="1"/>
  <c r="W409" i="1"/>
  <c r="I409" i="1"/>
  <c r="J409" i="1" s="1"/>
  <c r="K409" i="1" s="1"/>
  <c r="L409" i="1" s="1"/>
  <c r="M409" i="1" s="1"/>
  <c r="N409" i="1" s="1"/>
  <c r="O409" i="1" s="1"/>
  <c r="P409" i="1" s="1"/>
  <c r="Q409" i="1" s="1"/>
  <c r="R409" i="1" s="1"/>
  <c r="S409" i="1" s="1"/>
  <c r="T409" i="1" s="1"/>
  <c r="U409" i="1" s="1"/>
  <c r="V409" i="1" s="1"/>
  <c r="H409" i="1"/>
  <c r="F409" i="1"/>
  <c r="E409" i="1"/>
  <c r="D409" i="1"/>
  <c r="C409" i="1"/>
  <c r="B409" i="1"/>
  <c r="A409" i="1"/>
  <c r="W408" i="1"/>
  <c r="F408" i="1"/>
  <c r="E408" i="1"/>
  <c r="D408" i="1"/>
  <c r="H408" i="1" s="1"/>
  <c r="I408" i="1" s="1"/>
  <c r="J408" i="1" s="1"/>
  <c r="K408" i="1" s="1"/>
  <c r="L408" i="1" s="1"/>
  <c r="M408" i="1" s="1"/>
  <c r="N408" i="1" s="1"/>
  <c r="O408" i="1" s="1"/>
  <c r="P408" i="1" s="1"/>
  <c r="Q408" i="1" s="1"/>
  <c r="R408" i="1" s="1"/>
  <c r="S408" i="1" s="1"/>
  <c r="T408" i="1" s="1"/>
  <c r="U408" i="1" s="1"/>
  <c r="V408" i="1" s="1"/>
  <c r="C408" i="1"/>
  <c r="B408" i="1"/>
  <c r="A408" i="1"/>
  <c r="K407" i="1"/>
  <c r="L407" i="1" s="1"/>
  <c r="M407" i="1" s="1"/>
  <c r="N407" i="1" s="1"/>
  <c r="O407" i="1" s="1"/>
  <c r="P407" i="1" s="1"/>
  <c r="Q407" i="1" s="1"/>
  <c r="R407" i="1" s="1"/>
  <c r="S407" i="1" s="1"/>
  <c r="T407" i="1" s="1"/>
  <c r="U407" i="1" s="1"/>
  <c r="V407" i="1" s="1"/>
  <c r="J407" i="1"/>
  <c r="F407" i="1"/>
  <c r="E407" i="1"/>
  <c r="D407" i="1"/>
  <c r="H407" i="1" s="1"/>
  <c r="I407" i="1" s="1"/>
  <c r="C407" i="1"/>
  <c r="B407" i="1"/>
  <c r="A407" i="1"/>
  <c r="W407" i="1" s="1"/>
  <c r="S406" i="1"/>
  <c r="T406" i="1" s="1"/>
  <c r="U406" i="1" s="1"/>
  <c r="V406" i="1" s="1"/>
  <c r="H406" i="1"/>
  <c r="I406" i="1" s="1"/>
  <c r="J406" i="1" s="1"/>
  <c r="K406" i="1" s="1"/>
  <c r="L406" i="1" s="1"/>
  <c r="M406" i="1" s="1"/>
  <c r="N406" i="1" s="1"/>
  <c r="O406" i="1" s="1"/>
  <c r="P406" i="1" s="1"/>
  <c r="Q406" i="1" s="1"/>
  <c r="R406" i="1" s="1"/>
  <c r="F406" i="1"/>
  <c r="E406" i="1"/>
  <c r="D406" i="1"/>
  <c r="C406" i="1"/>
  <c r="B406" i="1"/>
  <c r="A406" i="1"/>
  <c r="W405" i="1"/>
  <c r="N405" i="1"/>
  <c r="O405" i="1" s="1"/>
  <c r="P405" i="1" s="1"/>
  <c r="Q405" i="1" s="1"/>
  <c r="R405" i="1" s="1"/>
  <c r="S405" i="1" s="1"/>
  <c r="T405" i="1" s="1"/>
  <c r="U405" i="1" s="1"/>
  <c r="V405" i="1" s="1"/>
  <c r="I405" i="1"/>
  <c r="J405" i="1" s="1"/>
  <c r="K405" i="1" s="1"/>
  <c r="L405" i="1" s="1"/>
  <c r="M405" i="1" s="1"/>
  <c r="H405" i="1"/>
  <c r="F405" i="1"/>
  <c r="E405" i="1"/>
  <c r="D405" i="1"/>
  <c r="C405" i="1"/>
  <c r="B405" i="1"/>
  <c r="A405" i="1"/>
  <c r="W404" i="1"/>
  <c r="F404" i="1"/>
  <c r="E404" i="1"/>
  <c r="D404" i="1"/>
  <c r="H404" i="1" s="1"/>
  <c r="I404" i="1" s="1"/>
  <c r="J404" i="1" s="1"/>
  <c r="K404" i="1" s="1"/>
  <c r="L404" i="1" s="1"/>
  <c r="M404" i="1" s="1"/>
  <c r="N404" i="1" s="1"/>
  <c r="O404" i="1" s="1"/>
  <c r="P404" i="1" s="1"/>
  <c r="Q404" i="1" s="1"/>
  <c r="R404" i="1" s="1"/>
  <c r="S404" i="1" s="1"/>
  <c r="T404" i="1" s="1"/>
  <c r="U404" i="1" s="1"/>
  <c r="V404" i="1" s="1"/>
  <c r="C404" i="1"/>
  <c r="B404" i="1"/>
  <c r="A404" i="1"/>
  <c r="M403" i="1"/>
  <c r="N403" i="1" s="1"/>
  <c r="O403" i="1" s="1"/>
  <c r="P403" i="1" s="1"/>
  <c r="Q403" i="1" s="1"/>
  <c r="R403" i="1" s="1"/>
  <c r="S403" i="1" s="1"/>
  <c r="T403" i="1" s="1"/>
  <c r="U403" i="1" s="1"/>
  <c r="V403" i="1" s="1"/>
  <c r="K403" i="1"/>
  <c r="L403" i="1" s="1"/>
  <c r="J403" i="1"/>
  <c r="F403" i="1"/>
  <c r="E403" i="1"/>
  <c r="D403" i="1"/>
  <c r="H403" i="1" s="1"/>
  <c r="I403" i="1" s="1"/>
  <c r="C403" i="1"/>
  <c r="B403" i="1"/>
  <c r="A403" i="1"/>
  <c r="W403" i="1" s="1"/>
  <c r="I402" i="1"/>
  <c r="J402" i="1" s="1"/>
  <c r="K402" i="1" s="1"/>
  <c r="L402" i="1" s="1"/>
  <c r="M402" i="1" s="1"/>
  <c r="N402" i="1" s="1"/>
  <c r="O402" i="1" s="1"/>
  <c r="P402" i="1" s="1"/>
  <c r="Q402" i="1" s="1"/>
  <c r="R402" i="1" s="1"/>
  <c r="S402" i="1" s="1"/>
  <c r="T402" i="1" s="1"/>
  <c r="U402" i="1" s="1"/>
  <c r="V402" i="1" s="1"/>
  <c r="H402" i="1"/>
  <c r="F402" i="1"/>
  <c r="E402" i="1"/>
  <c r="D402" i="1"/>
  <c r="C402" i="1"/>
  <c r="B402" i="1"/>
  <c r="A402" i="1"/>
  <c r="W401" i="1"/>
  <c r="O401" i="1"/>
  <c r="P401" i="1" s="1"/>
  <c r="Q401" i="1" s="1"/>
  <c r="R401" i="1" s="1"/>
  <c r="S401" i="1" s="1"/>
  <c r="T401" i="1" s="1"/>
  <c r="U401" i="1" s="1"/>
  <c r="V401" i="1" s="1"/>
  <c r="N401" i="1"/>
  <c r="I401" i="1"/>
  <c r="J401" i="1" s="1"/>
  <c r="K401" i="1" s="1"/>
  <c r="L401" i="1" s="1"/>
  <c r="M401" i="1" s="1"/>
  <c r="H401" i="1"/>
  <c r="F401" i="1"/>
  <c r="E401" i="1"/>
  <c r="D401" i="1"/>
  <c r="C401" i="1"/>
  <c r="B401" i="1"/>
  <c r="A401" i="1"/>
  <c r="W400" i="1"/>
  <c r="M400" i="1"/>
  <c r="N400" i="1" s="1"/>
  <c r="O400" i="1" s="1"/>
  <c r="P400" i="1" s="1"/>
  <c r="Q400" i="1" s="1"/>
  <c r="R400" i="1" s="1"/>
  <c r="S400" i="1" s="1"/>
  <c r="T400" i="1" s="1"/>
  <c r="U400" i="1" s="1"/>
  <c r="V400" i="1" s="1"/>
  <c r="L400" i="1"/>
  <c r="F400" i="1"/>
  <c r="E400" i="1"/>
  <c r="D400" i="1"/>
  <c r="H400" i="1" s="1"/>
  <c r="I400" i="1" s="1"/>
  <c r="J400" i="1" s="1"/>
  <c r="K400" i="1" s="1"/>
  <c r="C400" i="1"/>
  <c r="B400" i="1"/>
  <c r="A400" i="1"/>
  <c r="J399" i="1"/>
  <c r="K399" i="1" s="1"/>
  <c r="L399" i="1" s="1"/>
  <c r="M399" i="1" s="1"/>
  <c r="N399" i="1" s="1"/>
  <c r="O399" i="1" s="1"/>
  <c r="P399" i="1" s="1"/>
  <c r="Q399" i="1" s="1"/>
  <c r="R399" i="1" s="1"/>
  <c r="S399" i="1" s="1"/>
  <c r="T399" i="1" s="1"/>
  <c r="U399" i="1" s="1"/>
  <c r="V399" i="1" s="1"/>
  <c r="F399" i="1"/>
  <c r="E399" i="1"/>
  <c r="D399" i="1"/>
  <c r="H399" i="1" s="1"/>
  <c r="I399" i="1" s="1"/>
  <c r="C399" i="1"/>
  <c r="B399" i="1"/>
  <c r="A399" i="1"/>
  <c r="W399" i="1" s="1"/>
  <c r="Q398" i="1"/>
  <c r="R398" i="1" s="1"/>
  <c r="S398" i="1" s="1"/>
  <c r="T398" i="1" s="1"/>
  <c r="U398" i="1" s="1"/>
  <c r="V398" i="1" s="1"/>
  <c r="H398" i="1"/>
  <c r="I398" i="1" s="1"/>
  <c r="J398" i="1" s="1"/>
  <c r="K398" i="1" s="1"/>
  <c r="L398" i="1" s="1"/>
  <c r="M398" i="1" s="1"/>
  <c r="N398" i="1" s="1"/>
  <c r="O398" i="1" s="1"/>
  <c r="P398" i="1" s="1"/>
  <c r="F398" i="1"/>
  <c r="E398" i="1"/>
  <c r="D398" i="1"/>
  <c r="C398" i="1"/>
  <c r="B398" i="1"/>
  <c r="A398" i="1"/>
  <c r="W397" i="1"/>
  <c r="P397" i="1"/>
  <c r="Q397" i="1" s="1"/>
  <c r="R397" i="1" s="1"/>
  <c r="S397" i="1" s="1"/>
  <c r="T397" i="1" s="1"/>
  <c r="U397" i="1" s="1"/>
  <c r="V397" i="1" s="1"/>
  <c r="O397" i="1"/>
  <c r="N397" i="1"/>
  <c r="I397" i="1"/>
  <c r="J397" i="1" s="1"/>
  <c r="K397" i="1" s="1"/>
  <c r="L397" i="1" s="1"/>
  <c r="M397" i="1" s="1"/>
  <c r="H397" i="1"/>
  <c r="F397" i="1"/>
  <c r="E397" i="1"/>
  <c r="D397" i="1"/>
  <c r="C397" i="1"/>
  <c r="B397" i="1"/>
  <c r="A397" i="1"/>
  <c r="W396" i="1"/>
  <c r="N396" i="1"/>
  <c r="O396" i="1" s="1"/>
  <c r="P396" i="1" s="1"/>
  <c r="Q396" i="1" s="1"/>
  <c r="R396" i="1" s="1"/>
  <c r="S396" i="1" s="1"/>
  <c r="T396" i="1" s="1"/>
  <c r="U396" i="1" s="1"/>
  <c r="V396" i="1" s="1"/>
  <c r="M396" i="1"/>
  <c r="L396" i="1"/>
  <c r="F396" i="1"/>
  <c r="E396" i="1"/>
  <c r="D396" i="1"/>
  <c r="H396" i="1" s="1"/>
  <c r="I396" i="1" s="1"/>
  <c r="J396" i="1" s="1"/>
  <c r="K396" i="1" s="1"/>
  <c r="C396" i="1"/>
  <c r="B396" i="1"/>
  <c r="A396" i="1"/>
  <c r="J395" i="1"/>
  <c r="K395" i="1" s="1"/>
  <c r="L395" i="1" s="1"/>
  <c r="M395" i="1" s="1"/>
  <c r="N395" i="1" s="1"/>
  <c r="O395" i="1" s="1"/>
  <c r="P395" i="1" s="1"/>
  <c r="Q395" i="1" s="1"/>
  <c r="R395" i="1" s="1"/>
  <c r="S395" i="1" s="1"/>
  <c r="T395" i="1" s="1"/>
  <c r="U395" i="1" s="1"/>
  <c r="V395" i="1" s="1"/>
  <c r="F395" i="1"/>
  <c r="E395" i="1"/>
  <c r="D395" i="1"/>
  <c r="H395" i="1" s="1"/>
  <c r="I395" i="1" s="1"/>
  <c r="C395" i="1"/>
  <c r="B395" i="1"/>
  <c r="A395" i="1"/>
  <c r="W395" i="1" s="1"/>
  <c r="H394" i="1"/>
  <c r="I394" i="1" s="1"/>
  <c r="J394" i="1" s="1"/>
  <c r="K394" i="1" s="1"/>
  <c r="L394" i="1" s="1"/>
  <c r="M394" i="1" s="1"/>
  <c r="N394" i="1" s="1"/>
  <c r="O394" i="1" s="1"/>
  <c r="P394" i="1" s="1"/>
  <c r="Q394" i="1" s="1"/>
  <c r="R394" i="1" s="1"/>
  <c r="S394" i="1" s="1"/>
  <c r="T394" i="1" s="1"/>
  <c r="U394" i="1" s="1"/>
  <c r="V394" i="1" s="1"/>
  <c r="F394" i="1"/>
  <c r="E394" i="1"/>
  <c r="D394" i="1"/>
  <c r="C394" i="1"/>
  <c r="B394" i="1"/>
  <c r="A394" i="1"/>
  <c r="W393" i="1"/>
  <c r="P393" i="1"/>
  <c r="Q393" i="1" s="1"/>
  <c r="R393" i="1" s="1"/>
  <c r="S393" i="1" s="1"/>
  <c r="T393" i="1" s="1"/>
  <c r="U393" i="1" s="1"/>
  <c r="V393" i="1" s="1"/>
  <c r="O393" i="1"/>
  <c r="I393" i="1"/>
  <c r="J393" i="1" s="1"/>
  <c r="K393" i="1" s="1"/>
  <c r="L393" i="1" s="1"/>
  <c r="M393" i="1" s="1"/>
  <c r="N393" i="1" s="1"/>
  <c r="H393" i="1"/>
  <c r="F393" i="1"/>
  <c r="E393" i="1"/>
  <c r="D393" i="1"/>
  <c r="C393" i="1"/>
  <c r="B393" i="1"/>
  <c r="A393" i="1"/>
  <c r="W392" i="1"/>
  <c r="N392" i="1"/>
  <c r="O392" i="1" s="1"/>
  <c r="P392" i="1" s="1"/>
  <c r="Q392" i="1" s="1"/>
  <c r="R392" i="1" s="1"/>
  <c r="S392" i="1" s="1"/>
  <c r="T392" i="1" s="1"/>
  <c r="U392" i="1" s="1"/>
  <c r="V392" i="1" s="1"/>
  <c r="M392" i="1"/>
  <c r="L392" i="1"/>
  <c r="F392" i="1"/>
  <c r="E392" i="1"/>
  <c r="D392" i="1"/>
  <c r="H392" i="1" s="1"/>
  <c r="I392" i="1" s="1"/>
  <c r="J392" i="1" s="1"/>
  <c r="K392" i="1" s="1"/>
  <c r="C392" i="1"/>
  <c r="B392" i="1"/>
  <c r="A392" i="1"/>
  <c r="J391" i="1"/>
  <c r="K391" i="1" s="1"/>
  <c r="L391" i="1" s="1"/>
  <c r="M391" i="1" s="1"/>
  <c r="N391" i="1" s="1"/>
  <c r="O391" i="1" s="1"/>
  <c r="P391" i="1" s="1"/>
  <c r="Q391" i="1" s="1"/>
  <c r="R391" i="1" s="1"/>
  <c r="S391" i="1" s="1"/>
  <c r="T391" i="1" s="1"/>
  <c r="U391" i="1" s="1"/>
  <c r="V391" i="1" s="1"/>
  <c r="F391" i="1"/>
  <c r="E391" i="1"/>
  <c r="D391" i="1"/>
  <c r="H391" i="1" s="1"/>
  <c r="I391" i="1" s="1"/>
  <c r="C391" i="1"/>
  <c r="B391" i="1"/>
  <c r="A391" i="1"/>
  <c r="W391" i="1" s="1"/>
  <c r="Q390" i="1"/>
  <c r="R390" i="1" s="1"/>
  <c r="S390" i="1" s="1"/>
  <c r="T390" i="1" s="1"/>
  <c r="U390" i="1" s="1"/>
  <c r="V390" i="1" s="1"/>
  <c r="H390" i="1"/>
  <c r="I390" i="1" s="1"/>
  <c r="J390" i="1" s="1"/>
  <c r="K390" i="1" s="1"/>
  <c r="L390" i="1" s="1"/>
  <c r="M390" i="1" s="1"/>
  <c r="N390" i="1" s="1"/>
  <c r="O390" i="1" s="1"/>
  <c r="P390" i="1" s="1"/>
  <c r="F390" i="1"/>
  <c r="E390" i="1"/>
  <c r="D390" i="1"/>
  <c r="C390" i="1"/>
  <c r="B390" i="1"/>
  <c r="A390" i="1"/>
  <c r="W389" i="1"/>
  <c r="O389" i="1"/>
  <c r="P389" i="1" s="1"/>
  <c r="Q389" i="1" s="1"/>
  <c r="R389" i="1" s="1"/>
  <c r="S389" i="1" s="1"/>
  <c r="T389" i="1" s="1"/>
  <c r="U389" i="1" s="1"/>
  <c r="V389" i="1" s="1"/>
  <c r="I389" i="1"/>
  <c r="J389" i="1" s="1"/>
  <c r="K389" i="1" s="1"/>
  <c r="L389" i="1" s="1"/>
  <c r="M389" i="1" s="1"/>
  <c r="N389" i="1" s="1"/>
  <c r="H389" i="1"/>
  <c r="F389" i="1"/>
  <c r="E389" i="1"/>
  <c r="D389" i="1"/>
  <c r="C389" i="1"/>
  <c r="B389" i="1"/>
  <c r="A389" i="1"/>
  <c r="W388" i="1"/>
  <c r="N388" i="1"/>
  <c r="O388" i="1" s="1"/>
  <c r="P388" i="1" s="1"/>
  <c r="Q388" i="1" s="1"/>
  <c r="R388" i="1" s="1"/>
  <c r="S388" i="1" s="1"/>
  <c r="T388" i="1" s="1"/>
  <c r="U388" i="1" s="1"/>
  <c r="V388" i="1" s="1"/>
  <c r="M388" i="1"/>
  <c r="L388" i="1"/>
  <c r="F388" i="1"/>
  <c r="E388" i="1"/>
  <c r="D388" i="1"/>
  <c r="H388" i="1" s="1"/>
  <c r="I388" i="1" s="1"/>
  <c r="J388" i="1" s="1"/>
  <c r="K388" i="1" s="1"/>
  <c r="C388" i="1"/>
  <c r="B388" i="1"/>
  <c r="A388" i="1"/>
  <c r="J387" i="1"/>
  <c r="K387" i="1" s="1"/>
  <c r="L387" i="1" s="1"/>
  <c r="M387" i="1" s="1"/>
  <c r="N387" i="1" s="1"/>
  <c r="O387" i="1" s="1"/>
  <c r="P387" i="1" s="1"/>
  <c r="Q387" i="1" s="1"/>
  <c r="R387" i="1" s="1"/>
  <c r="S387" i="1" s="1"/>
  <c r="T387" i="1" s="1"/>
  <c r="U387" i="1" s="1"/>
  <c r="V387" i="1" s="1"/>
  <c r="F387" i="1"/>
  <c r="E387" i="1"/>
  <c r="D387" i="1"/>
  <c r="H387" i="1" s="1"/>
  <c r="I387" i="1" s="1"/>
  <c r="C387" i="1"/>
  <c r="B387" i="1"/>
  <c r="A387" i="1"/>
  <c r="W387" i="1" s="1"/>
  <c r="Q386" i="1"/>
  <c r="R386" i="1" s="1"/>
  <c r="S386" i="1" s="1"/>
  <c r="T386" i="1" s="1"/>
  <c r="U386" i="1" s="1"/>
  <c r="V386" i="1" s="1"/>
  <c r="H386" i="1"/>
  <c r="I386" i="1" s="1"/>
  <c r="J386" i="1" s="1"/>
  <c r="K386" i="1" s="1"/>
  <c r="L386" i="1" s="1"/>
  <c r="M386" i="1" s="1"/>
  <c r="N386" i="1" s="1"/>
  <c r="O386" i="1" s="1"/>
  <c r="P386" i="1" s="1"/>
  <c r="F386" i="1"/>
  <c r="E386" i="1"/>
  <c r="D386" i="1"/>
  <c r="C386" i="1"/>
  <c r="B386" i="1"/>
  <c r="A386" i="1"/>
  <c r="W385" i="1"/>
  <c r="O385" i="1"/>
  <c r="P385" i="1" s="1"/>
  <c r="Q385" i="1" s="1"/>
  <c r="R385" i="1" s="1"/>
  <c r="S385" i="1" s="1"/>
  <c r="T385" i="1" s="1"/>
  <c r="U385" i="1" s="1"/>
  <c r="V385" i="1" s="1"/>
  <c r="I385" i="1"/>
  <c r="J385" i="1" s="1"/>
  <c r="K385" i="1" s="1"/>
  <c r="L385" i="1" s="1"/>
  <c r="M385" i="1" s="1"/>
  <c r="N385" i="1" s="1"/>
  <c r="H385" i="1"/>
  <c r="F385" i="1"/>
  <c r="E385" i="1"/>
  <c r="D385" i="1"/>
  <c r="C385" i="1"/>
  <c r="B385" i="1"/>
  <c r="A385" i="1"/>
  <c r="W384" i="1"/>
  <c r="M384" i="1"/>
  <c r="N384" i="1" s="1"/>
  <c r="O384" i="1" s="1"/>
  <c r="P384" i="1" s="1"/>
  <c r="Q384" i="1" s="1"/>
  <c r="R384" i="1" s="1"/>
  <c r="S384" i="1" s="1"/>
  <c r="T384" i="1" s="1"/>
  <c r="U384" i="1" s="1"/>
  <c r="V384" i="1" s="1"/>
  <c r="L384" i="1"/>
  <c r="F384" i="1"/>
  <c r="E384" i="1"/>
  <c r="D384" i="1"/>
  <c r="H384" i="1" s="1"/>
  <c r="I384" i="1" s="1"/>
  <c r="J384" i="1" s="1"/>
  <c r="K384" i="1" s="1"/>
  <c r="C384" i="1"/>
  <c r="B384" i="1"/>
  <c r="A384" i="1"/>
  <c r="U383" i="1"/>
  <c r="V383" i="1" s="1"/>
  <c r="K383" i="1"/>
  <c r="L383" i="1" s="1"/>
  <c r="M383" i="1" s="1"/>
  <c r="N383" i="1" s="1"/>
  <c r="O383" i="1" s="1"/>
  <c r="P383" i="1" s="1"/>
  <c r="Q383" i="1" s="1"/>
  <c r="R383" i="1" s="1"/>
  <c r="S383" i="1" s="1"/>
  <c r="T383" i="1" s="1"/>
  <c r="J383" i="1"/>
  <c r="F383" i="1"/>
  <c r="E383" i="1"/>
  <c r="D383" i="1"/>
  <c r="H383" i="1" s="1"/>
  <c r="I383" i="1" s="1"/>
  <c r="C383" i="1"/>
  <c r="B383" i="1"/>
  <c r="A383" i="1"/>
  <c r="I382" i="1"/>
  <c r="J382" i="1" s="1"/>
  <c r="K382" i="1" s="1"/>
  <c r="L382" i="1" s="1"/>
  <c r="M382" i="1" s="1"/>
  <c r="N382" i="1" s="1"/>
  <c r="O382" i="1" s="1"/>
  <c r="P382" i="1" s="1"/>
  <c r="Q382" i="1" s="1"/>
  <c r="R382" i="1" s="1"/>
  <c r="S382" i="1" s="1"/>
  <c r="T382" i="1" s="1"/>
  <c r="U382" i="1" s="1"/>
  <c r="V382" i="1" s="1"/>
  <c r="H382" i="1"/>
  <c r="F382" i="1"/>
  <c r="E382" i="1"/>
  <c r="D382" i="1"/>
  <c r="C382" i="1"/>
  <c r="B382" i="1"/>
  <c r="A382" i="1"/>
  <c r="W381" i="1"/>
  <c r="I381" i="1"/>
  <c r="J381" i="1" s="1"/>
  <c r="K381" i="1" s="1"/>
  <c r="L381" i="1" s="1"/>
  <c r="M381" i="1" s="1"/>
  <c r="N381" i="1" s="1"/>
  <c r="O381" i="1" s="1"/>
  <c r="P381" i="1" s="1"/>
  <c r="Q381" i="1" s="1"/>
  <c r="R381" i="1" s="1"/>
  <c r="S381" i="1" s="1"/>
  <c r="T381" i="1" s="1"/>
  <c r="U381" i="1" s="1"/>
  <c r="V381" i="1" s="1"/>
  <c r="H381" i="1"/>
  <c r="F381" i="1"/>
  <c r="E381" i="1"/>
  <c r="D381" i="1"/>
  <c r="C381" i="1"/>
  <c r="B381" i="1"/>
  <c r="A381" i="1"/>
  <c r="W380" i="1"/>
  <c r="L380" i="1"/>
  <c r="M380" i="1" s="1"/>
  <c r="N380" i="1" s="1"/>
  <c r="O380" i="1" s="1"/>
  <c r="P380" i="1" s="1"/>
  <c r="Q380" i="1" s="1"/>
  <c r="R380" i="1" s="1"/>
  <c r="S380" i="1" s="1"/>
  <c r="T380" i="1" s="1"/>
  <c r="U380" i="1" s="1"/>
  <c r="V380" i="1" s="1"/>
  <c r="H380" i="1"/>
  <c r="I380" i="1" s="1"/>
  <c r="J380" i="1" s="1"/>
  <c r="K380" i="1" s="1"/>
  <c r="F380" i="1"/>
  <c r="E380" i="1"/>
  <c r="D380" i="1"/>
  <c r="C380" i="1"/>
  <c r="B380" i="1"/>
  <c r="A380" i="1"/>
  <c r="V379" i="1"/>
  <c r="J379" i="1"/>
  <c r="K379" i="1" s="1"/>
  <c r="L379" i="1" s="1"/>
  <c r="M379" i="1" s="1"/>
  <c r="N379" i="1" s="1"/>
  <c r="O379" i="1" s="1"/>
  <c r="P379" i="1" s="1"/>
  <c r="Q379" i="1" s="1"/>
  <c r="R379" i="1" s="1"/>
  <c r="S379" i="1" s="1"/>
  <c r="T379" i="1" s="1"/>
  <c r="U379" i="1" s="1"/>
  <c r="F379" i="1"/>
  <c r="E379" i="1"/>
  <c r="D379" i="1"/>
  <c r="H379" i="1" s="1"/>
  <c r="I379" i="1" s="1"/>
  <c r="C379" i="1"/>
  <c r="B379" i="1"/>
  <c r="A379" i="1"/>
  <c r="I378" i="1"/>
  <c r="J378" i="1" s="1"/>
  <c r="K378" i="1" s="1"/>
  <c r="L378" i="1" s="1"/>
  <c r="M378" i="1" s="1"/>
  <c r="N378" i="1" s="1"/>
  <c r="O378" i="1" s="1"/>
  <c r="P378" i="1" s="1"/>
  <c r="Q378" i="1" s="1"/>
  <c r="R378" i="1" s="1"/>
  <c r="S378" i="1" s="1"/>
  <c r="T378" i="1" s="1"/>
  <c r="U378" i="1" s="1"/>
  <c r="V378" i="1" s="1"/>
  <c r="H378" i="1"/>
  <c r="F378" i="1"/>
  <c r="E378" i="1"/>
  <c r="D378" i="1"/>
  <c r="C378" i="1"/>
  <c r="B378" i="1"/>
  <c r="A378" i="1"/>
  <c r="W377" i="1"/>
  <c r="H377" i="1"/>
  <c r="I377" i="1" s="1"/>
  <c r="J377" i="1" s="1"/>
  <c r="K377" i="1" s="1"/>
  <c r="L377" i="1" s="1"/>
  <c r="M377" i="1" s="1"/>
  <c r="N377" i="1" s="1"/>
  <c r="O377" i="1" s="1"/>
  <c r="P377" i="1" s="1"/>
  <c r="Q377" i="1" s="1"/>
  <c r="R377" i="1" s="1"/>
  <c r="S377" i="1" s="1"/>
  <c r="T377" i="1" s="1"/>
  <c r="U377" i="1" s="1"/>
  <c r="V377" i="1" s="1"/>
  <c r="F377" i="1"/>
  <c r="E377" i="1"/>
  <c r="D377" i="1"/>
  <c r="C377" i="1"/>
  <c r="B377" i="1"/>
  <c r="A377" i="1"/>
  <c r="W376" i="1"/>
  <c r="L376" i="1"/>
  <c r="M376" i="1" s="1"/>
  <c r="N376" i="1" s="1"/>
  <c r="O376" i="1" s="1"/>
  <c r="P376" i="1" s="1"/>
  <c r="Q376" i="1" s="1"/>
  <c r="R376" i="1" s="1"/>
  <c r="S376" i="1" s="1"/>
  <c r="T376" i="1" s="1"/>
  <c r="U376" i="1" s="1"/>
  <c r="V376" i="1" s="1"/>
  <c r="H376" i="1"/>
  <c r="I376" i="1" s="1"/>
  <c r="J376" i="1" s="1"/>
  <c r="K376" i="1" s="1"/>
  <c r="F376" i="1"/>
  <c r="E376" i="1"/>
  <c r="D376" i="1"/>
  <c r="C376" i="1"/>
  <c r="B376" i="1"/>
  <c r="A376" i="1"/>
  <c r="J375" i="1"/>
  <c r="K375" i="1" s="1"/>
  <c r="L375" i="1" s="1"/>
  <c r="M375" i="1" s="1"/>
  <c r="N375" i="1" s="1"/>
  <c r="O375" i="1" s="1"/>
  <c r="P375" i="1" s="1"/>
  <c r="Q375" i="1" s="1"/>
  <c r="R375" i="1" s="1"/>
  <c r="S375" i="1" s="1"/>
  <c r="T375" i="1" s="1"/>
  <c r="U375" i="1" s="1"/>
  <c r="V375" i="1" s="1"/>
  <c r="F375" i="1"/>
  <c r="E375" i="1"/>
  <c r="D375" i="1"/>
  <c r="H375" i="1" s="1"/>
  <c r="I375" i="1" s="1"/>
  <c r="C375" i="1"/>
  <c r="B375" i="1"/>
  <c r="A375" i="1"/>
  <c r="Q374" i="1"/>
  <c r="R374" i="1" s="1"/>
  <c r="S374" i="1" s="1"/>
  <c r="T374" i="1" s="1"/>
  <c r="U374" i="1" s="1"/>
  <c r="V374" i="1" s="1"/>
  <c r="I374" i="1"/>
  <c r="J374" i="1" s="1"/>
  <c r="K374" i="1" s="1"/>
  <c r="L374" i="1" s="1"/>
  <c r="M374" i="1" s="1"/>
  <c r="N374" i="1" s="1"/>
  <c r="O374" i="1" s="1"/>
  <c r="P374" i="1" s="1"/>
  <c r="H374" i="1"/>
  <c r="F374" i="1"/>
  <c r="E374" i="1"/>
  <c r="D374" i="1"/>
  <c r="C374" i="1"/>
  <c r="B374" i="1"/>
  <c r="A374" i="1"/>
  <c r="W373" i="1"/>
  <c r="H373" i="1"/>
  <c r="I373" i="1" s="1"/>
  <c r="J373" i="1" s="1"/>
  <c r="K373" i="1" s="1"/>
  <c r="L373" i="1" s="1"/>
  <c r="M373" i="1" s="1"/>
  <c r="N373" i="1" s="1"/>
  <c r="O373" i="1" s="1"/>
  <c r="P373" i="1" s="1"/>
  <c r="Q373" i="1" s="1"/>
  <c r="R373" i="1" s="1"/>
  <c r="S373" i="1" s="1"/>
  <c r="T373" i="1" s="1"/>
  <c r="U373" i="1" s="1"/>
  <c r="V373" i="1" s="1"/>
  <c r="F373" i="1"/>
  <c r="E373" i="1"/>
  <c r="D373" i="1"/>
  <c r="C373" i="1"/>
  <c r="B373" i="1"/>
  <c r="A373" i="1"/>
  <c r="W372" i="1"/>
  <c r="L372" i="1"/>
  <c r="M372" i="1" s="1"/>
  <c r="N372" i="1" s="1"/>
  <c r="O372" i="1" s="1"/>
  <c r="P372" i="1" s="1"/>
  <c r="Q372" i="1" s="1"/>
  <c r="R372" i="1" s="1"/>
  <c r="S372" i="1" s="1"/>
  <c r="T372" i="1" s="1"/>
  <c r="U372" i="1" s="1"/>
  <c r="V372" i="1" s="1"/>
  <c r="H372" i="1"/>
  <c r="I372" i="1" s="1"/>
  <c r="J372" i="1" s="1"/>
  <c r="K372" i="1" s="1"/>
  <c r="F372" i="1"/>
  <c r="E372" i="1"/>
  <c r="D372" i="1"/>
  <c r="C372" i="1"/>
  <c r="B372" i="1"/>
  <c r="A372" i="1"/>
  <c r="J371" i="1"/>
  <c r="K371" i="1" s="1"/>
  <c r="L371" i="1" s="1"/>
  <c r="M371" i="1" s="1"/>
  <c r="N371" i="1" s="1"/>
  <c r="O371" i="1" s="1"/>
  <c r="P371" i="1" s="1"/>
  <c r="Q371" i="1" s="1"/>
  <c r="R371" i="1" s="1"/>
  <c r="S371" i="1" s="1"/>
  <c r="T371" i="1" s="1"/>
  <c r="U371" i="1" s="1"/>
  <c r="V371" i="1" s="1"/>
  <c r="F371" i="1"/>
  <c r="E371" i="1"/>
  <c r="D371" i="1"/>
  <c r="H371" i="1" s="1"/>
  <c r="I371" i="1" s="1"/>
  <c r="C371" i="1"/>
  <c r="B371" i="1"/>
  <c r="A371" i="1"/>
  <c r="I370" i="1"/>
  <c r="J370" i="1" s="1"/>
  <c r="K370" i="1" s="1"/>
  <c r="L370" i="1" s="1"/>
  <c r="M370" i="1" s="1"/>
  <c r="N370" i="1" s="1"/>
  <c r="O370" i="1" s="1"/>
  <c r="P370" i="1" s="1"/>
  <c r="Q370" i="1" s="1"/>
  <c r="R370" i="1" s="1"/>
  <c r="S370" i="1" s="1"/>
  <c r="T370" i="1" s="1"/>
  <c r="U370" i="1" s="1"/>
  <c r="V370" i="1" s="1"/>
  <c r="H370" i="1"/>
  <c r="F370" i="1"/>
  <c r="E370" i="1"/>
  <c r="D370" i="1"/>
  <c r="C370" i="1"/>
  <c r="B370" i="1"/>
  <c r="A370" i="1"/>
  <c r="W369" i="1"/>
  <c r="H369" i="1"/>
  <c r="I369" i="1" s="1"/>
  <c r="J369" i="1" s="1"/>
  <c r="K369" i="1" s="1"/>
  <c r="L369" i="1" s="1"/>
  <c r="M369" i="1" s="1"/>
  <c r="N369" i="1" s="1"/>
  <c r="O369" i="1" s="1"/>
  <c r="P369" i="1" s="1"/>
  <c r="Q369" i="1" s="1"/>
  <c r="R369" i="1" s="1"/>
  <c r="S369" i="1" s="1"/>
  <c r="T369" i="1" s="1"/>
  <c r="U369" i="1" s="1"/>
  <c r="V369" i="1" s="1"/>
  <c r="F369" i="1"/>
  <c r="E369" i="1"/>
  <c r="D369" i="1"/>
  <c r="C369" i="1"/>
  <c r="B369" i="1"/>
  <c r="A369" i="1"/>
  <c r="W368" i="1"/>
  <c r="T368" i="1"/>
  <c r="U368" i="1" s="1"/>
  <c r="V368" i="1" s="1"/>
  <c r="L368" i="1"/>
  <c r="M368" i="1" s="1"/>
  <c r="N368" i="1" s="1"/>
  <c r="O368" i="1" s="1"/>
  <c r="P368" i="1" s="1"/>
  <c r="Q368" i="1" s="1"/>
  <c r="R368" i="1" s="1"/>
  <c r="S368" i="1" s="1"/>
  <c r="H368" i="1"/>
  <c r="I368" i="1" s="1"/>
  <c r="J368" i="1" s="1"/>
  <c r="K368" i="1" s="1"/>
  <c r="F368" i="1"/>
  <c r="E368" i="1"/>
  <c r="D368" i="1"/>
  <c r="C368" i="1"/>
  <c r="B368" i="1"/>
  <c r="A368" i="1"/>
  <c r="J367" i="1"/>
  <c r="K367" i="1" s="1"/>
  <c r="L367" i="1" s="1"/>
  <c r="M367" i="1" s="1"/>
  <c r="N367" i="1" s="1"/>
  <c r="O367" i="1" s="1"/>
  <c r="P367" i="1" s="1"/>
  <c r="Q367" i="1" s="1"/>
  <c r="R367" i="1" s="1"/>
  <c r="S367" i="1" s="1"/>
  <c r="T367" i="1" s="1"/>
  <c r="U367" i="1" s="1"/>
  <c r="V367" i="1" s="1"/>
  <c r="F367" i="1"/>
  <c r="E367" i="1"/>
  <c r="D367" i="1"/>
  <c r="H367" i="1" s="1"/>
  <c r="I367" i="1" s="1"/>
  <c r="C367" i="1"/>
  <c r="B367" i="1"/>
  <c r="A367" i="1"/>
  <c r="Q366" i="1"/>
  <c r="R366" i="1" s="1"/>
  <c r="S366" i="1" s="1"/>
  <c r="T366" i="1" s="1"/>
  <c r="U366" i="1" s="1"/>
  <c r="V366" i="1" s="1"/>
  <c r="I366" i="1"/>
  <c r="J366" i="1" s="1"/>
  <c r="K366" i="1" s="1"/>
  <c r="L366" i="1" s="1"/>
  <c r="M366" i="1" s="1"/>
  <c r="N366" i="1" s="1"/>
  <c r="O366" i="1" s="1"/>
  <c r="P366" i="1" s="1"/>
  <c r="H366" i="1"/>
  <c r="F366" i="1"/>
  <c r="E366" i="1"/>
  <c r="D366" i="1"/>
  <c r="C366" i="1"/>
  <c r="B366" i="1"/>
  <c r="A366" i="1"/>
  <c r="W365" i="1"/>
  <c r="H365" i="1"/>
  <c r="I365" i="1" s="1"/>
  <c r="J365" i="1" s="1"/>
  <c r="K365" i="1" s="1"/>
  <c r="L365" i="1" s="1"/>
  <c r="M365" i="1" s="1"/>
  <c r="N365" i="1" s="1"/>
  <c r="O365" i="1" s="1"/>
  <c r="P365" i="1" s="1"/>
  <c r="Q365" i="1" s="1"/>
  <c r="R365" i="1" s="1"/>
  <c r="S365" i="1" s="1"/>
  <c r="T365" i="1" s="1"/>
  <c r="U365" i="1" s="1"/>
  <c r="V365" i="1" s="1"/>
  <c r="F365" i="1"/>
  <c r="E365" i="1"/>
  <c r="D365" i="1"/>
  <c r="C365" i="1"/>
  <c r="B365" i="1"/>
  <c r="A365" i="1"/>
  <c r="W364" i="1"/>
  <c r="L364" i="1"/>
  <c r="M364" i="1" s="1"/>
  <c r="N364" i="1" s="1"/>
  <c r="O364" i="1" s="1"/>
  <c r="P364" i="1" s="1"/>
  <c r="Q364" i="1" s="1"/>
  <c r="R364" i="1" s="1"/>
  <c r="S364" i="1" s="1"/>
  <c r="T364" i="1" s="1"/>
  <c r="U364" i="1" s="1"/>
  <c r="V364" i="1" s="1"/>
  <c r="H364" i="1"/>
  <c r="I364" i="1" s="1"/>
  <c r="J364" i="1" s="1"/>
  <c r="K364" i="1" s="1"/>
  <c r="F364" i="1"/>
  <c r="E364" i="1"/>
  <c r="D364" i="1"/>
  <c r="C364" i="1"/>
  <c r="B364" i="1"/>
  <c r="A364" i="1"/>
  <c r="J363" i="1"/>
  <c r="K363" i="1" s="1"/>
  <c r="L363" i="1" s="1"/>
  <c r="M363" i="1" s="1"/>
  <c r="N363" i="1" s="1"/>
  <c r="O363" i="1" s="1"/>
  <c r="P363" i="1" s="1"/>
  <c r="Q363" i="1" s="1"/>
  <c r="R363" i="1" s="1"/>
  <c r="S363" i="1" s="1"/>
  <c r="T363" i="1" s="1"/>
  <c r="U363" i="1" s="1"/>
  <c r="V363" i="1" s="1"/>
  <c r="F363" i="1"/>
  <c r="E363" i="1"/>
  <c r="D363" i="1"/>
  <c r="H363" i="1" s="1"/>
  <c r="I363" i="1" s="1"/>
  <c r="C363" i="1"/>
  <c r="B363" i="1"/>
  <c r="A363" i="1"/>
  <c r="I362" i="1"/>
  <c r="J362" i="1" s="1"/>
  <c r="K362" i="1" s="1"/>
  <c r="L362" i="1" s="1"/>
  <c r="M362" i="1" s="1"/>
  <c r="N362" i="1" s="1"/>
  <c r="O362" i="1" s="1"/>
  <c r="P362" i="1" s="1"/>
  <c r="Q362" i="1" s="1"/>
  <c r="R362" i="1" s="1"/>
  <c r="S362" i="1" s="1"/>
  <c r="T362" i="1" s="1"/>
  <c r="U362" i="1" s="1"/>
  <c r="V362" i="1" s="1"/>
  <c r="H362" i="1"/>
  <c r="F362" i="1"/>
  <c r="E362" i="1"/>
  <c r="D362" i="1"/>
  <c r="C362" i="1"/>
  <c r="B362" i="1"/>
  <c r="A362" i="1"/>
  <c r="W361" i="1"/>
  <c r="H361" i="1"/>
  <c r="I361" i="1" s="1"/>
  <c r="J361" i="1" s="1"/>
  <c r="K361" i="1" s="1"/>
  <c r="L361" i="1" s="1"/>
  <c r="M361" i="1" s="1"/>
  <c r="N361" i="1" s="1"/>
  <c r="O361" i="1" s="1"/>
  <c r="P361" i="1" s="1"/>
  <c r="Q361" i="1" s="1"/>
  <c r="R361" i="1" s="1"/>
  <c r="S361" i="1" s="1"/>
  <c r="T361" i="1" s="1"/>
  <c r="U361" i="1" s="1"/>
  <c r="V361" i="1" s="1"/>
  <c r="F361" i="1"/>
  <c r="E361" i="1"/>
  <c r="D361" i="1"/>
  <c r="C361" i="1"/>
  <c r="B361" i="1"/>
  <c r="A361" i="1"/>
  <c r="W360" i="1"/>
  <c r="T360" i="1"/>
  <c r="U360" i="1" s="1"/>
  <c r="V360" i="1" s="1"/>
  <c r="L360" i="1"/>
  <c r="M360" i="1" s="1"/>
  <c r="N360" i="1" s="1"/>
  <c r="O360" i="1" s="1"/>
  <c r="P360" i="1" s="1"/>
  <c r="Q360" i="1" s="1"/>
  <c r="R360" i="1" s="1"/>
  <c r="S360" i="1" s="1"/>
  <c r="H360" i="1"/>
  <c r="I360" i="1" s="1"/>
  <c r="J360" i="1" s="1"/>
  <c r="K360" i="1" s="1"/>
  <c r="F360" i="1"/>
  <c r="E360" i="1"/>
  <c r="D360" i="1"/>
  <c r="C360" i="1"/>
  <c r="B360" i="1"/>
  <c r="A360" i="1"/>
  <c r="J359" i="1"/>
  <c r="K359" i="1" s="1"/>
  <c r="L359" i="1" s="1"/>
  <c r="M359" i="1" s="1"/>
  <c r="N359" i="1" s="1"/>
  <c r="O359" i="1" s="1"/>
  <c r="P359" i="1" s="1"/>
  <c r="Q359" i="1" s="1"/>
  <c r="R359" i="1" s="1"/>
  <c r="S359" i="1" s="1"/>
  <c r="T359" i="1" s="1"/>
  <c r="U359" i="1" s="1"/>
  <c r="V359" i="1" s="1"/>
  <c r="F359" i="1"/>
  <c r="E359" i="1"/>
  <c r="D359" i="1"/>
  <c r="H359" i="1" s="1"/>
  <c r="I359" i="1" s="1"/>
  <c r="C359" i="1"/>
  <c r="B359" i="1"/>
  <c r="A359" i="1"/>
  <c r="Q358" i="1"/>
  <c r="R358" i="1" s="1"/>
  <c r="S358" i="1" s="1"/>
  <c r="T358" i="1" s="1"/>
  <c r="U358" i="1" s="1"/>
  <c r="V358" i="1" s="1"/>
  <c r="I358" i="1"/>
  <c r="J358" i="1" s="1"/>
  <c r="K358" i="1" s="1"/>
  <c r="L358" i="1" s="1"/>
  <c r="M358" i="1" s="1"/>
  <c r="N358" i="1" s="1"/>
  <c r="O358" i="1" s="1"/>
  <c r="P358" i="1" s="1"/>
  <c r="H358" i="1"/>
  <c r="F358" i="1"/>
  <c r="E358" i="1"/>
  <c r="D358" i="1"/>
  <c r="C358" i="1"/>
  <c r="B358" i="1"/>
  <c r="A358" i="1"/>
  <c r="H357" i="1"/>
  <c r="I357" i="1" s="1"/>
  <c r="J357" i="1" s="1"/>
  <c r="K357" i="1" s="1"/>
  <c r="L357" i="1" s="1"/>
  <c r="M357" i="1" s="1"/>
  <c r="N357" i="1" s="1"/>
  <c r="O357" i="1" s="1"/>
  <c r="P357" i="1" s="1"/>
  <c r="Q357" i="1" s="1"/>
  <c r="R357" i="1" s="1"/>
  <c r="S357" i="1" s="1"/>
  <c r="T357" i="1" s="1"/>
  <c r="U357" i="1" s="1"/>
  <c r="V357" i="1" s="1"/>
  <c r="F357" i="1"/>
  <c r="E357" i="1"/>
  <c r="D357" i="1"/>
  <c r="C357" i="1"/>
  <c r="B357" i="1"/>
  <c r="A357" i="1"/>
  <c r="W357" i="1" s="1"/>
  <c r="W356" i="1"/>
  <c r="O356" i="1"/>
  <c r="P356" i="1" s="1"/>
  <c r="Q356" i="1" s="1"/>
  <c r="R356" i="1" s="1"/>
  <c r="S356" i="1" s="1"/>
  <c r="T356" i="1" s="1"/>
  <c r="U356" i="1" s="1"/>
  <c r="V356" i="1" s="1"/>
  <c r="L356" i="1"/>
  <c r="M356" i="1" s="1"/>
  <c r="N356" i="1" s="1"/>
  <c r="F356" i="1"/>
  <c r="E356" i="1"/>
  <c r="D356" i="1"/>
  <c r="H356" i="1" s="1"/>
  <c r="I356" i="1" s="1"/>
  <c r="J356" i="1" s="1"/>
  <c r="K356" i="1" s="1"/>
  <c r="C356" i="1"/>
  <c r="B356" i="1"/>
  <c r="A356" i="1"/>
  <c r="O355" i="1"/>
  <c r="P355" i="1" s="1"/>
  <c r="Q355" i="1" s="1"/>
  <c r="R355" i="1" s="1"/>
  <c r="S355" i="1" s="1"/>
  <c r="T355" i="1" s="1"/>
  <c r="U355" i="1" s="1"/>
  <c r="V355" i="1" s="1"/>
  <c r="H355" i="1"/>
  <c r="I355" i="1" s="1"/>
  <c r="J355" i="1" s="1"/>
  <c r="K355" i="1" s="1"/>
  <c r="L355" i="1" s="1"/>
  <c r="M355" i="1" s="1"/>
  <c r="N355" i="1" s="1"/>
  <c r="F355" i="1"/>
  <c r="E355" i="1"/>
  <c r="D355" i="1"/>
  <c r="C355" i="1"/>
  <c r="B355" i="1"/>
  <c r="A355" i="1"/>
  <c r="W355" i="1" s="1"/>
  <c r="U354" i="1"/>
  <c r="V354" i="1" s="1"/>
  <c r="J354" i="1"/>
  <c r="K354" i="1" s="1"/>
  <c r="L354" i="1" s="1"/>
  <c r="M354" i="1" s="1"/>
  <c r="N354" i="1" s="1"/>
  <c r="O354" i="1" s="1"/>
  <c r="P354" i="1" s="1"/>
  <c r="Q354" i="1" s="1"/>
  <c r="R354" i="1" s="1"/>
  <c r="S354" i="1" s="1"/>
  <c r="T354" i="1" s="1"/>
  <c r="F354" i="1"/>
  <c r="E354" i="1"/>
  <c r="D354" i="1"/>
  <c r="H354" i="1" s="1"/>
  <c r="I354" i="1" s="1"/>
  <c r="C354" i="1"/>
  <c r="B354" i="1"/>
  <c r="A354" i="1"/>
  <c r="W354" i="1" s="1"/>
  <c r="O353" i="1"/>
  <c r="P353" i="1" s="1"/>
  <c r="Q353" i="1" s="1"/>
  <c r="R353" i="1" s="1"/>
  <c r="S353" i="1" s="1"/>
  <c r="T353" i="1" s="1"/>
  <c r="U353" i="1" s="1"/>
  <c r="V353" i="1" s="1"/>
  <c r="I353" i="1"/>
  <c r="J353" i="1" s="1"/>
  <c r="K353" i="1" s="1"/>
  <c r="L353" i="1" s="1"/>
  <c r="M353" i="1" s="1"/>
  <c r="N353" i="1" s="1"/>
  <c r="H353" i="1"/>
  <c r="F353" i="1"/>
  <c r="E353" i="1"/>
  <c r="D353" i="1"/>
  <c r="C353" i="1"/>
  <c r="B353" i="1"/>
  <c r="A353" i="1"/>
  <c r="W353" i="1" s="1"/>
  <c r="J352" i="1"/>
  <c r="K352" i="1" s="1"/>
  <c r="L352" i="1" s="1"/>
  <c r="M352" i="1" s="1"/>
  <c r="N352" i="1" s="1"/>
  <c r="O352" i="1" s="1"/>
  <c r="P352" i="1" s="1"/>
  <c r="Q352" i="1" s="1"/>
  <c r="R352" i="1" s="1"/>
  <c r="S352" i="1" s="1"/>
  <c r="T352" i="1" s="1"/>
  <c r="U352" i="1" s="1"/>
  <c r="V352" i="1" s="1"/>
  <c r="F352" i="1"/>
  <c r="E352" i="1"/>
  <c r="D352" i="1"/>
  <c r="H352" i="1" s="1"/>
  <c r="I352" i="1" s="1"/>
  <c r="C352" i="1"/>
  <c r="B352" i="1"/>
  <c r="A352" i="1"/>
  <c r="W352" i="1" s="1"/>
  <c r="H351" i="1"/>
  <c r="I351" i="1" s="1"/>
  <c r="J351" i="1" s="1"/>
  <c r="K351" i="1" s="1"/>
  <c r="L351" i="1" s="1"/>
  <c r="M351" i="1" s="1"/>
  <c r="N351" i="1" s="1"/>
  <c r="O351" i="1" s="1"/>
  <c r="P351" i="1" s="1"/>
  <c r="Q351" i="1" s="1"/>
  <c r="R351" i="1" s="1"/>
  <c r="S351" i="1" s="1"/>
  <c r="T351" i="1" s="1"/>
  <c r="U351" i="1" s="1"/>
  <c r="V351" i="1" s="1"/>
  <c r="F351" i="1"/>
  <c r="E351" i="1"/>
  <c r="D351" i="1"/>
  <c r="C351" i="1"/>
  <c r="B351" i="1"/>
  <c r="A351" i="1"/>
  <c r="W351" i="1" s="1"/>
  <c r="K350" i="1"/>
  <c r="L350" i="1" s="1"/>
  <c r="M350" i="1" s="1"/>
  <c r="N350" i="1" s="1"/>
  <c r="O350" i="1" s="1"/>
  <c r="P350" i="1" s="1"/>
  <c r="Q350" i="1" s="1"/>
  <c r="R350" i="1" s="1"/>
  <c r="S350" i="1" s="1"/>
  <c r="T350" i="1" s="1"/>
  <c r="U350" i="1" s="1"/>
  <c r="V350" i="1" s="1"/>
  <c r="J350" i="1"/>
  <c r="F350" i="1"/>
  <c r="E350" i="1"/>
  <c r="D350" i="1"/>
  <c r="H350" i="1" s="1"/>
  <c r="I350" i="1" s="1"/>
  <c r="C350" i="1"/>
  <c r="B350" i="1"/>
  <c r="A350" i="1"/>
  <c r="W350" i="1" s="1"/>
  <c r="H349" i="1"/>
  <c r="I349" i="1" s="1"/>
  <c r="J349" i="1" s="1"/>
  <c r="K349" i="1" s="1"/>
  <c r="L349" i="1" s="1"/>
  <c r="M349" i="1" s="1"/>
  <c r="N349" i="1" s="1"/>
  <c r="O349" i="1" s="1"/>
  <c r="P349" i="1" s="1"/>
  <c r="Q349" i="1" s="1"/>
  <c r="R349" i="1" s="1"/>
  <c r="S349" i="1" s="1"/>
  <c r="T349" i="1" s="1"/>
  <c r="U349" i="1" s="1"/>
  <c r="V349" i="1" s="1"/>
  <c r="F349" i="1"/>
  <c r="E349" i="1"/>
  <c r="D349" i="1"/>
  <c r="C349" i="1"/>
  <c r="B349" i="1"/>
  <c r="A349" i="1"/>
  <c r="W349" i="1" s="1"/>
  <c r="J348" i="1"/>
  <c r="K348" i="1" s="1"/>
  <c r="L348" i="1" s="1"/>
  <c r="M348" i="1" s="1"/>
  <c r="N348" i="1" s="1"/>
  <c r="O348" i="1" s="1"/>
  <c r="P348" i="1" s="1"/>
  <c r="Q348" i="1" s="1"/>
  <c r="R348" i="1" s="1"/>
  <c r="S348" i="1" s="1"/>
  <c r="T348" i="1" s="1"/>
  <c r="U348" i="1" s="1"/>
  <c r="V348" i="1" s="1"/>
  <c r="F348" i="1"/>
  <c r="E348" i="1"/>
  <c r="D348" i="1"/>
  <c r="H348" i="1" s="1"/>
  <c r="I348" i="1" s="1"/>
  <c r="C348" i="1"/>
  <c r="B348" i="1"/>
  <c r="A348" i="1"/>
  <c r="W348" i="1" s="1"/>
  <c r="H347" i="1"/>
  <c r="I347" i="1" s="1"/>
  <c r="J347" i="1" s="1"/>
  <c r="K347" i="1" s="1"/>
  <c r="L347" i="1" s="1"/>
  <c r="M347" i="1" s="1"/>
  <c r="N347" i="1" s="1"/>
  <c r="O347" i="1" s="1"/>
  <c r="P347" i="1" s="1"/>
  <c r="Q347" i="1" s="1"/>
  <c r="R347" i="1" s="1"/>
  <c r="S347" i="1" s="1"/>
  <c r="T347" i="1" s="1"/>
  <c r="U347" i="1" s="1"/>
  <c r="V347" i="1" s="1"/>
  <c r="F347" i="1"/>
  <c r="E347" i="1"/>
  <c r="D347" i="1"/>
  <c r="C347" i="1"/>
  <c r="B347" i="1"/>
  <c r="A347" i="1"/>
  <c r="W347" i="1" s="1"/>
  <c r="F346" i="1"/>
  <c r="E346" i="1"/>
  <c r="D346" i="1"/>
  <c r="H346" i="1" s="1"/>
  <c r="I346" i="1" s="1"/>
  <c r="J346" i="1" s="1"/>
  <c r="K346" i="1" s="1"/>
  <c r="L346" i="1" s="1"/>
  <c r="M346" i="1" s="1"/>
  <c r="N346" i="1" s="1"/>
  <c r="O346" i="1" s="1"/>
  <c r="P346" i="1" s="1"/>
  <c r="Q346" i="1" s="1"/>
  <c r="R346" i="1" s="1"/>
  <c r="S346" i="1" s="1"/>
  <c r="T346" i="1" s="1"/>
  <c r="U346" i="1" s="1"/>
  <c r="V346" i="1" s="1"/>
  <c r="C346" i="1"/>
  <c r="B346" i="1"/>
  <c r="A346" i="1"/>
  <c r="W346" i="1" s="1"/>
  <c r="I345" i="1"/>
  <c r="J345" i="1" s="1"/>
  <c r="K345" i="1" s="1"/>
  <c r="L345" i="1" s="1"/>
  <c r="M345" i="1" s="1"/>
  <c r="N345" i="1" s="1"/>
  <c r="O345" i="1" s="1"/>
  <c r="P345" i="1" s="1"/>
  <c r="Q345" i="1" s="1"/>
  <c r="R345" i="1" s="1"/>
  <c r="S345" i="1" s="1"/>
  <c r="T345" i="1" s="1"/>
  <c r="U345" i="1" s="1"/>
  <c r="V345" i="1" s="1"/>
  <c r="H345" i="1"/>
  <c r="F345" i="1"/>
  <c r="E345" i="1"/>
  <c r="D345" i="1"/>
  <c r="C345" i="1"/>
  <c r="B345" i="1"/>
  <c r="A345" i="1"/>
  <c r="W345" i="1" s="1"/>
  <c r="J344" i="1"/>
  <c r="K344" i="1" s="1"/>
  <c r="L344" i="1" s="1"/>
  <c r="M344" i="1" s="1"/>
  <c r="N344" i="1" s="1"/>
  <c r="O344" i="1" s="1"/>
  <c r="P344" i="1" s="1"/>
  <c r="Q344" i="1" s="1"/>
  <c r="R344" i="1" s="1"/>
  <c r="S344" i="1" s="1"/>
  <c r="T344" i="1" s="1"/>
  <c r="U344" i="1" s="1"/>
  <c r="V344" i="1" s="1"/>
  <c r="F344" i="1"/>
  <c r="E344" i="1"/>
  <c r="D344" i="1"/>
  <c r="H344" i="1" s="1"/>
  <c r="I344" i="1" s="1"/>
  <c r="C344" i="1"/>
  <c r="B344" i="1"/>
  <c r="A344" i="1"/>
  <c r="W344" i="1" s="1"/>
  <c r="H343" i="1"/>
  <c r="I343" i="1" s="1"/>
  <c r="J343" i="1" s="1"/>
  <c r="K343" i="1" s="1"/>
  <c r="L343" i="1" s="1"/>
  <c r="M343" i="1" s="1"/>
  <c r="N343" i="1" s="1"/>
  <c r="O343" i="1" s="1"/>
  <c r="P343" i="1" s="1"/>
  <c r="Q343" i="1" s="1"/>
  <c r="R343" i="1" s="1"/>
  <c r="S343" i="1" s="1"/>
  <c r="T343" i="1" s="1"/>
  <c r="U343" i="1" s="1"/>
  <c r="V343" i="1" s="1"/>
  <c r="F343" i="1"/>
  <c r="E343" i="1"/>
  <c r="D343" i="1"/>
  <c r="C343" i="1"/>
  <c r="B343" i="1"/>
  <c r="A343" i="1"/>
  <c r="W343" i="1" s="1"/>
  <c r="K342" i="1"/>
  <c r="L342" i="1" s="1"/>
  <c r="M342" i="1" s="1"/>
  <c r="N342" i="1" s="1"/>
  <c r="O342" i="1" s="1"/>
  <c r="P342" i="1" s="1"/>
  <c r="Q342" i="1" s="1"/>
  <c r="R342" i="1" s="1"/>
  <c r="S342" i="1" s="1"/>
  <c r="T342" i="1" s="1"/>
  <c r="U342" i="1" s="1"/>
  <c r="V342" i="1" s="1"/>
  <c r="J342" i="1"/>
  <c r="F342" i="1"/>
  <c r="E342" i="1"/>
  <c r="D342" i="1"/>
  <c r="H342" i="1" s="1"/>
  <c r="I342" i="1" s="1"/>
  <c r="C342" i="1"/>
  <c r="B342" i="1"/>
  <c r="A342" i="1"/>
  <c r="W342" i="1" s="1"/>
  <c r="R341" i="1"/>
  <c r="S341" i="1" s="1"/>
  <c r="T341" i="1" s="1"/>
  <c r="U341" i="1" s="1"/>
  <c r="V341" i="1" s="1"/>
  <c r="H341" i="1"/>
  <c r="I341" i="1" s="1"/>
  <c r="J341" i="1" s="1"/>
  <c r="K341" i="1" s="1"/>
  <c r="L341" i="1" s="1"/>
  <c r="M341" i="1" s="1"/>
  <c r="N341" i="1" s="1"/>
  <c r="O341" i="1" s="1"/>
  <c r="P341" i="1" s="1"/>
  <c r="Q341" i="1" s="1"/>
  <c r="F341" i="1"/>
  <c r="E341" i="1"/>
  <c r="D341" i="1"/>
  <c r="C341" i="1"/>
  <c r="B341" i="1"/>
  <c r="A341" i="1"/>
  <c r="W341" i="1" s="1"/>
  <c r="V340" i="1"/>
  <c r="N340" i="1"/>
  <c r="O340" i="1" s="1"/>
  <c r="P340" i="1" s="1"/>
  <c r="Q340" i="1" s="1"/>
  <c r="R340" i="1" s="1"/>
  <c r="S340" i="1" s="1"/>
  <c r="T340" i="1" s="1"/>
  <c r="U340" i="1" s="1"/>
  <c r="J340" i="1"/>
  <c r="K340" i="1" s="1"/>
  <c r="L340" i="1" s="1"/>
  <c r="M340" i="1" s="1"/>
  <c r="F340" i="1"/>
  <c r="E340" i="1"/>
  <c r="D340" i="1"/>
  <c r="H340" i="1" s="1"/>
  <c r="I340" i="1" s="1"/>
  <c r="C340" i="1"/>
  <c r="B340" i="1"/>
  <c r="A340" i="1"/>
  <c r="W340" i="1" s="1"/>
  <c r="O339" i="1"/>
  <c r="P339" i="1" s="1"/>
  <c r="Q339" i="1" s="1"/>
  <c r="R339" i="1" s="1"/>
  <c r="S339" i="1" s="1"/>
  <c r="T339" i="1" s="1"/>
  <c r="U339" i="1" s="1"/>
  <c r="V339" i="1" s="1"/>
  <c r="H339" i="1"/>
  <c r="I339" i="1" s="1"/>
  <c r="J339" i="1" s="1"/>
  <c r="K339" i="1" s="1"/>
  <c r="L339" i="1" s="1"/>
  <c r="M339" i="1" s="1"/>
  <c r="N339" i="1" s="1"/>
  <c r="F339" i="1"/>
  <c r="E339" i="1"/>
  <c r="D339" i="1"/>
  <c r="C339" i="1"/>
  <c r="B339" i="1"/>
  <c r="A339" i="1"/>
  <c r="W339" i="1" s="1"/>
  <c r="F338" i="1"/>
  <c r="E338" i="1"/>
  <c r="D338" i="1"/>
  <c r="H338" i="1" s="1"/>
  <c r="I338" i="1" s="1"/>
  <c r="J338" i="1" s="1"/>
  <c r="K338" i="1" s="1"/>
  <c r="L338" i="1" s="1"/>
  <c r="M338" i="1" s="1"/>
  <c r="N338" i="1" s="1"/>
  <c r="O338" i="1" s="1"/>
  <c r="P338" i="1" s="1"/>
  <c r="Q338" i="1" s="1"/>
  <c r="R338" i="1" s="1"/>
  <c r="S338" i="1" s="1"/>
  <c r="T338" i="1" s="1"/>
  <c r="U338" i="1" s="1"/>
  <c r="V338" i="1" s="1"/>
  <c r="C338" i="1"/>
  <c r="B338" i="1"/>
  <c r="A338" i="1"/>
  <c r="W338" i="1" s="1"/>
  <c r="O337" i="1"/>
  <c r="P337" i="1" s="1"/>
  <c r="Q337" i="1" s="1"/>
  <c r="R337" i="1" s="1"/>
  <c r="S337" i="1" s="1"/>
  <c r="T337" i="1" s="1"/>
  <c r="U337" i="1" s="1"/>
  <c r="V337" i="1" s="1"/>
  <c r="I337" i="1"/>
  <c r="J337" i="1" s="1"/>
  <c r="K337" i="1" s="1"/>
  <c r="L337" i="1" s="1"/>
  <c r="M337" i="1" s="1"/>
  <c r="N337" i="1" s="1"/>
  <c r="H337" i="1"/>
  <c r="F337" i="1"/>
  <c r="E337" i="1"/>
  <c r="D337" i="1"/>
  <c r="C337" i="1"/>
  <c r="B337" i="1"/>
  <c r="A337" i="1"/>
  <c r="W337" i="1" s="1"/>
  <c r="J336" i="1"/>
  <c r="K336" i="1" s="1"/>
  <c r="L336" i="1" s="1"/>
  <c r="M336" i="1" s="1"/>
  <c r="N336" i="1" s="1"/>
  <c r="O336" i="1" s="1"/>
  <c r="P336" i="1" s="1"/>
  <c r="Q336" i="1" s="1"/>
  <c r="R336" i="1" s="1"/>
  <c r="S336" i="1" s="1"/>
  <c r="T336" i="1" s="1"/>
  <c r="U336" i="1" s="1"/>
  <c r="V336" i="1" s="1"/>
  <c r="F336" i="1"/>
  <c r="E336" i="1"/>
  <c r="D336" i="1"/>
  <c r="H336" i="1" s="1"/>
  <c r="I336" i="1" s="1"/>
  <c r="C336" i="1"/>
  <c r="B336" i="1"/>
  <c r="A336" i="1"/>
  <c r="W336" i="1" s="1"/>
  <c r="H335" i="1"/>
  <c r="I335" i="1" s="1"/>
  <c r="J335" i="1" s="1"/>
  <c r="K335" i="1" s="1"/>
  <c r="L335" i="1" s="1"/>
  <c r="M335" i="1" s="1"/>
  <c r="N335" i="1" s="1"/>
  <c r="O335" i="1" s="1"/>
  <c r="P335" i="1" s="1"/>
  <c r="Q335" i="1" s="1"/>
  <c r="R335" i="1" s="1"/>
  <c r="S335" i="1" s="1"/>
  <c r="T335" i="1" s="1"/>
  <c r="U335" i="1" s="1"/>
  <c r="V335" i="1" s="1"/>
  <c r="F335" i="1"/>
  <c r="E335" i="1"/>
  <c r="D335" i="1"/>
  <c r="C335" i="1"/>
  <c r="B335" i="1"/>
  <c r="A335" i="1"/>
  <c r="W335" i="1" s="1"/>
  <c r="L334" i="1"/>
  <c r="M334" i="1" s="1"/>
  <c r="N334" i="1" s="1"/>
  <c r="O334" i="1" s="1"/>
  <c r="P334" i="1" s="1"/>
  <c r="Q334" i="1" s="1"/>
  <c r="R334" i="1" s="1"/>
  <c r="S334" i="1" s="1"/>
  <c r="T334" i="1" s="1"/>
  <c r="U334" i="1" s="1"/>
  <c r="V334" i="1" s="1"/>
  <c r="K334" i="1"/>
  <c r="J334" i="1"/>
  <c r="F334" i="1"/>
  <c r="E334" i="1"/>
  <c r="D334" i="1"/>
  <c r="H334" i="1" s="1"/>
  <c r="I334" i="1" s="1"/>
  <c r="C334" i="1"/>
  <c r="B334" i="1"/>
  <c r="A334" i="1"/>
  <c r="W334" i="1" s="1"/>
  <c r="H333" i="1"/>
  <c r="I333" i="1" s="1"/>
  <c r="J333" i="1" s="1"/>
  <c r="K333" i="1" s="1"/>
  <c r="L333" i="1" s="1"/>
  <c r="M333" i="1" s="1"/>
  <c r="N333" i="1" s="1"/>
  <c r="O333" i="1" s="1"/>
  <c r="P333" i="1" s="1"/>
  <c r="Q333" i="1" s="1"/>
  <c r="R333" i="1" s="1"/>
  <c r="S333" i="1" s="1"/>
  <c r="T333" i="1" s="1"/>
  <c r="U333" i="1" s="1"/>
  <c r="V333" i="1" s="1"/>
  <c r="F333" i="1"/>
  <c r="E333" i="1"/>
  <c r="D333" i="1"/>
  <c r="C333" i="1"/>
  <c r="B333" i="1"/>
  <c r="A333" i="1"/>
  <c r="W333" i="1" s="1"/>
  <c r="J332" i="1"/>
  <c r="K332" i="1" s="1"/>
  <c r="L332" i="1" s="1"/>
  <c r="M332" i="1" s="1"/>
  <c r="N332" i="1" s="1"/>
  <c r="O332" i="1" s="1"/>
  <c r="P332" i="1" s="1"/>
  <c r="Q332" i="1" s="1"/>
  <c r="R332" i="1" s="1"/>
  <c r="S332" i="1" s="1"/>
  <c r="T332" i="1" s="1"/>
  <c r="U332" i="1" s="1"/>
  <c r="V332" i="1" s="1"/>
  <c r="F332" i="1"/>
  <c r="E332" i="1"/>
  <c r="D332" i="1"/>
  <c r="H332" i="1" s="1"/>
  <c r="I332" i="1" s="1"/>
  <c r="C332" i="1"/>
  <c r="B332" i="1"/>
  <c r="A332" i="1"/>
  <c r="W332" i="1" s="1"/>
  <c r="H331" i="1"/>
  <c r="I331" i="1" s="1"/>
  <c r="J331" i="1" s="1"/>
  <c r="K331" i="1" s="1"/>
  <c r="L331" i="1" s="1"/>
  <c r="M331" i="1" s="1"/>
  <c r="N331" i="1" s="1"/>
  <c r="O331" i="1" s="1"/>
  <c r="P331" i="1" s="1"/>
  <c r="Q331" i="1" s="1"/>
  <c r="R331" i="1" s="1"/>
  <c r="S331" i="1" s="1"/>
  <c r="T331" i="1" s="1"/>
  <c r="U331" i="1" s="1"/>
  <c r="V331" i="1" s="1"/>
  <c r="F331" i="1"/>
  <c r="E331" i="1"/>
  <c r="D331" i="1"/>
  <c r="C331" i="1"/>
  <c r="B331" i="1"/>
  <c r="A331" i="1"/>
  <c r="W331" i="1" s="1"/>
  <c r="F330" i="1"/>
  <c r="E330" i="1"/>
  <c r="D330" i="1"/>
  <c r="H330" i="1" s="1"/>
  <c r="I330" i="1" s="1"/>
  <c r="J330" i="1" s="1"/>
  <c r="K330" i="1" s="1"/>
  <c r="L330" i="1" s="1"/>
  <c r="M330" i="1" s="1"/>
  <c r="N330" i="1" s="1"/>
  <c r="O330" i="1" s="1"/>
  <c r="P330" i="1" s="1"/>
  <c r="Q330" i="1" s="1"/>
  <c r="R330" i="1" s="1"/>
  <c r="S330" i="1" s="1"/>
  <c r="T330" i="1" s="1"/>
  <c r="U330" i="1" s="1"/>
  <c r="V330" i="1" s="1"/>
  <c r="C330" i="1"/>
  <c r="B330" i="1"/>
  <c r="A330" i="1"/>
  <c r="W330" i="1" s="1"/>
  <c r="J329" i="1"/>
  <c r="K329" i="1" s="1"/>
  <c r="L329" i="1" s="1"/>
  <c r="M329" i="1" s="1"/>
  <c r="N329" i="1" s="1"/>
  <c r="O329" i="1" s="1"/>
  <c r="P329" i="1" s="1"/>
  <c r="Q329" i="1" s="1"/>
  <c r="R329" i="1" s="1"/>
  <c r="S329" i="1" s="1"/>
  <c r="T329" i="1" s="1"/>
  <c r="U329" i="1" s="1"/>
  <c r="V329" i="1" s="1"/>
  <c r="I329" i="1"/>
  <c r="H329" i="1"/>
  <c r="F329" i="1"/>
  <c r="E329" i="1"/>
  <c r="D329" i="1"/>
  <c r="C329" i="1"/>
  <c r="B329" i="1"/>
  <c r="A329" i="1"/>
  <c r="W329" i="1" s="1"/>
  <c r="W328" i="1"/>
  <c r="H328" i="1"/>
  <c r="I328" i="1" s="1"/>
  <c r="J328" i="1" s="1"/>
  <c r="K328" i="1" s="1"/>
  <c r="L328" i="1" s="1"/>
  <c r="M328" i="1" s="1"/>
  <c r="N328" i="1" s="1"/>
  <c r="O328" i="1" s="1"/>
  <c r="P328" i="1" s="1"/>
  <c r="Q328" i="1" s="1"/>
  <c r="R328" i="1" s="1"/>
  <c r="S328" i="1" s="1"/>
  <c r="T328" i="1" s="1"/>
  <c r="U328" i="1" s="1"/>
  <c r="V328" i="1" s="1"/>
  <c r="F328" i="1"/>
  <c r="E328" i="1"/>
  <c r="D328" i="1"/>
  <c r="C328" i="1"/>
  <c r="B328" i="1"/>
  <c r="A328" i="1"/>
  <c r="F327" i="1"/>
  <c r="E327" i="1"/>
  <c r="D327" i="1"/>
  <c r="H327" i="1" s="1"/>
  <c r="I327" i="1" s="1"/>
  <c r="J327" i="1" s="1"/>
  <c r="K327" i="1" s="1"/>
  <c r="L327" i="1" s="1"/>
  <c r="M327" i="1" s="1"/>
  <c r="N327" i="1" s="1"/>
  <c r="O327" i="1" s="1"/>
  <c r="P327" i="1" s="1"/>
  <c r="Q327" i="1" s="1"/>
  <c r="R327" i="1" s="1"/>
  <c r="S327" i="1" s="1"/>
  <c r="T327" i="1" s="1"/>
  <c r="U327" i="1" s="1"/>
  <c r="V327" i="1" s="1"/>
  <c r="C327" i="1"/>
  <c r="B327" i="1"/>
  <c r="W327" i="1" s="1"/>
  <c r="A327" i="1"/>
  <c r="F326" i="1"/>
  <c r="E326" i="1"/>
  <c r="D326" i="1"/>
  <c r="H326" i="1" s="1"/>
  <c r="I326" i="1" s="1"/>
  <c r="J326" i="1" s="1"/>
  <c r="K326" i="1" s="1"/>
  <c r="L326" i="1" s="1"/>
  <c r="M326" i="1" s="1"/>
  <c r="N326" i="1" s="1"/>
  <c r="O326" i="1" s="1"/>
  <c r="P326" i="1" s="1"/>
  <c r="Q326" i="1" s="1"/>
  <c r="R326" i="1" s="1"/>
  <c r="S326" i="1" s="1"/>
  <c r="T326" i="1" s="1"/>
  <c r="U326" i="1" s="1"/>
  <c r="V326" i="1" s="1"/>
  <c r="C326" i="1"/>
  <c r="B326" i="1"/>
  <c r="A326" i="1"/>
  <c r="O325" i="1"/>
  <c r="P325" i="1" s="1"/>
  <c r="Q325" i="1" s="1"/>
  <c r="R325" i="1" s="1"/>
  <c r="S325" i="1" s="1"/>
  <c r="T325" i="1" s="1"/>
  <c r="U325" i="1" s="1"/>
  <c r="V325" i="1" s="1"/>
  <c r="J325" i="1"/>
  <c r="K325" i="1" s="1"/>
  <c r="L325" i="1" s="1"/>
  <c r="M325" i="1" s="1"/>
  <c r="N325" i="1" s="1"/>
  <c r="I325" i="1"/>
  <c r="H325" i="1"/>
  <c r="F325" i="1"/>
  <c r="E325" i="1"/>
  <c r="D325" i="1"/>
  <c r="C325" i="1"/>
  <c r="B325" i="1"/>
  <c r="A325" i="1"/>
  <c r="W325" i="1" s="1"/>
  <c r="W324" i="1"/>
  <c r="M324" i="1"/>
  <c r="N324" i="1" s="1"/>
  <c r="O324" i="1" s="1"/>
  <c r="P324" i="1" s="1"/>
  <c r="Q324" i="1" s="1"/>
  <c r="R324" i="1" s="1"/>
  <c r="S324" i="1" s="1"/>
  <c r="T324" i="1" s="1"/>
  <c r="U324" i="1" s="1"/>
  <c r="V324" i="1" s="1"/>
  <c r="H324" i="1"/>
  <c r="I324" i="1" s="1"/>
  <c r="J324" i="1" s="1"/>
  <c r="K324" i="1" s="1"/>
  <c r="L324" i="1" s="1"/>
  <c r="F324" i="1"/>
  <c r="E324" i="1"/>
  <c r="D324" i="1"/>
  <c r="C324" i="1"/>
  <c r="B324" i="1"/>
  <c r="A324" i="1"/>
  <c r="V323" i="1"/>
  <c r="L323" i="1"/>
  <c r="M323" i="1" s="1"/>
  <c r="N323" i="1" s="1"/>
  <c r="O323" i="1" s="1"/>
  <c r="P323" i="1" s="1"/>
  <c r="Q323" i="1" s="1"/>
  <c r="R323" i="1" s="1"/>
  <c r="S323" i="1" s="1"/>
  <c r="T323" i="1" s="1"/>
  <c r="U323" i="1" s="1"/>
  <c r="F323" i="1"/>
  <c r="E323" i="1"/>
  <c r="D323" i="1"/>
  <c r="H323" i="1" s="1"/>
  <c r="I323" i="1" s="1"/>
  <c r="J323" i="1" s="1"/>
  <c r="K323" i="1" s="1"/>
  <c r="C323" i="1"/>
  <c r="B323" i="1"/>
  <c r="W323" i="1" s="1"/>
  <c r="A323" i="1"/>
  <c r="F322" i="1"/>
  <c r="E322" i="1"/>
  <c r="D322" i="1"/>
  <c r="H322" i="1" s="1"/>
  <c r="I322" i="1" s="1"/>
  <c r="J322" i="1" s="1"/>
  <c r="K322" i="1" s="1"/>
  <c r="L322" i="1" s="1"/>
  <c r="M322" i="1" s="1"/>
  <c r="N322" i="1" s="1"/>
  <c r="O322" i="1" s="1"/>
  <c r="P322" i="1" s="1"/>
  <c r="Q322" i="1" s="1"/>
  <c r="R322" i="1" s="1"/>
  <c r="S322" i="1" s="1"/>
  <c r="T322" i="1" s="1"/>
  <c r="U322" i="1" s="1"/>
  <c r="V322" i="1" s="1"/>
  <c r="C322" i="1"/>
  <c r="B322" i="1"/>
  <c r="A322" i="1"/>
  <c r="J321" i="1"/>
  <c r="K321" i="1" s="1"/>
  <c r="L321" i="1" s="1"/>
  <c r="M321" i="1" s="1"/>
  <c r="N321" i="1" s="1"/>
  <c r="O321" i="1" s="1"/>
  <c r="P321" i="1" s="1"/>
  <c r="Q321" i="1" s="1"/>
  <c r="R321" i="1" s="1"/>
  <c r="S321" i="1" s="1"/>
  <c r="T321" i="1" s="1"/>
  <c r="U321" i="1" s="1"/>
  <c r="V321" i="1" s="1"/>
  <c r="I321" i="1"/>
  <c r="H321" i="1"/>
  <c r="F321" i="1"/>
  <c r="E321" i="1"/>
  <c r="D321" i="1"/>
  <c r="C321" i="1"/>
  <c r="B321" i="1"/>
  <c r="A321" i="1"/>
  <c r="W321" i="1" s="1"/>
  <c r="W320" i="1"/>
  <c r="H320" i="1"/>
  <c r="I320" i="1" s="1"/>
  <c r="J320" i="1" s="1"/>
  <c r="K320" i="1" s="1"/>
  <c r="L320" i="1" s="1"/>
  <c r="M320" i="1" s="1"/>
  <c r="N320" i="1" s="1"/>
  <c r="O320" i="1" s="1"/>
  <c r="P320" i="1" s="1"/>
  <c r="Q320" i="1" s="1"/>
  <c r="R320" i="1" s="1"/>
  <c r="S320" i="1" s="1"/>
  <c r="T320" i="1" s="1"/>
  <c r="U320" i="1" s="1"/>
  <c r="V320" i="1" s="1"/>
  <c r="F320" i="1"/>
  <c r="E320" i="1"/>
  <c r="D320" i="1"/>
  <c r="C320" i="1"/>
  <c r="B320" i="1"/>
  <c r="A320" i="1"/>
  <c r="U319" i="1"/>
  <c r="V319" i="1" s="1"/>
  <c r="L319" i="1"/>
  <c r="M319" i="1" s="1"/>
  <c r="N319" i="1" s="1"/>
  <c r="O319" i="1" s="1"/>
  <c r="P319" i="1" s="1"/>
  <c r="Q319" i="1" s="1"/>
  <c r="R319" i="1" s="1"/>
  <c r="S319" i="1" s="1"/>
  <c r="T319" i="1" s="1"/>
  <c r="F319" i="1"/>
  <c r="E319" i="1"/>
  <c r="D319" i="1"/>
  <c r="H319" i="1" s="1"/>
  <c r="I319" i="1" s="1"/>
  <c r="J319" i="1" s="1"/>
  <c r="K319" i="1" s="1"/>
  <c r="C319" i="1"/>
  <c r="B319" i="1"/>
  <c r="W319" i="1" s="1"/>
  <c r="A319" i="1"/>
  <c r="Q318" i="1"/>
  <c r="R318" i="1" s="1"/>
  <c r="S318" i="1" s="1"/>
  <c r="T318" i="1" s="1"/>
  <c r="U318" i="1" s="1"/>
  <c r="V318" i="1" s="1"/>
  <c r="F318" i="1"/>
  <c r="E318" i="1"/>
  <c r="D318" i="1"/>
  <c r="H318" i="1" s="1"/>
  <c r="I318" i="1" s="1"/>
  <c r="J318" i="1" s="1"/>
  <c r="K318" i="1" s="1"/>
  <c r="L318" i="1" s="1"/>
  <c r="M318" i="1" s="1"/>
  <c r="N318" i="1" s="1"/>
  <c r="O318" i="1" s="1"/>
  <c r="P318" i="1" s="1"/>
  <c r="C318" i="1"/>
  <c r="B318" i="1"/>
  <c r="A318" i="1"/>
  <c r="W317" i="1"/>
  <c r="O317" i="1"/>
  <c r="P317" i="1" s="1"/>
  <c r="Q317" i="1" s="1"/>
  <c r="R317" i="1" s="1"/>
  <c r="S317" i="1" s="1"/>
  <c r="T317" i="1" s="1"/>
  <c r="U317" i="1" s="1"/>
  <c r="V317" i="1" s="1"/>
  <c r="I317" i="1"/>
  <c r="J317" i="1" s="1"/>
  <c r="K317" i="1" s="1"/>
  <c r="L317" i="1" s="1"/>
  <c r="M317" i="1" s="1"/>
  <c r="N317" i="1" s="1"/>
  <c r="H317" i="1"/>
  <c r="F317" i="1"/>
  <c r="E317" i="1"/>
  <c r="D317" i="1"/>
  <c r="C317" i="1"/>
  <c r="B317" i="1"/>
  <c r="A317" i="1"/>
  <c r="W316" i="1"/>
  <c r="O316" i="1"/>
  <c r="P316" i="1" s="1"/>
  <c r="Q316" i="1" s="1"/>
  <c r="R316" i="1" s="1"/>
  <c r="S316" i="1" s="1"/>
  <c r="T316" i="1" s="1"/>
  <c r="U316" i="1" s="1"/>
  <c r="V316" i="1" s="1"/>
  <c r="F316" i="1"/>
  <c r="E316" i="1"/>
  <c r="D316" i="1"/>
  <c r="H316" i="1" s="1"/>
  <c r="I316" i="1" s="1"/>
  <c r="J316" i="1" s="1"/>
  <c r="K316" i="1" s="1"/>
  <c r="L316" i="1" s="1"/>
  <c r="M316" i="1" s="1"/>
  <c r="N316" i="1" s="1"/>
  <c r="C316" i="1"/>
  <c r="B316" i="1"/>
  <c r="A316" i="1"/>
  <c r="P315" i="1"/>
  <c r="Q315" i="1" s="1"/>
  <c r="R315" i="1" s="1"/>
  <c r="S315" i="1" s="1"/>
  <c r="T315" i="1" s="1"/>
  <c r="U315" i="1" s="1"/>
  <c r="V315" i="1" s="1"/>
  <c r="N315" i="1"/>
  <c r="O315" i="1" s="1"/>
  <c r="F315" i="1"/>
  <c r="E315" i="1"/>
  <c r="D315" i="1"/>
  <c r="H315" i="1" s="1"/>
  <c r="I315" i="1" s="1"/>
  <c r="J315" i="1" s="1"/>
  <c r="K315" i="1" s="1"/>
  <c r="L315" i="1" s="1"/>
  <c r="M315" i="1" s="1"/>
  <c r="C315" i="1"/>
  <c r="B315" i="1"/>
  <c r="W315" i="1" s="1"/>
  <c r="A315" i="1"/>
  <c r="N314" i="1"/>
  <c r="O314" i="1" s="1"/>
  <c r="P314" i="1" s="1"/>
  <c r="Q314" i="1" s="1"/>
  <c r="R314" i="1" s="1"/>
  <c r="S314" i="1" s="1"/>
  <c r="T314" i="1" s="1"/>
  <c r="U314" i="1" s="1"/>
  <c r="V314" i="1" s="1"/>
  <c r="F314" i="1"/>
  <c r="E314" i="1"/>
  <c r="D314" i="1"/>
  <c r="H314" i="1" s="1"/>
  <c r="I314" i="1" s="1"/>
  <c r="J314" i="1" s="1"/>
  <c r="K314" i="1" s="1"/>
  <c r="L314" i="1" s="1"/>
  <c r="M314" i="1" s="1"/>
  <c r="C314" i="1"/>
  <c r="B314" i="1"/>
  <c r="A314" i="1"/>
  <c r="W313" i="1"/>
  <c r="I313" i="1"/>
  <c r="J313" i="1" s="1"/>
  <c r="K313" i="1" s="1"/>
  <c r="L313" i="1" s="1"/>
  <c r="M313" i="1" s="1"/>
  <c r="N313" i="1" s="1"/>
  <c r="O313" i="1" s="1"/>
  <c r="P313" i="1" s="1"/>
  <c r="Q313" i="1" s="1"/>
  <c r="R313" i="1" s="1"/>
  <c r="S313" i="1" s="1"/>
  <c r="T313" i="1" s="1"/>
  <c r="U313" i="1" s="1"/>
  <c r="V313" i="1" s="1"/>
  <c r="H313" i="1"/>
  <c r="F313" i="1"/>
  <c r="E313" i="1"/>
  <c r="D313" i="1"/>
  <c r="C313" i="1"/>
  <c r="B313" i="1"/>
  <c r="A313" i="1"/>
  <c r="W312" i="1"/>
  <c r="O312" i="1"/>
  <c r="P312" i="1" s="1"/>
  <c r="Q312" i="1" s="1"/>
  <c r="R312" i="1" s="1"/>
  <c r="S312" i="1" s="1"/>
  <c r="T312" i="1" s="1"/>
  <c r="U312" i="1" s="1"/>
  <c r="V312" i="1" s="1"/>
  <c r="F312" i="1"/>
  <c r="E312" i="1"/>
  <c r="D312" i="1"/>
  <c r="H312" i="1" s="1"/>
  <c r="I312" i="1" s="1"/>
  <c r="J312" i="1" s="1"/>
  <c r="K312" i="1" s="1"/>
  <c r="L312" i="1" s="1"/>
  <c r="M312" i="1" s="1"/>
  <c r="N312" i="1" s="1"/>
  <c r="C312" i="1"/>
  <c r="B312" i="1"/>
  <c r="A312" i="1"/>
  <c r="P311" i="1"/>
  <c r="Q311" i="1" s="1"/>
  <c r="R311" i="1" s="1"/>
  <c r="S311" i="1" s="1"/>
  <c r="T311" i="1" s="1"/>
  <c r="U311" i="1" s="1"/>
  <c r="V311" i="1" s="1"/>
  <c r="F311" i="1"/>
  <c r="E311" i="1"/>
  <c r="D311" i="1"/>
  <c r="H311" i="1" s="1"/>
  <c r="I311" i="1" s="1"/>
  <c r="J311" i="1" s="1"/>
  <c r="K311" i="1" s="1"/>
  <c r="L311" i="1" s="1"/>
  <c r="M311" i="1" s="1"/>
  <c r="N311" i="1" s="1"/>
  <c r="O311" i="1" s="1"/>
  <c r="C311" i="1"/>
  <c r="B311" i="1"/>
  <c r="W311" i="1" s="1"/>
  <c r="A311" i="1"/>
  <c r="N310" i="1"/>
  <c r="O310" i="1" s="1"/>
  <c r="P310" i="1" s="1"/>
  <c r="Q310" i="1" s="1"/>
  <c r="R310" i="1" s="1"/>
  <c r="S310" i="1" s="1"/>
  <c r="T310" i="1" s="1"/>
  <c r="U310" i="1" s="1"/>
  <c r="V310" i="1" s="1"/>
  <c r="F310" i="1"/>
  <c r="E310" i="1"/>
  <c r="D310" i="1"/>
  <c r="H310" i="1" s="1"/>
  <c r="I310" i="1" s="1"/>
  <c r="J310" i="1" s="1"/>
  <c r="K310" i="1" s="1"/>
  <c r="L310" i="1" s="1"/>
  <c r="M310" i="1" s="1"/>
  <c r="C310" i="1"/>
  <c r="B310" i="1"/>
  <c r="A310" i="1"/>
  <c r="W309" i="1"/>
  <c r="I309" i="1"/>
  <c r="J309" i="1" s="1"/>
  <c r="K309" i="1" s="1"/>
  <c r="L309" i="1" s="1"/>
  <c r="M309" i="1" s="1"/>
  <c r="N309" i="1" s="1"/>
  <c r="O309" i="1" s="1"/>
  <c r="P309" i="1" s="1"/>
  <c r="Q309" i="1" s="1"/>
  <c r="R309" i="1" s="1"/>
  <c r="S309" i="1" s="1"/>
  <c r="T309" i="1" s="1"/>
  <c r="U309" i="1" s="1"/>
  <c r="V309" i="1" s="1"/>
  <c r="H309" i="1"/>
  <c r="F309" i="1"/>
  <c r="E309" i="1"/>
  <c r="D309" i="1"/>
  <c r="C309" i="1"/>
  <c r="B309" i="1"/>
  <c r="A309" i="1"/>
  <c r="W308" i="1"/>
  <c r="O308" i="1"/>
  <c r="P308" i="1" s="1"/>
  <c r="Q308" i="1" s="1"/>
  <c r="R308" i="1" s="1"/>
  <c r="S308" i="1" s="1"/>
  <c r="T308" i="1" s="1"/>
  <c r="U308" i="1" s="1"/>
  <c r="V308" i="1" s="1"/>
  <c r="F308" i="1"/>
  <c r="E308" i="1"/>
  <c r="D308" i="1"/>
  <c r="H308" i="1" s="1"/>
  <c r="I308" i="1" s="1"/>
  <c r="J308" i="1" s="1"/>
  <c r="K308" i="1" s="1"/>
  <c r="L308" i="1" s="1"/>
  <c r="M308" i="1" s="1"/>
  <c r="N308" i="1" s="1"/>
  <c r="C308" i="1"/>
  <c r="B308" i="1"/>
  <c r="A308" i="1"/>
  <c r="P307" i="1"/>
  <c r="Q307" i="1" s="1"/>
  <c r="R307" i="1" s="1"/>
  <c r="S307" i="1" s="1"/>
  <c r="T307" i="1" s="1"/>
  <c r="U307" i="1" s="1"/>
  <c r="V307" i="1" s="1"/>
  <c r="F307" i="1"/>
  <c r="E307" i="1"/>
  <c r="D307" i="1"/>
  <c r="H307" i="1" s="1"/>
  <c r="I307" i="1" s="1"/>
  <c r="J307" i="1" s="1"/>
  <c r="K307" i="1" s="1"/>
  <c r="L307" i="1" s="1"/>
  <c r="M307" i="1" s="1"/>
  <c r="N307" i="1" s="1"/>
  <c r="O307" i="1" s="1"/>
  <c r="C307" i="1"/>
  <c r="B307" i="1"/>
  <c r="W307" i="1" s="1"/>
  <c r="A307" i="1"/>
  <c r="N306" i="1"/>
  <c r="O306" i="1" s="1"/>
  <c r="P306" i="1" s="1"/>
  <c r="Q306" i="1" s="1"/>
  <c r="R306" i="1" s="1"/>
  <c r="S306" i="1" s="1"/>
  <c r="T306" i="1" s="1"/>
  <c r="U306" i="1" s="1"/>
  <c r="V306" i="1" s="1"/>
  <c r="F306" i="1"/>
  <c r="E306" i="1"/>
  <c r="D306" i="1"/>
  <c r="H306" i="1" s="1"/>
  <c r="I306" i="1" s="1"/>
  <c r="J306" i="1" s="1"/>
  <c r="K306" i="1" s="1"/>
  <c r="L306" i="1" s="1"/>
  <c r="M306" i="1" s="1"/>
  <c r="C306" i="1"/>
  <c r="B306" i="1"/>
  <c r="A306" i="1"/>
  <c r="W305" i="1"/>
  <c r="I305" i="1"/>
  <c r="J305" i="1" s="1"/>
  <c r="K305" i="1" s="1"/>
  <c r="L305" i="1" s="1"/>
  <c r="M305" i="1" s="1"/>
  <c r="N305" i="1" s="1"/>
  <c r="O305" i="1" s="1"/>
  <c r="P305" i="1" s="1"/>
  <c r="Q305" i="1" s="1"/>
  <c r="R305" i="1" s="1"/>
  <c r="S305" i="1" s="1"/>
  <c r="T305" i="1" s="1"/>
  <c r="U305" i="1" s="1"/>
  <c r="V305" i="1" s="1"/>
  <c r="H305" i="1"/>
  <c r="F305" i="1"/>
  <c r="E305" i="1"/>
  <c r="D305" i="1"/>
  <c r="C305" i="1"/>
  <c r="B305" i="1"/>
  <c r="A305" i="1"/>
  <c r="W304" i="1"/>
  <c r="O304" i="1"/>
  <c r="P304" i="1" s="1"/>
  <c r="Q304" i="1" s="1"/>
  <c r="R304" i="1" s="1"/>
  <c r="S304" i="1" s="1"/>
  <c r="T304" i="1" s="1"/>
  <c r="U304" i="1" s="1"/>
  <c r="V304" i="1" s="1"/>
  <c r="F304" i="1"/>
  <c r="E304" i="1"/>
  <c r="D304" i="1"/>
  <c r="H304" i="1" s="1"/>
  <c r="I304" i="1" s="1"/>
  <c r="J304" i="1" s="1"/>
  <c r="K304" i="1" s="1"/>
  <c r="L304" i="1" s="1"/>
  <c r="M304" i="1" s="1"/>
  <c r="N304" i="1" s="1"/>
  <c r="C304" i="1"/>
  <c r="B304" i="1"/>
  <c r="A304" i="1"/>
  <c r="P303" i="1"/>
  <c r="Q303" i="1" s="1"/>
  <c r="R303" i="1" s="1"/>
  <c r="S303" i="1" s="1"/>
  <c r="T303" i="1" s="1"/>
  <c r="U303" i="1" s="1"/>
  <c r="V303" i="1" s="1"/>
  <c r="F303" i="1"/>
  <c r="E303" i="1"/>
  <c r="D303" i="1"/>
  <c r="H303" i="1" s="1"/>
  <c r="I303" i="1" s="1"/>
  <c r="J303" i="1" s="1"/>
  <c r="K303" i="1" s="1"/>
  <c r="L303" i="1" s="1"/>
  <c r="M303" i="1" s="1"/>
  <c r="N303" i="1" s="1"/>
  <c r="O303" i="1" s="1"/>
  <c r="C303" i="1"/>
  <c r="B303" i="1"/>
  <c r="W303" i="1" s="1"/>
  <c r="A303" i="1"/>
  <c r="N302" i="1"/>
  <c r="O302" i="1" s="1"/>
  <c r="P302" i="1" s="1"/>
  <c r="Q302" i="1" s="1"/>
  <c r="R302" i="1" s="1"/>
  <c r="S302" i="1" s="1"/>
  <c r="T302" i="1" s="1"/>
  <c r="U302" i="1" s="1"/>
  <c r="V302" i="1" s="1"/>
  <c r="F302" i="1"/>
  <c r="E302" i="1"/>
  <c r="D302" i="1"/>
  <c r="H302" i="1" s="1"/>
  <c r="I302" i="1" s="1"/>
  <c r="J302" i="1" s="1"/>
  <c r="K302" i="1" s="1"/>
  <c r="L302" i="1" s="1"/>
  <c r="M302" i="1" s="1"/>
  <c r="C302" i="1"/>
  <c r="B302" i="1"/>
  <c r="A302" i="1"/>
  <c r="W301" i="1"/>
  <c r="I301" i="1"/>
  <c r="J301" i="1" s="1"/>
  <c r="K301" i="1" s="1"/>
  <c r="L301" i="1" s="1"/>
  <c r="M301" i="1" s="1"/>
  <c r="N301" i="1" s="1"/>
  <c r="O301" i="1" s="1"/>
  <c r="P301" i="1" s="1"/>
  <c r="Q301" i="1" s="1"/>
  <c r="R301" i="1" s="1"/>
  <c r="S301" i="1" s="1"/>
  <c r="T301" i="1" s="1"/>
  <c r="U301" i="1" s="1"/>
  <c r="V301" i="1" s="1"/>
  <c r="H301" i="1"/>
  <c r="F301" i="1"/>
  <c r="E301" i="1"/>
  <c r="D301" i="1"/>
  <c r="C301" i="1"/>
  <c r="B301" i="1"/>
  <c r="A301" i="1"/>
  <c r="W300" i="1"/>
  <c r="O300" i="1"/>
  <c r="P300" i="1" s="1"/>
  <c r="Q300" i="1" s="1"/>
  <c r="R300" i="1" s="1"/>
  <c r="S300" i="1" s="1"/>
  <c r="T300" i="1" s="1"/>
  <c r="U300" i="1" s="1"/>
  <c r="V300" i="1" s="1"/>
  <c r="F300" i="1"/>
  <c r="E300" i="1"/>
  <c r="D300" i="1"/>
  <c r="H300" i="1" s="1"/>
  <c r="I300" i="1" s="1"/>
  <c r="J300" i="1" s="1"/>
  <c r="K300" i="1" s="1"/>
  <c r="L300" i="1" s="1"/>
  <c r="M300" i="1" s="1"/>
  <c r="N300" i="1" s="1"/>
  <c r="C300" i="1"/>
  <c r="B300" i="1"/>
  <c r="A300" i="1"/>
  <c r="P299" i="1"/>
  <c r="Q299" i="1" s="1"/>
  <c r="R299" i="1" s="1"/>
  <c r="S299" i="1" s="1"/>
  <c r="T299" i="1" s="1"/>
  <c r="U299" i="1" s="1"/>
  <c r="V299" i="1" s="1"/>
  <c r="F299" i="1"/>
  <c r="E299" i="1"/>
  <c r="D299" i="1"/>
  <c r="H299" i="1" s="1"/>
  <c r="I299" i="1" s="1"/>
  <c r="J299" i="1" s="1"/>
  <c r="K299" i="1" s="1"/>
  <c r="L299" i="1" s="1"/>
  <c r="M299" i="1" s="1"/>
  <c r="N299" i="1" s="1"/>
  <c r="O299" i="1" s="1"/>
  <c r="C299" i="1"/>
  <c r="B299" i="1"/>
  <c r="W299" i="1" s="1"/>
  <c r="A299" i="1"/>
  <c r="N298" i="1"/>
  <c r="O298" i="1" s="1"/>
  <c r="P298" i="1" s="1"/>
  <c r="Q298" i="1" s="1"/>
  <c r="R298" i="1" s="1"/>
  <c r="S298" i="1" s="1"/>
  <c r="T298" i="1" s="1"/>
  <c r="U298" i="1" s="1"/>
  <c r="V298" i="1" s="1"/>
  <c r="F298" i="1"/>
  <c r="E298" i="1"/>
  <c r="D298" i="1"/>
  <c r="H298" i="1" s="1"/>
  <c r="I298" i="1" s="1"/>
  <c r="J298" i="1" s="1"/>
  <c r="K298" i="1" s="1"/>
  <c r="L298" i="1" s="1"/>
  <c r="M298" i="1" s="1"/>
  <c r="C298" i="1"/>
  <c r="B298" i="1"/>
  <c r="A298" i="1"/>
  <c r="W297" i="1"/>
  <c r="I297" i="1"/>
  <c r="J297" i="1" s="1"/>
  <c r="K297" i="1" s="1"/>
  <c r="L297" i="1" s="1"/>
  <c r="M297" i="1" s="1"/>
  <c r="N297" i="1" s="1"/>
  <c r="O297" i="1" s="1"/>
  <c r="P297" i="1" s="1"/>
  <c r="Q297" i="1" s="1"/>
  <c r="R297" i="1" s="1"/>
  <c r="S297" i="1" s="1"/>
  <c r="T297" i="1" s="1"/>
  <c r="U297" i="1" s="1"/>
  <c r="V297" i="1" s="1"/>
  <c r="H297" i="1"/>
  <c r="F297" i="1"/>
  <c r="E297" i="1"/>
  <c r="D297" i="1"/>
  <c r="C297" i="1"/>
  <c r="B297" i="1"/>
  <c r="A297" i="1"/>
  <c r="W296" i="1"/>
  <c r="O296" i="1"/>
  <c r="P296" i="1" s="1"/>
  <c r="Q296" i="1" s="1"/>
  <c r="R296" i="1" s="1"/>
  <c r="S296" i="1" s="1"/>
  <c r="T296" i="1" s="1"/>
  <c r="U296" i="1" s="1"/>
  <c r="V296" i="1" s="1"/>
  <c r="F296" i="1"/>
  <c r="E296" i="1"/>
  <c r="D296" i="1"/>
  <c r="H296" i="1" s="1"/>
  <c r="I296" i="1" s="1"/>
  <c r="J296" i="1" s="1"/>
  <c r="K296" i="1" s="1"/>
  <c r="L296" i="1" s="1"/>
  <c r="M296" i="1" s="1"/>
  <c r="N296" i="1" s="1"/>
  <c r="C296" i="1"/>
  <c r="B296" i="1"/>
  <c r="A296" i="1"/>
  <c r="P295" i="1"/>
  <c r="Q295" i="1" s="1"/>
  <c r="R295" i="1" s="1"/>
  <c r="S295" i="1" s="1"/>
  <c r="T295" i="1" s="1"/>
  <c r="U295" i="1" s="1"/>
  <c r="V295" i="1" s="1"/>
  <c r="F295" i="1"/>
  <c r="E295" i="1"/>
  <c r="D295" i="1"/>
  <c r="H295" i="1" s="1"/>
  <c r="I295" i="1" s="1"/>
  <c r="J295" i="1" s="1"/>
  <c r="K295" i="1" s="1"/>
  <c r="L295" i="1" s="1"/>
  <c r="M295" i="1" s="1"/>
  <c r="N295" i="1" s="1"/>
  <c r="O295" i="1" s="1"/>
  <c r="C295" i="1"/>
  <c r="B295" i="1"/>
  <c r="W295" i="1" s="1"/>
  <c r="A295" i="1"/>
  <c r="N294" i="1"/>
  <c r="O294" i="1" s="1"/>
  <c r="P294" i="1" s="1"/>
  <c r="Q294" i="1" s="1"/>
  <c r="R294" i="1" s="1"/>
  <c r="S294" i="1" s="1"/>
  <c r="T294" i="1" s="1"/>
  <c r="U294" i="1" s="1"/>
  <c r="V294" i="1" s="1"/>
  <c r="F294" i="1"/>
  <c r="E294" i="1"/>
  <c r="D294" i="1"/>
  <c r="H294" i="1" s="1"/>
  <c r="I294" i="1" s="1"/>
  <c r="J294" i="1" s="1"/>
  <c r="K294" i="1" s="1"/>
  <c r="L294" i="1" s="1"/>
  <c r="M294" i="1" s="1"/>
  <c r="C294" i="1"/>
  <c r="B294" i="1"/>
  <c r="A294" i="1"/>
  <c r="W293" i="1"/>
  <c r="I293" i="1"/>
  <c r="J293" i="1" s="1"/>
  <c r="K293" i="1" s="1"/>
  <c r="L293" i="1" s="1"/>
  <c r="M293" i="1" s="1"/>
  <c r="N293" i="1" s="1"/>
  <c r="O293" i="1" s="1"/>
  <c r="P293" i="1" s="1"/>
  <c r="Q293" i="1" s="1"/>
  <c r="R293" i="1" s="1"/>
  <c r="S293" i="1" s="1"/>
  <c r="T293" i="1" s="1"/>
  <c r="U293" i="1" s="1"/>
  <c r="V293" i="1" s="1"/>
  <c r="H293" i="1"/>
  <c r="F293" i="1"/>
  <c r="E293" i="1"/>
  <c r="D293" i="1"/>
  <c r="C293" i="1"/>
  <c r="B293" i="1"/>
  <c r="A293" i="1"/>
  <c r="W292" i="1"/>
  <c r="O292" i="1"/>
  <c r="P292" i="1" s="1"/>
  <c r="Q292" i="1" s="1"/>
  <c r="R292" i="1" s="1"/>
  <c r="S292" i="1" s="1"/>
  <c r="T292" i="1" s="1"/>
  <c r="U292" i="1" s="1"/>
  <c r="V292" i="1" s="1"/>
  <c r="F292" i="1"/>
  <c r="E292" i="1"/>
  <c r="D292" i="1"/>
  <c r="H292" i="1" s="1"/>
  <c r="I292" i="1" s="1"/>
  <c r="J292" i="1" s="1"/>
  <c r="K292" i="1" s="1"/>
  <c r="L292" i="1" s="1"/>
  <c r="M292" i="1" s="1"/>
  <c r="N292" i="1" s="1"/>
  <c r="C292" i="1"/>
  <c r="B292" i="1"/>
  <c r="A292" i="1"/>
  <c r="P291" i="1"/>
  <c r="Q291" i="1" s="1"/>
  <c r="R291" i="1" s="1"/>
  <c r="S291" i="1" s="1"/>
  <c r="T291" i="1" s="1"/>
  <c r="U291" i="1" s="1"/>
  <c r="V291" i="1" s="1"/>
  <c r="F291" i="1"/>
  <c r="E291" i="1"/>
  <c r="D291" i="1"/>
  <c r="H291" i="1" s="1"/>
  <c r="I291" i="1" s="1"/>
  <c r="J291" i="1" s="1"/>
  <c r="K291" i="1" s="1"/>
  <c r="L291" i="1" s="1"/>
  <c r="M291" i="1" s="1"/>
  <c r="N291" i="1" s="1"/>
  <c r="O291" i="1" s="1"/>
  <c r="C291" i="1"/>
  <c r="B291" i="1"/>
  <c r="W291" i="1" s="1"/>
  <c r="A291" i="1"/>
  <c r="N290" i="1"/>
  <c r="O290" i="1" s="1"/>
  <c r="P290" i="1" s="1"/>
  <c r="Q290" i="1" s="1"/>
  <c r="R290" i="1" s="1"/>
  <c r="S290" i="1" s="1"/>
  <c r="T290" i="1" s="1"/>
  <c r="U290" i="1" s="1"/>
  <c r="V290" i="1" s="1"/>
  <c r="F290" i="1"/>
  <c r="E290" i="1"/>
  <c r="D290" i="1"/>
  <c r="H290" i="1" s="1"/>
  <c r="I290" i="1" s="1"/>
  <c r="J290" i="1" s="1"/>
  <c r="K290" i="1" s="1"/>
  <c r="L290" i="1" s="1"/>
  <c r="M290" i="1" s="1"/>
  <c r="C290" i="1"/>
  <c r="B290" i="1"/>
  <c r="A290" i="1"/>
  <c r="W289" i="1"/>
  <c r="I289" i="1"/>
  <c r="J289" i="1" s="1"/>
  <c r="K289" i="1" s="1"/>
  <c r="L289" i="1" s="1"/>
  <c r="M289" i="1" s="1"/>
  <c r="N289" i="1" s="1"/>
  <c r="O289" i="1" s="1"/>
  <c r="P289" i="1" s="1"/>
  <c r="Q289" i="1" s="1"/>
  <c r="R289" i="1" s="1"/>
  <c r="S289" i="1" s="1"/>
  <c r="T289" i="1" s="1"/>
  <c r="U289" i="1" s="1"/>
  <c r="V289" i="1" s="1"/>
  <c r="H289" i="1"/>
  <c r="F289" i="1"/>
  <c r="E289" i="1"/>
  <c r="D289" i="1"/>
  <c r="C289" i="1"/>
  <c r="B289" i="1"/>
  <c r="A289" i="1"/>
  <c r="W288" i="1"/>
  <c r="O288" i="1"/>
  <c r="P288" i="1" s="1"/>
  <c r="Q288" i="1" s="1"/>
  <c r="R288" i="1" s="1"/>
  <c r="S288" i="1" s="1"/>
  <c r="T288" i="1" s="1"/>
  <c r="U288" i="1" s="1"/>
  <c r="V288" i="1" s="1"/>
  <c r="F288" i="1"/>
  <c r="E288" i="1"/>
  <c r="D288" i="1"/>
  <c r="H288" i="1" s="1"/>
  <c r="I288" i="1" s="1"/>
  <c r="J288" i="1" s="1"/>
  <c r="K288" i="1" s="1"/>
  <c r="L288" i="1" s="1"/>
  <c r="M288" i="1" s="1"/>
  <c r="N288" i="1" s="1"/>
  <c r="C288" i="1"/>
  <c r="B288" i="1"/>
  <c r="A288" i="1"/>
  <c r="P287" i="1"/>
  <c r="Q287" i="1" s="1"/>
  <c r="R287" i="1" s="1"/>
  <c r="S287" i="1" s="1"/>
  <c r="T287" i="1" s="1"/>
  <c r="U287" i="1" s="1"/>
  <c r="V287" i="1" s="1"/>
  <c r="F287" i="1"/>
  <c r="E287" i="1"/>
  <c r="D287" i="1"/>
  <c r="H287" i="1" s="1"/>
  <c r="I287" i="1" s="1"/>
  <c r="J287" i="1" s="1"/>
  <c r="K287" i="1" s="1"/>
  <c r="L287" i="1" s="1"/>
  <c r="M287" i="1" s="1"/>
  <c r="N287" i="1" s="1"/>
  <c r="O287" i="1" s="1"/>
  <c r="C287" i="1"/>
  <c r="B287" i="1"/>
  <c r="W287" i="1" s="1"/>
  <c r="A287" i="1"/>
  <c r="N286" i="1"/>
  <c r="O286" i="1" s="1"/>
  <c r="P286" i="1" s="1"/>
  <c r="Q286" i="1" s="1"/>
  <c r="R286" i="1" s="1"/>
  <c r="S286" i="1" s="1"/>
  <c r="T286" i="1" s="1"/>
  <c r="U286" i="1" s="1"/>
  <c r="V286" i="1" s="1"/>
  <c r="F286" i="1"/>
  <c r="E286" i="1"/>
  <c r="D286" i="1"/>
  <c r="H286" i="1" s="1"/>
  <c r="I286" i="1" s="1"/>
  <c r="J286" i="1" s="1"/>
  <c r="K286" i="1" s="1"/>
  <c r="L286" i="1" s="1"/>
  <c r="M286" i="1" s="1"/>
  <c r="C286" i="1"/>
  <c r="B286" i="1"/>
  <c r="A286" i="1"/>
  <c r="W285" i="1"/>
  <c r="I285" i="1"/>
  <c r="J285" i="1" s="1"/>
  <c r="K285" i="1" s="1"/>
  <c r="L285" i="1" s="1"/>
  <c r="M285" i="1" s="1"/>
  <c r="N285" i="1" s="1"/>
  <c r="O285" i="1" s="1"/>
  <c r="P285" i="1" s="1"/>
  <c r="Q285" i="1" s="1"/>
  <c r="R285" i="1" s="1"/>
  <c r="S285" i="1" s="1"/>
  <c r="T285" i="1" s="1"/>
  <c r="U285" i="1" s="1"/>
  <c r="V285" i="1" s="1"/>
  <c r="H285" i="1"/>
  <c r="F285" i="1"/>
  <c r="E285" i="1"/>
  <c r="D285" i="1"/>
  <c r="C285" i="1"/>
  <c r="B285" i="1"/>
  <c r="A285" i="1"/>
  <c r="W284" i="1"/>
  <c r="O284" i="1"/>
  <c r="P284" i="1" s="1"/>
  <c r="Q284" i="1" s="1"/>
  <c r="R284" i="1" s="1"/>
  <c r="S284" i="1" s="1"/>
  <c r="T284" i="1" s="1"/>
  <c r="U284" i="1" s="1"/>
  <c r="V284" i="1" s="1"/>
  <c r="F284" i="1"/>
  <c r="E284" i="1"/>
  <c r="D284" i="1"/>
  <c r="H284" i="1" s="1"/>
  <c r="I284" i="1" s="1"/>
  <c r="J284" i="1" s="1"/>
  <c r="K284" i="1" s="1"/>
  <c r="L284" i="1" s="1"/>
  <c r="M284" i="1" s="1"/>
  <c r="N284" i="1" s="1"/>
  <c r="C284" i="1"/>
  <c r="B284" i="1"/>
  <c r="A284" i="1"/>
  <c r="P283" i="1"/>
  <c r="Q283" i="1" s="1"/>
  <c r="R283" i="1" s="1"/>
  <c r="S283" i="1" s="1"/>
  <c r="T283" i="1" s="1"/>
  <c r="U283" i="1" s="1"/>
  <c r="V283" i="1" s="1"/>
  <c r="F283" i="1"/>
  <c r="E283" i="1"/>
  <c r="D283" i="1"/>
  <c r="H283" i="1" s="1"/>
  <c r="I283" i="1" s="1"/>
  <c r="J283" i="1" s="1"/>
  <c r="K283" i="1" s="1"/>
  <c r="L283" i="1" s="1"/>
  <c r="M283" i="1" s="1"/>
  <c r="N283" i="1" s="1"/>
  <c r="O283" i="1" s="1"/>
  <c r="C283" i="1"/>
  <c r="B283" i="1"/>
  <c r="W283" i="1" s="1"/>
  <c r="A283" i="1"/>
  <c r="F282" i="1"/>
  <c r="E282" i="1"/>
  <c r="D282" i="1"/>
  <c r="H282" i="1" s="1"/>
  <c r="I282" i="1" s="1"/>
  <c r="J282" i="1" s="1"/>
  <c r="K282" i="1" s="1"/>
  <c r="L282" i="1" s="1"/>
  <c r="M282" i="1" s="1"/>
  <c r="N282" i="1" s="1"/>
  <c r="O282" i="1" s="1"/>
  <c r="P282" i="1" s="1"/>
  <c r="Q282" i="1" s="1"/>
  <c r="R282" i="1" s="1"/>
  <c r="S282" i="1" s="1"/>
  <c r="T282" i="1" s="1"/>
  <c r="U282" i="1" s="1"/>
  <c r="V282" i="1" s="1"/>
  <c r="C282" i="1"/>
  <c r="B282" i="1"/>
  <c r="A282" i="1"/>
  <c r="W281" i="1"/>
  <c r="I281" i="1"/>
  <c r="J281" i="1" s="1"/>
  <c r="K281" i="1" s="1"/>
  <c r="L281" i="1" s="1"/>
  <c r="M281" i="1" s="1"/>
  <c r="N281" i="1" s="1"/>
  <c r="O281" i="1" s="1"/>
  <c r="P281" i="1" s="1"/>
  <c r="Q281" i="1" s="1"/>
  <c r="R281" i="1" s="1"/>
  <c r="S281" i="1" s="1"/>
  <c r="T281" i="1" s="1"/>
  <c r="U281" i="1" s="1"/>
  <c r="V281" i="1" s="1"/>
  <c r="H281" i="1"/>
  <c r="F281" i="1"/>
  <c r="E281" i="1"/>
  <c r="D281" i="1"/>
  <c r="C281" i="1"/>
  <c r="B281" i="1"/>
  <c r="A281" i="1"/>
  <c r="W280" i="1"/>
  <c r="O280" i="1"/>
  <c r="P280" i="1" s="1"/>
  <c r="Q280" i="1" s="1"/>
  <c r="R280" i="1" s="1"/>
  <c r="S280" i="1" s="1"/>
  <c r="T280" i="1" s="1"/>
  <c r="U280" i="1" s="1"/>
  <c r="V280" i="1" s="1"/>
  <c r="F280" i="1"/>
  <c r="E280" i="1"/>
  <c r="D280" i="1"/>
  <c r="H280" i="1" s="1"/>
  <c r="I280" i="1" s="1"/>
  <c r="J280" i="1" s="1"/>
  <c r="K280" i="1" s="1"/>
  <c r="L280" i="1" s="1"/>
  <c r="M280" i="1" s="1"/>
  <c r="N280" i="1" s="1"/>
  <c r="C280" i="1"/>
  <c r="B280" i="1"/>
  <c r="A280" i="1"/>
  <c r="F279" i="1"/>
  <c r="E279" i="1"/>
  <c r="D279" i="1"/>
  <c r="H279" i="1" s="1"/>
  <c r="I279" i="1" s="1"/>
  <c r="J279" i="1" s="1"/>
  <c r="K279" i="1" s="1"/>
  <c r="L279" i="1" s="1"/>
  <c r="M279" i="1" s="1"/>
  <c r="N279" i="1" s="1"/>
  <c r="O279" i="1" s="1"/>
  <c r="P279" i="1" s="1"/>
  <c r="Q279" i="1" s="1"/>
  <c r="R279" i="1" s="1"/>
  <c r="S279" i="1" s="1"/>
  <c r="T279" i="1" s="1"/>
  <c r="U279" i="1" s="1"/>
  <c r="V279" i="1" s="1"/>
  <c r="C279" i="1"/>
  <c r="B279" i="1"/>
  <c r="W279" i="1" s="1"/>
  <c r="A279" i="1"/>
  <c r="S278" i="1"/>
  <c r="T278" i="1" s="1"/>
  <c r="U278" i="1" s="1"/>
  <c r="V278" i="1" s="1"/>
  <c r="F278" i="1"/>
  <c r="E278" i="1"/>
  <c r="D278" i="1"/>
  <c r="H278" i="1" s="1"/>
  <c r="I278" i="1" s="1"/>
  <c r="J278" i="1" s="1"/>
  <c r="K278" i="1" s="1"/>
  <c r="L278" i="1" s="1"/>
  <c r="M278" i="1" s="1"/>
  <c r="N278" i="1" s="1"/>
  <c r="O278" i="1" s="1"/>
  <c r="P278" i="1" s="1"/>
  <c r="Q278" i="1" s="1"/>
  <c r="R278" i="1" s="1"/>
  <c r="C278" i="1"/>
  <c r="B278" i="1"/>
  <c r="A278" i="1"/>
  <c r="W277" i="1"/>
  <c r="I277" i="1"/>
  <c r="J277" i="1" s="1"/>
  <c r="K277" i="1" s="1"/>
  <c r="L277" i="1" s="1"/>
  <c r="M277" i="1" s="1"/>
  <c r="N277" i="1" s="1"/>
  <c r="O277" i="1" s="1"/>
  <c r="P277" i="1" s="1"/>
  <c r="Q277" i="1" s="1"/>
  <c r="R277" i="1" s="1"/>
  <c r="S277" i="1" s="1"/>
  <c r="T277" i="1" s="1"/>
  <c r="U277" i="1" s="1"/>
  <c r="V277" i="1" s="1"/>
  <c r="H277" i="1"/>
  <c r="F277" i="1"/>
  <c r="E277" i="1"/>
  <c r="D277" i="1"/>
  <c r="C277" i="1"/>
  <c r="B277" i="1"/>
  <c r="A277" i="1"/>
  <c r="W276" i="1"/>
  <c r="F276" i="1"/>
  <c r="E276" i="1"/>
  <c r="D276" i="1"/>
  <c r="H276" i="1" s="1"/>
  <c r="I276" i="1" s="1"/>
  <c r="J276" i="1" s="1"/>
  <c r="K276" i="1" s="1"/>
  <c r="L276" i="1" s="1"/>
  <c r="M276" i="1" s="1"/>
  <c r="N276" i="1" s="1"/>
  <c r="O276" i="1" s="1"/>
  <c r="P276" i="1" s="1"/>
  <c r="Q276" i="1" s="1"/>
  <c r="R276" i="1" s="1"/>
  <c r="S276" i="1" s="1"/>
  <c r="T276" i="1" s="1"/>
  <c r="U276" i="1" s="1"/>
  <c r="V276" i="1" s="1"/>
  <c r="C276" i="1"/>
  <c r="B276" i="1"/>
  <c r="A276" i="1"/>
  <c r="W275" i="1"/>
  <c r="H275" i="1"/>
  <c r="I275" i="1" s="1"/>
  <c r="J275" i="1" s="1"/>
  <c r="K275" i="1" s="1"/>
  <c r="L275" i="1" s="1"/>
  <c r="M275" i="1" s="1"/>
  <c r="N275" i="1" s="1"/>
  <c r="O275" i="1" s="1"/>
  <c r="P275" i="1" s="1"/>
  <c r="Q275" i="1" s="1"/>
  <c r="R275" i="1" s="1"/>
  <c r="S275" i="1" s="1"/>
  <c r="T275" i="1" s="1"/>
  <c r="U275" i="1" s="1"/>
  <c r="V275" i="1" s="1"/>
  <c r="F275" i="1"/>
  <c r="E275" i="1"/>
  <c r="D275" i="1"/>
  <c r="C275" i="1"/>
  <c r="B275" i="1"/>
  <c r="A275" i="1"/>
  <c r="K274" i="1"/>
  <c r="L274" i="1" s="1"/>
  <c r="M274" i="1" s="1"/>
  <c r="N274" i="1" s="1"/>
  <c r="O274" i="1" s="1"/>
  <c r="P274" i="1" s="1"/>
  <c r="Q274" i="1" s="1"/>
  <c r="R274" i="1" s="1"/>
  <c r="S274" i="1" s="1"/>
  <c r="T274" i="1" s="1"/>
  <c r="U274" i="1" s="1"/>
  <c r="V274" i="1" s="1"/>
  <c r="F274" i="1"/>
  <c r="E274" i="1"/>
  <c r="D274" i="1"/>
  <c r="H274" i="1" s="1"/>
  <c r="I274" i="1" s="1"/>
  <c r="J274" i="1" s="1"/>
  <c r="C274" i="1"/>
  <c r="B274" i="1"/>
  <c r="A274" i="1"/>
  <c r="I273" i="1"/>
  <c r="J273" i="1" s="1"/>
  <c r="K273" i="1" s="1"/>
  <c r="L273" i="1" s="1"/>
  <c r="M273" i="1" s="1"/>
  <c r="N273" i="1" s="1"/>
  <c r="O273" i="1" s="1"/>
  <c r="P273" i="1" s="1"/>
  <c r="Q273" i="1" s="1"/>
  <c r="R273" i="1" s="1"/>
  <c r="S273" i="1" s="1"/>
  <c r="T273" i="1" s="1"/>
  <c r="U273" i="1" s="1"/>
  <c r="V273" i="1" s="1"/>
  <c r="H273" i="1"/>
  <c r="F273" i="1"/>
  <c r="E273" i="1"/>
  <c r="D273" i="1"/>
  <c r="C273" i="1"/>
  <c r="B273" i="1"/>
  <c r="W273" i="1" s="1"/>
  <c r="A273" i="1"/>
  <c r="W272" i="1"/>
  <c r="P272" i="1"/>
  <c r="Q272" i="1" s="1"/>
  <c r="R272" i="1" s="1"/>
  <c r="S272" i="1" s="1"/>
  <c r="T272" i="1" s="1"/>
  <c r="U272" i="1" s="1"/>
  <c r="V272" i="1" s="1"/>
  <c r="I272" i="1"/>
  <c r="J272" i="1" s="1"/>
  <c r="K272" i="1" s="1"/>
  <c r="L272" i="1" s="1"/>
  <c r="M272" i="1" s="1"/>
  <c r="N272" i="1" s="1"/>
  <c r="O272" i="1" s="1"/>
  <c r="F272" i="1"/>
  <c r="E272" i="1"/>
  <c r="D272" i="1"/>
  <c r="H272" i="1" s="1"/>
  <c r="C272" i="1"/>
  <c r="B272" i="1"/>
  <c r="A272" i="1"/>
  <c r="H271" i="1"/>
  <c r="I271" i="1" s="1"/>
  <c r="J271" i="1" s="1"/>
  <c r="K271" i="1" s="1"/>
  <c r="L271" i="1" s="1"/>
  <c r="M271" i="1" s="1"/>
  <c r="N271" i="1" s="1"/>
  <c r="O271" i="1" s="1"/>
  <c r="P271" i="1" s="1"/>
  <c r="Q271" i="1" s="1"/>
  <c r="R271" i="1" s="1"/>
  <c r="S271" i="1" s="1"/>
  <c r="T271" i="1" s="1"/>
  <c r="U271" i="1" s="1"/>
  <c r="V271" i="1" s="1"/>
  <c r="F271" i="1"/>
  <c r="E271" i="1"/>
  <c r="D271" i="1"/>
  <c r="C271" i="1"/>
  <c r="B271" i="1"/>
  <c r="W271" i="1" s="1"/>
  <c r="A271" i="1"/>
  <c r="F270" i="1"/>
  <c r="E270" i="1"/>
  <c r="D270" i="1"/>
  <c r="H270" i="1" s="1"/>
  <c r="I270" i="1" s="1"/>
  <c r="J270" i="1" s="1"/>
  <c r="K270" i="1" s="1"/>
  <c r="L270" i="1" s="1"/>
  <c r="M270" i="1" s="1"/>
  <c r="N270" i="1" s="1"/>
  <c r="O270" i="1" s="1"/>
  <c r="P270" i="1" s="1"/>
  <c r="Q270" i="1" s="1"/>
  <c r="R270" i="1" s="1"/>
  <c r="S270" i="1" s="1"/>
  <c r="T270" i="1" s="1"/>
  <c r="U270" i="1" s="1"/>
  <c r="V270" i="1" s="1"/>
  <c r="C270" i="1"/>
  <c r="B270" i="1"/>
  <c r="A270" i="1"/>
  <c r="I269" i="1"/>
  <c r="J269" i="1" s="1"/>
  <c r="K269" i="1" s="1"/>
  <c r="L269" i="1" s="1"/>
  <c r="M269" i="1" s="1"/>
  <c r="N269" i="1" s="1"/>
  <c r="O269" i="1" s="1"/>
  <c r="P269" i="1" s="1"/>
  <c r="Q269" i="1" s="1"/>
  <c r="R269" i="1" s="1"/>
  <c r="S269" i="1" s="1"/>
  <c r="T269" i="1" s="1"/>
  <c r="U269" i="1" s="1"/>
  <c r="V269" i="1" s="1"/>
  <c r="H269" i="1"/>
  <c r="F269" i="1"/>
  <c r="E269" i="1"/>
  <c r="D269" i="1"/>
  <c r="C269" i="1"/>
  <c r="B269" i="1"/>
  <c r="W269" i="1" s="1"/>
  <c r="A269" i="1"/>
  <c r="W268" i="1"/>
  <c r="U268" i="1"/>
  <c r="V268" i="1" s="1"/>
  <c r="P268" i="1"/>
  <c r="Q268" i="1" s="1"/>
  <c r="R268" i="1" s="1"/>
  <c r="S268" i="1" s="1"/>
  <c r="T268" i="1" s="1"/>
  <c r="I268" i="1"/>
  <c r="J268" i="1" s="1"/>
  <c r="K268" i="1" s="1"/>
  <c r="L268" i="1" s="1"/>
  <c r="M268" i="1" s="1"/>
  <c r="N268" i="1" s="1"/>
  <c r="O268" i="1" s="1"/>
  <c r="F268" i="1"/>
  <c r="E268" i="1"/>
  <c r="D268" i="1"/>
  <c r="H268" i="1" s="1"/>
  <c r="C268" i="1"/>
  <c r="B268" i="1"/>
  <c r="A268" i="1"/>
  <c r="W267" i="1"/>
  <c r="H267" i="1"/>
  <c r="I267" i="1" s="1"/>
  <c r="J267" i="1" s="1"/>
  <c r="K267" i="1" s="1"/>
  <c r="L267" i="1" s="1"/>
  <c r="M267" i="1" s="1"/>
  <c r="N267" i="1" s="1"/>
  <c r="O267" i="1" s="1"/>
  <c r="P267" i="1" s="1"/>
  <c r="Q267" i="1" s="1"/>
  <c r="R267" i="1" s="1"/>
  <c r="S267" i="1" s="1"/>
  <c r="T267" i="1" s="1"/>
  <c r="U267" i="1" s="1"/>
  <c r="V267" i="1" s="1"/>
  <c r="F267" i="1"/>
  <c r="E267" i="1"/>
  <c r="D267" i="1"/>
  <c r="C267" i="1"/>
  <c r="B267" i="1"/>
  <c r="A267" i="1"/>
  <c r="F266" i="1"/>
  <c r="E266" i="1"/>
  <c r="D266" i="1"/>
  <c r="H266" i="1" s="1"/>
  <c r="I266" i="1" s="1"/>
  <c r="J266" i="1" s="1"/>
  <c r="K266" i="1" s="1"/>
  <c r="L266" i="1" s="1"/>
  <c r="M266" i="1" s="1"/>
  <c r="N266" i="1" s="1"/>
  <c r="O266" i="1" s="1"/>
  <c r="P266" i="1" s="1"/>
  <c r="Q266" i="1" s="1"/>
  <c r="R266" i="1" s="1"/>
  <c r="S266" i="1" s="1"/>
  <c r="T266" i="1" s="1"/>
  <c r="U266" i="1" s="1"/>
  <c r="V266" i="1" s="1"/>
  <c r="C266" i="1"/>
  <c r="B266" i="1"/>
  <c r="A266" i="1"/>
  <c r="W266" i="1" s="1"/>
  <c r="I265" i="1"/>
  <c r="J265" i="1" s="1"/>
  <c r="K265" i="1" s="1"/>
  <c r="L265" i="1" s="1"/>
  <c r="M265" i="1" s="1"/>
  <c r="N265" i="1" s="1"/>
  <c r="O265" i="1" s="1"/>
  <c r="P265" i="1" s="1"/>
  <c r="Q265" i="1" s="1"/>
  <c r="R265" i="1" s="1"/>
  <c r="S265" i="1" s="1"/>
  <c r="T265" i="1" s="1"/>
  <c r="U265" i="1" s="1"/>
  <c r="V265" i="1" s="1"/>
  <c r="H265" i="1"/>
  <c r="F265" i="1"/>
  <c r="E265" i="1"/>
  <c r="D265" i="1"/>
  <c r="C265" i="1"/>
  <c r="B265" i="1"/>
  <c r="W265" i="1" s="1"/>
  <c r="A265" i="1"/>
  <c r="W264" i="1"/>
  <c r="I264" i="1"/>
  <c r="J264" i="1" s="1"/>
  <c r="K264" i="1" s="1"/>
  <c r="L264" i="1" s="1"/>
  <c r="M264" i="1" s="1"/>
  <c r="N264" i="1" s="1"/>
  <c r="O264" i="1" s="1"/>
  <c r="P264" i="1" s="1"/>
  <c r="Q264" i="1" s="1"/>
  <c r="R264" i="1" s="1"/>
  <c r="S264" i="1" s="1"/>
  <c r="T264" i="1" s="1"/>
  <c r="U264" i="1" s="1"/>
  <c r="V264" i="1" s="1"/>
  <c r="F264" i="1"/>
  <c r="E264" i="1"/>
  <c r="D264" i="1"/>
  <c r="H264" i="1" s="1"/>
  <c r="C264" i="1"/>
  <c r="B264" i="1"/>
  <c r="A264" i="1"/>
  <c r="W263" i="1"/>
  <c r="H263" i="1"/>
  <c r="I263" i="1" s="1"/>
  <c r="J263" i="1" s="1"/>
  <c r="K263" i="1" s="1"/>
  <c r="L263" i="1" s="1"/>
  <c r="M263" i="1" s="1"/>
  <c r="N263" i="1" s="1"/>
  <c r="O263" i="1" s="1"/>
  <c r="P263" i="1" s="1"/>
  <c r="Q263" i="1" s="1"/>
  <c r="R263" i="1" s="1"/>
  <c r="S263" i="1" s="1"/>
  <c r="T263" i="1" s="1"/>
  <c r="U263" i="1" s="1"/>
  <c r="V263" i="1" s="1"/>
  <c r="F263" i="1"/>
  <c r="E263" i="1"/>
  <c r="D263" i="1"/>
  <c r="C263" i="1"/>
  <c r="B263" i="1"/>
  <c r="A263" i="1"/>
  <c r="K262" i="1"/>
  <c r="L262" i="1" s="1"/>
  <c r="M262" i="1" s="1"/>
  <c r="N262" i="1" s="1"/>
  <c r="O262" i="1" s="1"/>
  <c r="P262" i="1" s="1"/>
  <c r="Q262" i="1" s="1"/>
  <c r="R262" i="1" s="1"/>
  <c r="S262" i="1" s="1"/>
  <c r="T262" i="1" s="1"/>
  <c r="U262" i="1" s="1"/>
  <c r="V262" i="1" s="1"/>
  <c r="F262" i="1"/>
  <c r="E262" i="1"/>
  <c r="D262" i="1"/>
  <c r="H262" i="1" s="1"/>
  <c r="I262" i="1" s="1"/>
  <c r="J262" i="1" s="1"/>
  <c r="C262" i="1"/>
  <c r="B262" i="1"/>
  <c r="A262" i="1"/>
  <c r="W262" i="1" s="1"/>
  <c r="L261" i="1"/>
  <c r="M261" i="1" s="1"/>
  <c r="N261" i="1" s="1"/>
  <c r="O261" i="1" s="1"/>
  <c r="P261" i="1" s="1"/>
  <c r="Q261" i="1" s="1"/>
  <c r="R261" i="1" s="1"/>
  <c r="S261" i="1" s="1"/>
  <c r="T261" i="1" s="1"/>
  <c r="U261" i="1" s="1"/>
  <c r="V261" i="1" s="1"/>
  <c r="I261" i="1"/>
  <c r="J261" i="1" s="1"/>
  <c r="K261" i="1" s="1"/>
  <c r="H261" i="1"/>
  <c r="F261" i="1"/>
  <c r="E261" i="1"/>
  <c r="D261" i="1"/>
  <c r="C261" i="1"/>
  <c r="B261" i="1"/>
  <c r="W261" i="1" s="1"/>
  <c r="A261" i="1"/>
  <c r="W260" i="1"/>
  <c r="F260" i="1"/>
  <c r="E260" i="1"/>
  <c r="D260" i="1"/>
  <c r="H260" i="1" s="1"/>
  <c r="I260" i="1" s="1"/>
  <c r="J260" i="1" s="1"/>
  <c r="K260" i="1" s="1"/>
  <c r="L260" i="1" s="1"/>
  <c r="M260" i="1" s="1"/>
  <c r="N260" i="1" s="1"/>
  <c r="O260" i="1" s="1"/>
  <c r="P260" i="1" s="1"/>
  <c r="Q260" i="1" s="1"/>
  <c r="R260" i="1" s="1"/>
  <c r="S260" i="1" s="1"/>
  <c r="T260" i="1" s="1"/>
  <c r="U260" i="1" s="1"/>
  <c r="V260" i="1" s="1"/>
  <c r="C260" i="1"/>
  <c r="B260" i="1"/>
  <c r="A260" i="1"/>
  <c r="W259" i="1"/>
  <c r="K259" i="1"/>
  <c r="L259" i="1" s="1"/>
  <c r="M259" i="1" s="1"/>
  <c r="N259" i="1" s="1"/>
  <c r="O259" i="1" s="1"/>
  <c r="P259" i="1" s="1"/>
  <c r="Q259" i="1" s="1"/>
  <c r="R259" i="1" s="1"/>
  <c r="S259" i="1" s="1"/>
  <c r="T259" i="1" s="1"/>
  <c r="U259" i="1" s="1"/>
  <c r="V259" i="1" s="1"/>
  <c r="H259" i="1"/>
  <c r="I259" i="1" s="1"/>
  <c r="J259" i="1" s="1"/>
  <c r="F259" i="1"/>
  <c r="E259" i="1"/>
  <c r="D259" i="1"/>
  <c r="C259" i="1"/>
  <c r="B259" i="1"/>
  <c r="A259" i="1"/>
  <c r="F258" i="1"/>
  <c r="E258" i="1"/>
  <c r="D258" i="1"/>
  <c r="H258" i="1" s="1"/>
  <c r="I258" i="1" s="1"/>
  <c r="J258" i="1" s="1"/>
  <c r="K258" i="1" s="1"/>
  <c r="L258" i="1" s="1"/>
  <c r="M258" i="1" s="1"/>
  <c r="N258" i="1" s="1"/>
  <c r="O258" i="1" s="1"/>
  <c r="P258" i="1" s="1"/>
  <c r="Q258" i="1" s="1"/>
  <c r="R258" i="1" s="1"/>
  <c r="S258" i="1" s="1"/>
  <c r="T258" i="1" s="1"/>
  <c r="U258" i="1" s="1"/>
  <c r="V258" i="1" s="1"/>
  <c r="C258" i="1"/>
  <c r="B258" i="1"/>
  <c r="A258" i="1"/>
  <c r="W258" i="1" s="1"/>
  <c r="L257" i="1"/>
  <c r="M257" i="1" s="1"/>
  <c r="N257" i="1" s="1"/>
  <c r="O257" i="1" s="1"/>
  <c r="P257" i="1" s="1"/>
  <c r="Q257" i="1" s="1"/>
  <c r="R257" i="1" s="1"/>
  <c r="S257" i="1" s="1"/>
  <c r="T257" i="1" s="1"/>
  <c r="U257" i="1" s="1"/>
  <c r="V257" i="1" s="1"/>
  <c r="I257" i="1"/>
  <c r="J257" i="1" s="1"/>
  <c r="K257" i="1" s="1"/>
  <c r="H257" i="1"/>
  <c r="F257" i="1"/>
  <c r="E257" i="1"/>
  <c r="D257" i="1"/>
  <c r="C257" i="1"/>
  <c r="B257" i="1"/>
  <c r="W257" i="1" s="1"/>
  <c r="A257" i="1"/>
  <c r="W256" i="1"/>
  <c r="Q256" i="1"/>
  <c r="R256" i="1" s="1"/>
  <c r="S256" i="1" s="1"/>
  <c r="T256" i="1" s="1"/>
  <c r="U256" i="1" s="1"/>
  <c r="V256" i="1" s="1"/>
  <c r="F256" i="1"/>
  <c r="E256" i="1"/>
  <c r="D256" i="1"/>
  <c r="H256" i="1" s="1"/>
  <c r="I256" i="1" s="1"/>
  <c r="J256" i="1" s="1"/>
  <c r="K256" i="1" s="1"/>
  <c r="L256" i="1" s="1"/>
  <c r="M256" i="1" s="1"/>
  <c r="N256" i="1" s="1"/>
  <c r="O256" i="1" s="1"/>
  <c r="P256" i="1" s="1"/>
  <c r="C256" i="1"/>
  <c r="B256" i="1"/>
  <c r="A256" i="1"/>
  <c r="K255" i="1"/>
  <c r="L255" i="1" s="1"/>
  <c r="M255" i="1" s="1"/>
  <c r="N255" i="1" s="1"/>
  <c r="O255" i="1" s="1"/>
  <c r="P255" i="1" s="1"/>
  <c r="Q255" i="1" s="1"/>
  <c r="R255" i="1" s="1"/>
  <c r="S255" i="1" s="1"/>
  <c r="T255" i="1" s="1"/>
  <c r="U255" i="1" s="1"/>
  <c r="V255" i="1" s="1"/>
  <c r="H255" i="1"/>
  <c r="I255" i="1" s="1"/>
  <c r="J255" i="1" s="1"/>
  <c r="F255" i="1"/>
  <c r="E255" i="1"/>
  <c r="D255" i="1"/>
  <c r="C255" i="1"/>
  <c r="B255" i="1"/>
  <c r="W255" i="1" s="1"/>
  <c r="A255" i="1"/>
  <c r="F254" i="1"/>
  <c r="E254" i="1"/>
  <c r="D254" i="1"/>
  <c r="H254" i="1" s="1"/>
  <c r="I254" i="1" s="1"/>
  <c r="J254" i="1" s="1"/>
  <c r="K254" i="1" s="1"/>
  <c r="L254" i="1" s="1"/>
  <c r="M254" i="1" s="1"/>
  <c r="N254" i="1" s="1"/>
  <c r="O254" i="1" s="1"/>
  <c r="P254" i="1" s="1"/>
  <c r="Q254" i="1" s="1"/>
  <c r="R254" i="1" s="1"/>
  <c r="S254" i="1" s="1"/>
  <c r="T254" i="1" s="1"/>
  <c r="U254" i="1" s="1"/>
  <c r="V254" i="1" s="1"/>
  <c r="C254" i="1"/>
  <c r="B254" i="1"/>
  <c r="A254" i="1"/>
  <c r="W254" i="1" s="1"/>
  <c r="Q253" i="1"/>
  <c r="R253" i="1" s="1"/>
  <c r="S253" i="1" s="1"/>
  <c r="T253" i="1" s="1"/>
  <c r="U253" i="1" s="1"/>
  <c r="V253" i="1" s="1"/>
  <c r="L253" i="1"/>
  <c r="M253" i="1" s="1"/>
  <c r="N253" i="1" s="1"/>
  <c r="O253" i="1" s="1"/>
  <c r="P253" i="1" s="1"/>
  <c r="I253" i="1"/>
  <c r="J253" i="1" s="1"/>
  <c r="K253" i="1" s="1"/>
  <c r="H253" i="1"/>
  <c r="F253" i="1"/>
  <c r="E253" i="1"/>
  <c r="D253" i="1"/>
  <c r="C253" i="1"/>
  <c r="B253" i="1"/>
  <c r="W253" i="1" s="1"/>
  <c r="A253" i="1"/>
  <c r="W252" i="1"/>
  <c r="I252" i="1"/>
  <c r="J252" i="1" s="1"/>
  <c r="K252" i="1" s="1"/>
  <c r="L252" i="1" s="1"/>
  <c r="M252" i="1" s="1"/>
  <c r="N252" i="1" s="1"/>
  <c r="O252" i="1" s="1"/>
  <c r="P252" i="1" s="1"/>
  <c r="Q252" i="1" s="1"/>
  <c r="R252" i="1" s="1"/>
  <c r="S252" i="1" s="1"/>
  <c r="T252" i="1" s="1"/>
  <c r="U252" i="1" s="1"/>
  <c r="V252" i="1" s="1"/>
  <c r="F252" i="1"/>
  <c r="E252" i="1"/>
  <c r="D252" i="1"/>
  <c r="H252" i="1" s="1"/>
  <c r="C252" i="1"/>
  <c r="B252" i="1"/>
  <c r="A252" i="1"/>
  <c r="K251" i="1"/>
  <c r="L251" i="1" s="1"/>
  <c r="M251" i="1" s="1"/>
  <c r="N251" i="1" s="1"/>
  <c r="O251" i="1" s="1"/>
  <c r="P251" i="1" s="1"/>
  <c r="Q251" i="1" s="1"/>
  <c r="R251" i="1" s="1"/>
  <c r="S251" i="1" s="1"/>
  <c r="T251" i="1" s="1"/>
  <c r="U251" i="1" s="1"/>
  <c r="V251" i="1" s="1"/>
  <c r="H251" i="1"/>
  <c r="I251" i="1" s="1"/>
  <c r="J251" i="1" s="1"/>
  <c r="F251" i="1"/>
  <c r="E251" i="1"/>
  <c r="D251" i="1"/>
  <c r="C251" i="1"/>
  <c r="B251" i="1"/>
  <c r="W251" i="1" s="1"/>
  <c r="A251" i="1"/>
  <c r="L250" i="1"/>
  <c r="M250" i="1" s="1"/>
  <c r="N250" i="1" s="1"/>
  <c r="O250" i="1" s="1"/>
  <c r="P250" i="1" s="1"/>
  <c r="Q250" i="1" s="1"/>
  <c r="R250" i="1" s="1"/>
  <c r="S250" i="1" s="1"/>
  <c r="T250" i="1" s="1"/>
  <c r="U250" i="1" s="1"/>
  <c r="V250" i="1" s="1"/>
  <c r="K250" i="1"/>
  <c r="F250" i="1"/>
  <c r="E250" i="1"/>
  <c r="D250" i="1"/>
  <c r="H250" i="1" s="1"/>
  <c r="I250" i="1" s="1"/>
  <c r="J250" i="1" s="1"/>
  <c r="C250" i="1"/>
  <c r="B250" i="1"/>
  <c r="A250" i="1"/>
  <c r="W250" i="1" s="1"/>
  <c r="I249" i="1"/>
  <c r="J249" i="1" s="1"/>
  <c r="K249" i="1" s="1"/>
  <c r="L249" i="1" s="1"/>
  <c r="M249" i="1" s="1"/>
  <c r="N249" i="1" s="1"/>
  <c r="O249" i="1" s="1"/>
  <c r="P249" i="1" s="1"/>
  <c r="Q249" i="1" s="1"/>
  <c r="R249" i="1" s="1"/>
  <c r="S249" i="1" s="1"/>
  <c r="T249" i="1" s="1"/>
  <c r="U249" i="1" s="1"/>
  <c r="V249" i="1" s="1"/>
  <c r="H249" i="1"/>
  <c r="F249" i="1"/>
  <c r="E249" i="1"/>
  <c r="D249" i="1"/>
  <c r="C249" i="1"/>
  <c r="B249" i="1"/>
  <c r="W249" i="1" s="1"/>
  <c r="A249" i="1"/>
  <c r="W248" i="1"/>
  <c r="F248" i="1"/>
  <c r="E248" i="1"/>
  <c r="D248" i="1"/>
  <c r="H248" i="1" s="1"/>
  <c r="I248" i="1" s="1"/>
  <c r="J248" i="1" s="1"/>
  <c r="K248" i="1" s="1"/>
  <c r="L248" i="1" s="1"/>
  <c r="M248" i="1" s="1"/>
  <c r="N248" i="1" s="1"/>
  <c r="O248" i="1" s="1"/>
  <c r="P248" i="1" s="1"/>
  <c r="Q248" i="1" s="1"/>
  <c r="R248" i="1" s="1"/>
  <c r="S248" i="1" s="1"/>
  <c r="T248" i="1" s="1"/>
  <c r="U248" i="1" s="1"/>
  <c r="V248" i="1" s="1"/>
  <c r="C248" i="1"/>
  <c r="B248" i="1"/>
  <c r="A248" i="1"/>
  <c r="H247" i="1"/>
  <c r="I247" i="1" s="1"/>
  <c r="J247" i="1" s="1"/>
  <c r="K247" i="1" s="1"/>
  <c r="L247" i="1" s="1"/>
  <c r="M247" i="1" s="1"/>
  <c r="N247" i="1" s="1"/>
  <c r="O247" i="1" s="1"/>
  <c r="P247" i="1" s="1"/>
  <c r="Q247" i="1" s="1"/>
  <c r="R247" i="1" s="1"/>
  <c r="S247" i="1" s="1"/>
  <c r="T247" i="1" s="1"/>
  <c r="U247" i="1" s="1"/>
  <c r="V247" i="1" s="1"/>
  <c r="F247" i="1"/>
  <c r="E247" i="1"/>
  <c r="D247" i="1"/>
  <c r="C247" i="1"/>
  <c r="B247" i="1"/>
  <c r="W247" i="1" s="1"/>
  <c r="A247" i="1"/>
  <c r="L246" i="1"/>
  <c r="M246" i="1" s="1"/>
  <c r="N246" i="1" s="1"/>
  <c r="O246" i="1" s="1"/>
  <c r="P246" i="1" s="1"/>
  <c r="Q246" i="1" s="1"/>
  <c r="R246" i="1" s="1"/>
  <c r="S246" i="1" s="1"/>
  <c r="T246" i="1" s="1"/>
  <c r="U246" i="1" s="1"/>
  <c r="V246" i="1" s="1"/>
  <c r="K246" i="1"/>
  <c r="F246" i="1"/>
  <c r="E246" i="1"/>
  <c r="D246" i="1"/>
  <c r="H246" i="1" s="1"/>
  <c r="I246" i="1" s="1"/>
  <c r="J246" i="1" s="1"/>
  <c r="C246" i="1"/>
  <c r="B246" i="1"/>
  <c r="A246" i="1"/>
  <c r="I245" i="1"/>
  <c r="J245" i="1" s="1"/>
  <c r="K245" i="1" s="1"/>
  <c r="L245" i="1" s="1"/>
  <c r="M245" i="1" s="1"/>
  <c r="N245" i="1" s="1"/>
  <c r="O245" i="1" s="1"/>
  <c r="P245" i="1" s="1"/>
  <c r="Q245" i="1" s="1"/>
  <c r="R245" i="1" s="1"/>
  <c r="S245" i="1" s="1"/>
  <c r="T245" i="1" s="1"/>
  <c r="U245" i="1" s="1"/>
  <c r="V245" i="1" s="1"/>
  <c r="H245" i="1"/>
  <c r="F245" i="1"/>
  <c r="E245" i="1"/>
  <c r="D245" i="1"/>
  <c r="C245" i="1"/>
  <c r="B245" i="1"/>
  <c r="W245" i="1" s="1"/>
  <c r="A245" i="1"/>
  <c r="W244" i="1"/>
  <c r="P244" i="1"/>
  <c r="Q244" i="1" s="1"/>
  <c r="R244" i="1" s="1"/>
  <c r="S244" i="1" s="1"/>
  <c r="T244" i="1" s="1"/>
  <c r="U244" i="1" s="1"/>
  <c r="V244" i="1" s="1"/>
  <c r="F244" i="1"/>
  <c r="E244" i="1"/>
  <c r="D244" i="1"/>
  <c r="H244" i="1" s="1"/>
  <c r="I244" i="1" s="1"/>
  <c r="J244" i="1" s="1"/>
  <c r="K244" i="1" s="1"/>
  <c r="L244" i="1" s="1"/>
  <c r="M244" i="1" s="1"/>
  <c r="N244" i="1" s="1"/>
  <c r="O244" i="1" s="1"/>
  <c r="C244" i="1"/>
  <c r="B244" i="1"/>
  <c r="A244" i="1"/>
  <c r="W243" i="1"/>
  <c r="H243" i="1"/>
  <c r="I243" i="1" s="1"/>
  <c r="J243" i="1" s="1"/>
  <c r="K243" i="1" s="1"/>
  <c r="L243" i="1" s="1"/>
  <c r="M243" i="1" s="1"/>
  <c r="N243" i="1" s="1"/>
  <c r="O243" i="1" s="1"/>
  <c r="P243" i="1" s="1"/>
  <c r="Q243" i="1" s="1"/>
  <c r="R243" i="1" s="1"/>
  <c r="S243" i="1" s="1"/>
  <c r="T243" i="1" s="1"/>
  <c r="U243" i="1" s="1"/>
  <c r="V243" i="1" s="1"/>
  <c r="F243" i="1"/>
  <c r="E243" i="1"/>
  <c r="D243" i="1"/>
  <c r="C243" i="1"/>
  <c r="B243" i="1"/>
  <c r="A243" i="1"/>
  <c r="K242" i="1"/>
  <c r="L242" i="1" s="1"/>
  <c r="M242" i="1" s="1"/>
  <c r="N242" i="1" s="1"/>
  <c r="O242" i="1" s="1"/>
  <c r="P242" i="1" s="1"/>
  <c r="Q242" i="1" s="1"/>
  <c r="R242" i="1" s="1"/>
  <c r="S242" i="1" s="1"/>
  <c r="T242" i="1" s="1"/>
  <c r="U242" i="1" s="1"/>
  <c r="V242" i="1" s="1"/>
  <c r="F242" i="1"/>
  <c r="E242" i="1"/>
  <c r="D242" i="1"/>
  <c r="H242" i="1" s="1"/>
  <c r="I242" i="1" s="1"/>
  <c r="J242" i="1" s="1"/>
  <c r="C242" i="1"/>
  <c r="B242" i="1"/>
  <c r="A242" i="1"/>
  <c r="I241" i="1"/>
  <c r="J241" i="1" s="1"/>
  <c r="K241" i="1" s="1"/>
  <c r="L241" i="1" s="1"/>
  <c r="M241" i="1" s="1"/>
  <c r="N241" i="1" s="1"/>
  <c r="O241" i="1" s="1"/>
  <c r="P241" i="1" s="1"/>
  <c r="Q241" i="1" s="1"/>
  <c r="R241" i="1" s="1"/>
  <c r="S241" i="1" s="1"/>
  <c r="T241" i="1" s="1"/>
  <c r="U241" i="1" s="1"/>
  <c r="V241" i="1" s="1"/>
  <c r="H241" i="1"/>
  <c r="F241" i="1"/>
  <c r="E241" i="1"/>
  <c r="D241" i="1"/>
  <c r="C241" i="1"/>
  <c r="B241" i="1"/>
  <c r="W241" i="1" s="1"/>
  <c r="A241" i="1"/>
  <c r="W240" i="1"/>
  <c r="P240" i="1"/>
  <c r="Q240" i="1" s="1"/>
  <c r="R240" i="1" s="1"/>
  <c r="S240" i="1" s="1"/>
  <c r="T240" i="1" s="1"/>
  <c r="U240" i="1" s="1"/>
  <c r="V240" i="1" s="1"/>
  <c r="I240" i="1"/>
  <c r="J240" i="1" s="1"/>
  <c r="K240" i="1" s="1"/>
  <c r="L240" i="1" s="1"/>
  <c r="M240" i="1" s="1"/>
  <c r="N240" i="1" s="1"/>
  <c r="O240" i="1" s="1"/>
  <c r="F240" i="1"/>
  <c r="E240" i="1"/>
  <c r="D240" i="1"/>
  <c r="H240" i="1" s="1"/>
  <c r="C240" i="1"/>
  <c r="B240" i="1"/>
  <c r="A240" i="1"/>
  <c r="M239" i="1"/>
  <c r="N239" i="1" s="1"/>
  <c r="O239" i="1" s="1"/>
  <c r="P239" i="1" s="1"/>
  <c r="Q239" i="1" s="1"/>
  <c r="R239" i="1" s="1"/>
  <c r="S239" i="1" s="1"/>
  <c r="T239" i="1" s="1"/>
  <c r="U239" i="1" s="1"/>
  <c r="V239" i="1" s="1"/>
  <c r="H239" i="1"/>
  <c r="I239" i="1" s="1"/>
  <c r="J239" i="1" s="1"/>
  <c r="K239" i="1" s="1"/>
  <c r="L239" i="1" s="1"/>
  <c r="F239" i="1"/>
  <c r="E239" i="1"/>
  <c r="D239" i="1"/>
  <c r="C239" i="1"/>
  <c r="B239" i="1"/>
  <c r="W239" i="1" s="1"/>
  <c r="A239" i="1"/>
  <c r="F238" i="1"/>
  <c r="E238" i="1"/>
  <c r="D238" i="1"/>
  <c r="H238" i="1" s="1"/>
  <c r="I238" i="1" s="1"/>
  <c r="J238" i="1" s="1"/>
  <c r="K238" i="1" s="1"/>
  <c r="L238" i="1" s="1"/>
  <c r="M238" i="1" s="1"/>
  <c r="N238" i="1" s="1"/>
  <c r="O238" i="1" s="1"/>
  <c r="P238" i="1" s="1"/>
  <c r="Q238" i="1" s="1"/>
  <c r="R238" i="1" s="1"/>
  <c r="S238" i="1" s="1"/>
  <c r="T238" i="1" s="1"/>
  <c r="U238" i="1" s="1"/>
  <c r="V238" i="1" s="1"/>
  <c r="C238" i="1"/>
  <c r="B238" i="1"/>
  <c r="A238" i="1"/>
  <c r="I237" i="1"/>
  <c r="J237" i="1" s="1"/>
  <c r="K237" i="1" s="1"/>
  <c r="L237" i="1" s="1"/>
  <c r="M237" i="1" s="1"/>
  <c r="N237" i="1" s="1"/>
  <c r="O237" i="1" s="1"/>
  <c r="P237" i="1" s="1"/>
  <c r="Q237" i="1" s="1"/>
  <c r="R237" i="1" s="1"/>
  <c r="S237" i="1" s="1"/>
  <c r="T237" i="1" s="1"/>
  <c r="U237" i="1" s="1"/>
  <c r="V237" i="1" s="1"/>
  <c r="H237" i="1"/>
  <c r="F237" i="1"/>
  <c r="E237" i="1"/>
  <c r="D237" i="1"/>
  <c r="C237" i="1"/>
  <c r="B237" i="1"/>
  <c r="W237" i="1" s="1"/>
  <c r="A237" i="1"/>
  <c r="W236" i="1"/>
  <c r="P236" i="1"/>
  <c r="Q236" i="1" s="1"/>
  <c r="R236" i="1" s="1"/>
  <c r="S236" i="1" s="1"/>
  <c r="T236" i="1" s="1"/>
  <c r="U236" i="1" s="1"/>
  <c r="V236" i="1" s="1"/>
  <c r="I236" i="1"/>
  <c r="J236" i="1" s="1"/>
  <c r="K236" i="1" s="1"/>
  <c r="L236" i="1" s="1"/>
  <c r="M236" i="1" s="1"/>
  <c r="N236" i="1" s="1"/>
  <c r="O236" i="1" s="1"/>
  <c r="F236" i="1"/>
  <c r="E236" i="1"/>
  <c r="D236" i="1"/>
  <c r="H236" i="1" s="1"/>
  <c r="C236" i="1"/>
  <c r="B236" i="1"/>
  <c r="A236" i="1"/>
  <c r="W235" i="1"/>
  <c r="H235" i="1"/>
  <c r="I235" i="1" s="1"/>
  <c r="J235" i="1" s="1"/>
  <c r="K235" i="1" s="1"/>
  <c r="L235" i="1" s="1"/>
  <c r="M235" i="1" s="1"/>
  <c r="N235" i="1" s="1"/>
  <c r="O235" i="1" s="1"/>
  <c r="P235" i="1" s="1"/>
  <c r="Q235" i="1" s="1"/>
  <c r="R235" i="1" s="1"/>
  <c r="S235" i="1" s="1"/>
  <c r="T235" i="1" s="1"/>
  <c r="U235" i="1" s="1"/>
  <c r="V235" i="1" s="1"/>
  <c r="F235" i="1"/>
  <c r="E235" i="1"/>
  <c r="D235" i="1"/>
  <c r="C235" i="1"/>
  <c r="B235" i="1"/>
  <c r="A235" i="1"/>
  <c r="N234" i="1"/>
  <c r="O234" i="1" s="1"/>
  <c r="P234" i="1" s="1"/>
  <c r="Q234" i="1" s="1"/>
  <c r="R234" i="1" s="1"/>
  <c r="S234" i="1" s="1"/>
  <c r="T234" i="1" s="1"/>
  <c r="U234" i="1" s="1"/>
  <c r="V234" i="1" s="1"/>
  <c r="F234" i="1"/>
  <c r="E234" i="1"/>
  <c r="D234" i="1"/>
  <c r="H234" i="1" s="1"/>
  <c r="I234" i="1" s="1"/>
  <c r="J234" i="1" s="1"/>
  <c r="K234" i="1" s="1"/>
  <c r="L234" i="1" s="1"/>
  <c r="M234" i="1" s="1"/>
  <c r="C234" i="1"/>
  <c r="B234" i="1"/>
  <c r="A234" i="1"/>
  <c r="W234" i="1" s="1"/>
  <c r="I233" i="1"/>
  <c r="J233" i="1" s="1"/>
  <c r="K233" i="1" s="1"/>
  <c r="L233" i="1" s="1"/>
  <c r="M233" i="1" s="1"/>
  <c r="N233" i="1" s="1"/>
  <c r="O233" i="1" s="1"/>
  <c r="P233" i="1" s="1"/>
  <c r="Q233" i="1" s="1"/>
  <c r="R233" i="1" s="1"/>
  <c r="S233" i="1" s="1"/>
  <c r="T233" i="1" s="1"/>
  <c r="U233" i="1" s="1"/>
  <c r="V233" i="1" s="1"/>
  <c r="H233" i="1"/>
  <c r="F233" i="1"/>
  <c r="E233" i="1"/>
  <c r="D233" i="1"/>
  <c r="C233" i="1"/>
  <c r="B233" i="1"/>
  <c r="W233" i="1" s="1"/>
  <c r="A233" i="1"/>
  <c r="W232" i="1"/>
  <c r="I232" i="1"/>
  <c r="J232" i="1" s="1"/>
  <c r="K232" i="1" s="1"/>
  <c r="L232" i="1" s="1"/>
  <c r="M232" i="1" s="1"/>
  <c r="N232" i="1" s="1"/>
  <c r="O232" i="1" s="1"/>
  <c r="P232" i="1" s="1"/>
  <c r="Q232" i="1" s="1"/>
  <c r="R232" i="1" s="1"/>
  <c r="S232" i="1" s="1"/>
  <c r="T232" i="1" s="1"/>
  <c r="U232" i="1" s="1"/>
  <c r="V232" i="1" s="1"/>
  <c r="F232" i="1"/>
  <c r="E232" i="1"/>
  <c r="D232" i="1"/>
  <c r="H232" i="1" s="1"/>
  <c r="C232" i="1"/>
  <c r="B232" i="1"/>
  <c r="A232" i="1"/>
  <c r="W231" i="1"/>
  <c r="U231" i="1"/>
  <c r="V231" i="1" s="1"/>
  <c r="H231" i="1"/>
  <c r="I231" i="1" s="1"/>
  <c r="J231" i="1" s="1"/>
  <c r="K231" i="1" s="1"/>
  <c r="L231" i="1" s="1"/>
  <c r="M231" i="1" s="1"/>
  <c r="N231" i="1" s="1"/>
  <c r="O231" i="1" s="1"/>
  <c r="P231" i="1" s="1"/>
  <c r="Q231" i="1" s="1"/>
  <c r="R231" i="1" s="1"/>
  <c r="S231" i="1" s="1"/>
  <c r="T231" i="1" s="1"/>
  <c r="F231" i="1"/>
  <c r="E231" i="1"/>
  <c r="D231" i="1"/>
  <c r="C231" i="1"/>
  <c r="B231" i="1"/>
  <c r="A231" i="1"/>
  <c r="K230" i="1"/>
  <c r="L230" i="1" s="1"/>
  <c r="M230" i="1" s="1"/>
  <c r="N230" i="1" s="1"/>
  <c r="O230" i="1" s="1"/>
  <c r="P230" i="1" s="1"/>
  <c r="Q230" i="1" s="1"/>
  <c r="R230" i="1" s="1"/>
  <c r="S230" i="1" s="1"/>
  <c r="T230" i="1" s="1"/>
  <c r="U230" i="1" s="1"/>
  <c r="V230" i="1" s="1"/>
  <c r="F230" i="1"/>
  <c r="E230" i="1"/>
  <c r="D230" i="1"/>
  <c r="H230" i="1" s="1"/>
  <c r="I230" i="1" s="1"/>
  <c r="J230" i="1" s="1"/>
  <c r="C230" i="1"/>
  <c r="B230" i="1"/>
  <c r="A230" i="1"/>
  <c r="W230" i="1" s="1"/>
  <c r="L229" i="1"/>
  <c r="M229" i="1" s="1"/>
  <c r="N229" i="1" s="1"/>
  <c r="O229" i="1" s="1"/>
  <c r="P229" i="1" s="1"/>
  <c r="Q229" i="1" s="1"/>
  <c r="R229" i="1" s="1"/>
  <c r="S229" i="1" s="1"/>
  <c r="T229" i="1" s="1"/>
  <c r="U229" i="1" s="1"/>
  <c r="V229" i="1" s="1"/>
  <c r="I229" i="1"/>
  <c r="J229" i="1" s="1"/>
  <c r="K229" i="1" s="1"/>
  <c r="H229" i="1"/>
  <c r="F229" i="1"/>
  <c r="E229" i="1"/>
  <c r="D229" i="1"/>
  <c r="C229" i="1"/>
  <c r="B229" i="1"/>
  <c r="W229" i="1" s="1"/>
  <c r="A229" i="1"/>
  <c r="W228" i="1"/>
  <c r="F228" i="1"/>
  <c r="E228" i="1"/>
  <c r="D228" i="1"/>
  <c r="H228" i="1" s="1"/>
  <c r="I228" i="1" s="1"/>
  <c r="J228" i="1" s="1"/>
  <c r="K228" i="1" s="1"/>
  <c r="L228" i="1" s="1"/>
  <c r="M228" i="1" s="1"/>
  <c r="N228" i="1" s="1"/>
  <c r="O228" i="1" s="1"/>
  <c r="P228" i="1" s="1"/>
  <c r="Q228" i="1" s="1"/>
  <c r="R228" i="1" s="1"/>
  <c r="S228" i="1" s="1"/>
  <c r="T228" i="1" s="1"/>
  <c r="U228" i="1" s="1"/>
  <c r="V228" i="1" s="1"/>
  <c r="C228" i="1"/>
  <c r="B228" i="1"/>
  <c r="A228" i="1"/>
  <c r="W227" i="1"/>
  <c r="K227" i="1"/>
  <c r="L227" i="1" s="1"/>
  <c r="M227" i="1" s="1"/>
  <c r="N227" i="1" s="1"/>
  <c r="O227" i="1" s="1"/>
  <c r="P227" i="1" s="1"/>
  <c r="Q227" i="1" s="1"/>
  <c r="R227" i="1" s="1"/>
  <c r="S227" i="1" s="1"/>
  <c r="T227" i="1" s="1"/>
  <c r="U227" i="1" s="1"/>
  <c r="V227" i="1" s="1"/>
  <c r="H227" i="1"/>
  <c r="I227" i="1" s="1"/>
  <c r="J227" i="1" s="1"/>
  <c r="F227" i="1"/>
  <c r="E227" i="1"/>
  <c r="D227" i="1"/>
  <c r="C227" i="1"/>
  <c r="B227" i="1"/>
  <c r="A227" i="1"/>
  <c r="V226" i="1"/>
  <c r="F226" i="1"/>
  <c r="E226" i="1"/>
  <c r="D226" i="1"/>
  <c r="H226" i="1" s="1"/>
  <c r="I226" i="1" s="1"/>
  <c r="J226" i="1" s="1"/>
  <c r="K226" i="1" s="1"/>
  <c r="L226" i="1" s="1"/>
  <c r="M226" i="1" s="1"/>
  <c r="N226" i="1" s="1"/>
  <c r="O226" i="1" s="1"/>
  <c r="P226" i="1" s="1"/>
  <c r="Q226" i="1" s="1"/>
  <c r="R226" i="1" s="1"/>
  <c r="S226" i="1" s="1"/>
  <c r="T226" i="1" s="1"/>
  <c r="U226" i="1" s="1"/>
  <c r="C226" i="1"/>
  <c r="B226" i="1"/>
  <c r="A226" i="1"/>
  <c r="W226" i="1" s="1"/>
  <c r="L225" i="1"/>
  <c r="M225" i="1" s="1"/>
  <c r="N225" i="1" s="1"/>
  <c r="O225" i="1" s="1"/>
  <c r="P225" i="1" s="1"/>
  <c r="Q225" i="1" s="1"/>
  <c r="R225" i="1" s="1"/>
  <c r="S225" i="1" s="1"/>
  <c r="T225" i="1" s="1"/>
  <c r="U225" i="1" s="1"/>
  <c r="V225" i="1" s="1"/>
  <c r="I225" i="1"/>
  <c r="J225" i="1" s="1"/>
  <c r="K225" i="1" s="1"/>
  <c r="H225" i="1"/>
  <c r="F225" i="1"/>
  <c r="E225" i="1"/>
  <c r="D225" i="1"/>
  <c r="C225" i="1"/>
  <c r="B225" i="1"/>
  <c r="W225" i="1" s="1"/>
  <c r="A225" i="1"/>
  <c r="W224" i="1"/>
  <c r="Q224" i="1"/>
  <c r="R224" i="1" s="1"/>
  <c r="S224" i="1" s="1"/>
  <c r="T224" i="1" s="1"/>
  <c r="U224" i="1" s="1"/>
  <c r="V224" i="1" s="1"/>
  <c r="F224" i="1"/>
  <c r="E224" i="1"/>
  <c r="D224" i="1"/>
  <c r="H224" i="1" s="1"/>
  <c r="I224" i="1" s="1"/>
  <c r="J224" i="1" s="1"/>
  <c r="K224" i="1" s="1"/>
  <c r="L224" i="1" s="1"/>
  <c r="M224" i="1" s="1"/>
  <c r="N224" i="1" s="1"/>
  <c r="O224" i="1" s="1"/>
  <c r="P224" i="1" s="1"/>
  <c r="C224" i="1"/>
  <c r="B224" i="1"/>
  <c r="A224" i="1"/>
  <c r="K223" i="1"/>
  <c r="L223" i="1" s="1"/>
  <c r="M223" i="1" s="1"/>
  <c r="N223" i="1" s="1"/>
  <c r="O223" i="1" s="1"/>
  <c r="P223" i="1" s="1"/>
  <c r="Q223" i="1" s="1"/>
  <c r="R223" i="1" s="1"/>
  <c r="S223" i="1" s="1"/>
  <c r="T223" i="1" s="1"/>
  <c r="U223" i="1" s="1"/>
  <c r="V223" i="1" s="1"/>
  <c r="I223" i="1"/>
  <c r="J223" i="1" s="1"/>
  <c r="H223" i="1"/>
  <c r="F223" i="1"/>
  <c r="E223" i="1"/>
  <c r="D223" i="1"/>
  <c r="C223" i="1"/>
  <c r="B223" i="1"/>
  <c r="A223" i="1"/>
  <c r="W223" i="1" s="1"/>
  <c r="W222" i="1"/>
  <c r="P222" i="1"/>
  <c r="Q222" i="1" s="1"/>
  <c r="R222" i="1" s="1"/>
  <c r="S222" i="1" s="1"/>
  <c r="T222" i="1" s="1"/>
  <c r="U222" i="1" s="1"/>
  <c r="V222" i="1" s="1"/>
  <c r="J222" i="1"/>
  <c r="K222" i="1" s="1"/>
  <c r="L222" i="1" s="1"/>
  <c r="M222" i="1" s="1"/>
  <c r="N222" i="1" s="1"/>
  <c r="O222" i="1" s="1"/>
  <c r="H222" i="1"/>
  <c r="I222" i="1" s="1"/>
  <c r="F222" i="1"/>
  <c r="E222" i="1"/>
  <c r="D222" i="1"/>
  <c r="C222" i="1"/>
  <c r="B222" i="1"/>
  <c r="A222" i="1"/>
  <c r="F221" i="1"/>
  <c r="E221" i="1"/>
  <c r="D221" i="1"/>
  <c r="H221" i="1" s="1"/>
  <c r="I221" i="1" s="1"/>
  <c r="J221" i="1" s="1"/>
  <c r="K221" i="1" s="1"/>
  <c r="L221" i="1" s="1"/>
  <c r="M221" i="1" s="1"/>
  <c r="N221" i="1" s="1"/>
  <c r="O221" i="1" s="1"/>
  <c r="P221" i="1" s="1"/>
  <c r="Q221" i="1" s="1"/>
  <c r="R221" i="1" s="1"/>
  <c r="S221" i="1" s="1"/>
  <c r="T221" i="1" s="1"/>
  <c r="U221" i="1" s="1"/>
  <c r="V221" i="1" s="1"/>
  <c r="C221" i="1"/>
  <c r="B221" i="1"/>
  <c r="A221" i="1"/>
  <c r="W221" i="1" s="1"/>
  <c r="V220" i="1"/>
  <c r="H220" i="1"/>
  <c r="I220" i="1" s="1"/>
  <c r="J220" i="1" s="1"/>
  <c r="K220" i="1" s="1"/>
  <c r="L220" i="1" s="1"/>
  <c r="M220" i="1" s="1"/>
  <c r="N220" i="1" s="1"/>
  <c r="O220" i="1" s="1"/>
  <c r="P220" i="1" s="1"/>
  <c r="Q220" i="1" s="1"/>
  <c r="R220" i="1" s="1"/>
  <c r="S220" i="1" s="1"/>
  <c r="T220" i="1" s="1"/>
  <c r="U220" i="1" s="1"/>
  <c r="F220" i="1"/>
  <c r="E220" i="1"/>
  <c r="D220" i="1"/>
  <c r="C220" i="1"/>
  <c r="B220" i="1"/>
  <c r="A220" i="1"/>
  <c r="R219" i="1"/>
  <c r="S219" i="1" s="1"/>
  <c r="T219" i="1" s="1"/>
  <c r="U219" i="1" s="1"/>
  <c r="V219" i="1" s="1"/>
  <c r="I219" i="1"/>
  <c r="J219" i="1" s="1"/>
  <c r="K219" i="1" s="1"/>
  <c r="L219" i="1" s="1"/>
  <c r="M219" i="1" s="1"/>
  <c r="N219" i="1" s="1"/>
  <c r="O219" i="1" s="1"/>
  <c r="P219" i="1" s="1"/>
  <c r="Q219" i="1" s="1"/>
  <c r="H219" i="1"/>
  <c r="F219" i="1"/>
  <c r="E219" i="1"/>
  <c r="D219" i="1"/>
  <c r="C219" i="1"/>
  <c r="B219" i="1"/>
  <c r="A219" i="1"/>
  <c r="W219" i="1" s="1"/>
  <c r="H218" i="1"/>
  <c r="I218" i="1" s="1"/>
  <c r="J218" i="1" s="1"/>
  <c r="K218" i="1" s="1"/>
  <c r="L218" i="1" s="1"/>
  <c r="M218" i="1" s="1"/>
  <c r="N218" i="1" s="1"/>
  <c r="O218" i="1" s="1"/>
  <c r="P218" i="1" s="1"/>
  <c r="Q218" i="1" s="1"/>
  <c r="R218" i="1" s="1"/>
  <c r="S218" i="1" s="1"/>
  <c r="T218" i="1" s="1"/>
  <c r="U218" i="1" s="1"/>
  <c r="V218" i="1" s="1"/>
  <c r="F218" i="1"/>
  <c r="E218" i="1"/>
  <c r="D218" i="1"/>
  <c r="C218" i="1"/>
  <c r="B218" i="1"/>
  <c r="A218" i="1"/>
  <c r="W218" i="1" s="1"/>
  <c r="F217" i="1"/>
  <c r="E217" i="1"/>
  <c r="D217" i="1"/>
  <c r="H217" i="1" s="1"/>
  <c r="I217" i="1" s="1"/>
  <c r="J217" i="1" s="1"/>
  <c r="K217" i="1" s="1"/>
  <c r="L217" i="1" s="1"/>
  <c r="M217" i="1" s="1"/>
  <c r="N217" i="1" s="1"/>
  <c r="O217" i="1" s="1"/>
  <c r="P217" i="1" s="1"/>
  <c r="Q217" i="1" s="1"/>
  <c r="R217" i="1" s="1"/>
  <c r="S217" i="1" s="1"/>
  <c r="T217" i="1" s="1"/>
  <c r="U217" i="1" s="1"/>
  <c r="V217" i="1" s="1"/>
  <c r="C217" i="1"/>
  <c r="B217" i="1"/>
  <c r="A217" i="1"/>
  <c r="W217" i="1" s="1"/>
  <c r="J216" i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U216" i="1" s="1"/>
  <c r="V216" i="1" s="1"/>
  <c r="H216" i="1"/>
  <c r="I216" i="1" s="1"/>
  <c r="F216" i="1"/>
  <c r="E216" i="1"/>
  <c r="D216" i="1"/>
  <c r="C216" i="1"/>
  <c r="B216" i="1"/>
  <c r="A216" i="1"/>
  <c r="W216" i="1" s="1"/>
  <c r="T215" i="1"/>
  <c r="U215" i="1" s="1"/>
  <c r="V215" i="1" s="1"/>
  <c r="H215" i="1"/>
  <c r="I215" i="1" s="1"/>
  <c r="J215" i="1" s="1"/>
  <c r="K215" i="1" s="1"/>
  <c r="L215" i="1" s="1"/>
  <c r="M215" i="1" s="1"/>
  <c r="N215" i="1" s="1"/>
  <c r="O215" i="1" s="1"/>
  <c r="P215" i="1" s="1"/>
  <c r="Q215" i="1" s="1"/>
  <c r="R215" i="1" s="1"/>
  <c r="S215" i="1" s="1"/>
  <c r="F215" i="1"/>
  <c r="E215" i="1"/>
  <c r="D215" i="1"/>
  <c r="C215" i="1"/>
  <c r="B215" i="1"/>
  <c r="A215" i="1"/>
  <c r="W215" i="1" s="1"/>
  <c r="R214" i="1"/>
  <c r="S214" i="1" s="1"/>
  <c r="T214" i="1" s="1"/>
  <c r="U214" i="1" s="1"/>
  <c r="V214" i="1" s="1"/>
  <c r="H214" i="1"/>
  <c r="I214" i="1" s="1"/>
  <c r="J214" i="1" s="1"/>
  <c r="K214" i="1" s="1"/>
  <c r="L214" i="1" s="1"/>
  <c r="M214" i="1" s="1"/>
  <c r="N214" i="1" s="1"/>
  <c r="O214" i="1" s="1"/>
  <c r="P214" i="1" s="1"/>
  <c r="Q214" i="1" s="1"/>
  <c r="F214" i="1"/>
  <c r="E214" i="1"/>
  <c r="D214" i="1"/>
  <c r="C214" i="1"/>
  <c r="B214" i="1"/>
  <c r="A214" i="1"/>
  <c r="W214" i="1" s="1"/>
  <c r="N213" i="1"/>
  <c r="O213" i="1" s="1"/>
  <c r="P213" i="1" s="1"/>
  <c r="Q213" i="1" s="1"/>
  <c r="R213" i="1" s="1"/>
  <c r="S213" i="1" s="1"/>
  <c r="T213" i="1" s="1"/>
  <c r="U213" i="1" s="1"/>
  <c r="V213" i="1" s="1"/>
  <c r="L213" i="1"/>
  <c r="M213" i="1" s="1"/>
  <c r="H213" i="1"/>
  <c r="I213" i="1" s="1"/>
  <c r="J213" i="1" s="1"/>
  <c r="K213" i="1" s="1"/>
  <c r="F213" i="1"/>
  <c r="E213" i="1"/>
  <c r="D213" i="1"/>
  <c r="C213" i="1"/>
  <c r="B213" i="1"/>
  <c r="A213" i="1"/>
  <c r="W213" i="1" s="1"/>
  <c r="H212" i="1"/>
  <c r="I212" i="1" s="1"/>
  <c r="J212" i="1" s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F212" i="1"/>
  <c r="E212" i="1"/>
  <c r="D212" i="1"/>
  <c r="C212" i="1"/>
  <c r="B212" i="1"/>
  <c r="A212" i="1"/>
  <c r="W212" i="1" s="1"/>
  <c r="H211" i="1"/>
  <c r="I211" i="1" s="1"/>
  <c r="J211" i="1" s="1"/>
  <c r="K211" i="1" s="1"/>
  <c r="L211" i="1" s="1"/>
  <c r="M211" i="1" s="1"/>
  <c r="N211" i="1" s="1"/>
  <c r="O211" i="1" s="1"/>
  <c r="P211" i="1" s="1"/>
  <c r="Q211" i="1" s="1"/>
  <c r="R211" i="1" s="1"/>
  <c r="S211" i="1" s="1"/>
  <c r="T211" i="1" s="1"/>
  <c r="U211" i="1" s="1"/>
  <c r="V211" i="1" s="1"/>
  <c r="F211" i="1"/>
  <c r="E211" i="1"/>
  <c r="D211" i="1"/>
  <c r="C211" i="1"/>
  <c r="B211" i="1"/>
  <c r="A211" i="1"/>
  <c r="W211" i="1" s="1"/>
  <c r="W210" i="1"/>
  <c r="J210" i="1"/>
  <c r="K210" i="1" s="1"/>
  <c r="L210" i="1" s="1"/>
  <c r="M210" i="1" s="1"/>
  <c r="N210" i="1" s="1"/>
  <c r="O210" i="1" s="1"/>
  <c r="P210" i="1" s="1"/>
  <c r="Q210" i="1" s="1"/>
  <c r="R210" i="1" s="1"/>
  <c r="S210" i="1" s="1"/>
  <c r="T210" i="1" s="1"/>
  <c r="U210" i="1" s="1"/>
  <c r="V210" i="1" s="1"/>
  <c r="H210" i="1"/>
  <c r="I210" i="1" s="1"/>
  <c r="F210" i="1"/>
  <c r="E210" i="1"/>
  <c r="D210" i="1"/>
  <c r="C210" i="1"/>
  <c r="B210" i="1"/>
  <c r="A210" i="1"/>
  <c r="F209" i="1"/>
  <c r="E209" i="1"/>
  <c r="D209" i="1"/>
  <c r="H209" i="1" s="1"/>
  <c r="I209" i="1" s="1"/>
  <c r="J209" i="1" s="1"/>
  <c r="K209" i="1" s="1"/>
  <c r="L209" i="1" s="1"/>
  <c r="M209" i="1" s="1"/>
  <c r="N209" i="1" s="1"/>
  <c r="O209" i="1" s="1"/>
  <c r="P209" i="1" s="1"/>
  <c r="Q209" i="1" s="1"/>
  <c r="R209" i="1" s="1"/>
  <c r="S209" i="1" s="1"/>
  <c r="T209" i="1" s="1"/>
  <c r="U209" i="1" s="1"/>
  <c r="V209" i="1" s="1"/>
  <c r="C209" i="1"/>
  <c r="B209" i="1"/>
  <c r="A209" i="1"/>
  <c r="W209" i="1" s="1"/>
  <c r="J208" i="1"/>
  <c r="K208" i="1" s="1"/>
  <c r="L208" i="1" s="1"/>
  <c r="M208" i="1" s="1"/>
  <c r="N208" i="1" s="1"/>
  <c r="O208" i="1" s="1"/>
  <c r="P208" i="1" s="1"/>
  <c r="Q208" i="1" s="1"/>
  <c r="R208" i="1" s="1"/>
  <c r="S208" i="1" s="1"/>
  <c r="T208" i="1" s="1"/>
  <c r="U208" i="1" s="1"/>
  <c r="V208" i="1" s="1"/>
  <c r="H208" i="1"/>
  <c r="I208" i="1" s="1"/>
  <c r="F208" i="1"/>
  <c r="E208" i="1"/>
  <c r="D208" i="1"/>
  <c r="C208" i="1"/>
  <c r="B208" i="1"/>
  <c r="A208" i="1"/>
  <c r="J207" i="1"/>
  <c r="K207" i="1" s="1"/>
  <c r="L207" i="1" s="1"/>
  <c r="M207" i="1" s="1"/>
  <c r="N207" i="1" s="1"/>
  <c r="O207" i="1" s="1"/>
  <c r="P207" i="1" s="1"/>
  <c r="Q207" i="1" s="1"/>
  <c r="R207" i="1" s="1"/>
  <c r="S207" i="1" s="1"/>
  <c r="T207" i="1" s="1"/>
  <c r="U207" i="1" s="1"/>
  <c r="V207" i="1" s="1"/>
  <c r="I207" i="1"/>
  <c r="H207" i="1"/>
  <c r="F207" i="1"/>
  <c r="E207" i="1"/>
  <c r="D207" i="1"/>
  <c r="C207" i="1"/>
  <c r="B207" i="1"/>
  <c r="A207" i="1"/>
  <c r="W207" i="1" s="1"/>
  <c r="W206" i="1"/>
  <c r="H206" i="1"/>
  <c r="I206" i="1" s="1"/>
  <c r="J206" i="1" s="1"/>
  <c r="K206" i="1" s="1"/>
  <c r="L206" i="1" s="1"/>
  <c r="M206" i="1" s="1"/>
  <c r="N206" i="1" s="1"/>
  <c r="O206" i="1" s="1"/>
  <c r="P206" i="1" s="1"/>
  <c r="Q206" i="1" s="1"/>
  <c r="R206" i="1" s="1"/>
  <c r="S206" i="1" s="1"/>
  <c r="T206" i="1" s="1"/>
  <c r="U206" i="1" s="1"/>
  <c r="V206" i="1" s="1"/>
  <c r="F206" i="1"/>
  <c r="E206" i="1"/>
  <c r="D206" i="1"/>
  <c r="C206" i="1"/>
  <c r="B206" i="1"/>
  <c r="A206" i="1"/>
  <c r="H205" i="1"/>
  <c r="I205" i="1" s="1"/>
  <c r="J205" i="1" s="1"/>
  <c r="K205" i="1" s="1"/>
  <c r="L205" i="1" s="1"/>
  <c r="M205" i="1" s="1"/>
  <c r="N205" i="1" s="1"/>
  <c r="O205" i="1" s="1"/>
  <c r="P205" i="1" s="1"/>
  <c r="Q205" i="1" s="1"/>
  <c r="R205" i="1" s="1"/>
  <c r="S205" i="1" s="1"/>
  <c r="T205" i="1" s="1"/>
  <c r="U205" i="1" s="1"/>
  <c r="V205" i="1" s="1"/>
  <c r="F205" i="1"/>
  <c r="E205" i="1"/>
  <c r="D205" i="1"/>
  <c r="C205" i="1"/>
  <c r="B205" i="1"/>
  <c r="A205" i="1"/>
  <c r="W205" i="1" s="1"/>
  <c r="S204" i="1"/>
  <c r="T204" i="1" s="1"/>
  <c r="U204" i="1" s="1"/>
  <c r="V204" i="1" s="1"/>
  <c r="H204" i="1"/>
  <c r="I204" i="1" s="1"/>
  <c r="J204" i="1" s="1"/>
  <c r="K204" i="1" s="1"/>
  <c r="L204" i="1" s="1"/>
  <c r="M204" i="1" s="1"/>
  <c r="N204" i="1" s="1"/>
  <c r="O204" i="1" s="1"/>
  <c r="P204" i="1" s="1"/>
  <c r="Q204" i="1" s="1"/>
  <c r="R204" i="1" s="1"/>
  <c r="F204" i="1"/>
  <c r="E204" i="1"/>
  <c r="D204" i="1"/>
  <c r="C204" i="1"/>
  <c r="B204" i="1"/>
  <c r="A204" i="1"/>
  <c r="W204" i="1" s="1"/>
  <c r="T203" i="1"/>
  <c r="U203" i="1" s="1"/>
  <c r="V203" i="1" s="1"/>
  <c r="R203" i="1"/>
  <c r="S203" i="1" s="1"/>
  <c r="H203" i="1"/>
  <c r="I203" i="1" s="1"/>
  <c r="J203" i="1" s="1"/>
  <c r="K203" i="1" s="1"/>
  <c r="L203" i="1" s="1"/>
  <c r="M203" i="1" s="1"/>
  <c r="N203" i="1" s="1"/>
  <c r="O203" i="1" s="1"/>
  <c r="P203" i="1" s="1"/>
  <c r="Q203" i="1" s="1"/>
  <c r="F203" i="1"/>
  <c r="E203" i="1"/>
  <c r="D203" i="1"/>
  <c r="C203" i="1"/>
  <c r="B203" i="1"/>
  <c r="A203" i="1"/>
  <c r="W203" i="1" s="1"/>
  <c r="V202" i="1"/>
  <c r="T202" i="1"/>
  <c r="U202" i="1" s="1"/>
  <c r="H202" i="1"/>
  <c r="I202" i="1" s="1"/>
  <c r="J202" i="1" s="1"/>
  <c r="K202" i="1" s="1"/>
  <c r="L202" i="1" s="1"/>
  <c r="M202" i="1" s="1"/>
  <c r="N202" i="1" s="1"/>
  <c r="O202" i="1" s="1"/>
  <c r="P202" i="1" s="1"/>
  <c r="Q202" i="1" s="1"/>
  <c r="R202" i="1" s="1"/>
  <c r="S202" i="1" s="1"/>
  <c r="F202" i="1"/>
  <c r="E202" i="1"/>
  <c r="D202" i="1"/>
  <c r="C202" i="1"/>
  <c r="B202" i="1"/>
  <c r="A202" i="1"/>
  <c r="W202" i="1" s="1"/>
  <c r="H201" i="1"/>
  <c r="I201" i="1" s="1"/>
  <c r="J201" i="1" s="1"/>
  <c r="K201" i="1" s="1"/>
  <c r="L201" i="1" s="1"/>
  <c r="M201" i="1" s="1"/>
  <c r="N201" i="1" s="1"/>
  <c r="O201" i="1" s="1"/>
  <c r="P201" i="1" s="1"/>
  <c r="Q201" i="1" s="1"/>
  <c r="R201" i="1" s="1"/>
  <c r="S201" i="1" s="1"/>
  <c r="T201" i="1" s="1"/>
  <c r="U201" i="1" s="1"/>
  <c r="V201" i="1" s="1"/>
  <c r="F201" i="1"/>
  <c r="E201" i="1"/>
  <c r="D201" i="1"/>
  <c r="C201" i="1"/>
  <c r="B201" i="1"/>
  <c r="A201" i="1"/>
  <c r="W201" i="1" s="1"/>
  <c r="H200" i="1"/>
  <c r="I200" i="1" s="1"/>
  <c r="J200" i="1" s="1"/>
  <c r="K200" i="1" s="1"/>
  <c r="L200" i="1" s="1"/>
  <c r="M200" i="1" s="1"/>
  <c r="N200" i="1" s="1"/>
  <c r="O200" i="1" s="1"/>
  <c r="P200" i="1" s="1"/>
  <c r="Q200" i="1" s="1"/>
  <c r="R200" i="1" s="1"/>
  <c r="S200" i="1" s="1"/>
  <c r="T200" i="1" s="1"/>
  <c r="U200" i="1" s="1"/>
  <c r="V200" i="1" s="1"/>
  <c r="F200" i="1"/>
  <c r="E200" i="1"/>
  <c r="D200" i="1"/>
  <c r="C200" i="1"/>
  <c r="B200" i="1"/>
  <c r="A200" i="1"/>
  <c r="W200" i="1" s="1"/>
  <c r="R199" i="1"/>
  <c r="S199" i="1" s="1"/>
  <c r="T199" i="1" s="1"/>
  <c r="U199" i="1" s="1"/>
  <c r="V199" i="1" s="1"/>
  <c r="H199" i="1"/>
  <c r="I199" i="1" s="1"/>
  <c r="J199" i="1" s="1"/>
  <c r="K199" i="1" s="1"/>
  <c r="L199" i="1" s="1"/>
  <c r="M199" i="1" s="1"/>
  <c r="N199" i="1" s="1"/>
  <c r="O199" i="1" s="1"/>
  <c r="P199" i="1" s="1"/>
  <c r="Q199" i="1" s="1"/>
  <c r="F199" i="1"/>
  <c r="E199" i="1"/>
  <c r="D199" i="1"/>
  <c r="C199" i="1"/>
  <c r="B199" i="1"/>
  <c r="A199" i="1"/>
  <c r="W199" i="1" s="1"/>
  <c r="V198" i="1"/>
  <c r="H198" i="1"/>
  <c r="I198" i="1" s="1"/>
  <c r="J198" i="1" s="1"/>
  <c r="K198" i="1" s="1"/>
  <c r="L198" i="1" s="1"/>
  <c r="M198" i="1" s="1"/>
  <c r="N198" i="1" s="1"/>
  <c r="O198" i="1" s="1"/>
  <c r="P198" i="1" s="1"/>
  <c r="Q198" i="1" s="1"/>
  <c r="R198" i="1" s="1"/>
  <c r="S198" i="1" s="1"/>
  <c r="T198" i="1" s="1"/>
  <c r="U198" i="1" s="1"/>
  <c r="F198" i="1"/>
  <c r="E198" i="1"/>
  <c r="D198" i="1"/>
  <c r="C198" i="1"/>
  <c r="B198" i="1"/>
  <c r="A198" i="1"/>
  <c r="W198" i="1" s="1"/>
  <c r="H197" i="1"/>
  <c r="I197" i="1" s="1"/>
  <c r="J197" i="1" s="1"/>
  <c r="K197" i="1" s="1"/>
  <c r="L197" i="1" s="1"/>
  <c r="M197" i="1" s="1"/>
  <c r="N197" i="1" s="1"/>
  <c r="O197" i="1" s="1"/>
  <c r="P197" i="1" s="1"/>
  <c r="Q197" i="1" s="1"/>
  <c r="R197" i="1" s="1"/>
  <c r="S197" i="1" s="1"/>
  <c r="T197" i="1" s="1"/>
  <c r="U197" i="1" s="1"/>
  <c r="V197" i="1" s="1"/>
  <c r="F197" i="1"/>
  <c r="E197" i="1"/>
  <c r="D197" i="1"/>
  <c r="C197" i="1"/>
  <c r="B197" i="1"/>
  <c r="A197" i="1"/>
  <c r="W197" i="1" s="1"/>
  <c r="S196" i="1"/>
  <c r="T196" i="1" s="1"/>
  <c r="U196" i="1" s="1"/>
  <c r="V196" i="1" s="1"/>
  <c r="H196" i="1"/>
  <c r="I196" i="1" s="1"/>
  <c r="J196" i="1" s="1"/>
  <c r="K196" i="1" s="1"/>
  <c r="L196" i="1" s="1"/>
  <c r="M196" i="1" s="1"/>
  <c r="N196" i="1" s="1"/>
  <c r="O196" i="1" s="1"/>
  <c r="P196" i="1" s="1"/>
  <c r="Q196" i="1" s="1"/>
  <c r="R196" i="1" s="1"/>
  <c r="F196" i="1"/>
  <c r="E196" i="1"/>
  <c r="D196" i="1"/>
  <c r="C196" i="1"/>
  <c r="B196" i="1"/>
  <c r="A196" i="1"/>
  <c r="W196" i="1" s="1"/>
  <c r="T195" i="1"/>
  <c r="U195" i="1" s="1"/>
  <c r="V195" i="1" s="1"/>
  <c r="R195" i="1"/>
  <c r="S195" i="1" s="1"/>
  <c r="H195" i="1"/>
  <c r="I195" i="1" s="1"/>
  <c r="J195" i="1" s="1"/>
  <c r="K195" i="1" s="1"/>
  <c r="L195" i="1" s="1"/>
  <c r="M195" i="1" s="1"/>
  <c r="N195" i="1" s="1"/>
  <c r="O195" i="1" s="1"/>
  <c r="P195" i="1" s="1"/>
  <c r="Q195" i="1" s="1"/>
  <c r="F195" i="1"/>
  <c r="E195" i="1"/>
  <c r="D195" i="1"/>
  <c r="C195" i="1"/>
  <c r="B195" i="1"/>
  <c r="A195" i="1"/>
  <c r="W195" i="1" s="1"/>
  <c r="V194" i="1"/>
  <c r="T194" i="1"/>
  <c r="U194" i="1" s="1"/>
  <c r="H194" i="1"/>
  <c r="I194" i="1" s="1"/>
  <c r="J194" i="1" s="1"/>
  <c r="K194" i="1" s="1"/>
  <c r="L194" i="1" s="1"/>
  <c r="M194" i="1" s="1"/>
  <c r="N194" i="1" s="1"/>
  <c r="O194" i="1" s="1"/>
  <c r="P194" i="1" s="1"/>
  <c r="Q194" i="1" s="1"/>
  <c r="R194" i="1" s="1"/>
  <c r="S194" i="1" s="1"/>
  <c r="F194" i="1"/>
  <c r="E194" i="1"/>
  <c r="D194" i="1"/>
  <c r="C194" i="1"/>
  <c r="B194" i="1"/>
  <c r="A194" i="1"/>
  <c r="W194" i="1" s="1"/>
  <c r="H193" i="1"/>
  <c r="I193" i="1" s="1"/>
  <c r="J193" i="1" s="1"/>
  <c r="K193" i="1" s="1"/>
  <c r="L193" i="1" s="1"/>
  <c r="M193" i="1" s="1"/>
  <c r="N193" i="1" s="1"/>
  <c r="O193" i="1" s="1"/>
  <c r="P193" i="1" s="1"/>
  <c r="Q193" i="1" s="1"/>
  <c r="R193" i="1" s="1"/>
  <c r="S193" i="1" s="1"/>
  <c r="T193" i="1" s="1"/>
  <c r="U193" i="1" s="1"/>
  <c r="V193" i="1" s="1"/>
  <c r="F193" i="1"/>
  <c r="E193" i="1"/>
  <c r="D193" i="1"/>
  <c r="C193" i="1"/>
  <c r="B193" i="1"/>
  <c r="A193" i="1"/>
  <c r="W193" i="1" s="1"/>
  <c r="H192" i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S192" i="1" s="1"/>
  <c r="T192" i="1" s="1"/>
  <c r="U192" i="1" s="1"/>
  <c r="V192" i="1" s="1"/>
  <c r="F192" i="1"/>
  <c r="E192" i="1"/>
  <c r="D192" i="1"/>
  <c r="C192" i="1"/>
  <c r="B192" i="1"/>
  <c r="A192" i="1"/>
  <c r="W192" i="1" s="1"/>
  <c r="R191" i="1"/>
  <c r="S191" i="1" s="1"/>
  <c r="T191" i="1" s="1"/>
  <c r="U191" i="1" s="1"/>
  <c r="V191" i="1" s="1"/>
  <c r="H191" i="1"/>
  <c r="I191" i="1" s="1"/>
  <c r="J191" i="1" s="1"/>
  <c r="K191" i="1" s="1"/>
  <c r="L191" i="1" s="1"/>
  <c r="M191" i="1" s="1"/>
  <c r="N191" i="1" s="1"/>
  <c r="O191" i="1" s="1"/>
  <c r="P191" i="1" s="1"/>
  <c r="Q191" i="1" s="1"/>
  <c r="F191" i="1"/>
  <c r="E191" i="1"/>
  <c r="D191" i="1"/>
  <c r="C191" i="1"/>
  <c r="B191" i="1"/>
  <c r="A191" i="1"/>
  <c r="W191" i="1" s="1"/>
  <c r="H190" i="1"/>
  <c r="I190" i="1" s="1"/>
  <c r="J190" i="1" s="1"/>
  <c r="K190" i="1" s="1"/>
  <c r="L190" i="1" s="1"/>
  <c r="M190" i="1" s="1"/>
  <c r="N190" i="1" s="1"/>
  <c r="O190" i="1" s="1"/>
  <c r="P190" i="1" s="1"/>
  <c r="Q190" i="1" s="1"/>
  <c r="R190" i="1" s="1"/>
  <c r="S190" i="1" s="1"/>
  <c r="T190" i="1" s="1"/>
  <c r="U190" i="1" s="1"/>
  <c r="V190" i="1" s="1"/>
  <c r="F190" i="1"/>
  <c r="E190" i="1"/>
  <c r="D190" i="1"/>
  <c r="C190" i="1"/>
  <c r="B190" i="1"/>
  <c r="A190" i="1"/>
  <c r="W190" i="1" s="1"/>
  <c r="H189" i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F189" i="1"/>
  <c r="E189" i="1"/>
  <c r="D189" i="1"/>
  <c r="C189" i="1"/>
  <c r="B189" i="1"/>
  <c r="A189" i="1"/>
  <c r="W189" i="1" s="1"/>
  <c r="S188" i="1"/>
  <c r="T188" i="1" s="1"/>
  <c r="U188" i="1" s="1"/>
  <c r="V188" i="1" s="1"/>
  <c r="H188" i="1"/>
  <c r="I188" i="1" s="1"/>
  <c r="J188" i="1" s="1"/>
  <c r="K188" i="1" s="1"/>
  <c r="L188" i="1" s="1"/>
  <c r="M188" i="1" s="1"/>
  <c r="N188" i="1" s="1"/>
  <c r="O188" i="1" s="1"/>
  <c r="P188" i="1" s="1"/>
  <c r="Q188" i="1" s="1"/>
  <c r="R188" i="1" s="1"/>
  <c r="F188" i="1"/>
  <c r="E188" i="1"/>
  <c r="D188" i="1"/>
  <c r="C188" i="1"/>
  <c r="B188" i="1"/>
  <c r="A188" i="1"/>
  <c r="W188" i="1" s="1"/>
  <c r="T187" i="1"/>
  <c r="U187" i="1" s="1"/>
  <c r="V187" i="1" s="1"/>
  <c r="R187" i="1"/>
  <c r="S187" i="1" s="1"/>
  <c r="H187" i="1"/>
  <c r="I187" i="1" s="1"/>
  <c r="J187" i="1" s="1"/>
  <c r="K187" i="1" s="1"/>
  <c r="L187" i="1" s="1"/>
  <c r="M187" i="1" s="1"/>
  <c r="N187" i="1" s="1"/>
  <c r="O187" i="1" s="1"/>
  <c r="P187" i="1" s="1"/>
  <c r="Q187" i="1" s="1"/>
  <c r="F187" i="1"/>
  <c r="E187" i="1"/>
  <c r="D187" i="1"/>
  <c r="C187" i="1"/>
  <c r="B187" i="1"/>
  <c r="A187" i="1"/>
  <c r="W187" i="1" s="1"/>
  <c r="V186" i="1"/>
  <c r="T186" i="1"/>
  <c r="U186" i="1" s="1"/>
  <c r="H186" i="1"/>
  <c r="I186" i="1" s="1"/>
  <c r="J186" i="1" s="1"/>
  <c r="K186" i="1" s="1"/>
  <c r="L186" i="1" s="1"/>
  <c r="M186" i="1" s="1"/>
  <c r="N186" i="1" s="1"/>
  <c r="O186" i="1" s="1"/>
  <c r="P186" i="1" s="1"/>
  <c r="Q186" i="1" s="1"/>
  <c r="R186" i="1" s="1"/>
  <c r="S186" i="1" s="1"/>
  <c r="F186" i="1"/>
  <c r="E186" i="1"/>
  <c r="D186" i="1"/>
  <c r="C186" i="1"/>
  <c r="B186" i="1"/>
  <c r="A186" i="1"/>
  <c r="W186" i="1" s="1"/>
  <c r="H185" i="1"/>
  <c r="I185" i="1" s="1"/>
  <c r="J185" i="1" s="1"/>
  <c r="K185" i="1" s="1"/>
  <c r="L185" i="1" s="1"/>
  <c r="M185" i="1" s="1"/>
  <c r="N185" i="1" s="1"/>
  <c r="O185" i="1" s="1"/>
  <c r="P185" i="1" s="1"/>
  <c r="Q185" i="1" s="1"/>
  <c r="R185" i="1" s="1"/>
  <c r="S185" i="1" s="1"/>
  <c r="T185" i="1" s="1"/>
  <c r="U185" i="1" s="1"/>
  <c r="V185" i="1" s="1"/>
  <c r="F185" i="1"/>
  <c r="E185" i="1"/>
  <c r="D185" i="1"/>
  <c r="C185" i="1"/>
  <c r="B185" i="1"/>
  <c r="A185" i="1"/>
  <c r="W185" i="1" s="1"/>
  <c r="H184" i="1"/>
  <c r="I184" i="1" s="1"/>
  <c r="J184" i="1" s="1"/>
  <c r="K184" i="1" s="1"/>
  <c r="L184" i="1" s="1"/>
  <c r="M184" i="1" s="1"/>
  <c r="N184" i="1" s="1"/>
  <c r="O184" i="1" s="1"/>
  <c r="P184" i="1" s="1"/>
  <c r="Q184" i="1" s="1"/>
  <c r="R184" i="1" s="1"/>
  <c r="S184" i="1" s="1"/>
  <c r="T184" i="1" s="1"/>
  <c r="U184" i="1" s="1"/>
  <c r="V184" i="1" s="1"/>
  <c r="F184" i="1"/>
  <c r="E184" i="1"/>
  <c r="D184" i="1"/>
  <c r="C184" i="1"/>
  <c r="B184" i="1"/>
  <c r="A184" i="1"/>
  <c r="W184" i="1" s="1"/>
  <c r="R183" i="1"/>
  <c r="S183" i="1" s="1"/>
  <c r="T183" i="1" s="1"/>
  <c r="U183" i="1" s="1"/>
  <c r="V183" i="1" s="1"/>
  <c r="H183" i="1"/>
  <c r="I183" i="1" s="1"/>
  <c r="J183" i="1" s="1"/>
  <c r="K183" i="1" s="1"/>
  <c r="L183" i="1" s="1"/>
  <c r="M183" i="1" s="1"/>
  <c r="N183" i="1" s="1"/>
  <c r="O183" i="1" s="1"/>
  <c r="P183" i="1" s="1"/>
  <c r="Q183" i="1" s="1"/>
  <c r="F183" i="1"/>
  <c r="E183" i="1"/>
  <c r="D183" i="1"/>
  <c r="C183" i="1"/>
  <c r="B183" i="1"/>
  <c r="A183" i="1"/>
  <c r="W183" i="1" s="1"/>
  <c r="H182" i="1"/>
  <c r="I182" i="1" s="1"/>
  <c r="J182" i="1" s="1"/>
  <c r="K182" i="1" s="1"/>
  <c r="L182" i="1" s="1"/>
  <c r="M182" i="1" s="1"/>
  <c r="N182" i="1" s="1"/>
  <c r="O182" i="1" s="1"/>
  <c r="P182" i="1" s="1"/>
  <c r="Q182" i="1" s="1"/>
  <c r="R182" i="1" s="1"/>
  <c r="S182" i="1" s="1"/>
  <c r="T182" i="1" s="1"/>
  <c r="U182" i="1" s="1"/>
  <c r="V182" i="1" s="1"/>
  <c r="F182" i="1"/>
  <c r="E182" i="1"/>
  <c r="D182" i="1"/>
  <c r="C182" i="1"/>
  <c r="B182" i="1"/>
  <c r="A182" i="1"/>
  <c r="W182" i="1" s="1"/>
  <c r="H181" i="1"/>
  <c r="I181" i="1" s="1"/>
  <c r="J181" i="1" s="1"/>
  <c r="K181" i="1" s="1"/>
  <c r="L181" i="1" s="1"/>
  <c r="M181" i="1" s="1"/>
  <c r="N181" i="1" s="1"/>
  <c r="O181" i="1" s="1"/>
  <c r="P181" i="1" s="1"/>
  <c r="Q181" i="1" s="1"/>
  <c r="R181" i="1" s="1"/>
  <c r="S181" i="1" s="1"/>
  <c r="T181" i="1" s="1"/>
  <c r="U181" i="1" s="1"/>
  <c r="V181" i="1" s="1"/>
  <c r="F181" i="1"/>
  <c r="E181" i="1"/>
  <c r="D181" i="1"/>
  <c r="C181" i="1"/>
  <c r="B181" i="1"/>
  <c r="A181" i="1"/>
  <c r="W181" i="1" s="1"/>
  <c r="S180" i="1"/>
  <c r="T180" i="1" s="1"/>
  <c r="U180" i="1" s="1"/>
  <c r="V180" i="1" s="1"/>
  <c r="H180" i="1"/>
  <c r="I180" i="1" s="1"/>
  <c r="J180" i="1" s="1"/>
  <c r="K180" i="1" s="1"/>
  <c r="L180" i="1" s="1"/>
  <c r="M180" i="1" s="1"/>
  <c r="N180" i="1" s="1"/>
  <c r="O180" i="1" s="1"/>
  <c r="P180" i="1" s="1"/>
  <c r="Q180" i="1" s="1"/>
  <c r="R180" i="1" s="1"/>
  <c r="F180" i="1"/>
  <c r="E180" i="1"/>
  <c r="D180" i="1"/>
  <c r="C180" i="1"/>
  <c r="B180" i="1"/>
  <c r="A180" i="1"/>
  <c r="W180" i="1" s="1"/>
  <c r="T179" i="1"/>
  <c r="U179" i="1" s="1"/>
  <c r="V179" i="1" s="1"/>
  <c r="R179" i="1"/>
  <c r="S179" i="1" s="1"/>
  <c r="H179" i="1"/>
  <c r="I179" i="1" s="1"/>
  <c r="J179" i="1" s="1"/>
  <c r="K179" i="1" s="1"/>
  <c r="L179" i="1" s="1"/>
  <c r="M179" i="1" s="1"/>
  <c r="N179" i="1" s="1"/>
  <c r="O179" i="1" s="1"/>
  <c r="P179" i="1" s="1"/>
  <c r="Q179" i="1" s="1"/>
  <c r="F179" i="1"/>
  <c r="E179" i="1"/>
  <c r="D179" i="1"/>
  <c r="C179" i="1"/>
  <c r="B179" i="1"/>
  <c r="A179" i="1"/>
  <c r="W179" i="1" s="1"/>
  <c r="V178" i="1"/>
  <c r="T178" i="1"/>
  <c r="U178" i="1" s="1"/>
  <c r="H178" i="1"/>
  <c r="I178" i="1" s="1"/>
  <c r="J178" i="1" s="1"/>
  <c r="K178" i="1" s="1"/>
  <c r="L178" i="1" s="1"/>
  <c r="M178" i="1" s="1"/>
  <c r="N178" i="1" s="1"/>
  <c r="O178" i="1" s="1"/>
  <c r="P178" i="1" s="1"/>
  <c r="Q178" i="1" s="1"/>
  <c r="R178" i="1" s="1"/>
  <c r="S178" i="1" s="1"/>
  <c r="F178" i="1"/>
  <c r="E178" i="1"/>
  <c r="D178" i="1"/>
  <c r="C178" i="1"/>
  <c r="B178" i="1"/>
  <c r="A178" i="1"/>
  <c r="W178" i="1" s="1"/>
  <c r="H177" i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F177" i="1"/>
  <c r="E177" i="1"/>
  <c r="D177" i="1"/>
  <c r="C177" i="1"/>
  <c r="B177" i="1"/>
  <c r="A177" i="1"/>
  <c r="W177" i="1" s="1"/>
  <c r="H176" i="1"/>
  <c r="I176" i="1" s="1"/>
  <c r="J176" i="1" s="1"/>
  <c r="K176" i="1" s="1"/>
  <c r="L176" i="1" s="1"/>
  <c r="M176" i="1" s="1"/>
  <c r="N176" i="1" s="1"/>
  <c r="O176" i="1" s="1"/>
  <c r="P176" i="1" s="1"/>
  <c r="Q176" i="1" s="1"/>
  <c r="R176" i="1" s="1"/>
  <c r="S176" i="1" s="1"/>
  <c r="T176" i="1" s="1"/>
  <c r="U176" i="1" s="1"/>
  <c r="V176" i="1" s="1"/>
  <c r="F176" i="1"/>
  <c r="E176" i="1"/>
  <c r="D176" i="1"/>
  <c r="C176" i="1"/>
  <c r="B176" i="1"/>
  <c r="A176" i="1"/>
  <c r="W176" i="1" s="1"/>
  <c r="R175" i="1"/>
  <c r="S175" i="1" s="1"/>
  <c r="T175" i="1" s="1"/>
  <c r="U175" i="1" s="1"/>
  <c r="V175" i="1" s="1"/>
  <c r="H175" i="1"/>
  <c r="I175" i="1" s="1"/>
  <c r="J175" i="1" s="1"/>
  <c r="K175" i="1" s="1"/>
  <c r="L175" i="1" s="1"/>
  <c r="M175" i="1" s="1"/>
  <c r="N175" i="1" s="1"/>
  <c r="O175" i="1" s="1"/>
  <c r="P175" i="1" s="1"/>
  <c r="Q175" i="1" s="1"/>
  <c r="F175" i="1"/>
  <c r="E175" i="1"/>
  <c r="D175" i="1"/>
  <c r="C175" i="1"/>
  <c r="B175" i="1"/>
  <c r="A175" i="1"/>
  <c r="W175" i="1" s="1"/>
  <c r="H174" i="1"/>
  <c r="I174" i="1" s="1"/>
  <c r="J174" i="1" s="1"/>
  <c r="K174" i="1" s="1"/>
  <c r="L174" i="1" s="1"/>
  <c r="M174" i="1" s="1"/>
  <c r="N174" i="1" s="1"/>
  <c r="O174" i="1" s="1"/>
  <c r="P174" i="1" s="1"/>
  <c r="Q174" i="1" s="1"/>
  <c r="R174" i="1" s="1"/>
  <c r="S174" i="1" s="1"/>
  <c r="T174" i="1" s="1"/>
  <c r="U174" i="1" s="1"/>
  <c r="V174" i="1" s="1"/>
  <c r="F174" i="1"/>
  <c r="E174" i="1"/>
  <c r="D174" i="1"/>
  <c r="C174" i="1"/>
  <c r="B174" i="1"/>
  <c r="A174" i="1"/>
  <c r="W174" i="1" s="1"/>
  <c r="H173" i="1"/>
  <c r="I173" i="1" s="1"/>
  <c r="J173" i="1" s="1"/>
  <c r="K173" i="1" s="1"/>
  <c r="L173" i="1" s="1"/>
  <c r="M173" i="1" s="1"/>
  <c r="N173" i="1" s="1"/>
  <c r="O173" i="1" s="1"/>
  <c r="P173" i="1" s="1"/>
  <c r="Q173" i="1" s="1"/>
  <c r="R173" i="1" s="1"/>
  <c r="S173" i="1" s="1"/>
  <c r="T173" i="1" s="1"/>
  <c r="U173" i="1" s="1"/>
  <c r="V173" i="1" s="1"/>
  <c r="F173" i="1"/>
  <c r="E173" i="1"/>
  <c r="D173" i="1"/>
  <c r="C173" i="1"/>
  <c r="B173" i="1"/>
  <c r="A173" i="1"/>
  <c r="W173" i="1" s="1"/>
  <c r="S172" i="1"/>
  <c r="T172" i="1" s="1"/>
  <c r="U172" i="1" s="1"/>
  <c r="V172" i="1" s="1"/>
  <c r="H172" i="1"/>
  <c r="I172" i="1" s="1"/>
  <c r="J172" i="1" s="1"/>
  <c r="K172" i="1" s="1"/>
  <c r="L172" i="1" s="1"/>
  <c r="M172" i="1" s="1"/>
  <c r="N172" i="1" s="1"/>
  <c r="O172" i="1" s="1"/>
  <c r="P172" i="1" s="1"/>
  <c r="Q172" i="1" s="1"/>
  <c r="R172" i="1" s="1"/>
  <c r="F172" i="1"/>
  <c r="E172" i="1"/>
  <c r="D172" i="1"/>
  <c r="C172" i="1"/>
  <c r="B172" i="1"/>
  <c r="A172" i="1"/>
  <c r="W172" i="1" s="1"/>
  <c r="T171" i="1"/>
  <c r="U171" i="1" s="1"/>
  <c r="V171" i="1" s="1"/>
  <c r="R171" i="1"/>
  <c r="S171" i="1" s="1"/>
  <c r="H171" i="1"/>
  <c r="I171" i="1" s="1"/>
  <c r="J171" i="1" s="1"/>
  <c r="K171" i="1" s="1"/>
  <c r="L171" i="1" s="1"/>
  <c r="M171" i="1" s="1"/>
  <c r="N171" i="1" s="1"/>
  <c r="O171" i="1" s="1"/>
  <c r="P171" i="1" s="1"/>
  <c r="Q171" i="1" s="1"/>
  <c r="F171" i="1"/>
  <c r="E171" i="1"/>
  <c r="D171" i="1"/>
  <c r="C171" i="1"/>
  <c r="B171" i="1"/>
  <c r="A171" i="1"/>
  <c r="W171" i="1" s="1"/>
  <c r="V170" i="1"/>
  <c r="T170" i="1"/>
  <c r="U170" i="1" s="1"/>
  <c r="H170" i="1"/>
  <c r="I170" i="1" s="1"/>
  <c r="J170" i="1" s="1"/>
  <c r="K170" i="1" s="1"/>
  <c r="L170" i="1" s="1"/>
  <c r="M170" i="1" s="1"/>
  <c r="N170" i="1" s="1"/>
  <c r="O170" i="1" s="1"/>
  <c r="P170" i="1" s="1"/>
  <c r="Q170" i="1" s="1"/>
  <c r="R170" i="1" s="1"/>
  <c r="S170" i="1" s="1"/>
  <c r="F170" i="1"/>
  <c r="E170" i="1"/>
  <c r="D170" i="1"/>
  <c r="C170" i="1"/>
  <c r="B170" i="1"/>
  <c r="A170" i="1"/>
  <c r="W170" i="1" s="1"/>
  <c r="H169" i="1"/>
  <c r="I169" i="1" s="1"/>
  <c r="J169" i="1" s="1"/>
  <c r="K169" i="1" s="1"/>
  <c r="L169" i="1" s="1"/>
  <c r="M169" i="1" s="1"/>
  <c r="N169" i="1" s="1"/>
  <c r="O169" i="1" s="1"/>
  <c r="P169" i="1" s="1"/>
  <c r="Q169" i="1" s="1"/>
  <c r="R169" i="1" s="1"/>
  <c r="S169" i="1" s="1"/>
  <c r="T169" i="1" s="1"/>
  <c r="U169" i="1" s="1"/>
  <c r="V169" i="1" s="1"/>
  <c r="F169" i="1"/>
  <c r="E169" i="1"/>
  <c r="D169" i="1"/>
  <c r="C169" i="1"/>
  <c r="B169" i="1"/>
  <c r="A169" i="1"/>
  <c r="W169" i="1" s="1"/>
  <c r="H168" i="1"/>
  <c r="I168" i="1" s="1"/>
  <c r="J168" i="1" s="1"/>
  <c r="K168" i="1" s="1"/>
  <c r="L168" i="1" s="1"/>
  <c r="M168" i="1" s="1"/>
  <c r="N168" i="1" s="1"/>
  <c r="O168" i="1" s="1"/>
  <c r="P168" i="1" s="1"/>
  <c r="Q168" i="1" s="1"/>
  <c r="R168" i="1" s="1"/>
  <c r="S168" i="1" s="1"/>
  <c r="T168" i="1" s="1"/>
  <c r="U168" i="1" s="1"/>
  <c r="V168" i="1" s="1"/>
  <c r="F168" i="1"/>
  <c r="E168" i="1"/>
  <c r="D168" i="1"/>
  <c r="C168" i="1"/>
  <c r="B168" i="1"/>
  <c r="A168" i="1"/>
  <c r="W168" i="1" s="1"/>
  <c r="R167" i="1"/>
  <c r="S167" i="1" s="1"/>
  <c r="T167" i="1" s="1"/>
  <c r="U167" i="1" s="1"/>
  <c r="V167" i="1" s="1"/>
  <c r="H167" i="1"/>
  <c r="I167" i="1" s="1"/>
  <c r="J167" i="1" s="1"/>
  <c r="K167" i="1" s="1"/>
  <c r="L167" i="1" s="1"/>
  <c r="M167" i="1" s="1"/>
  <c r="N167" i="1" s="1"/>
  <c r="O167" i="1" s="1"/>
  <c r="P167" i="1" s="1"/>
  <c r="Q167" i="1" s="1"/>
  <c r="F167" i="1"/>
  <c r="E167" i="1"/>
  <c r="D167" i="1"/>
  <c r="C167" i="1"/>
  <c r="B167" i="1"/>
  <c r="A167" i="1"/>
  <c r="W167" i="1" s="1"/>
  <c r="J166" i="1"/>
  <c r="K166" i="1" s="1"/>
  <c r="L166" i="1" s="1"/>
  <c r="M166" i="1" s="1"/>
  <c r="N166" i="1" s="1"/>
  <c r="O166" i="1" s="1"/>
  <c r="P166" i="1" s="1"/>
  <c r="Q166" i="1" s="1"/>
  <c r="R166" i="1" s="1"/>
  <c r="S166" i="1" s="1"/>
  <c r="T166" i="1" s="1"/>
  <c r="U166" i="1" s="1"/>
  <c r="V166" i="1" s="1"/>
  <c r="H166" i="1"/>
  <c r="I166" i="1" s="1"/>
  <c r="F166" i="1"/>
  <c r="E166" i="1"/>
  <c r="D166" i="1"/>
  <c r="C166" i="1"/>
  <c r="B166" i="1"/>
  <c r="A166" i="1"/>
  <c r="W166" i="1" s="1"/>
  <c r="V165" i="1"/>
  <c r="M165" i="1"/>
  <c r="N165" i="1" s="1"/>
  <c r="O165" i="1" s="1"/>
  <c r="P165" i="1" s="1"/>
  <c r="Q165" i="1" s="1"/>
  <c r="R165" i="1" s="1"/>
  <c r="S165" i="1" s="1"/>
  <c r="T165" i="1" s="1"/>
  <c r="U165" i="1" s="1"/>
  <c r="L165" i="1"/>
  <c r="I165" i="1"/>
  <c r="J165" i="1" s="1"/>
  <c r="K165" i="1" s="1"/>
  <c r="H165" i="1"/>
  <c r="F165" i="1"/>
  <c r="E165" i="1"/>
  <c r="D165" i="1"/>
  <c r="C165" i="1"/>
  <c r="B165" i="1"/>
  <c r="A165" i="1"/>
  <c r="W165" i="1" s="1"/>
  <c r="H164" i="1"/>
  <c r="I164" i="1" s="1"/>
  <c r="J164" i="1" s="1"/>
  <c r="K164" i="1" s="1"/>
  <c r="L164" i="1" s="1"/>
  <c r="M164" i="1" s="1"/>
  <c r="N164" i="1" s="1"/>
  <c r="O164" i="1" s="1"/>
  <c r="P164" i="1" s="1"/>
  <c r="Q164" i="1" s="1"/>
  <c r="R164" i="1" s="1"/>
  <c r="S164" i="1" s="1"/>
  <c r="T164" i="1" s="1"/>
  <c r="U164" i="1" s="1"/>
  <c r="V164" i="1" s="1"/>
  <c r="F164" i="1"/>
  <c r="E164" i="1"/>
  <c r="D164" i="1"/>
  <c r="C164" i="1"/>
  <c r="B164" i="1"/>
  <c r="W164" i="1" s="1"/>
  <c r="A164" i="1"/>
  <c r="Q163" i="1"/>
  <c r="R163" i="1" s="1"/>
  <c r="S163" i="1" s="1"/>
  <c r="T163" i="1" s="1"/>
  <c r="U163" i="1" s="1"/>
  <c r="V163" i="1" s="1"/>
  <c r="H163" i="1"/>
  <c r="I163" i="1" s="1"/>
  <c r="J163" i="1" s="1"/>
  <c r="K163" i="1" s="1"/>
  <c r="L163" i="1" s="1"/>
  <c r="M163" i="1" s="1"/>
  <c r="N163" i="1" s="1"/>
  <c r="O163" i="1" s="1"/>
  <c r="P163" i="1" s="1"/>
  <c r="F163" i="1"/>
  <c r="E163" i="1"/>
  <c r="D163" i="1"/>
  <c r="C163" i="1"/>
  <c r="B163" i="1"/>
  <c r="A163" i="1"/>
  <c r="W163" i="1" s="1"/>
  <c r="J162" i="1"/>
  <c r="K162" i="1" s="1"/>
  <c r="L162" i="1" s="1"/>
  <c r="M162" i="1" s="1"/>
  <c r="N162" i="1" s="1"/>
  <c r="O162" i="1" s="1"/>
  <c r="P162" i="1" s="1"/>
  <c r="Q162" i="1" s="1"/>
  <c r="R162" i="1" s="1"/>
  <c r="S162" i="1" s="1"/>
  <c r="T162" i="1" s="1"/>
  <c r="U162" i="1" s="1"/>
  <c r="V162" i="1" s="1"/>
  <c r="H162" i="1"/>
  <c r="I162" i="1" s="1"/>
  <c r="F162" i="1"/>
  <c r="E162" i="1"/>
  <c r="D162" i="1"/>
  <c r="C162" i="1"/>
  <c r="B162" i="1"/>
  <c r="A162" i="1"/>
  <c r="W162" i="1" s="1"/>
  <c r="V161" i="1"/>
  <c r="M161" i="1"/>
  <c r="N161" i="1" s="1"/>
  <c r="O161" i="1" s="1"/>
  <c r="P161" i="1" s="1"/>
  <c r="Q161" i="1" s="1"/>
  <c r="R161" i="1" s="1"/>
  <c r="S161" i="1" s="1"/>
  <c r="T161" i="1" s="1"/>
  <c r="U161" i="1" s="1"/>
  <c r="L161" i="1"/>
  <c r="I161" i="1"/>
  <c r="J161" i="1" s="1"/>
  <c r="K161" i="1" s="1"/>
  <c r="H161" i="1"/>
  <c r="F161" i="1"/>
  <c r="E161" i="1"/>
  <c r="D161" i="1"/>
  <c r="C161" i="1"/>
  <c r="B161" i="1"/>
  <c r="A161" i="1"/>
  <c r="W161" i="1" s="1"/>
  <c r="H160" i="1"/>
  <c r="I160" i="1" s="1"/>
  <c r="J160" i="1" s="1"/>
  <c r="K160" i="1" s="1"/>
  <c r="L160" i="1" s="1"/>
  <c r="M160" i="1" s="1"/>
  <c r="N160" i="1" s="1"/>
  <c r="O160" i="1" s="1"/>
  <c r="P160" i="1" s="1"/>
  <c r="Q160" i="1" s="1"/>
  <c r="R160" i="1" s="1"/>
  <c r="S160" i="1" s="1"/>
  <c r="T160" i="1" s="1"/>
  <c r="U160" i="1" s="1"/>
  <c r="V160" i="1" s="1"/>
  <c r="F160" i="1"/>
  <c r="E160" i="1"/>
  <c r="D160" i="1"/>
  <c r="C160" i="1"/>
  <c r="B160" i="1"/>
  <c r="W160" i="1" s="1"/>
  <c r="A160" i="1"/>
  <c r="Q159" i="1"/>
  <c r="R159" i="1" s="1"/>
  <c r="S159" i="1" s="1"/>
  <c r="T159" i="1" s="1"/>
  <c r="U159" i="1" s="1"/>
  <c r="V159" i="1" s="1"/>
  <c r="H159" i="1"/>
  <c r="I159" i="1" s="1"/>
  <c r="J159" i="1" s="1"/>
  <c r="K159" i="1" s="1"/>
  <c r="L159" i="1" s="1"/>
  <c r="M159" i="1" s="1"/>
  <c r="N159" i="1" s="1"/>
  <c r="O159" i="1" s="1"/>
  <c r="P159" i="1" s="1"/>
  <c r="F159" i="1"/>
  <c r="E159" i="1"/>
  <c r="D159" i="1"/>
  <c r="C159" i="1"/>
  <c r="B159" i="1"/>
  <c r="A159" i="1"/>
  <c r="W159" i="1" s="1"/>
  <c r="J158" i="1"/>
  <c r="K158" i="1" s="1"/>
  <c r="L158" i="1" s="1"/>
  <c r="M158" i="1" s="1"/>
  <c r="N158" i="1" s="1"/>
  <c r="O158" i="1" s="1"/>
  <c r="P158" i="1" s="1"/>
  <c r="Q158" i="1" s="1"/>
  <c r="R158" i="1" s="1"/>
  <c r="S158" i="1" s="1"/>
  <c r="T158" i="1" s="1"/>
  <c r="U158" i="1" s="1"/>
  <c r="V158" i="1" s="1"/>
  <c r="H158" i="1"/>
  <c r="I158" i="1" s="1"/>
  <c r="F158" i="1"/>
  <c r="E158" i="1"/>
  <c r="D158" i="1"/>
  <c r="C158" i="1"/>
  <c r="B158" i="1"/>
  <c r="A158" i="1"/>
  <c r="W158" i="1" s="1"/>
  <c r="V157" i="1"/>
  <c r="M157" i="1"/>
  <c r="N157" i="1" s="1"/>
  <c r="O157" i="1" s="1"/>
  <c r="P157" i="1" s="1"/>
  <c r="Q157" i="1" s="1"/>
  <c r="R157" i="1" s="1"/>
  <c r="S157" i="1" s="1"/>
  <c r="T157" i="1" s="1"/>
  <c r="U157" i="1" s="1"/>
  <c r="L157" i="1"/>
  <c r="I157" i="1"/>
  <c r="J157" i="1" s="1"/>
  <c r="K157" i="1" s="1"/>
  <c r="H157" i="1"/>
  <c r="F157" i="1"/>
  <c r="E157" i="1"/>
  <c r="D157" i="1"/>
  <c r="C157" i="1"/>
  <c r="B157" i="1"/>
  <c r="A157" i="1"/>
  <c r="W157" i="1" s="1"/>
  <c r="H156" i="1"/>
  <c r="I156" i="1" s="1"/>
  <c r="J156" i="1" s="1"/>
  <c r="K156" i="1" s="1"/>
  <c r="L156" i="1" s="1"/>
  <c r="M156" i="1" s="1"/>
  <c r="N156" i="1" s="1"/>
  <c r="O156" i="1" s="1"/>
  <c r="P156" i="1" s="1"/>
  <c r="Q156" i="1" s="1"/>
  <c r="R156" i="1" s="1"/>
  <c r="S156" i="1" s="1"/>
  <c r="T156" i="1" s="1"/>
  <c r="U156" i="1" s="1"/>
  <c r="V156" i="1" s="1"/>
  <c r="F156" i="1"/>
  <c r="E156" i="1"/>
  <c r="D156" i="1"/>
  <c r="C156" i="1"/>
  <c r="B156" i="1"/>
  <c r="W156" i="1" s="1"/>
  <c r="A156" i="1"/>
  <c r="Q155" i="1"/>
  <c r="R155" i="1" s="1"/>
  <c r="S155" i="1" s="1"/>
  <c r="T155" i="1" s="1"/>
  <c r="U155" i="1" s="1"/>
  <c r="V155" i="1" s="1"/>
  <c r="H155" i="1"/>
  <c r="I155" i="1" s="1"/>
  <c r="J155" i="1" s="1"/>
  <c r="K155" i="1" s="1"/>
  <c r="L155" i="1" s="1"/>
  <c r="M155" i="1" s="1"/>
  <c r="N155" i="1" s="1"/>
  <c r="O155" i="1" s="1"/>
  <c r="P155" i="1" s="1"/>
  <c r="F155" i="1"/>
  <c r="E155" i="1"/>
  <c r="D155" i="1"/>
  <c r="C155" i="1"/>
  <c r="B155" i="1"/>
  <c r="A155" i="1"/>
  <c r="W155" i="1" s="1"/>
  <c r="J154" i="1"/>
  <c r="K154" i="1" s="1"/>
  <c r="L154" i="1" s="1"/>
  <c r="M154" i="1" s="1"/>
  <c r="N154" i="1" s="1"/>
  <c r="O154" i="1" s="1"/>
  <c r="P154" i="1" s="1"/>
  <c r="Q154" i="1" s="1"/>
  <c r="R154" i="1" s="1"/>
  <c r="S154" i="1" s="1"/>
  <c r="T154" i="1" s="1"/>
  <c r="U154" i="1" s="1"/>
  <c r="V154" i="1" s="1"/>
  <c r="H154" i="1"/>
  <c r="I154" i="1" s="1"/>
  <c r="F154" i="1"/>
  <c r="E154" i="1"/>
  <c r="D154" i="1"/>
  <c r="C154" i="1"/>
  <c r="B154" i="1"/>
  <c r="A154" i="1"/>
  <c r="W154" i="1" s="1"/>
  <c r="V153" i="1"/>
  <c r="M153" i="1"/>
  <c r="N153" i="1" s="1"/>
  <c r="O153" i="1" s="1"/>
  <c r="P153" i="1" s="1"/>
  <c r="Q153" i="1" s="1"/>
  <c r="R153" i="1" s="1"/>
  <c r="S153" i="1" s="1"/>
  <c r="T153" i="1" s="1"/>
  <c r="U153" i="1" s="1"/>
  <c r="L153" i="1"/>
  <c r="I153" i="1"/>
  <c r="J153" i="1" s="1"/>
  <c r="K153" i="1" s="1"/>
  <c r="H153" i="1"/>
  <c r="F153" i="1"/>
  <c r="E153" i="1"/>
  <c r="D153" i="1"/>
  <c r="C153" i="1"/>
  <c r="B153" i="1"/>
  <c r="A153" i="1"/>
  <c r="W153" i="1" s="1"/>
  <c r="H152" i="1"/>
  <c r="I152" i="1" s="1"/>
  <c r="J152" i="1" s="1"/>
  <c r="K152" i="1" s="1"/>
  <c r="L152" i="1" s="1"/>
  <c r="M152" i="1" s="1"/>
  <c r="N152" i="1" s="1"/>
  <c r="O152" i="1" s="1"/>
  <c r="P152" i="1" s="1"/>
  <c r="Q152" i="1" s="1"/>
  <c r="R152" i="1" s="1"/>
  <c r="S152" i="1" s="1"/>
  <c r="T152" i="1" s="1"/>
  <c r="U152" i="1" s="1"/>
  <c r="V152" i="1" s="1"/>
  <c r="F152" i="1"/>
  <c r="E152" i="1"/>
  <c r="D152" i="1"/>
  <c r="C152" i="1"/>
  <c r="B152" i="1"/>
  <c r="W152" i="1" s="1"/>
  <c r="A152" i="1"/>
  <c r="Q151" i="1"/>
  <c r="R151" i="1" s="1"/>
  <c r="S151" i="1" s="1"/>
  <c r="T151" i="1" s="1"/>
  <c r="U151" i="1" s="1"/>
  <c r="V151" i="1" s="1"/>
  <c r="H151" i="1"/>
  <c r="I151" i="1" s="1"/>
  <c r="J151" i="1" s="1"/>
  <c r="K151" i="1" s="1"/>
  <c r="L151" i="1" s="1"/>
  <c r="M151" i="1" s="1"/>
  <c r="N151" i="1" s="1"/>
  <c r="O151" i="1" s="1"/>
  <c r="P151" i="1" s="1"/>
  <c r="F151" i="1"/>
  <c r="E151" i="1"/>
  <c r="D151" i="1"/>
  <c r="C151" i="1"/>
  <c r="B151" i="1"/>
  <c r="A151" i="1"/>
  <c r="W151" i="1" s="1"/>
  <c r="V150" i="1"/>
  <c r="J150" i="1"/>
  <c r="K150" i="1" s="1"/>
  <c r="L150" i="1" s="1"/>
  <c r="M150" i="1" s="1"/>
  <c r="N150" i="1" s="1"/>
  <c r="O150" i="1" s="1"/>
  <c r="P150" i="1" s="1"/>
  <c r="Q150" i="1" s="1"/>
  <c r="R150" i="1" s="1"/>
  <c r="S150" i="1" s="1"/>
  <c r="T150" i="1" s="1"/>
  <c r="U150" i="1" s="1"/>
  <c r="H150" i="1"/>
  <c r="I150" i="1" s="1"/>
  <c r="F150" i="1"/>
  <c r="E150" i="1"/>
  <c r="D150" i="1"/>
  <c r="C150" i="1"/>
  <c r="B150" i="1"/>
  <c r="A150" i="1"/>
  <c r="W150" i="1" s="1"/>
  <c r="V149" i="1"/>
  <c r="M149" i="1"/>
  <c r="N149" i="1" s="1"/>
  <c r="O149" i="1" s="1"/>
  <c r="P149" i="1" s="1"/>
  <c r="Q149" i="1" s="1"/>
  <c r="R149" i="1" s="1"/>
  <c r="S149" i="1" s="1"/>
  <c r="T149" i="1" s="1"/>
  <c r="U149" i="1" s="1"/>
  <c r="L149" i="1"/>
  <c r="I149" i="1"/>
  <c r="J149" i="1" s="1"/>
  <c r="K149" i="1" s="1"/>
  <c r="H149" i="1"/>
  <c r="F149" i="1"/>
  <c r="E149" i="1"/>
  <c r="D149" i="1"/>
  <c r="C149" i="1"/>
  <c r="B149" i="1"/>
  <c r="A149" i="1"/>
  <c r="W149" i="1" s="1"/>
  <c r="H148" i="1"/>
  <c r="I148" i="1" s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F148" i="1"/>
  <c r="E148" i="1"/>
  <c r="D148" i="1"/>
  <c r="C148" i="1"/>
  <c r="B148" i="1"/>
  <c r="W148" i="1" s="1"/>
  <c r="A148" i="1"/>
  <c r="H147" i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F147" i="1"/>
  <c r="E147" i="1"/>
  <c r="D147" i="1"/>
  <c r="C147" i="1"/>
  <c r="B147" i="1"/>
  <c r="A147" i="1"/>
  <c r="W146" i="1"/>
  <c r="N146" i="1"/>
  <c r="O146" i="1" s="1"/>
  <c r="P146" i="1" s="1"/>
  <c r="Q146" i="1" s="1"/>
  <c r="R146" i="1" s="1"/>
  <c r="S146" i="1" s="1"/>
  <c r="T146" i="1" s="1"/>
  <c r="U146" i="1" s="1"/>
  <c r="V146" i="1" s="1"/>
  <c r="M146" i="1"/>
  <c r="F146" i="1"/>
  <c r="E146" i="1"/>
  <c r="D146" i="1"/>
  <c r="H146" i="1" s="1"/>
  <c r="I146" i="1" s="1"/>
  <c r="J146" i="1" s="1"/>
  <c r="K146" i="1" s="1"/>
  <c r="L146" i="1" s="1"/>
  <c r="C146" i="1"/>
  <c r="B146" i="1"/>
  <c r="A146" i="1"/>
  <c r="I145" i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H145" i="1"/>
  <c r="F145" i="1"/>
  <c r="E145" i="1"/>
  <c r="D145" i="1"/>
  <c r="C145" i="1"/>
  <c r="B145" i="1"/>
  <c r="W145" i="1" s="1"/>
  <c r="A145" i="1"/>
  <c r="L144" i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F144" i="1"/>
  <c r="E144" i="1"/>
  <c r="D144" i="1"/>
  <c r="H144" i="1" s="1"/>
  <c r="I144" i="1" s="1"/>
  <c r="J144" i="1" s="1"/>
  <c r="K144" i="1" s="1"/>
  <c r="C144" i="1"/>
  <c r="B144" i="1"/>
  <c r="A144" i="1"/>
  <c r="W144" i="1" s="1"/>
  <c r="W143" i="1"/>
  <c r="J143" i="1"/>
  <c r="K143" i="1" s="1"/>
  <c r="L143" i="1" s="1"/>
  <c r="M143" i="1" s="1"/>
  <c r="N143" i="1" s="1"/>
  <c r="O143" i="1" s="1"/>
  <c r="P143" i="1" s="1"/>
  <c r="Q143" i="1" s="1"/>
  <c r="R143" i="1" s="1"/>
  <c r="S143" i="1" s="1"/>
  <c r="T143" i="1" s="1"/>
  <c r="U143" i="1" s="1"/>
  <c r="V143" i="1" s="1"/>
  <c r="H143" i="1"/>
  <c r="I143" i="1" s="1"/>
  <c r="F143" i="1"/>
  <c r="E143" i="1"/>
  <c r="D143" i="1"/>
  <c r="C143" i="1"/>
  <c r="B143" i="1"/>
  <c r="A143" i="1"/>
  <c r="N142" i="1"/>
  <c r="O142" i="1" s="1"/>
  <c r="P142" i="1" s="1"/>
  <c r="Q142" i="1" s="1"/>
  <c r="R142" i="1" s="1"/>
  <c r="S142" i="1" s="1"/>
  <c r="T142" i="1" s="1"/>
  <c r="U142" i="1" s="1"/>
  <c r="V142" i="1" s="1"/>
  <c r="F142" i="1"/>
  <c r="E142" i="1"/>
  <c r="D142" i="1"/>
  <c r="H142" i="1" s="1"/>
  <c r="I142" i="1" s="1"/>
  <c r="J142" i="1" s="1"/>
  <c r="K142" i="1" s="1"/>
  <c r="L142" i="1" s="1"/>
  <c r="M142" i="1" s="1"/>
  <c r="C142" i="1"/>
  <c r="B142" i="1"/>
  <c r="A142" i="1"/>
  <c r="W142" i="1" s="1"/>
  <c r="I141" i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H141" i="1"/>
  <c r="F141" i="1"/>
  <c r="E141" i="1"/>
  <c r="D141" i="1"/>
  <c r="C141" i="1"/>
  <c r="B141" i="1"/>
  <c r="W141" i="1" s="1"/>
  <c r="A141" i="1"/>
  <c r="R140" i="1"/>
  <c r="S140" i="1" s="1"/>
  <c r="T140" i="1" s="1"/>
  <c r="U140" i="1" s="1"/>
  <c r="V140" i="1" s="1"/>
  <c r="F140" i="1"/>
  <c r="E140" i="1"/>
  <c r="D140" i="1"/>
  <c r="H140" i="1" s="1"/>
  <c r="I140" i="1" s="1"/>
  <c r="J140" i="1" s="1"/>
  <c r="K140" i="1" s="1"/>
  <c r="L140" i="1" s="1"/>
  <c r="M140" i="1" s="1"/>
  <c r="N140" i="1" s="1"/>
  <c r="O140" i="1" s="1"/>
  <c r="P140" i="1" s="1"/>
  <c r="Q140" i="1" s="1"/>
  <c r="C140" i="1"/>
  <c r="B140" i="1"/>
  <c r="A140" i="1"/>
  <c r="W140" i="1" s="1"/>
  <c r="H139" i="1"/>
  <c r="I139" i="1" s="1"/>
  <c r="J139" i="1" s="1"/>
  <c r="K139" i="1" s="1"/>
  <c r="L139" i="1" s="1"/>
  <c r="M139" i="1" s="1"/>
  <c r="N139" i="1" s="1"/>
  <c r="O139" i="1" s="1"/>
  <c r="P139" i="1" s="1"/>
  <c r="Q139" i="1" s="1"/>
  <c r="R139" i="1" s="1"/>
  <c r="S139" i="1" s="1"/>
  <c r="T139" i="1" s="1"/>
  <c r="U139" i="1" s="1"/>
  <c r="V139" i="1" s="1"/>
  <c r="F139" i="1"/>
  <c r="E139" i="1"/>
  <c r="D139" i="1"/>
  <c r="C139" i="1"/>
  <c r="B139" i="1"/>
  <c r="A139" i="1"/>
  <c r="W139" i="1" s="1"/>
  <c r="U138" i="1"/>
  <c r="V138" i="1" s="1"/>
  <c r="F138" i="1"/>
  <c r="E138" i="1"/>
  <c r="D138" i="1"/>
  <c r="H138" i="1" s="1"/>
  <c r="I138" i="1" s="1"/>
  <c r="J138" i="1" s="1"/>
  <c r="K138" i="1" s="1"/>
  <c r="L138" i="1" s="1"/>
  <c r="M138" i="1" s="1"/>
  <c r="N138" i="1" s="1"/>
  <c r="O138" i="1" s="1"/>
  <c r="P138" i="1" s="1"/>
  <c r="Q138" i="1" s="1"/>
  <c r="R138" i="1" s="1"/>
  <c r="S138" i="1" s="1"/>
  <c r="T138" i="1" s="1"/>
  <c r="C138" i="1"/>
  <c r="B138" i="1"/>
  <c r="A138" i="1"/>
  <c r="W138" i="1" s="1"/>
  <c r="K137" i="1"/>
  <c r="L137" i="1" s="1"/>
  <c r="M137" i="1" s="1"/>
  <c r="N137" i="1" s="1"/>
  <c r="O137" i="1" s="1"/>
  <c r="P137" i="1" s="1"/>
  <c r="Q137" i="1" s="1"/>
  <c r="R137" i="1" s="1"/>
  <c r="S137" i="1" s="1"/>
  <c r="T137" i="1" s="1"/>
  <c r="U137" i="1" s="1"/>
  <c r="V137" i="1" s="1"/>
  <c r="I137" i="1"/>
  <c r="J137" i="1" s="1"/>
  <c r="H137" i="1"/>
  <c r="F137" i="1"/>
  <c r="E137" i="1"/>
  <c r="D137" i="1"/>
  <c r="C137" i="1"/>
  <c r="B137" i="1"/>
  <c r="W137" i="1" s="1"/>
  <c r="A137" i="1"/>
  <c r="J136" i="1"/>
  <c r="K136" i="1" s="1"/>
  <c r="L136" i="1" s="1"/>
  <c r="M136" i="1" s="1"/>
  <c r="N136" i="1" s="1"/>
  <c r="O136" i="1" s="1"/>
  <c r="P136" i="1" s="1"/>
  <c r="Q136" i="1" s="1"/>
  <c r="R136" i="1" s="1"/>
  <c r="S136" i="1" s="1"/>
  <c r="T136" i="1" s="1"/>
  <c r="U136" i="1" s="1"/>
  <c r="V136" i="1" s="1"/>
  <c r="F136" i="1"/>
  <c r="E136" i="1"/>
  <c r="D136" i="1"/>
  <c r="H136" i="1" s="1"/>
  <c r="I136" i="1" s="1"/>
  <c r="C136" i="1"/>
  <c r="B136" i="1"/>
  <c r="A136" i="1"/>
  <c r="W136" i="1" s="1"/>
  <c r="O135" i="1"/>
  <c r="P135" i="1" s="1"/>
  <c r="Q135" i="1" s="1"/>
  <c r="R135" i="1" s="1"/>
  <c r="S135" i="1" s="1"/>
  <c r="T135" i="1" s="1"/>
  <c r="U135" i="1" s="1"/>
  <c r="V135" i="1" s="1"/>
  <c r="J135" i="1"/>
  <c r="K135" i="1" s="1"/>
  <c r="L135" i="1" s="1"/>
  <c r="M135" i="1" s="1"/>
  <c r="N135" i="1" s="1"/>
  <c r="H135" i="1"/>
  <c r="I135" i="1" s="1"/>
  <c r="F135" i="1"/>
  <c r="E135" i="1"/>
  <c r="D135" i="1"/>
  <c r="C135" i="1"/>
  <c r="B135" i="1"/>
  <c r="A135" i="1"/>
  <c r="W135" i="1" s="1"/>
  <c r="M134" i="1"/>
  <c r="N134" i="1" s="1"/>
  <c r="O134" i="1" s="1"/>
  <c r="P134" i="1" s="1"/>
  <c r="Q134" i="1" s="1"/>
  <c r="R134" i="1" s="1"/>
  <c r="S134" i="1" s="1"/>
  <c r="T134" i="1" s="1"/>
  <c r="U134" i="1" s="1"/>
  <c r="V134" i="1" s="1"/>
  <c r="F134" i="1"/>
  <c r="E134" i="1"/>
  <c r="D134" i="1"/>
  <c r="H134" i="1" s="1"/>
  <c r="I134" i="1" s="1"/>
  <c r="J134" i="1" s="1"/>
  <c r="K134" i="1" s="1"/>
  <c r="L134" i="1" s="1"/>
  <c r="C134" i="1"/>
  <c r="B134" i="1"/>
  <c r="A134" i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L133" i="1"/>
  <c r="M133" i="1" s="1"/>
  <c r="K133" i="1"/>
  <c r="I133" i="1"/>
  <c r="J133" i="1" s="1"/>
  <c r="H133" i="1"/>
  <c r="F133" i="1"/>
  <c r="E133" i="1"/>
  <c r="D133" i="1"/>
  <c r="C133" i="1"/>
  <c r="B133" i="1"/>
  <c r="W133" i="1" s="1"/>
  <c r="A133" i="1"/>
  <c r="I132" i="1"/>
  <c r="J132" i="1" s="1"/>
  <c r="K132" i="1" s="1"/>
  <c r="L132" i="1" s="1"/>
  <c r="M132" i="1" s="1"/>
  <c r="N132" i="1" s="1"/>
  <c r="O132" i="1" s="1"/>
  <c r="P132" i="1" s="1"/>
  <c r="Q132" i="1" s="1"/>
  <c r="R132" i="1" s="1"/>
  <c r="S132" i="1" s="1"/>
  <c r="T132" i="1" s="1"/>
  <c r="U132" i="1" s="1"/>
  <c r="V132" i="1" s="1"/>
  <c r="F132" i="1"/>
  <c r="E132" i="1"/>
  <c r="D132" i="1"/>
  <c r="H132" i="1" s="1"/>
  <c r="C132" i="1"/>
  <c r="B132" i="1"/>
  <c r="A132" i="1"/>
  <c r="W132" i="1" s="1"/>
  <c r="W131" i="1"/>
  <c r="H131" i="1"/>
  <c r="I131" i="1" s="1"/>
  <c r="J131" i="1" s="1"/>
  <c r="K131" i="1" s="1"/>
  <c r="L131" i="1" s="1"/>
  <c r="M131" i="1" s="1"/>
  <c r="N131" i="1" s="1"/>
  <c r="O131" i="1" s="1"/>
  <c r="P131" i="1" s="1"/>
  <c r="Q131" i="1" s="1"/>
  <c r="R131" i="1" s="1"/>
  <c r="S131" i="1" s="1"/>
  <c r="T131" i="1" s="1"/>
  <c r="U131" i="1" s="1"/>
  <c r="V131" i="1" s="1"/>
  <c r="F131" i="1"/>
  <c r="E131" i="1"/>
  <c r="D131" i="1"/>
  <c r="C131" i="1"/>
  <c r="B131" i="1"/>
  <c r="A131" i="1"/>
  <c r="H130" i="1"/>
  <c r="I130" i="1" s="1"/>
  <c r="J130" i="1" s="1"/>
  <c r="K130" i="1" s="1"/>
  <c r="L130" i="1" s="1"/>
  <c r="M130" i="1" s="1"/>
  <c r="N130" i="1" s="1"/>
  <c r="O130" i="1" s="1"/>
  <c r="P130" i="1" s="1"/>
  <c r="Q130" i="1" s="1"/>
  <c r="R130" i="1" s="1"/>
  <c r="S130" i="1" s="1"/>
  <c r="T130" i="1" s="1"/>
  <c r="U130" i="1" s="1"/>
  <c r="V130" i="1" s="1"/>
  <c r="F130" i="1"/>
  <c r="E130" i="1"/>
  <c r="D130" i="1"/>
  <c r="C130" i="1"/>
  <c r="B130" i="1"/>
  <c r="A130" i="1"/>
  <c r="W130" i="1" s="1"/>
  <c r="I129" i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H129" i="1"/>
  <c r="F129" i="1"/>
  <c r="E129" i="1"/>
  <c r="D129" i="1"/>
  <c r="C129" i="1"/>
  <c r="B129" i="1"/>
  <c r="W129" i="1" s="1"/>
  <c r="A129" i="1"/>
  <c r="F128" i="1"/>
  <c r="E128" i="1"/>
  <c r="D128" i="1"/>
  <c r="H128" i="1" s="1"/>
  <c r="I128" i="1" s="1"/>
  <c r="J128" i="1" s="1"/>
  <c r="K128" i="1" s="1"/>
  <c r="L128" i="1" s="1"/>
  <c r="M128" i="1" s="1"/>
  <c r="N128" i="1" s="1"/>
  <c r="O128" i="1" s="1"/>
  <c r="P128" i="1" s="1"/>
  <c r="Q128" i="1" s="1"/>
  <c r="R128" i="1" s="1"/>
  <c r="S128" i="1" s="1"/>
  <c r="T128" i="1" s="1"/>
  <c r="U128" i="1" s="1"/>
  <c r="V128" i="1" s="1"/>
  <c r="C128" i="1"/>
  <c r="B128" i="1"/>
  <c r="A128" i="1"/>
  <c r="W128" i="1" s="1"/>
  <c r="W127" i="1"/>
  <c r="J127" i="1"/>
  <c r="K127" i="1" s="1"/>
  <c r="L127" i="1" s="1"/>
  <c r="M127" i="1" s="1"/>
  <c r="N127" i="1" s="1"/>
  <c r="O127" i="1" s="1"/>
  <c r="P127" i="1" s="1"/>
  <c r="Q127" i="1" s="1"/>
  <c r="R127" i="1" s="1"/>
  <c r="S127" i="1" s="1"/>
  <c r="T127" i="1" s="1"/>
  <c r="U127" i="1" s="1"/>
  <c r="V127" i="1" s="1"/>
  <c r="H127" i="1"/>
  <c r="I127" i="1" s="1"/>
  <c r="F127" i="1"/>
  <c r="E127" i="1"/>
  <c r="D127" i="1"/>
  <c r="C127" i="1"/>
  <c r="B127" i="1"/>
  <c r="A127" i="1"/>
  <c r="F126" i="1"/>
  <c r="E126" i="1"/>
  <c r="D126" i="1"/>
  <c r="H126" i="1" s="1"/>
  <c r="I126" i="1" s="1"/>
  <c r="J126" i="1" s="1"/>
  <c r="K126" i="1" s="1"/>
  <c r="L126" i="1" s="1"/>
  <c r="M126" i="1" s="1"/>
  <c r="N126" i="1" s="1"/>
  <c r="O126" i="1" s="1"/>
  <c r="P126" i="1" s="1"/>
  <c r="Q126" i="1" s="1"/>
  <c r="R126" i="1" s="1"/>
  <c r="S126" i="1" s="1"/>
  <c r="T126" i="1" s="1"/>
  <c r="U126" i="1" s="1"/>
  <c r="V126" i="1" s="1"/>
  <c r="C126" i="1"/>
  <c r="B126" i="1"/>
  <c r="A126" i="1"/>
  <c r="W126" i="1" s="1"/>
  <c r="I125" i="1"/>
  <c r="J125" i="1" s="1"/>
  <c r="K125" i="1" s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V125" i="1" s="1"/>
  <c r="H125" i="1"/>
  <c r="F125" i="1"/>
  <c r="E125" i="1"/>
  <c r="D125" i="1"/>
  <c r="C125" i="1"/>
  <c r="B125" i="1"/>
  <c r="W125" i="1" s="1"/>
  <c r="A125" i="1"/>
  <c r="F124" i="1"/>
  <c r="E124" i="1"/>
  <c r="D124" i="1"/>
  <c r="H124" i="1" s="1"/>
  <c r="I124" i="1" s="1"/>
  <c r="J124" i="1" s="1"/>
  <c r="K124" i="1" s="1"/>
  <c r="L124" i="1" s="1"/>
  <c r="M124" i="1" s="1"/>
  <c r="N124" i="1" s="1"/>
  <c r="O124" i="1" s="1"/>
  <c r="P124" i="1" s="1"/>
  <c r="Q124" i="1" s="1"/>
  <c r="R124" i="1" s="1"/>
  <c r="S124" i="1" s="1"/>
  <c r="T124" i="1" s="1"/>
  <c r="U124" i="1" s="1"/>
  <c r="V124" i="1" s="1"/>
  <c r="C124" i="1"/>
  <c r="B124" i="1"/>
  <c r="A124" i="1"/>
  <c r="W124" i="1" s="1"/>
  <c r="H123" i="1"/>
  <c r="I123" i="1" s="1"/>
  <c r="J123" i="1" s="1"/>
  <c r="K123" i="1" s="1"/>
  <c r="L123" i="1" s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F123" i="1"/>
  <c r="E123" i="1"/>
  <c r="D123" i="1"/>
  <c r="C123" i="1"/>
  <c r="B123" i="1"/>
  <c r="A123" i="1"/>
  <c r="W123" i="1" s="1"/>
  <c r="U122" i="1"/>
  <c r="V122" i="1" s="1"/>
  <c r="F122" i="1"/>
  <c r="E122" i="1"/>
  <c r="D122" i="1"/>
  <c r="H122" i="1" s="1"/>
  <c r="I122" i="1" s="1"/>
  <c r="J122" i="1" s="1"/>
  <c r="K122" i="1" s="1"/>
  <c r="L122" i="1" s="1"/>
  <c r="M122" i="1" s="1"/>
  <c r="N122" i="1" s="1"/>
  <c r="O122" i="1" s="1"/>
  <c r="P122" i="1" s="1"/>
  <c r="Q122" i="1" s="1"/>
  <c r="R122" i="1" s="1"/>
  <c r="S122" i="1" s="1"/>
  <c r="T122" i="1" s="1"/>
  <c r="C122" i="1"/>
  <c r="B122" i="1"/>
  <c r="A122" i="1"/>
  <c r="W122" i="1" s="1"/>
  <c r="K121" i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I121" i="1"/>
  <c r="J121" i="1" s="1"/>
  <c r="H121" i="1"/>
  <c r="F121" i="1"/>
  <c r="E121" i="1"/>
  <c r="D121" i="1"/>
  <c r="C121" i="1"/>
  <c r="B121" i="1"/>
  <c r="W121" i="1" s="1"/>
  <c r="A121" i="1"/>
  <c r="J120" i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U120" i="1" s="1"/>
  <c r="V120" i="1" s="1"/>
  <c r="F120" i="1"/>
  <c r="E120" i="1"/>
  <c r="D120" i="1"/>
  <c r="H120" i="1" s="1"/>
  <c r="I120" i="1" s="1"/>
  <c r="C120" i="1"/>
  <c r="B120" i="1"/>
  <c r="A120" i="1"/>
  <c r="W120" i="1" s="1"/>
  <c r="W119" i="1"/>
  <c r="P119" i="1"/>
  <c r="Q119" i="1" s="1"/>
  <c r="R119" i="1" s="1"/>
  <c r="S119" i="1" s="1"/>
  <c r="T119" i="1" s="1"/>
  <c r="U119" i="1" s="1"/>
  <c r="V119" i="1" s="1"/>
  <c r="O119" i="1"/>
  <c r="J119" i="1"/>
  <c r="K119" i="1" s="1"/>
  <c r="L119" i="1" s="1"/>
  <c r="M119" i="1" s="1"/>
  <c r="N119" i="1" s="1"/>
  <c r="H119" i="1"/>
  <c r="I119" i="1" s="1"/>
  <c r="F119" i="1"/>
  <c r="E119" i="1"/>
  <c r="D119" i="1"/>
  <c r="C119" i="1"/>
  <c r="B119" i="1"/>
  <c r="A119" i="1"/>
  <c r="F118" i="1"/>
  <c r="E118" i="1"/>
  <c r="D118" i="1"/>
  <c r="H118" i="1" s="1"/>
  <c r="I118" i="1" s="1"/>
  <c r="J118" i="1" s="1"/>
  <c r="K118" i="1" s="1"/>
  <c r="L118" i="1" s="1"/>
  <c r="M118" i="1" s="1"/>
  <c r="N118" i="1" s="1"/>
  <c r="O118" i="1" s="1"/>
  <c r="P118" i="1" s="1"/>
  <c r="Q118" i="1" s="1"/>
  <c r="R118" i="1" s="1"/>
  <c r="S118" i="1" s="1"/>
  <c r="T118" i="1" s="1"/>
  <c r="U118" i="1" s="1"/>
  <c r="V118" i="1" s="1"/>
  <c r="C118" i="1"/>
  <c r="B118" i="1"/>
  <c r="A118" i="1"/>
  <c r="W118" i="1" s="1"/>
  <c r="N117" i="1"/>
  <c r="O117" i="1" s="1"/>
  <c r="P117" i="1" s="1"/>
  <c r="Q117" i="1" s="1"/>
  <c r="R117" i="1" s="1"/>
  <c r="S117" i="1" s="1"/>
  <c r="T117" i="1" s="1"/>
  <c r="U117" i="1" s="1"/>
  <c r="V117" i="1" s="1"/>
  <c r="L117" i="1"/>
  <c r="M117" i="1" s="1"/>
  <c r="K117" i="1"/>
  <c r="I117" i="1"/>
  <c r="J117" i="1" s="1"/>
  <c r="H117" i="1"/>
  <c r="F117" i="1"/>
  <c r="E117" i="1"/>
  <c r="D117" i="1"/>
  <c r="C117" i="1"/>
  <c r="B117" i="1"/>
  <c r="W117" i="1" s="1"/>
  <c r="A117" i="1"/>
  <c r="I116" i="1"/>
  <c r="J116" i="1" s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F116" i="1"/>
  <c r="E116" i="1"/>
  <c r="D116" i="1"/>
  <c r="H116" i="1" s="1"/>
  <c r="C116" i="1"/>
  <c r="B116" i="1"/>
  <c r="A116" i="1"/>
  <c r="W116" i="1" s="1"/>
  <c r="W115" i="1"/>
  <c r="R115" i="1"/>
  <c r="S115" i="1" s="1"/>
  <c r="T115" i="1" s="1"/>
  <c r="U115" i="1" s="1"/>
  <c r="V115" i="1" s="1"/>
  <c r="H115" i="1"/>
  <c r="I115" i="1" s="1"/>
  <c r="J115" i="1" s="1"/>
  <c r="K115" i="1" s="1"/>
  <c r="L115" i="1" s="1"/>
  <c r="M115" i="1" s="1"/>
  <c r="N115" i="1" s="1"/>
  <c r="O115" i="1" s="1"/>
  <c r="P115" i="1" s="1"/>
  <c r="Q115" i="1" s="1"/>
  <c r="F115" i="1"/>
  <c r="E115" i="1"/>
  <c r="D115" i="1"/>
  <c r="C115" i="1"/>
  <c r="B115" i="1"/>
  <c r="A115" i="1"/>
  <c r="P114" i="1"/>
  <c r="Q114" i="1" s="1"/>
  <c r="R114" i="1" s="1"/>
  <c r="S114" i="1" s="1"/>
  <c r="T114" i="1" s="1"/>
  <c r="U114" i="1" s="1"/>
  <c r="V114" i="1" s="1"/>
  <c r="M114" i="1"/>
  <c r="N114" i="1" s="1"/>
  <c r="O114" i="1" s="1"/>
  <c r="H114" i="1"/>
  <c r="I114" i="1" s="1"/>
  <c r="J114" i="1" s="1"/>
  <c r="K114" i="1" s="1"/>
  <c r="L114" i="1" s="1"/>
  <c r="F114" i="1"/>
  <c r="E114" i="1"/>
  <c r="D114" i="1"/>
  <c r="C114" i="1"/>
  <c r="B114" i="1"/>
  <c r="A114" i="1"/>
  <c r="W114" i="1" s="1"/>
  <c r="I113" i="1"/>
  <c r="J113" i="1" s="1"/>
  <c r="K113" i="1" s="1"/>
  <c r="L113" i="1" s="1"/>
  <c r="M113" i="1" s="1"/>
  <c r="N113" i="1" s="1"/>
  <c r="O113" i="1" s="1"/>
  <c r="P113" i="1" s="1"/>
  <c r="Q113" i="1" s="1"/>
  <c r="R113" i="1" s="1"/>
  <c r="S113" i="1" s="1"/>
  <c r="T113" i="1" s="1"/>
  <c r="U113" i="1" s="1"/>
  <c r="V113" i="1" s="1"/>
  <c r="H113" i="1"/>
  <c r="F113" i="1"/>
  <c r="E113" i="1"/>
  <c r="D113" i="1"/>
  <c r="C113" i="1"/>
  <c r="B113" i="1"/>
  <c r="W113" i="1" s="1"/>
  <c r="A113" i="1"/>
  <c r="F112" i="1"/>
  <c r="E112" i="1"/>
  <c r="D112" i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C112" i="1"/>
  <c r="B112" i="1"/>
  <c r="A112" i="1"/>
  <c r="W112" i="1" s="1"/>
  <c r="W111" i="1"/>
  <c r="J111" i="1"/>
  <c r="K111" i="1" s="1"/>
  <c r="L111" i="1" s="1"/>
  <c r="M111" i="1" s="1"/>
  <c r="N111" i="1" s="1"/>
  <c r="O111" i="1" s="1"/>
  <c r="P111" i="1" s="1"/>
  <c r="Q111" i="1" s="1"/>
  <c r="R111" i="1" s="1"/>
  <c r="S111" i="1" s="1"/>
  <c r="T111" i="1" s="1"/>
  <c r="U111" i="1" s="1"/>
  <c r="V111" i="1" s="1"/>
  <c r="H111" i="1"/>
  <c r="I111" i="1" s="1"/>
  <c r="F111" i="1"/>
  <c r="E111" i="1"/>
  <c r="D111" i="1"/>
  <c r="C111" i="1"/>
  <c r="B111" i="1"/>
  <c r="A111" i="1"/>
  <c r="N110" i="1"/>
  <c r="O110" i="1" s="1"/>
  <c r="P110" i="1" s="1"/>
  <c r="Q110" i="1" s="1"/>
  <c r="R110" i="1" s="1"/>
  <c r="S110" i="1" s="1"/>
  <c r="T110" i="1" s="1"/>
  <c r="U110" i="1" s="1"/>
  <c r="V110" i="1" s="1"/>
  <c r="F110" i="1"/>
  <c r="E110" i="1"/>
  <c r="D110" i="1"/>
  <c r="H110" i="1" s="1"/>
  <c r="I110" i="1" s="1"/>
  <c r="J110" i="1" s="1"/>
  <c r="K110" i="1" s="1"/>
  <c r="L110" i="1" s="1"/>
  <c r="M110" i="1" s="1"/>
  <c r="C110" i="1"/>
  <c r="B110" i="1"/>
  <c r="A110" i="1"/>
  <c r="W110" i="1" s="1"/>
  <c r="I109" i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H109" i="1"/>
  <c r="F109" i="1"/>
  <c r="E109" i="1"/>
  <c r="D109" i="1"/>
  <c r="C109" i="1"/>
  <c r="B109" i="1"/>
  <c r="W109" i="1" s="1"/>
  <c r="A109" i="1"/>
  <c r="L108" i="1"/>
  <c r="M108" i="1" s="1"/>
  <c r="N108" i="1" s="1"/>
  <c r="O108" i="1" s="1"/>
  <c r="P108" i="1" s="1"/>
  <c r="Q108" i="1" s="1"/>
  <c r="R108" i="1" s="1"/>
  <c r="S108" i="1" s="1"/>
  <c r="T108" i="1" s="1"/>
  <c r="U108" i="1" s="1"/>
  <c r="V108" i="1" s="1"/>
  <c r="I108" i="1"/>
  <c r="J108" i="1" s="1"/>
  <c r="K108" i="1" s="1"/>
  <c r="F108" i="1"/>
  <c r="E108" i="1"/>
  <c r="D108" i="1"/>
  <c r="H108" i="1" s="1"/>
  <c r="C108" i="1"/>
  <c r="B108" i="1"/>
  <c r="A108" i="1"/>
  <c r="W108" i="1" s="1"/>
  <c r="W107" i="1"/>
  <c r="F107" i="1"/>
  <c r="E107" i="1"/>
  <c r="D107" i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 s="1"/>
  <c r="V107" i="1" s="1"/>
  <c r="C107" i="1"/>
  <c r="B107" i="1"/>
  <c r="A107" i="1"/>
  <c r="F106" i="1"/>
  <c r="E106" i="1"/>
  <c r="D106" i="1"/>
  <c r="H106" i="1" s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C106" i="1"/>
  <c r="B106" i="1"/>
  <c r="A106" i="1"/>
  <c r="K105" i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I105" i="1"/>
  <c r="J105" i="1" s="1"/>
  <c r="H105" i="1"/>
  <c r="F105" i="1"/>
  <c r="E105" i="1"/>
  <c r="D105" i="1"/>
  <c r="C105" i="1"/>
  <c r="B105" i="1"/>
  <c r="W105" i="1" s="1"/>
  <c r="A105" i="1"/>
  <c r="W104" i="1"/>
  <c r="O104" i="1"/>
  <c r="P104" i="1" s="1"/>
  <c r="Q104" i="1" s="1"/>
  <c r="R104" i="1" s="1"/>
  <c r="S104" i="1" s="1"/>
  <c r="T104" i="1" s="1"/>
  <c r="U104" i="1" s="1"/>
  <c r="V104" i="1" s="1"/>
  <c r="J104" i="1"/>
  <c r="K104" i="1" s="1"/>
  <c r="L104" i="1" s="1"/>
  <c r="M104" i="1" s="1"/>
  <c r="N104" i="1" s="1"/>
  <c r="I104" i="1"/>
  <c r="F104" i="1"/>
  <c r="E104" i="1"/>
  <c r="D104" i="1"/>
  <c r="H104" i="1" s="1"/>
  <c r="C104" i="1"/>
  <c r="B104" i="1"/>
  <c r="A104" i="1"/>
  <c r="W103" i="1"/>
  <c r="F103" i="1"/>
  <c r="E103" i="1"/>
  <c r="D103" i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C103" i="1"/>
  <c r="B103" i="1"/>
  <c r="A103" i="1"/>
  <c r="F102" i="1"/>
  <c r="E102" i="1"/>
  <c r="D102" i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C102" i="1"/>
  <c r="B102" i="1"/>
  <c r="A102" i="1"/>
  <c r="L101" i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K101" i="1"/>
  <c r="I101" i="1"/>
  <c r="J101" i="1" s="1"/>
  <c r="H101" i="1"/>
  <c r="F101" i="1"/>
  <c r="E101" i="1"/>
  <c r="D101" i="1"/>
  <c r="C101" i="1"/>
  <c r="B101" i="1"/>
  <c r="W101" i="1" s="1"/>
  <c r="A101" i="1"/>
  <c r="L100" i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J100" i="1"/>
  <c r="K100" i="1" s="1"/>
  <c r="I100" i="1"/>
  <c r="F100" i="1"/>
  <c r="E100" i="1"/>
  <c r="D100" i="1"/>
  <c r="H100" i="1" s="1"/>
  <c r="C100" i="1"/>
  <c r="B100" i="1"/>
  <c r="A100" i="1"/>
  <c r="W100" i="1" s="1"/>
  <c r="H99" i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F99" i="1"/>
  <c r="E99" i="1"/>
  <c r="D99" i="1"/>
  <c r="C99" i="1"/>
  <c r="B99" i="1"/>
  <c r="A99" i="1"/>
  <c r="W99" i="1" s="1"/>
  <c r="F98" i="1"/>
  <c r="E98" i="1"/>
  <c r="D98" i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C98" i="1"/>
  <c r="B98" i="1"/>
  <c r="A98" i="1"/>
  <c r="N97" i="1"/>
  <c r="O97" i="1" s="1"/>
  <c r="P97" i="1" s="1"/>
  <c r="Q97" i="1" s="1"/>
  <c r="R97" i="1" s="1"/>
  <c r="S97" i="1" s="1"/>
  <c r="T97" i="1" s="1"/>
  <c r="U97" i="1" s="1"/>
  <c r="V97" i="1" s="1"/>
  <c r="L97" i="1"/>
  <c r="M97" i="1" s="1"/>
  <c r="K97" i="1"/>
  <c r="I97" i="1"/>
  <c r="J97" i="1" s="1"/>
  <c r="H97" i="1"/>
  <c r="F97" i="1"/>
  <c r="E97" i="1"/>
  <c r="D97" i="1"/>
  <c r="C97" i="1"/>
  <c r="B97" i="1"/>
  <c r="W97" i="1" s="1"/>
  <c r="A97" i="1"/>
  <c r="F96" i="1"/>
  <c r="E96" i="1"/>
  <c r="D96" i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C96" i="1"/>
  <c r="B96" i="1"/>
  <c r="A96" i="1"/>
  <c r="W96" i="1" s="1"/>
  <c r="W95" i="1"/>
  <c r="J95" i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H95" i="1"/>
  <c r="I95" i="1" s="1"/>
  <c r="F95" i="1"/>
  <c r="E95" i="1"/>
  <c r="D95" i="1"/>
  <c r="C95" i="1"/>
  <c r="B95" i="1"/>
  <c r="A95" i="1"/>
  <c r="F94" i="1"/>
  <c r="E94" i="1"/>
  <c r="D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C94" i="1"/>
  <c r="B94" i="1"/>
  <c r="A94" i="1"/>
  <c r="W94" i="1" s="1"/>
  <c r="I93" i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H93" i="1"/>
  <c r="F93" i="1"/>
  <c r="E93" i="1"/>
  <c r="D93" i="1"/>
  <c r="C93" i="1"/>
  <c r="B93" i="1"/>
  <c r="W93" i="1" s="1"/>
  <c r="A93" i="1"/>
  <c r="W92" i="1"/>
  <c r="F92" i="1"/>
  <c r="E92" i="1"/>
  <c r="D92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C92" i="1"/>
  <c r="B92" i="1"/>
  <c r="A92" i="1"/>
  <c r="F91" i="1"/>
  <c r="E91" i="1"/>
  <c r="D91" i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C91" i="1"/>
  <c r="B91" i="1"/>
  <c r="A91" i="1"/>
  <c r="W91" i="1" s="1"/>
  <c r="F90" i="1"/>
  <c r="E90" i="1"/>
  <c r="D90" i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C90" i="1"/>
  <c r="B90" i="1"/>
  <c r="A90" i="1"/>
  <c r="H89" i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F89" i="1"/>
  <c r="E89" i="1"/>
  <c r="D89" i="1"/>
  <c r="C89" i="1"/>
  <c r="B89" i="1"/>
  <c r="W89" i="1" s="1"/>
  <c r="A89" i="1"/>
  <c r="O88" i="1"/>
  <c r="P88" i="1" s="1"/>
  <c r="Q88" i="1" s="1"/>
  <c r="R88" i="1" s="1"/>
  <c r="S88" i="1" s="1"/>
  <c r="T88" i="1" s="1"/>
  <c r="U88" i="1" s="1"/>
  <c r="V88" i="1" s="1"/>
  <c r="F88" i="1"/>
  <c r="E88" i="1"/>
  <c r="D88" i="1"/>
  <c r="H88" i="1" s="1"/>
  <c r="I88" i="1" s="1"/>
  <c r="J88" i="1" s="1"/>
  <c r="K88" i="1" s="1"/>
  <c r="L88" i="1" s="1"/>
  <c r="M88" i="1" s="1"/>
  <c r="N88" i="1" s="1"/>
  <c r="C88" i="1"/>
  <c r="B88" i="1"/>
  <c r="A88" i="1"/>
  <c r="W88" i="1" s="1"/>
  <c r="O87" i="1"/>
  <c r="P87" i="1" s="1"/>
  <c r="Q87" i="1" s="1"/>
  <c r="R87" i="1" s="1"/>
  <c r="S87" i="1" s="1"/>
  <c r="T87" i="1" s="1"/>
  <c r="U87" i="1" s="1"/>
  <c r="V87" i="1" s="1"/>
  <c r="F87" i="1"/>
  <c r="E87" i="1"/>
  <c r="D87" i="1"/>
  <c r="H87" i="1" s="1"/>
  <c r="I87" i="1" s="1"/>
  <c r="J87" i="1" s="1"/>
  <c r="K87" i="1" s="1"/>
  <c r="L87" i="1" s="1"/>
  <c r="M87" i="1" s="1"/>
  <c r="N87" i="1" s="1"/>
  <c r="C87" i="1"/>
  <c r="B87" i="1"/>
  <c r="A87" i="1"/>
  <c r="W87" i="1" s="1"/>
  <c r="P86" i="1"/>
  <c r="Q86" i="1" s="1"/>
  <c r="R86" i="1" s="1"/>
  <c r="S86" i="1" s="1"/>
  <c r="T86" i="1" s="1"/>
  <c r="U86" i="1" s="1"/>
  <c r="V86" i="1" s="1"/>
  <c r="N86" i="1"/>
  <c r="O86" i="1" s="1"/>
  <c r="F86" i="1"/>
  <c r="E86" i="1"/>
  <c r="D86" i="1"/>
  <c r="H86" i="1" s="1"/>
  <c r="I86" i="1" s="1"/>
  <c r="J86" i="1" s="1"/>
  <c r="K86" i="1" s="1"/>
  <c r="L86" i="1" s="1"/>
  <c r="M86" i="1" s="1"/>
  <c r="C86" i="1"/>
  <c r="B86" i="1"/>
  <c r="A86" i="1"/>
  <c r="H85" i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F85" i="1"/>
  <c r="E85" i="1"/>
  <c r="D85" i="1"/>
  <c r="C85" i="1"/>
  <c r="B85" i="1"/>
  <c r="W85" i="1" s="1"/>
  <c r="A85" i="1"/>
  <c r="F84" i="1"/>
  <c r="E84" i="1"/>
  <c r="D84" i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C84" i="1"/>
  <c r="B84" i="1"/>
  <c r="A84" i="1"/>
  <c r="W84" i="1" s="1"/>
  <c r="F83" i="1"/>
  <c r="E83" i="1"/>
  <c r="D83" i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C83" i="1"/>
  <c r="B83" i="1"/>
  <c r="A83" i="1"/>
  <c r="W83" i="1" s="1"/>
  <c r="N82" i="1"/>
  <c r="O82" i="1" s="1"/>
  <c r="P82" i="1" s="1"/>
  <c r="Q82" i="1" s="1"/>
  <c r="R82" i="1" s="1"/>
  <c r="S82" i="1" s="1"/>
  <c r="T82" i="1" s="1"/>
  <c r="U82" i="1" s="1"/>
  <c r="V82" i="1" s="1"/>
  <c r="F82" i="1"/>
  <c r="E82" i="1"/>
  <c r="D82" i="1"/>
  <c r="H82" i="1" s="1"/>
  <c r="I82" i="1" s="1"/>
  <c r="J82" i="1" s="1"/>
  <c r="K82" i="1" s="1"/>
  <c r="L82" i="1" s="1"/>
  <c r="M82" i="1" s="1"/>
  <c r="C82" i="1"/>
  <c r="B82" i="1"/>
  <c r="A82" i="1"/>
  <c r="H81" i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F81" i="1"/>
  <c r="E81" i="1"/>
  <c r="D81" i="1"/>
  <c r="C81" i="1"/>
  <c r="B81" i="1"/>
  <c r="W81" i="1" s="1"/>
  <c r="A81" i="1"/>
  <c r="Q80" i="1"/>
  <c r="R80" i="1" s="1"/>
  <c r="S80" i="1" s="1"/>
  <c r="T80" i="1" s="1"/>
  <c r="U80" i="1" s="1"/>
  <c r="V80" i="1" s="1"/>
  <c r="O80" i="1"/>
  <c r="P80" i="1" s="1"/>
  <c r="F80" i="1"/>
  <c r="E80" i="1"/>
  <c r="D80" i="1"/>
  <c r="H80" i="1" s="1"/>
  <c r="I80" i="1" s="1"/>
  <c r="J80" i="1" s="1"/>
  <c r="K80" i="1" s="1"/>
  <c r="L80" i="1" s="1"/>
  <c r="M80" i="1" s="1"/>
  <c r="N80" i="1" s="1"/>
  <c r="C80" i="1"/>
  <c r="B80" i="1"/>
  <c r="A80" i="1"/>
  <c r="W80" i="1" s="1"/>
  <c r="F79" i="1"/>
  <c r="E79" i="1"/>
  <c r="D79" i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C79" i="1"/>
  <c r="B79" i="1"/>
  <c r="A79" i="1"/>
  <c r="W79" i="1" s="1"/>
  <c r="F78" i="1"/>
  <c r="E78" i="1"/>
  <c r="D78" i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C78" i="1"/>
  <c r="B78" i="1"/>
  <c r="A78" i="1"/>
  <c r="H77" i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F77" i="1"/>
  <c r="E77" i="1"/>
  <c r="D77" i="1"/>
  <c r="C77" i="1"/>
  <c r="B77" i="1"/>
  <c r="W77" i="1" s="1"/>
  <c r="A77" i="1"/>
  <c r="O76" i="1"/>
  <c r="P76" i="1" s="1"/>
  <c r="Q76" i="1" s="1"/>
  <c r="R76" i="1" s="1"/>
  <c r="S76" i="1" s="1"/>
  <c r="T76" i="1" s="1"/>
  <c r="U76" i="1" s="1"/>
  <c r="V76" i="1" s="1"/>
  <c r="F76" i="1"/>
  <c r="E76" i="1"/>
  <c r="D76" i="1"/>
  <c r="H76" i="1" s="1"/>
  <c r="I76" i="1" s="1"/>
  <c r="J76" i="1" s="1"/>
  <c r="K76" i="1" s="1"/>
  <c r="L76" i="1" s="1"/>
  <c r="M76" i="1" s="1"/>
  <c r="N76" i="1" s="1"/>
  <c r="C76" i="1"/>
  <c r="B76" i="1"/>
  <c r="A76" i="1"/>
  <c r="W76" i="1" s="1"/>
  <c r="O75" i="1"/>
  <c r="P75" i="1" s="1"/>
  <c r="Q75" i="1" s="1"/>
  <c r="R75" i="1" s="1"/>
  <c r="S75" i="1" s="1"/>
  <c r="T75" i="1" s="1"/>
  <c r="U75" i="1" s="1"/>
  <c r="V75" i="1" s="1"/>
  <c r="F75" i="1"/>
  <c r="E75" i="1"/>
  <c r="D75" i="1"/>
  <c r="H75" i="1" s="1"/>
  <c r="I75" i="1" s="1"/>
  <c r="J75" i="1" s="1"/>
  <c r="K75" i="1" s="1"/>
  <c r="L75" i="1" s="1"/>
  <c r="M75" i="1" s="1"/>
  <c r="N75" i="1" s="1"/>
  <c r="C75" i="1"/>
  <c r="B75" i="1"/>
  <c r="A75" i="1"/>
  <c r="W75" i="1" s="1"/>
  <c r="N74" i="1"/>
  <c r="O74" i="1" s="1"/>
  <c r="P74" i="1" s="1"/>
  <c r="Q74" i="1" s="1"/>
  <c r="R74" i="1" s="1"/>
  <c r="S74" i="1" s="1"/>
  <c r="T74" i="1" s="1"/>
  <c r="U74" i="1" s="1"/>
  <c r="V74" i="1" s="1"/>
  <c r="H74" i="1"/>
  <c r="I74" i="1" s="1"/>
  <c r="J74" i="1" s="1"/>
  <c r="K74" i="1" s="1"/>
  <c r="L74" i="1" s="1"/>
  <c r="M74" i="1" s="1"/>
  <c r="F74" i="1"/>
  <c r="E74" i="1"/>
  <c r="D74" i="1"/>
  <c r="C74" i="1"/>
  <c r="B74" i="1"/>
  <c r="A74" i="1"/>
  <c r="K73" i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H73" i="1"/>
  <c r="I73" i="1" s="1"/>
  <c r="J73" i="1" s="1"/>
  <c r="F73" i="1"/>
  <c r="E73" i="1"/>
  <c r="D73" i="1"/>
  <c r="C73" i="1"/>
  <c r="B73" i="1"/>
  <c r="W73" i="1" s="1"/>
  <c r="A73" i="1"/>
  <c r="J72" i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I72" i="1"/>
  <c r="F72" i="1"/>
  <c r="E72" i="1"/>
  <c r="D72" i="1"/>
  <c r="H72" i="1" s="1"/>
  <c r="C72" i="1"/>
  <c r="B72" i="1"/>
  <c r="A72" i="1"/>
  <c r="W72" i="1" s="1"/>
  <c r="W71" i="1"/>
  <c r="F71" i="1"/>
  <c r="E71" i="1"/>
  <c r="D71" i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C71" i="1"/>
  <c r="B71" i="1"/>
  <c r="A71" i="1"/>
  <c r="F70" i="1"/>
  <c r="E70" i="1"/>
  <c r="D70" i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C70" i="1"/>
  <c r="B70" i="1"/>
  <c r="A70" i="1"/>
  <c r="H69" i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F69" i="1"/>
  <c r="E69" i="1"/>
  <c r="D69" i="1"/>
  <c r="C69" i="1"/>
  <c r="B69" i="1"/>
  <c r="W69" i="1" s="1"/>
  <c r="A69" i="1"/>
  <c r="N68" i="1"/>
  <c r="O68" i="1" s="1"/>
  <c r="P68" i="1" s="1"/>
  <c r="Q68" i="1" s="1"/>
  <c r="R68" i="1" s="1"/>
  <c r="S68" i="1" s="1"/>
  <c r="T68" i="1" s="1"/>
  <c r="U68" i="1" s="1"/>
  <c r="V68" i="1" s="1"/>
  <c r="L68" i="1"/>
  <c r="M68" i="1" s="1"/>
  <c r="J68" i="1"/>
  <c r="K68" i="1" s="1"/>
  <c r="I68" i="1"/>
  <c r="F68" i="1"/>
  <c r="E68" i="1"/>
  <c r="D68" i="1"/>
  <c r="H68" i="1" s="1"/>
  <c r="C68" i="1"/>
  <c r="B68" i="1"/>
  <c r="A68" i="1"/>
  <c r="W68" i="1" s="1"/>
  <c r="F67" i="1"/>
  <c r="E67" i="1"/>
  <c r="D67" i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C67" i="1"/>
  <c r="B67" i="1"/>
  <c r="W67" i="1" s="1"/>
  <c r="A67" i="1"/>
  <c r="H66" i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F66" i="1"/>
  <c r="E66" i="1"/>
  <c r="D66" i="1"/>
  <c r="C66" i="1"/>
  <c r="B66" i="1"/>
  <c r="A66" i="1"/>
  <c r="H65" i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F65" i="1"/>
  <c r="E65" i="1"/>
  <c r="D65" i="1"/>
  <c r="C65" i="1"/>
  <c r="B65" i="1"/>
  <c r="W65" i="1" s="1"/>
  <c r="A65" i="1"/>
  <c r="I64" i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F64" i="1"/>
  <c r="E64" i="1"/>
  <c r="D64" i="1"/>
  <c r="H64" i="1" s="1"/>
  <c r="C64" i="1"/>
  <c r="B64" i="1"/>
  <c r="A64" i="1"/>
  <c r="W64" i="1" s="1"/>
  <c r="W63" i="1"/>
  <c r="F63" i="1"/>
  <c r="E63" i="1"/>
  <c r="D63" i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C63" i="1"/>
  <c r="B63" i="1"/>
  <c r="A63" i="1"/>
  <c r="H62" i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F62" i="1"/>
  <c r="E62" i="1"/>
  <c r="D62" i="1"/>
  <c r="C62" i="1"/>
  <c r="B62" i="1"/>
  <c r="A62" i="1"/>
  <c r="I61" i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H61" i="1"/>
  <c r="F61" i="1"/>
  <c r="E61" i="1"/>
  <c r="D61" i="1"/>
  <c r="C61" i="1"/>
  <c r="B61" i="1"/>
  <c r="W61" i="1" s="1"/>
  <c r="A61" i="1"/>
  <c r="M60" i="1"/>
  <c r="N60" i="1" s="1"/>
  <c r="O60" i="1" s="1"/>
  <c r="P60" i="1" s="1"/>
  <c r="Q60" i="1" s="1"/>
  <c r="R60" i="1" s="1"/>
  <c r="S60" i="1" s="1"/>
  <c r="T60" i="1" s="1"/>
  <c r="U60" i="1" s="1"/>
  <c r="V60" i="1" s="1"/>
  <c r="L60" i="1"/>
  <c r="F60" i="1"/>
  <c r="E60" i="1"/>
  <c r="D60" i="1"/>
  <c r="H60" i="1" s="1"/>
  <c r="I60" i="1" s="1"/>
  <c r="J60" i="1" s="1"/>
  <c r="K60" i="1" s="1"/>
  <c r="C60" i="1"/>
  <c r="B60" i="1"/>
  <c r="W60" i="1" s="1"/>
  <c r="A60" i="1"/>
  <c r="H59" i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F59" i="1"/>
  <c r="E59" i="1"/>
  <c r="D59" i="1"/>
  <c r="C59" i="1"/>
  <c r="B59" i="1"/>
  <c r="A59" i="1"/>
  <c r="W59" i="1" s="1"/>
  <c r="W58" i="1"/>
  <c r="H58" i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F58" i="1"/>
  <c r="E58" i="1"/>
  <c r="D58" i="1"/>
  <c r="C58" i="1"/>
  <c r="B58" i="1"/>
  <c r="A58" i="1"/>
  <c r="F57" i="1"/>
  <c r="E57" i="1"/>
  <c r="D57" i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C57" i="1"/>
  <c r="B57" i="1"/>
  <c r="W57" i="1" s="1"/>
  <c r="A57" i="1"/>
  <c r="K56" i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J56" i="1"/>
  <c r="F56" i="1"/>
  <c r="E56" i="1"/>
  <c r="D56" i="1"/>
  <c r="H56" i="1" s="1"/>
  <c r="I56" i="1" s="1"/>
  <c r="C56" i="1"/>
  <c r="B56" i="1"/>
  <c r="A56" i="1"/>
  <c r="W56" i="1" s="1"/>
  <c r="H55" i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F55" i="1"/>
  <c r="E55" i="1"/>
  <c r="D55" i="1"/>
  <c r="C55" i="1"/>
  <c r="B55" i="1"/>
  <c r="A55" i="1"/>
  <c r="W55" i="1" s="1"/>
  <c r="W54" i="1"/>
  <c r="H54" i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F54" i="1"/>
  <c r="E54" i="1"/>
  <c r="D54" i="1"/>
  <c r="C54" i="1"/>
  <c r="B54" i="1"/>
  <c r="A54" i="1"/>
  <c r="F53" i="1"/>
  <c r="E53" i="1"/>
  <c r="D53" i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C53" i="1"/>
  <c r="B53" i="1"/>
  <c r="W53" i="1" s="1"/>
  <c r="A53" i="1"/>
  <c r="K52" i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J52" i="1"/>
  <c r="F52" i="1"/>
  <c r="E52" i="1"/>
  <c r="D52" i="1"/>
  <c r="H52" i="1" s="1"/>
  <c r="I52" i="1" s="1"/>
  <c r="C52" i="1"/>
  <c r="B52" i="1"/>
  <c r="A52" i="1"/>
  <c r="W52" i="1" s="1"/>
  <c r="H51" i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F51" i="1"/>
  <c r="E51" i="1"/>
  <c r="D51" i="1"/>
  <c r="C51" i="1"/>
  <c r="B51" i="1"/>
  <c r="A51" i="1"/>
  <c r="W51" i="1" s="1"/>
  <c r="W50" i="1"/>
  <c r="H50" i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F50" i="1"/>
  <c r="E50" i="1"/>
  <c r="D50" i="1"/>
  <c r="C50" i="1"/>
  <c r="B50" i="1"/>
  <c r="A50" i="1"/>
  <c r="F49" i="1"/>
  <c r="E49" i="1"/>
  <c r="D49" i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C49" i="1"/>
  <c r="B49" i="1"/>
  <c r="W49" i="1" s="1"/>
  <c r="A49" i="1"/>
  <c r="K48" i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J48" i="1"/>
  <c r="F48" i="1"/>
  <c r="E48" i="1"/>
  <c r="D48" i="1"/>
  <c r="H48" i="1" s="1"/>
  <c r="I48" i="1" s="1"/>
  <c r="C48" i="1"/>
  <c r="B48" i="1"/>
  <c r="A48" i="1"/>
  <c r="W48" i="1" s="1"/>
  <c r="H47" i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F47" i="1"/>
  <c r="E47" i="1"/>
  <c r="D47" i="1"/>
  <c r="C47" i="1"/>
  <c r="B47" i="1"/>
  <c r="A47" i="1"/>
  <c r="W47" i="1" s="1"/>
  <c r="W46" i="1"/>
  <c r="H46" i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F46" i="1"/>
  <c r="E46" i="1"/>
  <c r="D46" i="1"/>
  <c r="C46" i="1"/>
  <c r="B46" i="1"/>
  <c r="A46" i="1"/>
  <c r="F45" i="1"/>
  <c r="E45" i="1"/>
  <c r="D45" i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C45" i="1"/>
  <c r="B45" i="1"/>
  <c r="W45" i="1" s="1"/>
  <c r="A45" i="1"/>
  <c r="K44" i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J44" i="1"/>
  <c r="F44" i="1"/>
  <c r="E44" i="1"/>
  <c r="D44" i="1"/>
  <c r="H44" i="1" s="1"/>
  <c r="I44" i="1" s="1"/>
  <c r="C44" i="1"/>
  <c r="B44" i="1"/>
  <c r="A44" i="1"/>
  <c r="W44" i="1" s="1"/>
  <c r="H43" i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F43" i="1"/>
  <c r="E43" i="1"/>
  <c r="D43" i="1"/>
  <c r="C43" i="1"/>
  <c r="B43" i="1"/>
  <c r="A43" i="1"/>
  <c r="W43" i="1" s="1"/>
  <c r="W42" i="1"/>
  <c r="H42" i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F42" i="1"/>
  <c r="E42" i="1"/>
  <c r="D42" i="1"/>
  <c r="C42" i="1"/>
  <c r="B42" i="1"/>
  <c r="A42" i="1"/>
  <c r="F41" i="1"/>
  <c r="E41" i="1"/>
  <c r="D41" i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C41" i="1"/>
  <c r="B41" i="1"/>
  <c r="W41" i="1" s="1"/>
  <c r="A41" i="1"/>
  <c r="K40" i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J40" i="1"/>
  <c r="F40" i="1"/>
  <c r="E40" i="1"/>
  <c r="D40" i="1"/>
  <c r="H40" i="1" s="1"/>
  <c r="I40" i="1" s="1"/>
  <c r="C40" i="1"/>
  <c r="B40" i="1"/>
  <c r="A40" i="1"/>
  <c r="W40" i="1" s="1"/>
  <c r="H39" i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F39" i="1"/>
  <c r="E39" i="1"/>
  <c r="D39" i="1"/>
  <c r="C39" i="1"/>
  <c r="B39" i="1"/>
  <c r="A39" i="1"/>
  <c r="W39" i="1" s="1"/>
  <c r="W38" i="1"/>
  <c r="H38" i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F38" i="1"/>
  <c r="E38" i="1"/>
  <c r="D38" i="1"/>
  <c r="C38" i="1"/>
  <c r="B38" i="1"/>
  <c r="A38" i="1"/>
  <c r="F37" i="1"/>
  <c r="E37" i="1"/>
  <c r="D37" i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C37" i="1"/>
  <c r="B37" i="1"/>
  <c r="W37" i="1" s="1"/>
  <c r="A37" i="1"/>
  <c r="K36" i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J36" i="1"/>
  <c r="F36" i="1"/>
  <c r="E36" i="1"/>
  <c r="D36" i="1"/>
  <c r="H36" i="1" s="1"/>
  <c r="I36" i="1" s="1"/>
  <c r="C36" i="1"/>
  <c r="B36" i="1"/>
  <c r="A36" i="1"/>
  <c r="W36" i="1" s="1"/>
  <c r="H35" i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F35" i="1"/>
  <c r="E35" i="1"/>
  <c r="D35" i="1"/>
  <c r="C35" i="1"/>
  <c r="B35" i="1"/>
  <c r="A35" i="1"/>
  <c r="W35" i="1" s="1"/>
  <c r="W34" i="1"/>
  <c r="H34" i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F34" i="1"/>
  <c r="E34" i="1"/>
  <c r="D34" i="1"/>
  <c r="C34" i="1"/>
  <c r="B34" i="1"/>
  <c r="A34" i="1"/>
  <c r="H33" i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F33" i="1"/>
  <c r="E33" i="1"/>
  <c r="D33" i="1"/>
  <c r="C33" i="1"/>
  <c r="B33" i="1"/>
  <c r="W33" i="1" s="1"/>
  <c r="A33" i="1"/>
  <c r="W32" i="1"/>
  <c r="J32" i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F32" i="1"/>
  <c r="E32" i="1"/>
  <c r="D32" i="1"/>
  <c r="H32" i="1" s="1"/>
  <c r="I32" i="1" s="1"/>
  <c r="C32" i="1"/>
  <c r="B32" i="1"/>
  <c r="A32" i="1"/>
  <c r="H31" i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F31" i="1"/>
  <c r="E31" i="1"/>
  <c r="D31" i="1"/>
  <c r="C31" i="1"/>
  <c r="B31" i="1"/>
  <c r="A31" i="1"/>
  <c r="W31" i="1" s="1"/>
  <c r="W30" i="1"/>
  <c r="H30" i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F30" i="1"/>
  <c r="E30" i="1"/>
  <c r="D30" i="1"/>
  <c r="C30" i="1"/>
  <c r="B30" i="1"/>
  <c r="A30" i="1"/>
  <c r="H29" i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F29" i="1"/>
  <c r="E29" i="1"/>
  <c r="D29" i="1"/>
  <c r="C29" i="1"/>
  <c r="B29" i="1"/>
  <c r="W29" i="1" s="1"/>
  <c r="A29" i="1"/>
  <c r="W28" i="1"/>
  <c r="J28" i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F28" i="1"/>
  <c r="E28" i="1"/>
  <c r="D28" i="1"/>
  <c r="H28" i="1" s="1"/>
  <c r="I28" i="1" s="1"/>
  <c r="C28" i="1"/>
  <c r="B28" i="1"/>
  <c r="A28" i="1"/>
  <c r="H27" i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F27" i="1"/>
  <c r="E27" i="1"/>
  <c r="D27" i="1"/>
  <c r="C27" i="1"/>
  <c r="B27" i="1"/>
  <c r="A27" i="1"/>
  <c r="W27" i="1" s="1"/>
  <c r="H26" i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F26" i="1"/>
  <c r="E26" i="1"/>
  <c r="D26" i="1"/>
  <c r="C26" i="1"/>
  <c r="B26" i="1"/>
  <c r="A26" i="1"/>
  <c r="W26" i="1" s="1"/>
  <c r="F25" i="1"/>
  <c r="E25" i="1"/>
  <c r="D25" i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C25" i="1"/>
  <c r="B25" i="1"/>
  <c r="A25" i="1"/>
  <c r="W25" i="1" s="1"/>
  <c r="F24" i="1"/>
  <c r="E24" i="1"/>
  <c r="D24" i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C24" i="1"/>
  <c r="B24" i="1"/>
  <c r="W24" i="1" s="1"/>
  <c r="A24" i="1"/>
  <c r="W23" i="1"/>
  <c r="H23" i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F23" i="1"/>
  <c r="E23" i="1"/>
  <c r="D23" i="1"/>
  <c r="C23" i="1"/>
  <c r="B23" i="1"/>
  <c r="A23" i="1"/>
  <c r="H22" i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F22" i="1"/>
  <c r="E22" i="1"/>
  <c r="D22" i="1"/>
  <c r="C22" i="1"/>
  <c r="B22" i="1"/>
  <c r="A22" i="1"/>
  <c r="W22" i="1" s="1"/>
  <c r="F21" i="1"/>
  <c r="E21" i="1"/>
  <c r="D21" i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C21" i="1"/>
  <c r="B21" i="1"/>
  <c r="W21" i="1" s="1"/>
  <c r="A21" i="1"/>
  <c r="F20" i="1"/>
  <c r="E20" i="1"/>
  <c r="D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C20" i="1"/>
  <c r="B20" i="1"/>
  <c r="W20" i="1" s="1"/>
  <c r="A20" i="1"/>
  <c r="W19" i="1"/>
  <c r="H19" i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F19" i="1"/>
  <c r="E19" i="1"/>
  <c r="D19" i="1"/>
  <c r="C19" i="1"/>
  <c r="B19" i="1"/>
  <c r="A19" i="1"/>
  <c r="H18" i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F18" i="1"/>
  <c r="E18" i="1"/>
  <c r="D18" i="1"/>
  <c r="C18" i="1"/>
  <c r="B18" i="1"/>
  <c r="A18" i="1"/>
  <c r="W18" i="1" s="1"/>
  <c r="F17" i="1"/>
  <c r="E17" i="1"/>
  <c r="D17" i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C17" i="1"/>
  <c r="B17" i="1"/>
  <c r="A17" i="1"/>
  <c r="W17" i="1" s="1"/>
  <c r="F16" i="1"/>
  <c r="E16" i="1"/>
  <c r="D16" i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C16" i="1"/>
  <c r="B16" i="1"/>
  <c r="W16" i="1" s="1"/>
  <c r="A16" i="1"/>
  <c r="W15" i="1"/>
  <c r="H15" i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F15" i="1"/>
  <c r="E15" i="1"/>
  <c r="D15" i="1"/>
  <c r="C15" i="1"/>
  <c r="B15" i="1"/>
  <c r="A15" i="1"/>
  <c r="F14" i="1"/>
  <c r="E14" i="1"/>
  <c r="D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C14" i="1"/>
  <c r="B14" i="1"/>
  <c r="A14" i="1"/>
  <c r="W14" i="1" s="1"/>
  <c r="H13" i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F13" i="1"/>
  <c r="E13" i="1"/>
  <c r="D13" i="1"/>
  <c r="C13" i="1"/>
  <c r="B13" i="1"/>
  <c r="A13" i="1"/>
  <c r="W13" i="1" s="1"/>
  <c r="W12" i="1"/>
  <c r="H12" i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F12" i="1"/>
  <c r="E12" i="1"/>
  <c r="D12" i="1"/>
  <c r="C12" i="1"/>
  <c r="B12" i="1"/>
  <c r="A12" i="1"/>
  <c r="W11" i="1"/>
  <c r="F11" i="1"/>
  <c r="E11" i="1"/>
  <c r="D11" i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C11" i="1"/>
  <c r="B11" i="1"/>
  <c r="A11" i="1"/>
  <c r="F10" i="1"/>
  <c r="E10" i="1"/>
  <c r="D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C10" i="1"/>
  <c r="B10" i="1"/>
  <c r="A10" i="1"/>
  <c r="W10" i="1" s="1"/>
  <c r="H9" i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F9" i="1"/>
  <c r="E9" i="1"/>
  <c r="D9" i="1"/>
  <c r="C9" i="1"/>
  <c r="B9" i="1"/>
  <c r="A9" i="1"/>
  <c r="W9" i="1" s="1"/>
  <c r="W8" i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F8" i="1"/>
  <c r="E8" i="1"/>
  <c r="D8" i="1"/>
  <c r="C8" i="1"/>
  <c r="B8" i="1"/>
  <c r="A8" i="1"/>
  <c r="W7" i="1"/>
  <c r="F7" i="1"/>
  <c r="E7" i="1"/>
  <c r="D7" i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C7" i="1"/>
  <c r="B7" i="1"/>
  <c r="A7" i="1"/>
  <c r="F6" i="1"/>
  <c r="E6" i="1"/>
  <c r="D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C6" i="1"/>
  <c r="B6" i="1"/>
  <c r="A6" i="1"/>
  <c r="W6" i="1" s="1"/>
  <c r="H5" i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F5" i="1"/>
  <c r="E5" i="1"/>
  <c r="D5" i="1"/>
  <c r="C5" i="1"/>
  <c r="B5" i="1"/>
  <c r="A5" i="1"/>
  <c r="W5" i="1" s="1"/>
  <c r="W4" i="1"/>
  <c r="H4" i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F4" i="1"/>
  <c r="E4" i="1"/>
  <c r="D4" i="1"/>
  <c r="C4" i="1"/>
  <c r="B4" i="1"/>
  <c r="A4" i="1"/>
  <c r="F3" i="1"/>
  <c r="E3" i="1"/>
  <c r="D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C3" i="1"/>
  <c r="B3" i="1"/>
  <c r="W3" i="1" s="1"/>
  <c r="A3" i="1"/>
  <c r="F2" i="1"/>
  <c r="E2" i="1"/>
  <c r="D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C2" i="1"/>
  <c r="B2" i="1"/>
  <c r="A2" i="1"/>
  <c r="W2" i="1" s="1"/>
  <c r="F1" i="1"/>
  <c r="E1" i="1"/>
  <c r="D1" i="1"/>
  <c r="C1" i="1"/>
  <c r="B1" i="1"/>
  <c r="A1" i="1"/>
  <c r="W62" i="1" l="1"/>
  <c r="W66" i="1"/>
  <c r="W70" i="1"/>
  <c r="W74" i="1"/>
  <c r="W98" i="1"/>
  <c r="W78" i="1"/>
  <c r="W82" i="1"/>
  <c r="W86" i="1"/>
  <c r="W90" i="1"/>
  <c r="W102" i="1"/>
  <c r="W106" i="1"/>
  <c r="W147" i="1"/>
  <c r="W220" i="1"/>
  <c r="W242" i="1"/>
  <c r="W274" i="1"/>
  <c r="W238" i="1"/>
  <c r="W270" i="1"/>
  <c r="W208" i="1"/>
  <c r="W246" i="1"/>
  <c r="W278" i="1"/>
  <c r="W282" i="1"/>
  <c r="W286" i="1"/>
  <c r="W290" i="1"/>
  <c r="W294" i="1"/>
  <c r="W298" i="1"/>
  <c r="W302" i="1"/>
  <c r="W306" i="1"/>
  <c r="W310" i="1"/>
  <c r="W314" i="1"/>
  <c r="W318" i="1"/>
  <c r="W322" i="1"/>
  <c r="W326" i="1"/>
  <c r="W358" i="1"/>
  <c r="W359" i="1"/>
  <c r="W362" i="1"/>
  <c r="W363" i="1"/>
  <c r="W366" i="1"/>
  <c r="W367" i="1"/>
  <c r="W370" i="1"/>
  <c r="W371" i="1"/>
  <c r="W374" i="1"/>
  <c r="W375" i="1"/>
  <c r="W378" i="1"/>
  <c r="W379" i="1"/>
  <c r="W382" i="1"/>
  <c r="W383" i="1"/>
  <c r="W411" i="1"/>
  <c r="W431" i="1"/>
  <c r="W402" i="1"/>
  <c r="W426" i="1"/>
  <c r="W470" i="1"/>
  <c r="W386" i="1"/>
  <c r="W390" i="1"/>
  <c r="W394" i="1"/>
  <c r="W398" i="1"/>
  <c r="W406" i="1"/>
  <c r="W424" i="1"/>
  <c r="W410" i="1"/>
  <c r="W422" i="1"/>
  <c r="W414" i="1"/>
  <c r="W420" i="1"/>
  <c r="W462" i="1"/>
  <c r="W468" i="1"/>
  <c r="W451" i="1"/>
  <c r="W455" i="1"/>
  <c r="W459" i="1"/>
  <c r="W464" i="1"/>
  <c r="W541" i="1"/>
  <c r="W542" i="1"/>
  <c r="W550" i="1"/>
  <c r="W554" i="1"/>
  <c r="W529" i="1"/>
  <c r="W530" i="1"/>
  <c r="W558" i="1"/>
  <c r="W562" i="1"/>
  <c r="W598" i="1"/>
  <c r="W602" i="1"/>
  <c r="W606" i="1"/>
  <c r="W610" i="1"/>
  <c r="W614" i="1"/>
  <c r="W622" i="1"/>
  <c r="W641" i="1"/>
  <c r="W645" i="1"/>
  <c r="W707" i="1"/>
  <c r="W650" i="1"/>
  <c r="W698" i="1"/>
  <c r="W658" i="1"/>
  <c r="W638" i="1"/>
  <c r="W662" i="1"/>
  <c r="W666" i="1"/>
  <c r="W703" i="1"/>
  <c r="W710" i="1"/>
  <c r="W670" i="1"/>
  <c r="W674" i="1"/>
  <c r="W690" i="1"/>
  <c r="W678" i="1"/>
  <c r="W682" i="1"/>
  <c r="W686" i="1"/>
  <c r="W694" i="1"/>
  <c r="W720" i="1"/>
  <c r="W742" i="1"/>
  <c r="W778" i="1"/>
  <c r="W766" i="1"/>
  <c r="W782" i="1"/>
  <c r="W774" i="1"/>
  <c r="W791" i="1"/>
  <c r="W781" i="1"/>
  <c r="W809" i="1"/>
</calcChain>
</file>

<file path=xl/sharedStrings.xml><?xml version="1.0" encoding="utf-8"?>
<sst xmlns="http://schemas.openxmlformats.org/spreadsheetml/2006/main" count="2" uniqueCount="2">
  <si>
    <t>Pos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</si>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</sst>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875"/>
  <sheetViews>
    <sheetView tabSelected="1" topLeftCell="L54" workbookViewId="0"/>
  </sheetViews>
  <sheetFormatPr defaultColWidth="12.6640625" defaultRowHeight="15.75" customHeight="1"/>
  <cols>
    <col min="3" max="3" width="20.77734375" customWidth="1"/>
  </cols>
  <sheetData>
    <row r="1" spans="1:23">
      <c r="A1" s="1" t="str">
        <f ca="1">IFERROR(__xludf.DUMMYFUNCTION("IMPORTHTML(""https://mlsplayers.org/resources/salary-guide"",""table"",1)"),"First Name")</f>
        <v>First Name</v>
      </c>
      <c r="B1" s="1" t="str">
        <f ca="1">IFERROR(__xludf.DUMMYFUNCTION("""COMPUTED_VALUE"""),"Last Name")</f>
        <v>Last Name</v>
      </c>
      <c r="C1" s="1" t="str">
        <f ca="1">IFERROR(__xludf.DUMMYFUNCTION("""COMPUTED_VALUE"""),"Club")</f>
        <v>Club</v>
      </c>
      <c r="D1" s="1" t="str">
        <f ca="1">IFERROR(__xludf.DUMMYFUNCTION("""COMPUTED_VALUE"""),"Position(s)")</f>
        <v>Position(s)</v>
      </c>
      <c r="E1" s="1" t="str">
        <f ca="1">IFERROR(__xludf.DUMMYFUNCTION("""COMPUTED_VALUE"""),"Base Salary")</f>
        <v>Base Salary</v>
      </c>
      <c r="F1" s="1" t="str">
        <f ca="1">IFERROR(__xludf.DUMMYFUNCTION("""COMPUTED_VALUE"""),"Guaranteed Compensation")</f>
        <v>Guaranteed Compensation</v>
      </c>
      <c r="V1" s="1" t="s">
        <v>0</v>
      </c>
      <c r="W1" s="1" t="s">
        <v>1</v>
      </c>
    </row>
    <row r="2" spans="1:23">
      <c r="A2" s="1" t="str">
        <f ca="1">IFERROR(__xludf.DUMMYFUNCTION("""COMPUTED_VALUE"""),"Liel")</f>
        <v>Liel</v>
      </c>
      <c r="B2" s="1" t="str">
        <f ca="1">IFERROR(__xludf.DUMMYFUNCTION("""COMPUTED_VALUE"""),"Abada")</f>
        <v>Abada</v>
      </c>
      <c r="C2" s="1" t="str">
        <f ca="1">IFERROR(__xludf.DUMMYFUNCTION("""COMPUTED_VALUE"""),"Charlotte FC")</f>
        <v>Charlotte FC</v>
      </c>
      <c r="D2" s="1" t="str">
        <f ca="1">IFERROR(__xludf.DUMMYFUNCTION("""COMPUTED_VALUE"""),"Right Wing")</f>
        <v>Right Wing</v>
      </c>
      <c r="E2" s="2">
        <f ca="1">IFERROR(__xludf.DUMMYFUNCTION("""COMPUTED_VALUE"""),2300000)</f>
        <v>2300000</v>
      </c>
      <c r="F2" s="2">
        <f ca="1">IFERROR(__xludf.DUMMYFUNCTION("""COMPUTED_VALUE"""),2448500)</f>
        <v>2448500</v>
      </c>
      <c r="H2" s="1" t="str">
        <f t="shared" ref="H2:H256" ca="1" si="0">SUBSTITUTE(D:D,"Center-back","D")</f>
        <v>Right Wing</v>
      </c>
      <c r="I2" s="3" t="str">
        <f t="shared" ref="I2:I256" ca="1" si="1">SUBSTITUTE(H:H,"Left-back","D")</f>
        <v>Right Wing</v>
      </c>
      <c r="J2" s="1" t="str">
        <f t="shared" ref="J2:J256" ca="1" si="2">SUBSTITUTE(I:I,"Right-back","D")</f>
        <v>Right Wing</v>
      </c>
      <c r="K2" s="1" t="str">
        <f ca="1">SUBSTITUTE(J:J,"Defensive-Midfield","M")</f>
        <v>Right Wing</v>
      </c>
      <c r="L2" s="1" t="str">
        <f t="shared" ref="L2:L256" ca="1" si="3">SUBSTITUTE(K:K,"Central Midfield","M")</f>
        <v>Right Wing</v>
      </c>
      <c r="M2" s="1" t="str">
        <f t="shared" ref="M2:M256" ca="1" si="4">SUBSTITUTE(L:L,"Attacking Midfield","M")</f>
        <v>Right Wing</v>
      </c>
      <c r="N2" s="1" t="str">
        <f t="shared" ref="N2:N256" ca="1" si="5">SUBSTITUTE(M:M,"Right Wing","F")</f>
        <v>F</v>
      </c>
      <c r="O2" s="1" t="str">
        <f t="shared" ref="O2:O256" ca="1" si="6">SUBSTITUTE(N:N,"Center Forward","F")</f>
        <v>F</v>
      </c>
      <c r="P2" s="1" t="str">
        <f t="shared" ref="P2:P256" ca="1" si="7">SUBSTITUTE(O:O,"Left Wing","F")</f>
        <v>F</v>
      </c>
      <c r="Q2" s="1" t="str">
        <f t="shared" ref="Q2:Q256" ca="1" si="8">SUBSTITUTE(P:P,"Forward","F")</f>
        <v>F</v>
      </c>
      <c r="R2" s="1" t="str">
        <f t="shared" ref="R2:R256" ca="1" si="9">SUBSTITUTE(Q:Q,"Goalkeeper","GK")</f>
        <v>F</v>
      </c>
      <c r="S2" s="1" t="str">
        <f t="shared" ref="S2:S256" ca="1" si="10">SUBSTITUTE(R:R,"Left Midfield","M")</f>
        <v>F</v>
      </c>
      <c r="T2" s="1" t="str">
        <f t="shared" ref="T2:T256" ca="1" si="11">SUBSTITUTE(S:S,"Right Midfield","M")</f>
        <v>F</v>
      </c>
      <c r="U2" s="1" t="str">
        <f t="shared" ref="U2:U256" ca="1" si="12">SUBSTITUTE(T:T,"Midfielder","M")</f>
        <v>F</v>
      </c>
      <c r="V2" s="1" t="str">
        <f t="shared" ref="V2:V256" ca="1" si="13">SUBSTITUTE(U:U,"Defender","D")</f>
        <v>F</v>
      </c>
      <c r="W2" s="1" t="str">
        <f t="shared" ref="W2:W256" ca="1" si="14">CONCATENATE($A2," ",$B2)</f>
        <v>Liel Abada</v>
      </c>
    </row>
    <row r="3" spans="1:23">
      <c r="A3" s="1" t="str">
        <f ca="1">IFERROR(__xludf.DUMMYFUNCTION("""COMPUTED_VALUE"""),"Luis")</f>
        <v>Luis</v>
      </c>
      <c r="B3" s="1" t="str">
        <f ca="1">IFERROR(__xludf.DUMMYFUNCTION("""COMPUTED_VALUE"""),"Abram")</f>
        <v>Abram</v>
      </c>
      <c r="C3" s="1" t="str">
        <f ca="1">IFERROR(__xludf.DUMMYFUNCTION("""COMPUTED_VALUE"""),"Atlanta United")</f>
        <v>Atlanta United</v>
      </c>
      <c r="D3" s="1" t="str">
        <f ca="1">IFERROR(__xludf.DUMMYFUNCTION("""COMPUTED_VALUE"""),"Center-back")</f>
        <v>Center-back</v>
      </c>
      <c r="E3" s="2">
        <f ca="1">IFERROR(__xludf.DUMMYFUNCTION("""COMPUTED_VALUE"""),732275)</f>
        <v>732275</v>
      </c>
      <c r="F3" s="2">
        <f ca="1">IFERROR(__xludf.DUMMYFUNCTION("""COMPUTED_VALUE"""),871888)</f>
        <v>871888</v>
      </c>
      <c r="H3" s="1" t="str">
        <f t="shared" ca="1" si="0"/>
        <v>D</v>
      </c>
      <c r="I3" s="3" t="str">
        <f t="shared" ca="1" si="1"/>
        <v>D</v>
      </c>
      <c r="J3" s="1" t="str">
        <f t="shared" ca="1" si="2"/>
        <v>D</v>
      </c>
      <c r="K3" s="1" t="str">
        <f t="shared" ref="K3:K257" ca="1" si="15">SUBSTITUTE(J:J,"Defensive Midfield","M")</f>
        <v>D</v>
      </c>
      <c r="L3" s="1" t="str">
        <f t="shared" ca="1" si="3"/>
        <v>D</v>
      </c>
      <c r="M3" s="1" t="str">
        <f t="shared" ca="1" si="4"/>
        <v>D</v>
      </c>
      <c r="N3" s="1" t="str">
        <f t="shared" ca="1" si="5"/>
        <v>D</v>
      </c>
      <c r="O3" s="1" t="str">
        <f t="shared" ca="1" si="6"/>
        <v>D</v>
      </c>
      <c r="P3" s="1" t="str">
        <f t="shared" ca="1" si="7"/>
        <v>D</v>
      </c>
      <c r="Q3" s="1" t="str">
        <f t="shared" ca="1" si="8"/>
        <v>D</v>
      </c>
      <c r="R3" s="1" t="str">
        <f t="shared" ca="1" si="9"/>
        <v>D</v>
      </c>
      <c r="S3" s="1" t="str">
        <f t="shared" ca="1" si="10"/>
        <v>D</v>
      </c>
      <c r="T3" s="1" t="str">
        <f t="shared" ca="1" si="11"/>
        <v>D</v>
      </c>
      <c r="U3" s="1" t="str">
        <f t="shared" ca="1" si="12"/>
        <v>D</v>
      </c>
      <c r="V3" s="1" t="str">
        <f t="shared" ca="1" si="13"/>
        <v>D</v>
      </c>
      <c r="W3" s="1" t="str">
        <f t="shared" ca="1" si="14"/>
        <v>Luis Abram</v>
      </c>
    </row>
    <row r="4" spans="1:23">
      <c r="A4" s="1" t="str">
        <f ca="1">IFERROR(__xludf.DUMMYFUNCTION("""COMPUTED_VALUE"""),"Lalas")</f>
        <v>Lalas</v>
      </c>
      <c r="B4" s="1" t="str">
        <f ca="1">IFERROR(__xludf.DUMMYFUNCTION("""COMPUTED_VALUE"""),"Abubakar")</f>
        <v>Abubakar</v>
      </c>
      <c r="C4" s="1" t="str">
        <f ca="1">IFERROR(__xludf.DUMMYFUNCTION("""COMPUTED_VALUE"""),"Colorado Rapids")</f>
        <v>Colorado Rapids</v>
      </c>
      <c r="D4" s="1" t="str">
        <f ca="1">IFERROR(__xludf.DUMMYFUNCTION("""COMPUTED_VALUE"""),"Center-back")</f>
        <v>Center-back</v>
      </c>
      <c r="E4" s="2">
        <f ca="1">IFERROR(__xludf.DUMMYFUNCTION("""COMPUTED_VALUE"""),665000)</f>
        <v>665000</v>
      </c>
      <c r="F4" s="2">
        <f ca="1">IFERROR(__xludf.DUMMYFUNCTION("""COMPUTED_VALUE"""),702125)</f>
        <v>702125</v>
      </c>
      <c r="H4" s="1" t="str">
        <f t="shared" ca="1" si="0"/>
        <v>D</v>
      </c>
      <c r="I4" s="3" t="str">
        <f t="shared" ca="1" si="1"/>
        <v>D</v>
      </c>
      <c r="J4" s="1" t="str">
        <f t="shared" ca="1" si="2"/>
        <v>D</v>
      </c>
      <c r="K4" s="1" t="str">
        <f t="shared" ca="1" si="15"/>
        <v>D</v>
      </c>
      <c r="L4" s="1" t="str">
        <f t="shared" ca="1" si="3"/>
        <v>D</v>
      </c>
      <c r="M4" s="1" t="str">
        <f t="shared" ca="1" si="4"/>
        <v>D</v>
      </c>
      <c r="N4" s="1" t="str">
        <f t="shared" ca="1" si="5"/>
        <v>D</v>
      </c>
      <c r="O4" s="1" t="str">
        <f t="shared" ca="1" si="6"/>
        <v>D</v>
      </c>
      <c r="P4" s="1" t="str">
        <f t="shared" ca="1" si="7"/>
        <v>D</v>
      </c>
      <c r="Q4" s="1" t="str">
        <f t="shared" ca="1" si="8"/>
        <v>D</v>
      </c>
      <c r="R4" s="1" t="str">
        <f t="shared" ca="1" si="9"/>
        <v>D</v>
      </c>
      <c r="S4" s="1" t="str">
        <f t="shared" ca="1" si="10"/>
        <v>D</v>
      </c>
      <c r="T4" s="1" t="str">
        <f t="shared" ca="1" si="11"/>
        <v>D</v>
      </c>
      <c r="U4" s="1" t="str">
        <f t="shared" ca="1" si="12"/>
        <v>D</v>
      </c>
      <c r="V4" s="1" t="str">
        <f t="shared" ca="1" si="13"/>
        <v>D</v>
      </c>
      <c r="W4" s="1" t="str">
        <f t="shared" ca="1" si="14"/>
        <v>Lalas Abubakar</v>
      </c>
    </row>
    <row r="5" spans="1:23">
      <c r="A5" s="1" t="str">
        <f ca="1">IFERROR(__xludf.DUMMYFUNCTION("""COMPUTED_VALUE"""),"Nicolás")</f>
        <v>Nicolás</v>
      </c>
      <c r="B5" s="1" t="str">
        <f ca="1">IFERROR(__xludf.DUMMYFUNCTION("""COMPUTED_VALUE"""),"Acevedo")</f>
        <v>Acevedo</v>
      </c>
      <c r="C5" s="1" t="str">
        <f ca="1">IFERROR(__xludf.DUMMYFUNCTION("""COMPUTED_VALUE"""),"New York City FC")</f>
        <v>New York City FC</v>
      </c>
      <c r="D5" s="1" t="str">
        <f ca="1">IFERROR(__xludf.DUMMYFUNCTION("""COMPUTED_VALUE"""),"Defensive Midfield")</f>
        <v>Defensive Midfield</v>
      </c>
      <c r="E5" s="2">
        <f ca="1">IFERROR(__xludf.DUMMYFUNCTION("""COMPUTED_VALUE"""),300000)</f>
        <v>300000</v>
      </c>
      <c r="F5" s="2">
        <f ca="1">IFERROR(__xludf.DUMMYFUNCTION("""COMPUTED_VALUE"""),344800)</f>
        <v>344800</v>
      </c>
      <c r="H5" s="1" t="str">
        <f t="shared" ca="1" si="0"/>
        <v>Defensive Midfield</v>
      </c>
      <c r="I5" s="3" t="str">
        <f t="shared" ca="1" si="1"/>
        <v>Defensive Midfield</v>
      </c>
      <c r="J5" s="1" t="str">
        <f t="shared" ca="1" si="2"/>
        <v>Defensive Midfield</v>
      </c>
      <c r="K5" s="1" t="str">
        <f t="shared" ca="1" si="15"/>
        <v>M</v>
      </c>
      <c r="L5" s="1" t="str">
        <f t="shared" ca="1" si="3"/>
        <v>M</v>
      </c>
      <c r="M5" s="1" t="str">
        <f t="shared" ca="1" si="4"/>
        <v>M</v>
      </c>
      <c r="N5" s="1" t="str">
        <f t="shared" ca="1" si="5"/>
        <v>M</v>
      </c>
      <c r="O5" s="1" t="str">
        <f t="shared" ca="1" si="6"/>
        <v>M</v>
      </c>
      <c r="P5" s="1" t="str">
        <f t="shared" ca="1" si="7"/>
        <v>M</v>
      </c>
      <c r="Q5" s="1" t="str">
        <f t="shared" ca="1" si="8"/>
        <v>M</v>
      </c>
      <c r="R5" s="1" t="str">
        <f t="shared" ca="1" si="9"/>
        <v>M</v>
      </c>
      <c r="S5" s="1" t="str">
        <f t="shared" ca="1" si="10"/>
        <v>M</v>
      </c>
      <c r="T5" s="1" t="str">
        <f t="shared" ca="1" si="11"/>
        <v>M</v>
      </c>
      <c r="U5" s="1" t="str">
        <f t="shared" ca="1" si="12"/>
        <v>M</v>
      </c>
      <c r="V5" s="1" t="str">
        <f t="shared" ca="1" si="13"/>
        <v>M</v>
      </c>
      <c r="W5" s="1" t="str">
        <f t="shared" ca="1" si="14"/>
        <v>Nicolás Acevedo</v>
      </c>
    </row>
    <row r="6" spans="1:23">
      <c r="A6" s="1" t="str">
        <f ca="1">IFERROR(__xludf.DUMMYFUNCTION("""COMPUTED_VALUE"""),"Kellyn")</f>
        <v>Kellyn</v>
      </c>
      <c r="B6" s="1" t="str">
        <f ca="1">IFERROR(__xludf.DUMMYFUNCTION("""COMPUTED_VALUE"""),"Acosta")</f>
        <v>Acosta</v>
      </c>
      <c r="C6" s="1" t="str">
        <f ca="1">IFERROR(__xludf.DUMMYFUNCTION("""COMPUTED_VALUE"""),"Chicago Fire")</f>
        <v>Chicago Fire</v>
      </c>
      <c r="D6" s="1" t="str">
        <f ca="1">IFERROR(__xludf.DUMMYFUNCTION("""COMPUTED_VALUE"""),"Defensive Midfield")</f>
        <v>Defensive Midfield</v>
      </c>
      <c r="E6" s="2">
        <f ca="1">IFERROR(__xludf.DUMMYFUNCTION("""COMPUTED_VALUE"""),1392188)</f>
        <v>1392188</v>
      </c>
      <c r="F6" s="2">
        <f ca="1">IFERROR(__xludf.DUMMYFUNCTION("""COMPUTED_VALUE"""),1558869)</f>
        <v>1558869</v>
      </c>
      <c r="H6" s="1" t="str">
        <f t="shared" ca="1" si="0"/>
        <v>Defensive Midfield</v>
      </c>
      <c r="I6" s="3" t="str">
        <f t="shared" ca="1" si="1"/>
        <v>Defensive Midfield</v>
      </c>
      <c r="J6" s="1" t="str">
        <f t="shared" ca="1" si="2"/>
        <v>Defensive Midfield</v>
      </c>
      <c r="K6" s="1" t="str">
        <f t="shared" ca="1" si="15"/>
        <v>M</v>
      </c>
      <c r="L6" s="1" t="str">
        <f t="shared" ca="1" si="3"/>
        <v>M</v>
      </c>
      <c r="M6" s="1" t="str">
        <f t="shared" ca="1" si="4"/>
        <v>M</v>
      </c>
      <c r="N6" s="1" t="str">
        <f t="shared" ca="1" si="5"/>
        <v>M</v>
      </c>
      <c r="O6" s="1" t="str">
        <f t="shared" ca="1" si="6"/>
        <v>M</v>
      </c>
      <c r="P6" s="1" t="str">
        <f t="shared" ca="1" si="7"/>
        <v>M</v>
      </c>
      <c r="Q6" s="1" t="str">
        <f t="shared" ca="1" si="8"/>
        <v>M</v>
      </c>
      <c r="R6" s="1" t="str">
        <f t="shared" ca="1" si="9"/>
        <v>M</v>
      </c>
      <c r="S6" s="1" t="str">
        <f t="shared" ca="1" si="10"/>
        <v>M</v>
      </c>
      <c r="T6" s="1" t="str">
        <f t="shared" ca="1" si="11"/>
        <v>M</v>
      </c>
      <c r="U6" s="1" t="str">
        <f t="shared" ca="1" si="12"/>
        <v>M</v>
      </c>
      <c r="V6" s="1" t="str">
        <f t="shared" ca="1" si="13"/>
        <v>M</v>
      </c>
      <c r="W6" s="1" t="str">
        <f t="shared" ca="1" si="14"/>
        <v>Kellyn Acosta</v>
      </c>
    </row>
    <row r="7" spans="1:23">
      <c r="A7" s="1" t="str">
        <f ca="1">IFERROR(__xludf.DUMMYFUNCTION("""COMPUTED_VALUE"""),"Luciano")</f>
        <v>Luciano</v>
      </c>
      <c r="B7" s="1" t="str">
        <f ca="1">IFERROR(__xludf.DUMMYFUNCTION("""COMPUTED_VALUE"""),"Acosta")</f>
        <v>Acosta</v>
      </c>
      <c r="C7" s="1" t="str">
        <f ca="1">IFERROR(__xludf.DUMMYFUNCTION("""COMPUTED_VALUE"""),"FC Cincinnati")</f>
        <v>FC Cincinnati</v>
      </c>
      <c r="D7" s="1" t="str">
        <f ca="1">IFERROR(__xludf.DUMMYFUNCTION("""COMPUTED_VALUE"""),"Attacking Midfield")</f>
        <v>Attacking Midfield</v>
      </c>
      <c r="E7" s="2">
        <f ca="1">IFERROR(__xludf.DUMMYFUNCTION("""COMPUTED_VALUE"""),2960000)</f>
        <v>2960000</v>
      </c>
      <c r="F7" s="2">
        <f ca="1">IFERROR(__xludf.DUMMYFUNCTION("""COMPUTED_VALUE"""),4216413)</f>
        <v>4216413</v>
      </c>
      <c r="H7" s="1" t="str">
        <f t="shared" ca="1" si="0"/>
        <v>Attacking Midfield</v>
      </c>
      <c r="I7" s="3" t="str">
        <f t="shared" ca="1" si="1"/>
        <v>Attacking Midfield</v>
      </c>
      <c r="J7" s="1" t="str">
        <f t="shared" ca="1" si="2"/>
        <v>Attacking Midfield</v>
      </c>
      <c r="K7" s="1" t="str">
        <f t="shared" ca="1" si="15"/>
        <v>Attacking Midfield</v>
      </c>
      <c r="L7" s="1" t="str">
        <f t="shared" ca="1" si="3"/>
        <v>Attacking Midfield</v>
      </c>
      <c r="M7" s="1" t="str">
        <f t="shared" ca="1" si="4"/>
        <v>M</v>
      </c>
      <c r="N7" s="1" t="str">
        <f t="shared" ca="1" si="5"/>
        <v>M</v>
      </c>
      <c r="O7" s="1" t="str">
        <f t="shared" ca="1" si="6"/>
        <v>M</v>
      </c>
      <c r="P7" s="1" t="str">
        <f t="shared" ca="1" si="7"/>
        <v>M</v>
      </c>
      <c r="Q7" s="1" t="str">
        <f t="shared" ca="1" si="8"/>
        <v>M</v>
      </c>
      <c r="R7" s="1" t="str">
        <f t="shared" ca="1" si="9"/>
        <v>M</v>
      </c>
      <c r="S7" s="1" t="str">
        <f t="shared" ca="1" si="10"/>
        <v>M</v>
      </c>
      <c r="T7" s="1" t="str">
        <f t="shared" ca="1" si="11"/>
        <v>M</v>
      </c>
      <c r="U7" s="1" t="str">
        <f t="shared" ca="1" si="12"/>
        <v>M</v>
      </c>
      <c r="V7" s="1" t="str">
        <f t="shared" ca="1" si="13"/>
        <v>M</v>
      </c>
      <c r="W7" s="1" t="str">
        <f t="shared" ca="1" si="14"/>
        <v>Luciano Acosta</v>
      </c>
    </row>
    <row r="8" spans="1:23">
      <c r="A8" s="1" t="str">
        <f ca="1">IFERROR(__xludf.DUMMYFUNCTION("""COMPUTED_VALUE"""),"Jordan")</f>
        <v>Jordan</v>
      </c>
      <c r="B8" s="1" t="str">
        <f ca="1">IFERROR(__xludf.DUMMYFUNCTION("""COMPUTED_VALUE"""),"Adebayo-Smith")</f>
        <v>Adebayo-Smith</v>
      </c>
      <c r="C8" s="1" t="str">
        <f ca="1">IFERROR(__xludf.DUMMYFUNCTION("""COMPUTED_VALUE"""),"Minnesota United")</f>
        <v>Minnesota United</v>
      </c>
      <c r="D8" s="1" t="str">
        <f ca="1">IFERROR(__xludf.DUMMYFUNCTION("""COMPUTED_VALUE"""),"Center Forward")</f>
        <v>Center Forward</v>
      </c>
      <c r="E8" s="2">
        <f ca="1">IFERROR(__xludf.DUMMYFUNCTION("""COMPUTED_VALUE"""),71401)</f>
        <v>71401</v>
      </c>
      <c r="F8" s="2">
        <f ca="1">IFERROR(__xludf.DUMMYFUNCTION("""COMPUTED_VALUE"""),88621)</f>
        <v>88621</v>
      </c>
      <c r="H8" s="1" t="str">
        <f t="shared" ca="1" si="0"/>
        <v>Center Forward</v>
      </c>
      <c r="I8" s="3" t="str">
        <f t="shared" ca="1" si="1"/>
        <v>Center Forward</v>
      </c>
      <c r="J8" s="1" t="str">
        <f t="shared" ca="1" si="2"/>
        <v>Center Forward</v>
      </c>
      <c r="K8" s="1" t="str">
        <f t="shared" ca="1" si="15"/>
        <v>Center Forward</v>
      </c>
      <c r="L8" s="1" t="str">
        <f t="shared" ca="1" si="3"/>
        <v>Center Forward</v>
      </c>
      <c r="M8" s="1" t="str">
        <f t="shared" ca="1" si="4"/>
        <v>Center Forward</v>
      </c>
      <c r="N8" s="1" t="str">
        <f t="shared" ca="1" si="5"/>
        <v>Center Forward</v>
      </c>
      <c r="O8" s="1" t="str">
        <f t="shared" ca="1" si="6"/>
        <v>F</v>
      </c>
      <c r="P8" s="1" t="str">
        <f t="shared" ca="1" si="7"/>
        <v>F</v>
      </c>
      <c r="Q8" s="1" t="str">
        <f t="shared" ca="1" si="8"/>
        <v>F</v>
      </c>
      <c r="R8" s="1" t="str">
        <f t="shared" ca="1" si="9"/>
        <v>F</v>
      </c>
      <c r="S8" s="1" t="str">
        <f t="shared" ca="1" si="10"/>
        <v>F</v>
      </c>
      <c r="T8" s="1" t="str">
        <f t="shared" ca="1" si="11"/>
        <v>F</v>
      </c>
      <c r="U8" s="1" t="str">
        <f t="shared" ca="1" si="12"/>
        <v>F</v>
      </c>
      <c r="V8" s="1" t="str">
        <f t="shared" ca="1" si="13"/>
        <v>F</v>
      </c>
      <c r="W8" s="1" t="str">
        <f t="shared" ca="1" si="14"/>
        <v>Jordan Adebayo-Smith</v>
      </c>
    </row>
    <row r="9" spans="1:23">
      <c r="A9" s="1" t="str">
        <f ca="1">IFERROR(__xludf.DUMMYFUNCTION("""COMPUTED_VALUE"""),"Sam")</f>
        <v>Sam</v>
      </c>
      <c r="B9" s="1" t="str">
        <f ca="1">IFERROR(__xludf.DUMMYFUNCTION("""COMPUTED_VALUE"""),"Adekugbe")</f>
        <v>Adekugbe</v>
      </c>
      <c r="C9" s="1" t="str">
        <f ca="1">IFERROR(__xludf.DUMMYFUNCTION("""COMPUTED_VALUE"""),"Vancouver Whitecaps")</f>
        <v>Vancouver Whitecaps</v>
      </c>
      <c r="D9" s="1" t="str">
        <f ca="1">IFERROR(__xludf.DUMMYFUNCTION("""COMPUTED_VALUE"""),"Left-back")</f>
        <v>Left-back</v>
      </c>
      <c r="E9" s="2">
        <f ca="1">IFERROR(__xludf.DUMMYFUNCTION("""COMPUTED_VALUE"""),825000)</f>
        <v>825000</v>
      </c>
      <c r="F9" s="2">
        <f ca="1">IFERROR(__xludf.DUMMYFUNCTION("""COMPUTED_VALUE"""),913000)</f>
        <v>913000</v>
      </c>
      <c r="H9" s="1" t="str">
        <f t="shared" ca="1" si="0"/>
        <v>Left-back</v>
      </c>
      <c r="I9" s="3" t="str">
        <f t="shared" ca="1" si="1"/>
        <v>D</v>
      </c>
      <c r="J9" s="1" t="str">
        <f t="shared" ca="1" si="2"/>
        <v>D</v>
      </c>
      <c r="K9" s="1" t="str">
        <f t="shared" ca="1" si="15"/>
        <v>D</v>
      </c>
      <c r="L9" s="1" t="str">
        <f t="shared" ca="1" si="3"/>
        <v>D</v>
      </c>
      <c r="M9" s="1" t="str">
        <f t="shared" ca="1" si="4"/>
        <v>D</v>
      </c>
      <c r="N9" s="1" t="str">
        <f t="shared" ca="1" si="5"/>
        <v>D</v>
      </c>
      <c r="O9" s="1" t="str">
        <f t="shared" ca="1" si="6"/>
        <v>D</v>
      </c>
      <c r="P9" s="1" t="str">
        <f t="shared" ca="1" si="7"/>
        <v>D</v>
      </c>
      <c r="Q9" s="1" t="str">
        <f t="shared" ca="1" si="8"/>
        <v>D</v>
      </c>
      <c r="R9" s="1" t="str">
        <f t="shared" ca="1" si="9"/>
        <v>D</v>
      </c>
      <c r="S9" s="1" t="str">
        <f t="shared" ca="1" si="10"/>
        <v>D</v>
      </c>
      <c r="T9" s="1" t="str">
        <f t="shared" ca="1" si="11"/>
        <v>D</v>
      </c>
      <c r="U9" s="1" t="str">
        <f t="shared" ca="1" si="12"/>
        <v>D</v>
      </c>
      <c r="V9" s="1" t="str">
        <f t="shared" ca="1" si="13"/>
        <v>D</v>
      </c>
      <c r="W9" s="1" t="str">
        <f t="shared" ca="1" si="14"/>
        <v>Sam Adekugbe</v>
      </c>
    </row>
    <row r="10" spans="1:23">
      <c r="A10" s="1" t="str">
        <f ca="1">IFERROR(__xludf.DUMMYFUNCTION("""COMPUTED_VALUE"""),"Samuel")</f>
        <v>Samuel</v>
      </c>
      <c r="B10" s="1" t="str">
        <f ca="1">IFERROR(__xludf.DUMMYFUNCTION("""COMPUTED_VALUE"""),"Adeniran")</f>
        <v>Adeniran</v>
      </c>
      <c r="C10" s="1" t="str">
        <f ca="1">IFERROR(__xludf.DUMMYFUNCTION("""COMPUTED_VALUE"""),"St. Louis City SC")</f>
        <v>St. Louis City SC</v>
      </c>
      <c r="D10" s="1" t="str">
        <f ca="1">IFERROR(__xludf.DUMMYFUNCTION("""COMPUTED_VALUE"""),"Center Forward")</f>
        <v>Center Forward</v>
      </c>
      <c r="E10" s="2">
        <f ca="1">IFERROR(__xludf.DUMMYFUNCTION("""COMPUTED_VALUE"""),93988)</f>
        <v>93988</v>
      </c>
      <c r="F10" s="2">
        <f ca="1">IFERROR(__xludf.DUMMYFUNCTION("""COMPUTED_VALUE"""),93988)</f>
        <v>93988</v>
      </c>
      <c r="H10" s="1" t="str">
        <f t="shared" ca="1" si="0"/>
        <v>Center Forward</v>
      </c>
      <c r="I10" s="3" t="str">
        <f t="shared" ca="1" si="1"/>
        <v>Center Forward</v>
      </c>
      <c r="J10" s="1" t="str">
        <f t="shared" ca="1" si="2"/>
        <v>Center Forward</v>
      </c>
      <c r="K10" s="1" t="str">
        <f t="shared" ca="1" si="15"/>
        <v>Center Forward</v>
      </c>
      <c r="L10" s="1" t="str">
        <f t="shared" ca="1" si="3"/>
        <v>Center Forward</v>
      </c>
      <c r="M10" s="1" t="str">
        <f t="shared" ca="1" si="4"/>
        <v>Center Forward</v>
      </c>
      <c r="N10" s="1" t="str">
        <f t="shared" ca="1" si="5"/>
        <v>Center Forward</v>
      </c>
      <c r="O10" s="1" t="str">
        <f t="shared" ca="1" si="6"/>
        <v>F</v>
      </c>
      <c r="P10" s="1" t="str">
        <f t="shared" ca="1" si="7"/>
        <v>F</v>
      </c>
      <c r="Q10" s="1" t="str">
        <f t="shared" ca="1" si="8"/>
        <v>F</v>
      </c>
      <c r="R10" s="1" t="str">
        <f t="shared" ca="1" si="9"/>
        <v>F</v>
      </c>
      <c r="S10" s="1" t="str">
        <f t="shared" ca="1" si="10"/>
        <v>F</v>
      </c>
      <c r="T10" s="1" t="str">
        <f t="shared" ca="1" si="11"/>
        <v>F</v>
      </c>
      <c r="U10" s="1" t="str">
        <f t="shared" ca="1" si="12"/>
        <v>F</v>
      </c>
      <c r="V10" s="1" t="str">
        <f t="shared" ca="1" si="13"/>
        <v>F</v>
      </c>
      <c r="W10" s="1" t="str">
        <f t="shared" ca="1" si="14"/>
        <v>Samuel Adeniran</v>
      </c>
    </row>
    <row r="11" spans="1:23">
      <c r="A11" s="1" t="str">
        <f ca="1">IFERROR(__xludf.DUMMYFUNCTION("""COMPUTED_VALUE"""),"Leo")</f>
        <v>Leo</v>
      </c>
      <c r="B11" s="1" t="str">
        <f ca="1">IFERROR(__xludf.DUMMYFUNCTION("""COMPUTED_VALUE"""),"Afonso")</f>
        <v>Afonso</v>
      </c>
      <c r="C11" s="1" t="str">
        <f ca="1">IFERROR(__xludf.DUMMYFUNCTION("""COMPUTED_VALUE"""),"Inter Miami")</f>
        <v>Inter Miami</v>
      </c>
      <c r="D11" s="1" t="str">
        <f ca="1">IFERROR(__xludf.DUMMYFUNCTION("""COMPUTED_VALUE"""),"Center Forward")</f>
        <v>Center Forward</v>
      </c>
      <c r="E11" s="2">
        <f ca="1">IFERROR(__xludf.DUMMYFUNCTION("""COMPUTED_VALUE"""),71401)</f>
        <v>71401</v>
      </c>
      <c r="F11" s="2">
        <f ca="1">IFERROR(__xludf.DUMMYFUNCTION("""COMPUTED_VALUE"""),71401)</f>
        <v>71401</v>
      </c>
      <c r="H11" s="1" t="str">
        <f t="shared" ca="1" si="0"/>
        <v>Center Forward</v>
      </c>
      <c r="I11" s="3" t="str">
        <f t="shared" ca="1" si="1"/>
        <v>Center Forward</v>
      </c>
      <c r="J11" s="1" t="str">
        <f t="shared" ca="1" si="2"/>
        <v>Center Forward</v>
      </c>
      <c r="K11" s="1" t="str">
        <f t="shared" ca="1" si="15"/>
        <v>Center Forward</v>
      </c>
      <c r="L11" s="1" t="str">
        <f t="shared" ca="1" si="3"/>
        <v>Center Forward</v>
      </c>
      <c r="M11" s="1" t="str">
        <f t="shared" ca="1" si="4"/>
        <v>Center Forward</v>
      </c>
      <c r="N11" s="1" t="str">
        <f t="shared" ca="1" si="5"/>
        <v>Center Forward</v>
      </c>
      <c r="O11" s="1" t="str">
        <f t="shared" ca="1" si="6"/>
        <v>F</v>
      </c>
      <c r="P11" s="1" t="str">
        <f t="shared" ca="1" si="7"/>
        <v>F</v>
      </c>
      <c r="Q11" s="1" t="str">
        <f t="shared" ca="1" si="8"/>
        <v>F</v>
      </c>
      <c r="R11" s="1" t="str">
        <f t="shared" ca="1" si="9"/>
        <v>F</v>
      </c>
      <c r="S11" s="1" t="str">
        <f t="shared" ca="1" si="10"/>
        <v>F</v>
      </c>
      <c r="T11" s="1" t="str">
        <f t="shared" ca="1" si="11"/>
        <v>F</v>
      </c>
      <c r="U11" s="1" t="str">
        <f t="shared" ca="1" si="12"/>
        <v>F</v>
      </c>
      <c r="V11" s="1" t="str">
        <f t="shared" ca="1" si="13"/>
        <v>F</v>
      </c>
      <c r="W11" s="1" t="str">
        <f t="shared" ca="1" si="14"/>
        <v>Leo Afonso</v>
      </c>
    </row>
    <row r="12" spans="1:23">
      <c r="A12" s="1" t="str">
        <f ca="1">IFERROR(__xludf.DUMMYFUNCTION("""COMPUTED_VALUE"""),"Stephen")</f>
        <v>Stephen</v>
      </c>
      <c r="B12" s="1" t="str">
        <f ca="1">IFERROR(__xludf.DUMMYFUNCTION("""COMPUTED_VALUE"""),"Afrifa")</f>
        <v>Afrifa</v>
      </c>
      <c r="C12" s="1" t="str">
        <f ca="1">IFERROR(__xludf.DUMMYFUNCTION("""COMPUTED_VALUE"""),"Sporting Kansas City")</f>
        <v>Sporting Kansas City</v>
      </c>
      <c r="D12" s="1" t="str">
        <f ca="1">IFERROR(__xludf.DUMMYFUNCTION("""COMPUTED_VALUE"""),"Center Forward")</f>
        <v>Center Forward</v>
      </c>
      <c r="E12" s="2">
        <f ca="1">IFERROR(__xludf.DUMMYFUNCTION("""COMPUTED_VALUE"""),71401)</f>
        <v>71401</v>
      </c>
      <c r="F12" s="2">
        <f ca="1">IFERROR(__xludf.DUMMYFUNCTION("""COMPUTED_VALUE"""),71401)</f>
        <v>71401</v>
      </c>
      <c r="H12" s="1" t="str">
        <f t="shared" ca="1" si="0"/>
        <v>Center Forward</v>
      </c>
      <c r="I12" s="3" t="str">
        <f t="shared" ca="1" si="1"/>
        <v>Center Forward</v>
      </c>
      <c r="J12" s="1" t="str">
        <f t="shared" ca="1" si="2"/>
        <v>Center Forward</v>
      </c>
      <c r="K12" s="1" t="str">
        <f t="shared" ca="1" si="15"/>
        <v>Center Forward</v>
      </c>
      <c r="L12" s="1" t="str">
        <f t="shared" ca="1" si="3"/>
        <v>Center Forward</v>
      </c>
      <c r="M12" s="1" t="str">
        <f t="shared" ca="1" si="4"/>
        <v>Center Forward</v>
      </c>
      <c r="N12" s="1" t="str">
        <f t="shared" ca="1" si="5"/>
        <v>Center Forward</v>
      </c>
      <c r="O12" s="1" t="str">
        <f t="shared" ca="1" si="6"/>
        <v>F</v>
      </c>
      <c r="P12" s="1" t="str">
        <f t="shared" ca="1" si="7"/>
        <v>F</v>
      </c>
      <c r="Q12" s="1" t="str">
        <f t="shared" ca="1" si="8"/>
        <v>F</v>
      </c>
      <c r="R12" s="1" t="str">
        <f t="shared" ca="1" si="9"/>
        <v>F</v>
      </c>
      <c r="S12" s="1" t="str">
        <f t="shared" ca="1" si="10"/>
        <v>F</v>
      </c>
      <c r="T12" s="1" t="str">
        <f t="shared" ca="1" si="11"/>
        <v>F</v>
      </c>
      <c r="U12" s="1" t="str">
        <f t="shared" ca="1" si="12"/>
        <v>F</v>
      </c>
      <c r="V12" s="1" t="str">
        <f t="shared" ca="1" si="13"/>
        <v>F</v>
      </c>
      <c r="W12" s="1" t="str">
        <f t="shared" ca="1" si="14"/>
        <v>Stephen Afrifa</v>
      </c>
    </row>
    <row r="13" spans="1:23">
      <c r="A13" s="1" t="str">
        <f ca="1">IFERROR(__xludf.DUMMYFUNCTION("""COMPUTED_VALUE"""),"Willy")</f>
        <v>Willy</v>
      </c>
      <c r="B13" s="1" t="str">
        <f ca="1">IFERROR(__xludf.DUMMYFUNCTION("""COMPUTED_VALUE"""),"Agada")</f>
        <v>Agada</v>
      </c>
      <c r="C13" s="1" t="str">
        <f ca="1">IFERROR(__xludf.DUMMYFUNCTION("""COMPUTED_VALUE"""),"Sporting Kansas City")</f>
        <v>Sporting Kansas City</v>
      </c>
      <c r="D13" s="1" t="str">
        <f ca="1">IFERROR(__xludf.DUMMYFUNCTION("""COMPUTED_VALUE"""),"Center Forward")</f>
        <v>Center Forward</v>
      </c>
      <c r="E13" s="2">
        <f ca="1">IFERROR(__xludf.DUMMYFUNCTION("""COMPUTED_VALUE"""),475000)</f>
        <v>475000</v>
      </c>
      <c r="F13" s="2">
        <f ca="1">IFERROR(__xludf.DUMMYFUNCTION("""COMPUTED_VALUE"""),521875)</f>
        <v>521875</v>
      </c>
      <c r="H13" s="1" t="str">
        <f t="shared" ca="1" si="0"/>
        <v>Center Forward</v>
      </c>
      <c r="I13" s="3" t="str">
        <f t="shared" ca="1" si="1"/>
        <v>Center Forward</v>
      </c>
      <c r="J13" s="1" t="str">
        <f t="shared" ca="1" si="2"/>
        <v>Center Forward</v>
      </c>
      <c r="K13" s="1" t="str">
        <f t="shared" ca="1" si="15"/>
        <v>Center Forward</v>
      </c>
      <c r="L13" s="1" t="str">
        <f t="shared" ca="1" si="3"/>
        <v>Center Forward</v>
      </c>
      <c r="M13" s="1" t="str">
        <f t="shared" ca="1" si="4"/>
        <v>Center Forward</v>
      </c>
      <c r="N13" s="1" t="str">
        <f t="shared" ca="1" si="5"/>
        <v>Center Forward</v>
      </c>
      <c r="O13" s="1" t="str">
        <f t="shared" ca="1" si="6"/>
        <v>F</v>
      </c>
      <c r="P13" s="1" t="str">
        <f t="shared" ca="1" si="7"/>
        <v>F</v>
      </c>
      <c r="Q13" s="1" t="str">
        <f t="shared" ca="1" si="8"/>
        <v>F</v>
      </c>
      <c r="R13" s="1" t="str">
        <f t="shared" ca="1" si="9"/>
        <v>F</v>
      </c>
      <c r="S13" s="1" t="str">
        <f t="shared" ca="1" si="10"/>
        <v>F</v>
      </c>
      <c r="T13" s="1" t="str">
        <f t="shared" ca="1" si="11"/>
        <v>F</v>
      </c>
      <c r="U13" s="1" t="str">
        <f t="shared" ca="1" si="12"/>
        <v>F</v>
      </c>
      <c r="V13" s="1" t="str">
        <f t="shared" ca="1" si="13"/>
        <v>F</v>
      </c>
      <c r="W13" s="1" t="str">
        <f t="shared" ca="1" si="14"/>
        <v>Willy Agada</v>
      </c>
    </row>
    <row r="14" spans="1:23">
      <c r="A14" s="1" t="str">
        <f ca="1">IFERROR(__xludf.DUMMYFUNCTION("""COMPUTED_VALUE"""),"London")</f>
        <v>London</v>
      </c>
      <c r="B14" s="1" t="str">
        <f ca="1">IFERROR(__xludf.DUMMYFUNCTION("""COMPUTED_VALUE"""),"Aghedo")</f>
        <v>Aghedo</v>
      </c>
      <c r="C14" s="1" t="str">
        <f ca="1">IFERROR(__xludf.DUMMYFUNCTION("""COMPUTED_VALUE"""),"FC Cincinnati")</f>
        <v>FC Cincinnati</v>
      </c>
      <c r="D14" s="1" t="str">
        <f ca="1">IFERROR(__xludf.DUMMYFUNCTION("""COMPUTED_VALUE"""),"Center-back")</f>
        <v>Center-back</v>
      </c>
      <c r="E14" s="2">
        <f ca="1">IFERROR(__xludf.DUMMYFUNCTION("""COMPUTED_VALUE"""),71401)</f>
        <v>71401</v>
      </c>
      <c r="F14" s="2">
        <f ca="1">IFERROR(__xludf.DUMMYFUNCTION("""COMPUTED_VALUE"""),71401)</f>
        <v>71401</v>
      </c>
      <c r="H14" s="1" t="str">
        <f t="shared" ca="1" si="0"/>
        <v>D</v>
      </c>
      <c r="I14" s="3" t="str">
        <f t="shared" ca="1" si="1"/>
        <v>D</v>
      </c>
      <c r="J14" s="1" t="str">
        <f t="shared" ca="1" si="2"/>
        <v>D</v>
      </c>
      <c r="K14" s="1" t="str">
        <f t="shared" ca="1" si="15"/>
        <v>D</v>
      </c>
      <c r="L14" s="1" t="str">
        <f t="shared" ca="1" si="3"/>
        <v>D</v>
      </c>
      <c r="M14" s="1" t="str">
        <f t="shared" ca="1" si="4"/>
        <v>D</v>
      </c>
      <c r="N14" s="1" t="str">
        <f t="shared" ca="1" si="5"/>
        <v>D</v>
      </c>
      <c r="O14" s="1" t="str">
        <f t="shared" ca="1" si="6"/>
        <v>D</v>
      </c>
      <c r="P14" s="1" t="str">
        <f t="shared" ca="1" si="7"/>
        <v>D</v>
      </c>
      <c r="Q14" s="1" t="str">
        <f t="shared" ca="1" si="8"/>
        <v>D</v>
      </c>
      <c r="R14" s="1" t="str">
        <f t="shared" ca="1" si="9"/>
        <v>D</v>
      </c>
      <c r="S14" s="1" t="str">
        <f t="shared" ca="1" si="10"/>
        <v>D</v>
      </c>
      <c r="T14" s="1" t="str">
        <f t="shared" ca="1" si="11"/>
        <v>D</v>
      </c>
      <c r="U14" s="1" t="str">
        <f t="shared" ca="1" si="12"/>
        <v>D</v>
      </c>
      <c r="V14" s="1" t="str">
        <f t="shared" ca="1" si="13"/>
        <v>D</v>
      </c>
      <c r="W14" s="1" t="str">
        <f t="shared" ca="1" si="14"/>
        <v>London Aghedo</v>
      </c>
    </row>
    <row r="15" spans="1:23">
      <c r="A15" s="1" t="str">
        <f ca="1">IFERROR(__xludf.DUMMYFUNCTION("""COMPUTED_VALUE"""),"Daniel")</f>
        <v>Daniel</v>
      </c>
      <c r="B15" s="1" t="str">
        <f ca="1">IFERROR(__xludf.DUMMYFUNCTION("""COMPUTED_VALUE"""),"Aguirre")</f>
        <v>Aguirre</v>
      </c>
      <c r="C15" s="1" t="str">
        <f ca="1">IFERROR(__xludf.DUMMYFUNCTION("""COMPUTED_VALUE"""),"LA Galaxy")</f>
        <v>LA Galaxy</v>
      </c>
      <c r="D15" s="1" t="str">
        <f ca="1">IFERROR(__xludf.DUMMYFUNCTION("""COMPUTED_VALUE"""),"Central Midfield")</f>
        <v>Central Midfield</v>
      </c>
      <c r="E15" s="2">
        <f ca="1">IFERROR(__xludf.DUMMYFUNCTION("""COMPUTED_VALUE"""),93988)</f>
        <v>93988</v>
      </c>
      <c r="F15" s="2">
        <f ca="1">IFERROR(__xludf.DUMMYFUNCTION("""COMPUTED_VALUE"""),93988)</f>
        <v>93988</v>
      </c>
      <c r="H15" s="1" t="str">
        <f t="shared" ca="1" si="0"/>
        <v>Central Midfield</v>
      </c>
      <c r="I15" s="3" t="str">
        <f t="shared" ca="1" si="1"/>
        <v>Central Midfield</v>
      </c>
      <c r="J15" s="1" t="str">
        <f t="shared" ca="1" si="2"/>
        <v>Central Midfield</v>
      </c>
      <c r="K15" s="1" t="str">
        <f t="shared" ca="1" si="15"/>
        <v>Central Midfield</v>
      </c>
      <c r="L15" s="1" t="str">
        <f t="shared" ca="1" si="3"/>
        <v>M</v>
      </c>
      <c r="M15" s="1" t="str">
        <f t="shared" ca="1" si="4"/>
        <v>M</v>
      </c>
      <c r="N15" s="1" t="str">
        <f t="shared" ca="1" si="5"/>
        <v>M</v>
      </c>
      <c r="O15" s="1" t="str">
        <f t="shared" ca="1" si="6"/>
        <v>M</v>
      </c>
      <c r="P15" s="1" t="str">
        <f t="shared" ca="1" si="7"/>
        <v>M</v>
      </c>
      <c r="Q15" s="1" t="str">
        <f t="shared" ca="1" si="8"/>
        <v>M</v>
      </c>
      <c r="R15" s="1" t="str">
        <f t="shared" ca="1" si="9"/>
        <v>M</v>
      </c>
      <c r="S15" s="1" t="str">
        <f t="shared" ca="1" si="10"/>
        <v>M</v>
      </c>
      <c r="T15" s="1" t="str">
        <f t="shared" ca="1" si="11"/>
        <v>M</v>
      </c>
      <c r="U15" s="1" t="str">
        <f t="shared" ca="1" si="12"/>
        <v>M</v>
      </c>
      <c r="V15" s="1" t="str">
        <f t="shared" ca="1" si="13"/>
        <v>M</v>
      </c>
      <c r="W15" s="1" t="str">
        <f t="shared" ca="1" si="14"/>
        <v>Daniel Aguirre</v>
      </c>
    </row>
    <row r="16" spans="1:23">
      <c r="A16" s="1" t="str">
        <f ca="1">IFERROR(__xludf.DUMMYFUNCTION("""COMPUTED_VALUE"""),"Patrick")</f>
        <v>Patrick</v>
      </c>
      <c r="B16" s="1" t="str">
        <f ca="1">IFERROR(__xludf.DUMMYFUNCTION("""COMPUTED_VALUE"""),"Agyemang")</f>
        <v>Agyemang</v>
      </c>
      <c r="C16" s="1" t="str">
        <f ca="1">IFERROR(__xludf.DUMMYFUNCTION("""COMPUTED_VALUE"""),"Charlotte FC")</f>
        <v>Charlotte FC</v>
      </c>
      <c r="D16" s="1" t="str">
        <f ca="1">IFERROR(__xludf.DUMMYFUNCTION("""COMPUTED_VALUE"""),"Center Forward")</f>
        <v>Center Forward</v>
      </c>
      <c r="E16" s="2">
        <f ca="1">IFERROR(__xludf.DUMMYFUNCTION("""COMPUTED_VALUE"""),71401)</f>
        <v>71401</v>
      </c>
      <c r="F16" s="2">
        <f ca="1">IFERROR(__xludf.DUMMYFUNCTION("""COMPUTED_VALUE"""),71401)</f>
        <v>71401</v>
      </c>
      <c r="H16" s="1" t="str">
        <f t="shared" ca="1" si="0"/>
        <v>Center Forward</v>
      </c>
      <c r="I16" s="3" t="str">
        <f t="shared" ca="1" si="1"/>
        <v>Center Forward</v>
      </c>
      <c r="J16" s="1" t="str">
        <f t="shared" ca="1" si="2"/>
        <v>Center Forward</v>
      </c>
      <c r="K16" s="1" t="str">
        <f t="shared" ca="1" si="15"/>
        <v>Center Forward</v>
      </c>
      <c r="L16" s="1" t="str">
        <f t="shared" ca="1" si="3"/>
        <v>Center Forward</v>
      </c>
      <c r="M16" s="1" t="str">
        <f t="shared" ca="1" si="4"/>
        <v>Center Forward</v>
      </c>
      <c r="N16" s="1" t="str">
        <f t="shared" ca="1" si="5"/>
        <v>Center Forward</v>
      </c>
      <c r="O16" s="1" t="str">
        <f t="shared" ca="1" si="6"/>
        <v>F</v>
      </c>
      <c r="P16" s="1" t="str">
        <f t="shared" ca="1" si="7"/>
        <v>F</v>
      </c>
      <c r="Q16" s="1" t="str">
        <f t="shared" ca="1" si="8"/>
        <v>F</v>
      </c>
      <c r="R16" s="1" t="str">
        <f t="shared" ca="1" si="9"/>
        <v>F</v>
      </c>
      <c r="S16" s="1" t="str">
        <f t="shared" ca="1" si="10"/>
        <v>F</v>
      </c>
      <c r="T16" s="1" t="str">
        <f t="shared" ca="1" si="11"/>
        <v>F</v>
      </c>
      <c r="U16" s="1" t="str">
        <f t="shared" ca="1" si="12"/>
        <v>F</v>
      </c>
      <c r="V16" s="1" t="str">
        <f t="shared" ca="1" si="13"/>
        <v>F</v>
      </c>
      <c r="W16" s="1" t="str">
        <f t="shared" ca="1" si="14"/>
        <v>Patrick Agyemang</v>
      </c>
    </row>
    <row r="17" spans="1:23">
      <c r="A17" s="1" t="str">
        <f ca="1">IFERROR(__xludf.DUMMYFUNCTION("""COMPUTED_VALUE"""),"Ali")</f>
        <v>Ali</v>
      </c>
      <c r="B17" s="1" t="str">
        <f ca="1">IFERROR(__xludf.DUMMYFUNCTION("""COMPUTED_VALUE"""),"Ahmed")</f>
        <v>Ahmed</v>
      </c>
      <c r="C17" s="1" t="str">
        <f ca="1">IFERROR(__xludf.DUMMYFUNCTION("""COMPUTED_VALUE"""),"Vancouver Whitecaps")</f>
        <v>Vancouver Whitecaps</v>
      </c>
      <c r="D17" s="1" t="str">
        <f ca="1">IFERROR(__xludf.DUMMYFUNCTION("""COMPUTED_VALUE"""),"Central Midfield")</f>
        <v>Central Midfield</v>
      </c>
      <c r="E17" s="2">
        <f ca="1">IFERROR(__xludf.DUMMYFUNCTION("""COMPUTED_VALUE"""),100000)</f>
        <v>100000</v>
      </c>
      <c r="F17" s="2">
        <f ca="1">IFERROR(__xludf.DUMMYFUNCTION("""COMPUTED_VALUE"""),109375)</f>
        <v>109375</v>
      </c>
      <c r="H17" s="1" t="str">
        <f t="shared" ca="1" si="0"/>
        <v>Central Midfield</v>
      </c>
      <c r="I17" s="3" t="str">
        <f t="shared" ca="1" si="1"/>
        <v>Central Midfield</v>
      </c>
      <c r="J17" s="1" t="str">
        <f t="shared" ca="1" si="2"/>
        <v>Central Midfield</v>
      </c>
      <c r="K17" s="1" t="str">
        <f t="shared" ca="1" si="15"/>
        <v>Central Midfield</v>
      </c>
      <c r="L17" s="1" t="str">
        <f t="shared" ca="1" si="3"/>
        <v>M</v>
      </c>
      <c r="M17" s="1" t="str">
        <f t="shared" ca="1" si="4"/>
        <v>M</v>
      </c>
      <c r="N17" s="1" t="str">
        <f t="shared" ca="1" si="5"/>
        <v>M</v>
      </c>
      <c r="O17" s="1" t="str">
        <f t="shared" ca="1" si="6"/>
        <v>M</v>
      </c>
      <c r="P17" s="1" t="str">
        <f t="shared" ca="1" si="7"/>
        <v>M</v>
      </c>
      <c r="Q17" s="1" t="str">
        <f t="shared" ca="1" si="8"/>
        <v>M</v>
      </c>
      <c r="R17" s="1" t="str">
        <f t="shared" ca="1" si="9"/>
        <v>M</v>
      </c>
      <c r="S17" s="1" t="str">
        <f t="shared" ca="1" si="10"/>
        <v>M</v>
      </c>
      <c r="T17" s="1" t="str">
        <f t="shared" ca="1" si="11"/>
        <v>M</v>
      </c>
      <c r="U17" s="1" t="str">
        <f t="shared" ca="1" si="12"/>
        <v>M</v>
      </c>
      <c r="V17" s="1" t="str">
        <f t="shared" ca="1" si="13"/>
        <v>M</v>
      </c>
      <c r="W17" s="1" t="str">
        <f t="shared" ca="1" si="14"/>
        <v>Ali Ahmed</v>
      </c>
    </row>
    <row r="18" spans="1:23">
      <c r="A18" s="1" t="str">
        <f ca="1">IFERROR(__xludf.DUMMYFUNCTION("""COMPUTED_VALUE"""),"Forster")</f>
        <v>Forster</v>
      </c>
      <c r="B18" s="1" t="str">
        <f ca="1">IFERROR(__xludf.DUMMYFUNCTION("""COMPUTED_VALUE"""),"Ajago")</f>
        <v>Ajago</v>
      </c>
      <c r="C18" s="1" t="str">
        <f ca="1">IFERROR(__xludf.DUMMYFUNCTION("""COMPUTED_VALUE"""),"Nashville SC")</f>
        <v>Nashville SC</v>
      </c>
      <c r="D18" s="1" t="str">
        <f ca="1">IFERROR(__xludf.DUMMYFUNCTION("""COMPUTED_VALUE"""),"Forward")</f>
        <v>Forward</v>
      </c>
      <c r="E18" s="2">
        <f ca="1">IFERROR(__xludf.DUMMYFUNCTION("""COMPUTED_VALUE"""),71401)</f>
        <v>71401</v>
      </c>
      <c r="F18" s="2">
        <f ca="1">IFERROR(__xludf.DUMMYFUNCTION("""COMPUTED_VALUE"""),71401)</f>
        <v>71401</v>
      </c>
      <c r="H18" s="1" t="str">
        <f t="shared" ca="1" si="0"/>
        <v>Forward</v>
      </c>
      <c r="I18" s="3" t="str">
        <f t="shared" ca="1" si="1"/>
        <v>Forward</v>
      </c>
      <c r="J18" s="1" t="str">
        <f t="shared" ca="1" si="2"/>
        <v>Forward</v>
      </c>
      <c r="K18" s="1" t="str">
        <f t="shared" ca="1" si="15"/>
        <v>Forward</v>
      </c>
      <c r="L18" s="1" t="str">
        <f t="shared" ca="1" si="3"/>
        <v>Forward</v>
      </c>
      <c r="M18" s="1" t="str">
        <f t="shared" ca="1" si="4"/>
        <v>Forward</v>
      </c>
      <c r="N18" s="1" t="str">
        <f t="shared" ca="1" si="5"/>
        <v>Forward</v>
      </c>
      <c r="O18" s="1" t="str">
        <f t="shared" ca="1" si="6"/>
        <v>Forward</v>
      </c>
      <c r="P18" s="1" t="str">
        <f t="shared" ca="1" si="7"/>
        <v>Forward</v>
      </c>
      <c r="Q18" s="1" t="str">
        <f t="shared" ca="1" si="8"/>
        <v>F</v>
      </c>
      <c r="R18" s="1" t="str">
        <f t="shared" ca="1" si="9"/>
        <v>F</v>
      </c>
      <c r="S18" s="1" t="str">
        <f t="shared" ca="1" si="10"/>
        <v>F</v>
      </c>
      <c r="T18" s="1" t="str">
        <f t="shared" ca="1" si="11"/>
        <v>F</v>
      </c>
      <c r="U18" s="1" t="str">
        <f t="shared" ca="1" si="12"/>
        <v>F</v>
      </c>
      <c r="V18" s="1" t="str">
        <f t="shared" ca="1" si="13"/>
        <v>F</v>
      </c>
      <c r="W18" s="1" t="str">
        <f t="shared" ca="1" si="14"/>
        <v>Forster Ajago</v>
      </c>
    </row>
    <row r="19" spans="1:23">
      <c r="A19" s="1" t="str">
        <f ca="1">IFERROR(__xludf.DUMMYFUNCTION("""COMPUTED_VALUE"""),"Carlos")</f>
        <v>Carlos</v>
      </c>
      <c r="B19" s="1" t="str">
        <f ca="1">IFERROR(__xludf.DUMMYFUNCTION("""COMPUTED_VALUE"""),"Akapo")</f>
        <v>Akapo</v>
      </c>
      <c r="C19" s="1" t="str">
        <f ca="1">IFERROR(__xludf.DUMMYFUNCTION("""COMPUTED_VALUE"""),"San Jose Earthquakes")</f>
        <v>San Jose Earthquakes</v>
      </c>
      <c r="D19" s="1" t="str">
        <f ca="1">IFERROR(__xludf.DUMMYFUNCTION("""COMPUTED_VALUE"""),"Right-back")</f>
        <v>Right-back</v>
      </c>
      <c r="E19" s="2">
        <f ca="1">IFERROR(__xludf.DUMMYFUNCTION("""COMPUTED_VALUE"""),550000)</f>
        <v>550000</v>
      </c>
      <c r="F19" s="2">
        <f ca="1">IFERROR(__xludf.DUMMYFUNCTION("""COMPUTED_VALUE"""),595111)</f>
        <v>595111</v>
      </c>
      <c r="H19" s="1" t="str">
        <f t="shared" ca="1" si="0"/>
        <v>Right-back</v>
      </c>
      <c r="I19" s="3" t="str">
        <f t="shared" ca="1" si="1"/>
        <v>Right-back</v>
      </c>
      <c r="J19" s="1" t="str">
        <f t="shared" ca="1" si="2"/>
        <v>D</v>
      </c>
      <c r="K19" s="1" t="str">
        <f t="shared" ca="1" si="15"/>
        <v>D</v>
      </c>
      <c r="L19" s="1" t="str">
        <f t="shared" ca="1" si="3"/>
        <v>D</v>
      </c>
      <c r="M19" s="1" t="str">
        <f t="shared" ca="1" si="4"/>
        <v>D</v>
      </c>
      <c r="N19" s="1" t="str">
        <f t="shared" ca="1" si="5"/>
        <v>D</v>
      </c>
      <c r="O19" s="1" t="str">
        <f t="shared" ca="1" si="6"/>
        <v>D</v>
      </c>
      <c r="P19" s="1" t="str">
        <f t="shared" ca="1" si="7"/>
        <v>D</v>
      </c>
      <c r="Q19" s="1" t="str">
        <f t="shared" ca="1" si="8"/>
        <v>D</v>
      </c>
      <c r="R19" s="1" t="str">
        <f t="shared" ca="1" si="9"/>
        <v>D</v>
      </c>
      <c r="S19" s="1" t="str">
        <f t="shared" ca="1" si="10"/>
        <v>D</v>
      </c>
      <c r="T19" s="1" t="str">
        <f t="shared" ca="1" si="11"/>
        <v>D</v>
      </c>
      <c r="U19" s="1" t="str">
        <f t="shared" ca="1" si="12"/>
        <v>D</v>
      </c>
      <c r="V19" s="1" t="str">
        <f t="shared" ca="1" si="13"/>
        <v>D</v>
      </c>
      <c r="W19" s="1" t="str">
        <f t="shared" ca="1" si="14"/>
        <v>Carlos Akapo</v>
      </c>
    </row>
    <row r="20" spans="1:23">
      <c r="A20" s="1" t="str">
        <f ca="1">IFERROR(__xludf.DUMMYFUNCTION("""COMPUTED_VALUE"""),"Matai")</f>
        <v>Matai</v>
      </c>
      <c r="B20" s="1" t="str">
        <f ca="1">IFERROR(__xludf.DUMMYFUNCTION("""COMPUTED_VALUE"""),"Akinmboni")</f>
        <v>Akinmboni</v>
      </c>
      <c r="C20" s="1" t="str">
        <f ca="1">IFERROR(__xludf.DUMMYFUNCTION("""COMPUTED_VALUE"""),"DC United")</f>
        <v>DC United</v>
      </c>
      <c r="D20" s="1" t="str">
        <f ca="1">IFERROR(__xludf.DUMMYFUNCTION("""COMPUTED_VALUE"""),"Center-back")</f>
        <v>Center-back</v>
      </c>
      <c r="E20" s="2">
        <f ca="1">IFERROR(__xludf.DUMMYFUNCTION("""COMPUTED_VALUE"""),89716)</f>
        <v>89716</v>
      </c>
      <c r="F20" s="2">
        <f ca="1">IFERROR(__xludf.DUMMYFUNCTION("""COMPUTED_VALUE"""),99216)</f>
        <v>99216</v>
      </c>
      <c r="H20" s="1" t="str">
        <f t="shared" ca="1" si="0"/>
        <v>D</v>
      </c>
      <c r="I20" s="3" t="str">
        <f t="shared" ca="1" si="1"/>
        <v>D</v>
      </c>
      <c r="J20" s="1" t="str">
        <f t="shared" ca="1" si="2"/>
        <v>D</v>
      </c>
      <c r="K20" s="1" t="str">
        <f t="shared" ca="1" si="15"/>
        <v>D</v>
      </c>
      <c r="L20" s="1" t="str">
        <f t="shared" ca="1" si="3"/>
        <v>D</v>
      </c>
      <c r="M20" s="1" t="str">
        <f t="shared" ca="1" si="4"/>
        <v>D</v>
      </c>
      <c r="N20" s="1" t="str">
        <f t="shared" ca="1" si="5"/>
        <v>D</v>
      </c>
      <c r="O20" s="1" t="str">
        <f t="shared" ca="1" si="6"/>
        <v>D</v>
      </c>
      <c r="P20" s="1" t="str">
        <f t="shared" ca="1" si="7"/>
        <v>D</v>
      </c>
      <c r="Q20" s="1" t="str">
        <f t="shared" ca="1" si="8"/>
        <v>D</v>
      </c>
      <c r="R20" s="1" t="str">
        <f t="shared" ca="1" si="9"/>
        <v>D</v>
      </c>
      <c r="S20" s="1" t="str">
        <f t="shared" ca="1" si="10"/>
        <v>D</v>
      </c>
      <c r="T20" s="1" t="str">
        <f t="shared" ca="1" si="11"/>
        <v>D</v>
      </c>
      <c r="U20" s="1" t="str">
        <f t="shared" ca="1" si="12"/>
        <v>D</v>
      </c>
      <c r="V20" s="1" t="str">
        <f t="shared" ca="1" si="13"/>
        <v>D</v>
      </c>
      <c r="W20" s="1" t="str">
        <f t="shared" ca="1" si="14"/>
        <v>Matai Akinmboni</v>
      </c>
    </row>
    <row r="21" spans="1:23">
      <c r="A21" s="1" t="str">
        <f ca="1">IFERROR(__xludf.DUMMYFUNCTION("""COMPUTED_VALUE"""),"Ayo")</f>
        <v>Ayo</v>
      </c>
      <c r="B21" s="1" t="str">
        <f ca="1">IFERROR(__xludf.DUMMYFUNCTION("""COMPUTED_VALUE"""),"Akinola")</f>
        <v>Akinola</v>
      </c>
      <c r="C21" s="1" t="str">
        <f ca="1">IFERROR(__xludf.DUMMYFUNCTION("""COMPUTED_VALUE"""),"Toronto FC")</f>
        <v>Toronto FC</v>
      </c>
      <c r="D21" s="1" t="str">
        <f ca="1">IFERROR(__xludf.DUMMYFUNCTION("""COMPUTED_VALUE"""),"Center Forward")</f>
        <v>Center Forward</v>
      </c>
      <c r="E21" s="2">
        <f ca="1">IFERROR(__xludf.DUMMYFUNCTION("""COMPUTED_VALUE"""),775000)</f>
        <v>775000</v>
      </c>
      <c r="F21" s="2">
        <f ca="1">IFERROR(__xludf.DUMMYFUNCTION("""COMPUTED_VALUE"""),846875)</f>
        <v>846875</v>
      </c>
      <c r="H21" s="1" t="str">
        <f t="shared" ca="1" si="0"/>
        <v>Center Forward</v>
      </c>
      <c r="I21" s="3" t="str">
        <f t="shared" ca="1" si="1"/>
        <v>Center Forward</v>
      </c>
      <c r="J21" s="1" t="str">
        <f t="shared" ca="1" si="2"/>
        <v>Center Forward</v>
      </c>
      <c r="K21" s="1" t="str">
        <f t="shared" ca="1" si="15"/>
        <v>Center Forward</v>
      </c>
      <c r="L21" s="1" t="str">
        <f t="shared" ca="1" si="3"/>
        <v>Center Forward</v>
      </c>
      <c r="M21" s="1" t="str">
        <f t="shared" ca="1" si="4"/>
        <v>Center Forward</v>
      </c>
      <c r="N21" s="1" t="str">
        <f t="shared" ca="1" si="5"/>
        <v>Center Forward</v>
      </c>
      <c r="O21" s="1" t="str">
        <f t="shared" ca="1" si="6"/>
        <v>F</v>
      </c>
      <c r="P21" s="1" t="str">
        <f t="shared" ca="1" si="7"/>
        <v>F</v>
      </c>
      <c r="Q21" s="1" t="str">
        <f t="shared" ca="1" si="8"/>
        <v>F</v>
      </c>
      <c r="R21" s="1" t="str">
        <f t="shared" ca="1" si="9"/>
        <v>F</v>
      </c>
      <c r="S21" s="1" t="str">
        <f t="shared" ca="1" si="10"/>
        <v>F</v>
      </c>
      <c r="T21" s="1" t="str">
        <f t="shared" ca="1" si="11"/>
        <v>F</v>
      </c>
      <c r="U21" s="1" t="str">
        <f t="shared" ca="1" si="12"/>
        <v>F</v>
      </c>
      <c r="V21" s="1" t="str">
        <f t="shared" ca="1" si="13"/>
        <v>F</v>
      </c>
      <c r="W21" s="1" t="str">
        <f t="shared" ca="1" si="14"/>
        <v>Ayo Akinola</v>
      </c>
    </row>
    <row r="22" spans="1:23">
      <c r="A22" s="1" t="str">
        <f ca="1">IFERROR(__xludf.DUMMYFUNCTION("""COMPUTED_VALUE"""),"Joey")</f>
        <v>Joey</v>
      </c>
      <c r="B22" s="1" t="str">
        <f ca="1">IFERROR(__xludf.DUMMYFUNCTION("""COMPUTED_VALUE"""),"Akpunonu")</f>
        <v>Akpunonu</v>
      </c>
      <c r="C22" s="1" t="str">
        <f ca="1">IFERROR(__xludf.DUMMYFUNCTION("""COMPUTED_VALUE"""),"FC Cincinnati")</f>
        <v>FC Cincinnati</v>
      </c>
      <c r="D22" s="1" t="str">
        <f ca="1">IFERROR(__xludf.DUMMYFUNCTION("""COMPUTED_VALUE"""),"Center-back")</f>
        <v>Center-back</v>
      </c>
      <c r="E22" s="2">
        <f ca="1">IFERROR(__xludf.DUMMYFUNCTION("""COMPUTED_VALUE"""),71401)</f>
        <v>71401</v>
      </c>
      <c r="F22" s="2">
        <f ca="1">IFERROR(__xludf.DUMMYFUNCTION("""COMPUTED_VALUE"""),73901)</f>
        <v>73901</v>
      </c>
      <c r="H22" s="1" t="str">
        <f t="shared" ca="1" si="0"/>
        <v>D</v>
      </c>
      <c r="I22" s="3" t="str">
        <f t="shared" ca="1" si="1"/>
        <v>D</v>
      </c>
      <c r="J22" s="1" t="str">
        <f t="shared" ca="1" si="2"/>
        <v>D</v>
      </c>
      <c r="K22" s="1" t="str">
        <f t="shared" ca="1" si="15"/>
        <v>D</v>
      </c>
      <c r="L22" s="1" t="str">
        <f t="shared" ca="1" si="3"/>
        <v>D</v>
      </c>
      <c r="M22" s="1" t="str">
        <f t="shared" ca="1" si="4"/>
        <v>D</v>
      </c>
      <c r="N22" s="1" t="str">
        <f t="shared" ca="1" si="5"/>
        <v>D</v>
      </c>
      <c r="O22" s="1" t="str">
        <f t="shared" ca="1" si="6"/>
        <v>D</v>
      </c>
      <c r="P22" s="1" t="str">
        <f t="shared" ca="1" si="7"/>
        <v>D</v>
      </c>
      <c r="Q22" s="1" t="str">
        <f t="shared" ca="1" si="8"/>
        <v>D</v>
      </c>
      <c r="R22" s="1" t="str">
        <f t="shared" ca="1" si="9"/>
        <v>D</v>
      </c>
      <c r="S22" s="1" t="str">
        <f t="shared" ca="1" si="10"/>
        <v>D</v>
      </c>
      <c r="T22" s="1" t="str">
        <f t="shared" ca="1" si="11"/>
        <v>D</v>
      </c>
      <c r="U22" s="1" t="str">
        <f t="shared" ca="1" si="12"/>
        <v>D</v>
      </c>
      <c r="V22" s="1" t="str">
        <f t="shared" ca="1" si="13"/>
        <v>D</v>
      </c>
      <c r="W22" s="1" t="str">
        <f t="shared" ca="1" si="14"/>
        <v>Joey Akpunonu</v>
      </c>
    </row>
    <row r="23" spans="1:23">
      <c r="A23" s="1" t="str">
        <f ca="1">IFERROR(__xludf.DUMMYFUNCTION("""COMPUTED_VALUE"""),"Jordi")</f>
        <v>Jordi</v>
      </c>
      <c r="B23" s="1" t="str">
        <f ca="1">IFERROR(__xludf.DUMMYFUNCTION("""COMPUTED_VALUE"""),"Alba")</f>
        <v>Alba</v>
      </c>
      <c r="C23" s="1" t="str">
        <f ca="1">IFERROR(__xludf.DUMMYFUNCTION("""COMPUTED_VALUE"""),"Inter Miami")</f>
        <v>Inter Miami</v>
      </c>
      <c r="D23" s="1" t="str">
        <f ca="1">IFERROR(__xludf.DUMMYFUNCTION("""COMPUTED_VALUE"""),"Left-back")</f>
        <v>Left-back</v>
      </c>
      <c r="E23" s="2">
        <f ca="1">IFERROR(__xludf.DUMMYFUNCTION("""COMPUTED_VALUE"""),1250000)</f>
        <v>1250000</v>
      </c>
      <c r="F23" s="2">
        <f ca="1">IFERROR(__xludf.DUMMYFUNCTION("""COMPUTED_VALUE"""),1500000)</f>
        <v>1500000</v>
      </c>
      <c r="H23" s="1" t="str">
        <f t="shared" ca="1" si="0"/>
        <v>Left-back</v>
      </c>
      <c r="I23" s="3" t="str">
        <f t="shared" ca="1" si="1"/>
        <v>D</v>
      </c>
      <c r="J23" s="1" t="str">
        <f t="shared" ca="1" si="2"/>
        <v>D</v>
      </c>
      <c r="K23" s="1" t="str">
        <f t="shared" ca="1" si="15"/>
        <v>D</v>
      </c>
      <c r="L23" s="1" t="str">
        <f t="shared" ca="1" si="3"/>
        <v>D</v>
      </c>
      <c r="M23" s="1" t="str">
        <f t="shared" ca="1" si="4"/>
        <v>D</v>
      </c>
      <c r="N23" s="1" t="str">
        <f t="shared" ca="1" si="5"/>
        <v>D</v>
      </c>
      <c r="O23" s="1" t="str">
        <f t="shared" ca="1" si="6"/>
        <v>D</v>
      </c>
      <c r="P23" s="1" t="str">
        <f t="shared" ca="1" si="7"/>
        <v>D</v>
      </c>
      <c r="Q23" s="1" t="str">
        <f t="shared" ca="1" si="8"/>
        <v>D</v>
      </c>
      <c r="R23" s="1" t="str">
        <f t="shared" ca="1" si="9"/>
        <v>D</v>
      </c>
      <c r="S23" s="1" t="str">
        <f t="shared" ca="1" si="10"/>
        <v>D</v>
      </c>
      <c r="T23" s="1" t="str">
        <f t="shared" ca="1" si="11"/>
        <v>D</v>
      </c>
      <c r="U23" s="1" t="str">
        <f t="shared" ca="1" si="12"/>
        <v>D</v>
      </c>
      <c r="V23" s="1" t="str">
        <f t="shared" ca="1" si="13"/>
        <v>D</v>
      </c>
      <c r="W23" s="1" t="str">
        <f t="shared" ca="1" si="14"/>
        <v>Jordi Alba</v>
      </c>
    </row>
    <row r="24" spans="1:23">
      <c r="A24" s="1" t="str">
        <f ca="1">IFERROR(__xludf.DUMMYFUNCTION("""COMPUTED_VALUE"""),"Davi")</f>
        <v>Davi</v>
      </c>
      <c r="B24" s="1" t="str">
        <f ca="1">IFERROR(__xludf.DUMMYFUNCTION("""COMPUTED_VALUE"""),"Alexandre")</f>
        <v>Alexandre</v>
      </c>
      <c r="C24" s="1" t="str">
        <f ca="1">IFERROR(__xludf.DUMMYFUNCTION("""COMPUTED_VALUE"""),"New York Red Bulls")</f>
        <v>New York Red Bulls</v>
      </c>
      <c r="D24" s="1" t="str">
        <f ca="1">IFERROR(__xludf.DUMMYFUNCTION("""COMPUTED_VALUE"""),"Center-back")</f>
        <v>Center-back</v>
      </c>
      <c r="E24" s="2">
        <f ca="1">IFERROR(__xludf.DUMMYFUNCTION("""COMPUTED_VALUE"""),71401)</f>
        <v>71401</v>
      </c>
      <c r="F24" s="2">
        <f ca="1">IFERROR(__xludf.DUMMYFUNCTION("""COMPUTED_VALUE"""),86111)</f>
        <v>86111</v>
      </c>
      <c r="H24" s="1" t="str">
        <f t="shared" ca="1" si="0"/>
        <v>D</v>
      </c>
      <c r="I24" s="3" t="str">
        <f t="shared" ca="1" si="1"/>
        <v>D</v>
      </c>
      <c r="J24" s="1" t="str">
        <f t="shared" ca="1" si="2"/>
        <v>D</v>
      </c>
      <c r="K24" s="1" t="str">
        <f t="shared" ca="1" si="15"/>
        <v>D</v>
      </c>
      <c r="L24" s="1" t="str">
        <f t="shared" ca="1" si="3"/>
        <v>D</v>
      </c>
      <c r="M24" s="1" t="str">
        <f t="shared" ca="1" si="4"/>
        <v>D</v>
      </c>
      <c r="N24" s="1" t="str">
        <f t="shared" ca="1" si="5"/>
        <v>D</v>
      </c>
      <c r="O24" s="1" t="str">
        <f t="shared" ca="1" si="6"/>
        <v>D</v>
      </c>
      <c r="P24" s="1" t="str">
        <f t="shared" ca="1" si="7"/>
        <v>D</v>
      </c>
      <c r="Q24" s="1" t="str">
        <f t="shared" ca="1" si="8"/>
        <v>D</v>
      </c>
      <c r="R24" s="1" t="str">
        <f t="shared" ca="1" si="9"/>
        <v>D</v>
      </c>
      <c r="S24" s="1" t="str">
        <f t="shared" ca="1" si="10"/>
        <v>D</v>
      </c>
      <c r="T24" s="1" t="str">
        <f t="shared" ca="1" si="11"/>
        <v>D</v>
      </c>
      <c r="U24" s="1" t="str">
        <f t="shared" ca="1" si="12"/>
        <v>D</v>
      </c>
      <c r="V24" s="1" t="str">
        <f t="shared" ca="1" si="13"/>
        <v>D</v>
      </c>
      <c r="W24" s="1" t="str">
        <f t="shared" ca="1" si="14"/>
        <v>Davi Alexandre</v>
      </c>
    </row>
    <row r="25" spans="1:23">
      <c r="A25" s="1" t="str">
        <f ca="1">IFERROR(__xludf.DUMMYFUNCTION("""COMPUTED_VALUE"""),"Caio")</f>
        <v>Caio</v>
      </c>
      <c r="B25" s="1" t="str">
        <f ca="1">IFERROR(__xludf.DUMMYFUNCTION("""COMPUTED_VALUE"""),"Alexandre Souza e Silva")</f>
        <v>Alexandre Souza e Silva</v>
      </c>
      <c r="C25" s="1" t="str">
        <f ca="1">IFERROR(__xludf.DUMMYFUNCTION("""COMPUTED_VALUE"""),"Vancouver Whitecaps")</f>
        <v>Vancouver Whitecaps</v>
      </c>
      <c r="D25" s="1" t="str">
        <f ca="1">IFERROR(__xludf.DUMMYFUNCTION("""COMPUTED_VALUE"""),"Defensive Midfield")</f>
        <v>Defensive Midfield</v>
      </c>
      <c r="E25" s="2">
        <f ca="1">IFERROR(__xludf.DUMMYFUNCTION("""COMPUTED_VALUE"""),680000)</f>
        <v>680000</v>
      </c>
      <c r="F25" s="2">
        <f ca="1">IFERROR(__xludf.DUMMYFUNCTION("""COMPUTED_VALUE"""),742500)</f>
        <v>742500</v>
      </c>
      <c r="H25" s="1" t="str">
        <f t="shared" ca="1" si="0"/>
        <v>Defensive Midfield</v>
      </c>
      <c r="I25" s="3" t="str">
        <f t="shared" ca="1" si="1"/>
        <v>Defensive Midfield</v>
      </c>
      <c r="J25" s="1" t="str">
        <f t="shared" ca="1" si="2"/>
        <v>Defensive Midfield</v>
      </c>
      <c r="K25" s="1" t="str">
        <f t="shared" ca="1" si="15"/>
        <v>M</v>
      </c>
      <c r="L25" s="1" t="str">
        <f t="shared" ca="1" si="3"/>
        <v>M</v>
      </c>
      <c r="M25" s="1" t="str">
        <f t="shared" ca="1" si="4"/>
        <v>M</v>
      </c>
      <c r="N25" s="1" t="str">
        <f t="shared" ca="1" si="5"/>
        <v>M</v>
      </c>
      <c r="O25" s="1" t="str">
        <f t="shared" ca="1" si="6"/>
        <v>M</v>
      </c>
      <c r="P25" s="1" t="str">
        <f t="shared" ca="1" si="7"/>
        <v>M</v>
      </c>
      <c r="Q25" s="1" t="str">
        <f t="shared" ca="1" si="8"/>
        <v>M</v>
      </c>
      <c r="R25" s="1" t="str">
        <f t="shared" ca="1" si="9"/>
        <v>M</v>
      </c>
      <c r="S25" s="1" t="str">
        <f t="shared" ca="1" si="10"/>
        <v>M</v>
      </c>
      <c r="T25" s="1" t="str">
        <f t="shared" ca="1" si="11"/>
        <v>M</v>
      </c>
      <c r="U25" s="1" t="str">
        <f t="shared" ca="1" si="12"/>
        <v>M</v>
      </c>
      <c r="V25" s="1" t="str">
        <f t="shared" ca="1" si="13"/>
        <v>M</v>
      </c>
      <c r="W25" s="1" t="str">
        <f t="shared" ca="1" si="14"/>
        <v>Caio Alexandre Souza e Silva</v>
      </c>
    </row>
    <row r="26" spans="1:23">
      <c r="A26" s="1" t="str">
        <f ca="1">IFERROR(__xludf.DUMMYFUNCTION("""COMPUTED_VALUE"""),"Ibrahim")</f>
        <v>Ibrahim</v>
      </c>
      <c r="B26" s="1" t="str">
        <f ca="1">IFERROR(__xludf.DUMMYFUNCTION("""COMPUTED_VALUE"""),"Aliyu")</f>
        <v>Aliyu</v>
      </c>
      <c r="C26" s="1" t="str">
        <f ca="1">IFERROR(__xludf.DUMMYFUNCTION("""COMPUTED_VALUE"""),"Houston Dynamo")</f>
        <v>Houston Dynamo</v>
      </c>
      <c r="D26" s="1" t="str">
        <f ca="1">IFERROR(__xludf.DUMMYFUNCTION("""COMPUTED_VALUE"""),"Center Forward")</f>
        <v>Center Forward</v>
      </c>
      <c r="E26" s="2">
        <f ca="1">IFERROR(__xludf.DUMMYFUNCTION("""COMPUTED_VALUE"""),450000)</f>
        <v>450000</v>
      </c>
      <c r="F26" s="2">
        <f ca="1">IFERROR(__xludf.DUMMYFUNCTION("""COMPUTED_VALUE"""),501379)</f>
        <v>501379</v>
      </c>
      <c r="H26" s="1" t="str">
        <f t="shared" ca="1" si="0"/>
        <v>Center Forward</v>
      </c>
      <c r="I26" s="3" t="str">
        <f t="shared" ca="1" si="1"/>
        <v>Center Forward</v>
      </c>
      <c r="J26" s="1" t="str">
        <f t="shared" ca="1" si="2"/>
        <v>Center Forward</v>
      </c>
      <c r="K26" s="1" t="str">
        <f t="shared" ca="1" si="15"/>
        <v>Center Forward</v>
      </c>
      <c r="L26" s="1" t="str">
        <f t="shared" ca="1" si="3"/>
        <v>Center Forward</v>
      </c>
      <c r="M26" s="1" t="str">
        <f t="shared" ca="1" si="4"/>
        <v>Center Forward</v>
      </c>
      <c r="N26" s="1" t="str">
        <f t="shared" ca="1" si="5"/>
        <v>Center Forward</v>
      </c>
      <c r="O26" s="1" t="str">
        <f t="shared" ca="1" si="6"/>
        <v>F</v>
      </c>
      <c r="P26" s="1" t="str">
        <f t="shared" ca="1" si="7"/>
        <v>F</v>
      </c>
      <c r="Q26" s="1" t="str">
        <f t="shared" ca="1" si="8"/>
        <v>F</v>
      </c>
      <c r="R26" s="1" t="str">
        <f t="shared" ca="1" si="9"/>
        <v>F</v>
      </c>
      <c r="S26" s="1" t="str">
        <f t="shared" ca="1" si="10"/>
        <v>F</v>
      </c>
      <c r="T26" s="1" t="str">
        <f t="shared" ca="1" si="11"/>
        <v>F</v>
      </c>
      <c r="U26" s="1" t="str">
        <f t="shared" ca="1" si="12"/>
        <v>F</v>
      </c>
      <c r="V26" s="1" t="str">
        <f t="shared" ca="1" si="13"/>
        <v>F</v>
      </c>
      <c r="W26" s="1" t="str">
        <f t="shared" ca="1" si="14"/>
        <v>Ibrahim Aliyu</v>
      </c>
    </row>
    <row r="27" spans="1:23">
      <c r="A27" s="1" t="str">
        <f ca="1">IFERROR(__xludf.DUMMYFUNCTION("""COMPUTED_VALUE"""),"Noah")</f>
        <v>Noah</v>
      </c>
      <c r="B27" s="1" t="str">
        <f ca="1">IFERROR(__xludf.DUMMYFUNCTION("""COMPUTED_VALUE"""),"Allen")</f>
        <v>Allen</v>
      </c>
      <c r="C27" s="1" t="str">
        <f ca="1">IFERROR(__xludf.DUMMYFUNCTION("""COMPUTED_VALUE"""),"Inter Miami")</f>
        <v>Inter Miami</v>
      </c>
      <c r="D27" s="1" t="str">
        <f ca="1">IFERROR(__xludf.DUMMYFUNCTION("""COMPUTED_VALUE"""),"Left-back")</f>
        <v>Left-back</v>
      </c>
      <c r="E27" s="2">
        <f ca="1">IFERROR(__xludf.DUMMYFUNCTION("""COMPUTED_VALUE"""),89716)</f>
        <v>89716</v>
      </c>
      <c r="F27" s="2">
        <f ca="1">IFERROR(__xludf.DUMMYFUNCTION("""COMPUTED_VALUE"""),91383)</f>
        <v>91383</v>
      </c>
      <c r="H27" s="1" t="str">
        <f t="shared" ca="1" si="0"/>
        <v>Left-back</v>
      </c>
      <c r="I27" s="3" t="str">
        <f t="shared" ca="1" si="1"/>
        <v>D</v>
      </c>
      <c r="J27" s="1" t="str">
        <f t="shared" ca="1" si="2"/>
        <v>D</v>
      </c>
      <c r="K27" s="1" t="str">
        <f t="shared" ca="1" si="15"/>
        <v>D</v>
      </c>
      <c r="L27" s="1" t="str">
        <f t="shared" ca="1" si="3"/>
        <v>D</v>
      </c>
      <c r="M27" s="1" t="str">
        <f t="shared" ca="1" si="4"/>
        <v>D</v>
      </c>
      <c r="N27" s="1" t="str">
        <f t="shared" ca="1" si="5"/>
        <v>D</v>
      </c>
      <c r="O27" s="1" t="str">
        <f t="shared" ca="1" si="6"/>
        <v>D</v>
      </c>
      <c r="P27" s="1" t="str">
        <f t="shared" ca="1" si="7"/>
        <v>D</v>
      </c>
      <c r="Q27" s="1" t="str">
        <f t="shared" ca="1" si="8"/>
        <v>D</v>
      </c>
      <c r="R27" s="1" t="str">
        <f t="shared" ca="1" si="9"/>
        <v>D</v>
      </c>
      <c r="S27" s="1" t="str">
        <f t="shared" ca="1" si="10"/>
        <v>D</v>
      </c>
      <c r="T27" s="1" t="str">
        <f t="shared" ca="1" si="11"/>
        <v>D</v>
      </c>
      <c r="U27" s="1" t="str">
        <f t="shared" ca="1" si="12"/>
        <v>D</v>
      </c>
      <c r="V27" s="1" t="str">
        <f t="shared" ca="1" si="13"/>
        <v>D</v>
      </c>
      <c r="W27" s="1" t="str">
        <f t="shared" ca="1" si="14"/>
        <v>Noah Allen</v>
      </c>
    </row>
    <row r="28" spans="1:23">
      <c r="A28" s="1" t="str">
        <f ca="1">IFERROR(__xludf.DUMMYFUNCTION("""COMPUTED_VALUE"""),"Rasmus")</f>
        <v>Rasmus</v>
      </c>
      <c r="B28" s="1" t="str">
        <f ca="1">IFERROR(__xludf.DUMMYFUNCTION("""COMPUTED_VALUE"""),"Alm")</f>
        <v>Alm</v>
      </c>
      <c r="C28" s="1" t="str">
        <f ca="1">IFERROR(__xludf.DUMMYFUNCTION("""COMPUTED_VALUE"""),"St. Louis City SC")</f>
        <v>St. Louis City SC</v>
      </c>
      <c r="D28" s="1" t="str">
        <f ca="1">IFERROR(__xludf.DUMMYFUNCTION("""COMPUTED_VALUE"""),"Right Wing")</f>
        <v>Right Wing</v>
      </c>
      <c r="E28" s="2">
        <f ca="1">IFERROR(__xludf.DUMMYFUNCTION("""COMPUTED_VALUE"""),265500)</f>
        <v>265500</v>
      </c>
      <c r="F28" s="2">
        <f ca="1">IFERROR(__xludf.DUMMYFUNCTION("""COMPUTED_VALUE"""),329925)</f>
        <v>329925</v>
      </c>
      <c r="H28" s="1" t="str">
        <f t="shared" ca="1" si="0"/>
        <v>Right Wing</v>
      </c>
      <c r="I28" s="3" t="str">
        <f t="shared" ca="1" si="1"/>
        <v>Right Wing</v>
      </c>
      <c r="J28" s="1" t="str">
        <f t="shared" ca="1" si="2"/>
        <v>Right Wing</v>
      </c>
      <c r="K28" s="1" t="str">
        <f t="shared" ca="1" si="15"/>
        <v>Right Wing</v>
      </c>
      <c r="L28" s="1" t="str">
        <f t="shared" ca="1" si="3"/>
        <v>Right Wing</v>
      </c>
      <c r="M28" s="1" t="str">
        <f t="shared" ca="1" si="4"/>
        <v>Right Wing</v>
      </c>
      <c r="N28" s="1" t="str">
        <f t="shared" ca="1" si="5"/>
        <v>F</v>
      </c>
      <c r="O28" s="1" t="str">
        <f t="shared" ca="1" si="6"/>
        <v>F</v>
      </c>
      <c r="P28" s="1" t="str">
        <f t="shared" ca="1" si="7"/>
        <v>F</v>
      </c>
      <c r="Q28" s="1" t="str">
        <f t="shared" ca="1" si="8"/>
        <v>F</v>
      </c>
      <c r="R28" s="1" t="str">
        <f t="shared" ca="1" si="9"/>
        <v>F</v>
      </c>
      <c r="S28" s="1" t="str">
        <f t="shared" ca="1" si="10"/>
        <v>F</v>
      </c>
      <c r="T28" s="1" t="str">
        <f t="shared" ca="1" si="11"/>
        <v>F</v>
      </c>
      <c r="U28" s="1" t="str">
        <f t="shared" ca="1" si="12"/>
        <v>F</v>
      </c>
      <c r="V28" s="1" t="str">
        <f t="shared" ca="1" si="13"/>
        <v>F</v>
      </c>
      <c r="W28" s="1" t="str">
        <f t="shared" ca="1" si="14"/>
        <v>Rasmus Alm</v>
      </c>
    </row>
    <row r="29" spans="1:23">
      <c r="A29" s="1" t="str">
        <f ca="1">IFERROR(__xludf.DUMMYFUNCTION("""COMPUTED_VALUE"""),"Thiago")</f>
        <v>Thiago</v>
      </c>
      <c r="B29" s="1" t="str">
        <f ca="1">IFERROR(__xludf.DUMMYFUNCTION("""COMPUTED_VALUE"""),"Almada")</f>
        <v>Almada</v>
      </c>
      <c r="C29" s="1" t="str">
        <f ca="1">IFERROR(__xludf.DUMMYFUNCTION("""COMPUTED_VALUE"""),"Atlanta United")</f>
        <v>Atlanta United</v>
      </c>
      <c r="D29" s="1" t="str">
        <f ca="1">IFERROR(__xludf.DUMMYFUNCTION("""COMPUTED_VALUE"""),"Attacking Midfield")</f>
        <v>Attacking Midfield</v>
      </c>
      <c r="E29" s="2">
        <f ca="1">IFERROR(__xludf.DUMMYFUNCTION("""COMPUTED_VALUE"""),1550000)</f>
        <v>1550000</v>
      </c>
      <c r="F29" s="2">
        <f ca="1">IFERROR(__xludf.DUMMYFUNCTION("""COMPUTED_VALUE"""),2232000)</f>
        <v>2232000</v>
      </c>
      <c r="H29" s="1" t="str">
        <f t="shared" ca="1" si="0"/>
        <v>Attacking Midfield</v>
      </c>
      <c r="I29" s="3" t="str">
        <f t="shared" ca="1" si="1"/>
        <v>Attacking Midfield</v>
      </c>
      <c r="J29" s="1" t="str">
        <f t="shared" ca="1" si="2"/>
        <v>Attacking Midfield</v>
      </c>
      <c r="K29" s="1" t="str">
        <f t="shared" ca="1" si="15"/>
        <v>Attacking Midfield</v>
      </c>
      <c r="L29" s="1" t="str">
        <f t="shared" ca="1" si="3"/>
        <v>Attacking Midfield</v>
      </c>
      <c r="M29" s="1" t="str">
        <f t="shared" ca="1" si="4"/>
        <v>M</v>
      </c>
      <c r="N29" s="1" t="str">
        <f t="shared" ca="1" si="5"/>
        <v>M</v>
      </c>
      <c r="O29" s="1" t="str">
        <f t="shared" ca="1" si="6"/>
        <v>M</v>
      </c>
      <c r="P29" s="1" t="str">
        <f t="shared" ca="1" si="7"/>
        <v>M</v>
      </c>
      <c r="Q29" s="1" t="str">
        <f t="shared" ca="1" si="8"/>
        <v>M</v>
      </c>
      <c r="R29" s="1" t="str">
        <f t="shared" ca="1" si="9"/>
        <v>M</v>
      </c>
      <c r="S29" s="1" t="str">
        <f t="shared" ca="1" si="10"/>
        <v>M</v>
      </c>
      <c r="T29" s="1" t="str">
        <f t="shared" ca="1" si="11"/>
        <v>M</v>
      </c>
      <c r="U29" s="1" t="str">
        <f t="shared" ca="1" si="12"/>
        <v>M</v>
      </c>
      <c r="V29" s="1" t="str">
        <f t="shared" ca="1" si="13"/>
        <v>M</v>
      </c>
      <c r="W29" s="1" t="str">
        <f t="shared" ca="1" si="14"/>
        <v>Thiago Almada</v>
      </c>
    </row>
    <row r="30" spans="1:23">
      <c r="A30" s="1" t="str">
        <f ca="1">IFERROR(__xludf.DUMMYFUNCTION("""COMPUTED_VALUE"""),"Jozy")</f>
        <v>Jozy</v>
      </c>
      <c r="B30" s="1" t="str">
        <f ca="1">IFERROR(__xludf.DUMMYFUNCTION("""COMPUTED_VALUE"""),"Altidore")</f>
        <v>Altidore</v>
      </c>
      <c r="C30" s="1" t="str">
        <f ca="1">IFERROR(__xludf.DUMMYFUNCTION("""COMPUTED_VALUE"""),"MLS Pool")</f>
        <v>MLS Pool</v>
      </c>
      <c r="D30" s="1" t="str">
        <f ca="1">IFERROR(__xludf.DUMMYFUNCTION("""COMPUTED_VALUE"""),"Center Forward")</f>
        <v>Center Forward</v>
      </c>
      <c r="E30" s="2">
        <f ca="1">IFERROR(__xludf.DUMMYFUNCTION("""COMPUTED_VALUE"""),1683750)</f>
        <v>1683750</v>
      </c>
      <c r="F30" s="2">
        <f ca="1">IFERROR(__xludf.DUMMYFUNCTION("""COMPUTED_VALUE"""),2242574)</f>
        <v>2242574</v>
      </c>
      <c r="H30" s="1" t="str">
        <f t="shared" ca="1" si="0"/>
        <v>Center Forward</v>
      </c>
      <c r="I30" s="3" t="str">
        <f t="shared" ca="1" si="1"/>
        <v>Center Forward</v>
      </c>
      <c r="J30" s="1" t="str">
        <f t="shared" ca="1" si="2"/>
        <v>Center Forward</v>
      </c>
      <c r="K30" s="1" t="str">
        <f t="shared" ca="1" si="15"/>
        <v>Center Forward</v>
      </c>
      <c r="L30" s="1" t="str">
        <f t="shared" ca="1" si="3"/>
        <v>Center Forward</v>
      </c>
      <c r="M30" s="1" t="str">
        <f t="shared" ca="1" si="4"/>
        <v>Center Forward</v>
      </c>
      <c r="N30" s="1" t="str">
        <f t="shared" ca="1" si="5"/>
        <v>Center Forward</v>
      </c>
      <c r="O30" s="1" t="str">
        <f t="shared" ca="1" si="6"/>
        <v>F</v>
      </c>
      <c r="P30" s="1" t="str">
        <f t="shared" ca="1" si="7"/>
        <v>F</v>
      </c>
      <c r="Q30" s="1" t="str">
        <f t="shared" ca="1" si="8"/>
        <v>F</v>
      </c>
      <c r="R30" s="1" t="str">
        <f t="shared" ca="1" si="9"/>
        <v>F</v>
      </c>
      <c r="S30" s="1" t="str">
        <f t="shared" ca="1" si="10"/>
        <v>F</v>
      </c>
      <c r="T30" s="1" t="str">
        <f t="shared" ca="1" si="11"/>
        <v>F</v>
      </c>
      <c r="U30" s="1" t="str">
        <f t="shared" ca="1" si="12"/>
        <v>F</v>
      </c>
      <c r="V30" s="1" t="str">
        <f t="shared" ca="1" si="13"/>
        <v>F</v>
      </c>
      <c r="W30" s="1" t="str">
        <f t="shared" ca="1" si="14"/>
        <v>Jozy Altidore</v>
      </c>
    </row>
    <row r="31" spans="1:23">
      <c r="A31" s="1" t="str">
        <f ca="1">IFERROR(__xludf.DUMMYFUNCTION("""COMPUTED_VALUE"""),"Fernando")</f>
        <v>Fernando</v>
      </c>
      <c r="B31" s="1" t="str">
        <f ca="1">IFERROR(__xludf.DUMMYFUNCTION("""COMPUTED_VALUE"""),"Álvarez")</f>
        <v>Álvarez</v>
      </c>
      <c r="C31" s="1" t="str">
        <f ca="1">IFERROR(__xludf.DUMMYFUNCTION("""COMPUTED_VALUE"""),"CF Montreal")</f>
        <v>CF Montreal</v>
      </c>
      <c r="D31" s="1" t="str">
        <f ca="1">IFERROR(__xludf.DUMMYFUNCTION("""COMPUTED_VALUE"""),"Center-back")</f>
        <v>Center-back</v>
      </c>
      <c r="E31" s="2">
        <f ca="1">IFERROR(__xludf.DUMMYFUNCTION("""COMPUTED_VALUE"""),225000)</f>
        <v>225000</v>
      </c>
      <c r="F31" s="2">
        <f ca="1">IFERROR(__xludf.DUMMYFUNCTION("""COMPUTED_VALUE"""),257000)</f>
        <v>257000</v>
      </c>
      <c r="H31" s="1" t="str">
        <f t="shared" ca="1" si="0"/>
        <v>D</v>
      </c>
      <c r="I31" s="3" t="str">
        <f t="shared" ca="1" si="1"/>
        <v>D</v>
      </c>
      <c r="J31" s="1" t="str">
        <f t="shared" ca="1" si="2"/>
        <v>D</v>
      </c>
      <c r="K31" s="1" t="str">
        <f t="shared" ca="1" si="15"/>
        <v>D</v>
      </c>
      <c r="L31" s="1" t="str">
        <f t="shared" ca="1" si="3"/>
        <v>D</v>
      </c>
      <c r="M31" s="1" t="str">
        <f t="shared" ca="1" si="4"/>
        <v>D</v>
      </c>
      <c r="N31" s="1" t="str">
        <f t="shared" ca="1" si="5"/>
        <v>D</v>
      </c>
      <c r="O31" s="1" t="str">
        <f t="shared" ca="1" si="6"/>
        <v>D</v>
      </c>
      <c r="P31" s="1" t="str">
        <f t="shared" ca="1" si="7"/>
        <v>D</v>
      </c>
      <c r="Q31" s="1" t="str">
        <f t="shared" ca="1" si="8"/>
        <v>D</v>
      </c>
      <c r="R31" s="1" t="str">
        <f t="shared" ca="1" si="9"/>
        <v>D</v>
      </c>
      <c r="S31" s="1" t="str">
        <f t="shared" ca="1" si="10"/>
        <v>D</v>
      </c>
      <c r="T31" s="1" t="str">
        <f t="shared" ca="1" si="11"/>
        <v>D</v>
      </c>
      <c r="U31" s="1" t="str">
        <f t="shared" ca="1" si="12"/>
        <v>D</v>
      </c>
      <c r="V31" s="1" t="str">
        <f t="shared" ca="1" si="13"/>
        <v>D</v>
      </c>
      <c r="W31" s="1" t="str">
        <f t="shared" ca="1" si="14"/>
        <v>Fernando Álvarez</v>
      </c>
    </row>
    <row r="32" spans="1:23">
      <c r="A32" s="1" t="str">
        <f ca="1">IFERROR(__xludf.DUMMYFUNCTION("""COMPUTED_VALUE"""),"Leonardo")</f>
        <v>Leonardo</v>
      </c>
      <c r="B32" s="1" t="str">
        <f ca="1">IFERROR(__xludf.DUMMYFUNCTION("""COMPUTED_VALUE"""),"Alves Chú Franco")</f>
        <v>Alves Chú Franco</v>
      </c>
      <c r="C32" s="1" t="str">
        <f ca="1">IFERROR(__xludf.DUMMYFUNCTION("""COMPUTED_VALUE"""),"Seattle Sounders FC")</f>
        <v>Seattle Sounders FC</v>
      </c>
      <c r="D32" s="1" t="str">
        <f ca="1">IFERROR(__xludf.DUMMYFUNCTION("""COMPUTED_VALUE"""),"Left Wing")</f>
        <v>Left Wing</v>
      </c>
      <c r="E32" s="2">
        <f ca="1">IFERROR(__xludf.DUMMYFUNCTION("""COMPUTED_VALUE"""),550000)</f>
        <v>550000</v>
      </c>
      <c r="F32" s="2">
        <f ca="1">IFERROR(__xludf.DUMMYFUNCTION("""COMPUTED_VALUE"""),550000)</f>
        <v>550000</v>
      </c>
      <c r="H32" s="1" t="str">
        <f t="shared" ca="1" si="0"/>
        <v>Left Wing</v>
      </c>
      <c r="I32" s="3" t="str">
        <f t="shared" ca="1" si="1"/>
        <v>Left Wing</v>
      </c>
      <c r="J32" s="1" t="str">
        <f t="shared" ca="1" si="2"/>
        <v>Left Wing</v>
      </c>
      <c r="K32" s="1" t="str">
        <f t="shared" ca="1" si="15"/>
        <v>Left Wing</v>
      </c>
      <c r="L32" s="1" t="str">
        <f t="shared" ca="1" si="3"/>
        <v>Left Wing</v>
      </c>
      <c r="M32" s="1" t="str">
        <f t="shared" ca="1" si="4"/>
        <v>Left Wing</v>
      </c>
      <c r="N32" s="1" t="str">
        <f t="shared" ca="1" si="5"/>
        <v>Left Wing</v>
      </c>
      <c r="O32" s="1" t="str">
        <f t="shared" ca="1" si="6"/>
        <v>Left Wing</v>
      </c>
      <c r="P32" s="1" t="str">
        <f t="shared" ca="1" si="7"/>
        <v>F</v>
      </c>
      <c r="Q32" s="1" t="str">
        <f t="shared" ca="1" si="8"/>
        <v>F</v>
      </c>
      <c r="R32" s="1" t="str">
        <f t="shared" ca="1" si="9"/>
        <v>F</v>
      </c>
      <c r="S32" s="1" t="str">
        <f t="shared" ca="1" si="10"/>
        <v>F</v>
      </c>
      <c r="T32" s="1" t="str">
        <f t="shared" ca="1" si="11"/>
        <v>F</v>
      </c>
      <c r="U32" s="1" t="str">
        <f t="shared" ca="1" si="12"/>
        <v>F</v>
      </c>
      <c r="V32" s="1" t="str">
        <f t="shared" ca="1" si="13"/>
        <v>F</v>
      </c>
      <c r="W32" s="1" t="str">
        <f t="shared" ca="1" si="14"/>
        <v>Leonardo Alves Chú Franco</v>
      </c>
    </row>
    <row r="33" spans="1:23">
      <c r="A33" s="1" t="str">
        <f ca="1">IFERROR(__xludf.DUMMYFUNCTION("""COMPUTED_VALUE"""),"Antony")</f>
        <v>Antony</v>
      </c>
      <c r="B33" s="1" t="str">
        <f ca="1">IFERROR(__xludf.DUMMYFUNCTION("""COMPUTED_VALUE"""),"Alves Santos")</f>
        <v>Alves Santos</v>
      </c>
      <c r="C33" s="1" t="str">
        <f ca="1">IFERROR(__xludf.DUMMYFUNCTION("""COMPUTED_VALUE"""),"Portland Timbers")</f>
        <v>Portland Timbers</v>
      </c>
      <c r="D33" s="1" t="str">
        <f ca="1">IFERROR(__xludf.DUMMYFUNCTION("""COMPUTED_VALUE"""),"Left Wing")</f>
        <v>Left Wing</v>
      </c>
      <c r="E33" s="2">
        <f ca="1">IFERROR(__xludf.DUMMYFUNCTION("""COMPUTED_VALUE"""),425000)</f>
        <v>425000</v>
      </c>
      <c r="F33" s="2">
        <f ca="1">IFERROR(__xludf.DUMMYFUNCTION("""COMPUTED_VALUE"""),490042)</f>
        <v>490042</v>
      </c>
      <c r="H33" s="1" t="str">
        <f t="shared" ca="1" si="0"/>
        <v>Left Wing</v>
      </c>
      <c r="I33" s="3" t="str">
        <f t="shared" ca="1" si="1"/>
        <v>Left Wing</v>
      </c>
      <c r="J33" s="1" t="str">
        <f t="shared" ca="1" si="2"/>
        <v>Left Wing</v>
      </c>
      <c r="K33" s="1" t="str">
        <f t="shared" ca="1" si="15"/>
        <v>Left Wing</v>
      </c>
      <c r="L33" s="1" t="str">
        <f t="shared" ca="1" si="3"/>
        <v>Left Wing</v>
      </c>
      <c r="M33" s="1" t="str">
        <f t="shared" ca="1" si="4"/>
        <v>Left Wing</v>
      </c>
      <c r="N33" s="1" t="str">
        <f t="shared" ca="1" si="5"/>
        <v>Left Wing</v>
      </c>
      <c r="O33" s="1" t="str">
        <f t="shared" ca="1" si="6"/>
        <v>Left Wing</v>
      </c>
      <c r="P33" s="1" t="str">
        <f t="shared" ca="1" si="7"/>
        <v>F</v>
      </c>
      <c r="Q33" s="1" t="str">
        <f t="shared" ca="1" si="8"/>
        <v>F</v>
      </c>
      <c r="R33" s="1" t="str">
        <f t="shared" ca="1" si="9"/>
        <v>F</v>
      </c>
      <c r="S33" s="1" t="str">
        <f t="shared" ca="1" si="10"/>
        <v>F</v>
      </c>
      <c r="T33" s="1" t="str">
        <f t="shared" ca="1" si="11"/>
        <v>F</v>
      </c>
      <c r="U33" s="1" t="str">
        <f t="shared" ca="1" si="12"/>
        <v>F</v>
      </c>
      <c r="V33" s="1" t="str">
        <f t="shared" ca="1" si="13"/>
        <v>F</v>
      </c>
      <c r="W33" s="1" t="str">
        <f t="shared" ca="1" si="14"/>
        <v>Antony Alves Santos</v>
      </c>
    </row>
    <row r="34" spans="1:23">
      <c r="A34" s="1" t="str">
        <f ca="1">IFERROR(__xludf.DUMMYFUNCTION("""COMPUTED_VALUE"""),"Frankie")</f>
        <v>Frankie</v>
      </c>
      <c r="B34" s="1" t="str">
        <f ca="1">IFERROR(__xludf.DUMMYFUNCTION("""COMPUTED_VALUE"""),"Amaya")</f>
        <v>Amaya</v>
      </c>
      <c r="C34" s="1" t="str">
        <f ca="1">IFERROR(__xludf.DUMMYFUNCTION("""COMPUTED_VALUE"""),"New York Red Bulls")</f>
        <v>New York Red Bulls</v>
      </c>
      <c r="D34" s="1" t="str">
        <f ca="1">IFERROR(__xludf.DUMMYFUNCTION("""COMPUTED_VALUE"""),"Central Midfield")</f>
        <v>Central Midfield</v>
      </c>
      <c r="E34" s="2">
        <f ca="1">IFERROR(__xludf.DUMMYFUNCTION("""COMPUTED_VALUE"""),375000)</f>
        <v>375000</v>
      </c>
      <c r="F34" s="2">
        <f ca="1">IFERROR(__xludf.DUMMYFUNCTION("""COMPUTED_VALUE"""),400000)</f>
        <v>400000</v>
      </c>
      <c r="H34" s="1" t="str">
        <f t="shared" ca="1" si="0"/>
        <v>Central Midfield</v>
      </c>
      <c r="I34" s="3" t="str">
        <f t="shared" ca="1" si="1"/>
        <v>Central Midfield</v>
      </c>
      <c r="J34" s="1" t="str">
        <f t="shared" ca="1" si="2"/>
        <v>Central Midfield</v>
      </c>
      <c r="K34" s="1" t="str">
        <f t="shared" ca="1" si="15"/>
        <v>Central Midfield</v>
      </c>
      <c r="L34" s="1" t="str">
        <f t="shared" ca="1" si="3"/>
        <v>M</v>
      </c>
      <c r="M34" s="1" t="str">
        <f t="shared" ca="1" si="4"/>
        <v>M</v>
      </c>
      <c r="N34" s="1" t="str">
        <f t="shared" ca="1" si="5"/>
        <v>M</v>
      </c>
      <c r="O34" s="1" t="str">
        <f t="shared" ca="1" si="6"/>
        <v>M</v>
      </c>
      <c r="P34" s="1" t="str">
        <f t="shared" ca="1" si="7"/>
        <v>M</v>
      </c>
      <c r="Q34" s="1" t="str">
        <f t="shared" ca="1" si="8"/>
        <v>M</v>
      </c>
      <c r="R34" s="1" t="str">
        <f t="shared" ca="1" si="9"/>
        <v>M</v>
      </c>
      <c r="S34" s="1" t="str">
        <f t="shared" ca="1" si="10"/>
        <v>M</v>
      </c>
      <c r="T34" s="1" t="str">
        <f t="shared" ca="1" si="11"/>
        <v>M</v>
      </c>
      <c r="U34" s="1" t="str">
        <f t="shared" ca="1" si="12"/>
        <v>M</v>
      </c>
      <c r="V34" s="1" t="str">
        <f t="shared" ca="1" si="13"/>
        <v>M</v>
      </c>
      <c r="W34" s="1" t="str">
        <f t="shared" ca="1" si="14"/>
        <v>Frankie Amaya</v>
      </c>
    </row>
    <row r="35" spans="1:23">
      <c r="A35" s="1" t="str">
        <f ca="1">IFERROR(__xludf.DUMMYFUNCTION("""COMPUTED_VALUE"""),"Malte")</f>
        <v>Malte</v>
      </c>
      <c r="B35" s="1" t="str">
        <f ca="1">IFERROR(__xludf.DUMMYFUNCTION("""COMPUTED_VALUE"""),"Amundsen")</f>
        <v>Amundsen</v>
      </c>
      <c r="C35" s="1" t="str">
        <f ca="1">IFERROR(__xludf.DUMMYFUNCTION("""COMPUTED_VALUE"""),"Columbus Crew")</f>
        <v>Columbus Crew</v>
      </c>
      <c r="D35" s="1" t="str">
        <f ca="1">IFERROR(__xludf.DUMMYFUNCTION("""COMPUTED_VALUE"""),"Left-back")</f>
        <v>Left-back</v>
      </c>
      <c r="E35" s="2">
        <f ca="1">IFERROR(__xludf.DUMMYFUNCTION("""COMPUTED_VALUE"""),360000)</f>
        <v>360000</v>
      </c>
      <c r="F35" s="2">
        <f ca="1">IFERROR(__xludf.DUMMYFUNCTION("""COMPUTED_VALUE"""),398700)</f>
        <v>398700</v>
      </c>
      <c r="H35" s="1" t="str">
        <f t="shared" ca="1" si="0"/>
        <v>Left-back</v>
      </c>
      <c r="I35" s="3" t="str">
        <f t="shared" ca="1" si="1"/>
        <v>D</v>
      </c>
      <c r="J35" s="1" t="str">
        <f t="shared" ca="1" si="2"/>
        <v>D</v>
      </c>
      <c r="K35" s="1" t="str">
        <f t="shared" ca="1" si="15"/>
        <v>D</v>
      </c>
      <c r="L35" s="1" t="str">
        <f t="shared" ca="1" si="3"/>
        <v>D</v>
      </c>
      <c r="M35" s="1" t="str">
        <f t="shared" ca="1" si="4"/>
        <v>D</v>
      </c>
      <c r="N35" s="1" t="str">
        <f t="shared" ca="1" si="5"/>
        <v>D</v>
      </c>
      <c r="O35" s="1" t="str">
        <f t="shared" ca="1" si="6"/>
        <v>D</v>
      </c>
      <c r="P35" s="1" t="str">
        <f t="shared" ca="1" si="7"/>
        <v>D</v>
      </c>
      <c r="Q35" s="1" t="str">
        <f t="shared" ca="1" si="8"/>
        <v>D</v>
      </c>
      <c r="R35" s="1" t="str">
        <f t="shared" ca="1" si="9"/>
        <v>D</v>
      </c>
      <c r="S35" s="1" t="str">
        <f t="shared" ca="1" si="10"/>
        <v>D</v>
      </c>
      <c r="T35" s="1" t="str">
        <f t="shared" ca="1" si="11"/>
        <v>D</v>
      </c>
      <c r="U35" s="1" t="str">
        <f t="shared" ca="1" si="12"/>
        <v>D</v>
      </c>
      <c r="V35" s="1" t="str">
        <f t="shared" ca="1" si="13"/>
        <v>D</v>
      </c>
      <c r="W35" s="1" t="str">
        <f t="shared" ca="1" si="14"/>
        <v>Malte Amundsen</v>
      </c>
    </row>
    <row r="36" spans="1:23">
      <c r="A36" s="1" t="str">
        <f ca="1">IFERROR(__xludf.DUMMYFUNCTION("""COMPUTED_VALUE"""),"Max")</f>
        <v>Max</v>
      </c>
      <c r="B36" s="1" t="str">
        <f ca="1">IFERROR(__xludf.DUMMYFUNCTION("""COMPUTED_VALUE"""),"Anchor")</f>
        <v>Anchor</v>
      </c>
      <c r="C36" s="1" t="str">
        <f ca="1">IFERROR(__xludf.DUMMYFUNCTION("""COMPUTED_VALUE"""),"Vancouver Whitecaps")</f>
        <v>Vancouver Whitecaps</v>
      </c>
      <c r="D36" s="1" t="str">
        <f ca="1">IFERROR(__xludf.DUMMYFUNCTION("""COMPUTED_VALUE"""),"Goalkeeper")</f>
        <v>Goalkeeper</v>
      </c>
      <c r="E36" s="2">
        <f ca="1">IFERROR(__xludf.DUMMYFUNCTION("""COMPUTED_VALUE"""),71401)</f>
        <v>71401</v>
      </c>
      <c r="F36" s="2">
        <f ca="1">IFERROR(__xludf.DUMMYFUNCTION("""COMPUTED_VALUE"""),78843)</f>
        <v>78843</v>
      </c>
      <c r="H36" s="1" t="str">
        <f t="shared" ca="1" si="0"/>
        <v>Goalkeeper</v>
      </c>
      <c r="I36" s="3" t="str">
        <f t="shared" ca="1" si="1"/>
        <v>Goalkeeper</v>
      </c>
      <c r="J36" s="1" t="str">
        <f t="shared" ca="1" si="2"/>
        <v>Goalkeeper</v>
      </c>
      <c r="K36" s="1" t="str">
        <f t="shared" ca="1" si="15"/>
        <v>Goalkeeper</v>
      </c>
      <c r="L36" s="1" t="str">
        <f t="shared" ca="1" si="3"/>
        <v>Goalkeeper</v>
      </c>
      <c r="M36" s="1" t="str">
        <f t="shared" ca="1" si="4"/>
        <v>Goalkeeper</v>
      </c>
      <c r="N36" s="1" t="str">
        <f t="shared" ca="1" si="5"/>
        <v>Goalkeeper</v>
      </c>
      <c r="O36" s="1" t="str">
        <f t="shared" ca="1" si="6"/>
        <v>Goalkeeper</v>
      </c>
      <c r="P36" s="1" t="str">
        <f t="shared" ca="1" si="7"/>
        <v>Goalkeeper</v>
      </c>
      <c r="Q36" s="1" t="str">
        <f t="shared" ca="1" si="8"/>
        <v>Goalkeeper</v>
      </c>
      <c r="R36" s="1" t="str">
        <f t="shared" ca="1" si="9"/>
        <v>GK</v>
      </c>
      <c r="S36" s="1" t="str">
        <f t="shared" ca="1" si="10"/>
        <v>GK</v>
      </c>
      <c r="T36" s="1" t="str">
        <f t="shared" ca="1" si="11"/>
        <v>GK</v>
      </c>
      <c r="U36" s="1" t="str">
        <f t="shared" ca="1" si="12"/>
        <v>GK</v>
      </c>
      <c r="V36" s="1" t="str">
        <f t="shared" ca="1" si="13"/>
        <v>GK</v>
      </c>
      <c r="W36" s="1" t="str">
        <f t="shared" ca="1" si="14"/>
        <v>Max Anchor</v>
      </c>
    </row>
    <row r="37" spans="1:23">
      <c r="A37" s="1" t="str">
        <f ca="1">IFERROR(__xludf.DUMMYFUNCTION("""COMPUTED_VALUE"""),"Sebastian")</f>
        <v>Sebastian</v>
      </c>
      <c r="B37" s="1" t="str">
        <f ca="1">IFERROR(__xludf.DUMMYFUNCTION("""COMPUTED_VALUE"""),"Anderson")</f>
        <v>Anderson</v>
      </c>
      <c r="C37" s="1" t="str">
        <f ca="1">IFERROR(__xludf.DUMMYFUNCTION("""COMPUTED_VALUE"""),"Colorado Rapids")</f>
        <v>Colorado Rapids</v>
      </c>
      <c r="D37" s="1" t="str">
        <f ca="1">IFERROR(__xludf.DUMMYFUNCTION("""COMPUTED_VALUE"""),"Right-back")</f>
        <v>Right-back</v>
      </c>
      <c r="E37" s="2">
        <f ca="1">IFERROR(__xludf.DUMMYFUNCTION("""COMPUTED_VALUE"""),150000)</f>
        <v>150000</v>
      </c>
      <c r="F37" s="2">
        <f ca="1">IFERROR(__xludf.DUMMYFUNCTION("""COMPUTED_VALUE"""),150000)</f>
        <v>150000</v>
      </c>
      <c r="H37" s="1" t="str">
        <f t="shared" ca="1" si="0"/>
        <v>Right-back</v>
      </c>
      <c r="I37" s="3" t="str">
        <f t="shared" ca="1" si="1"/>
        <v>Right-back</v>
      </c>
      <c r="J37" s="1" t="str">
        <f t="shared" ca="1" si="2"/>
        <v>D</v>
      </c>
      <c r="K37" s="1" t="str">
        <f t="shared" ca="1" si="15"/>
        <v>D</v>
      </c>
      <c r="L37" s="1" t="str">
        <f t="shared" ca="1" si="3"/>
        <v>D</v>
      </c>
      <c r="M37" s="1" t="str">
        <f t="shared" ca="1" si="4"/>
        <v>D</v>
      </c>
      <c r="N37" s="1" t="str">
        <f t="shared" ca="1" si="5"/>
        <v>D</v>
      </c>
      <c r="O37" s="1" t="str">
        <f t="shared" ca="1" si="6"/>
        <v>D</v>
      </c>
      <c r="P37" s="1" t="str">
        <f t="shared" ca="1" si="7"/>
        <v>D</v>
      </c>
      <c r="Q37" s="1" t="str">
        <f t="shared" ca="1" si="8"/>
        <v>D</v>
      </c>
      <c r="R37" s="1" t="str">
        <f t="shared" ca="1" si="9"/>
        <v>D</v>
      </c>
      <c r="S37" s="1" t="str">
        <f t="shared" ca="1" si="10"/>
        <v>D</v>
      </c>
      <c r="T37" s="1" t="str">
        <f t="shared" ca="1" si="11"/>
        <v>D</v>
      </c>
      <c r="U37" s="1" t="str">
        <f t="shared" ca="1" si="12"/>
        <v>D</v>
      </c>
      <c r="V37" s="1" t="str">
        <f t="shared" ca="1" si="13"/>
        <v>D</v>
      </c>
      <c r="W37" s="1" t="str">
        <f t="shared" ca="1" si="14"/>
        <v>Sebastian Anderson</v>
      </c>
    </row>
    <row r="38" spans="1:23">
      <c r="A38" s="1" t="str">
        <f ca="1">IFERROR(__xludf.DUMMYFUNCTION("""COMPUTED_VALUE"""),"Markus")</f>
        <v>Markus</v>
      </c>
      <c r="B38" s="1" t="str">
        <f ca="1">IFERROR(__xludf.DUMMYFUNCTION("""COMPUTED_VALUE"""),"Anderson")</f>
        <v>Anderson</v>
      </c>
      <c r="C38" s="1" t="str">
        <f ca="1">IFERROR(__xludf.DUMMYFUNCTION("""COMPUTED_VALUE"""),"Philadelphia Union")</f>
        <v>Philadelphia Union</v>
      </c>
      <c r="D38" s="1" t="str">
        <f ca="1">IFERROR(__xludf.DUMMYFUNCTION("""COMPUTED_VALUE"""),"Left Wing")</f>
        <v>Left Wing</v>
      </c>
      <c r="E38" s="2">
        <f ca="1">IFERROR(__xludf.DUMMYFUNCTION("""COMPUTED_VALUE"""),100000)</f>
        <v>100000</v>
      </c>
      <c r="F38" s="2">
        <f ca="1">IFERROR(__xludf.DUMMYFUNCTION("""COMPUTED_VALUE"""),102000)</f>
        <v>102000</v>
      </c>
      <c r="H38" s="1" t="str">
        <f t="shared" ca="1" si="0"/>
        <v>Left Wing</v>
      </c>
      <c r="I38" s="3" t="str">
        <f t="shared" ca="1" si="1"/>
        <v>Left Wing</v>
      </c>
      <c r="J38" s="1" t="str">
        <f t="shared" ca="1" si="2"/>
        <v>Left Wing</v>
      </c>
      <c r="K38" s="1" t="str">
        <f t="shared" ca="1" si="15"/>
        <v>Left Wing</v>
      </c>
      <c r="L38" s="1" t="str">
        <f t="shared" ca="1" si="3"/>
        <v>Left Wing</v>
      </c>
      <c r="M38" s="1" t="str">
        <f t="shared" ca="1" si="4"/>
        <v>Left Wing</v>
      </c>
      <c r="N38" s="1" t="str">
        <f t="shared" ca="1" si="5"/>
        <v>Left Wing</v>
      </c>
      <c r="O38" s="1" t="str">
        <f t="shared" ca="1" si="6"/>
        <v>Left Wing</v>
      </c>
      <c r="P38" s="1" t="str">
        <f t="shared" ca="1" si="7"/>
        <v>F</v>
      </c>
      <c r="Q38" s="1" t="str">
        <f t="shared" ca="1" si="8"/>
        <v>F</v>
      </c>
      <c r="R38" s="1" t="str">
        <f t="shared" ca="1" si="9"/>
        <v>F</v>
      </c>
      <c r="S38" s="1" t="str">
        <f t="shared" ca="1" si="10"/>
        <v>F</v>
      </c>
      <c r="T38" s="1" t="str">
        <f t="shared" ca="1" si="11"/>
        <v>F</v>
      </c>
      <c r="U38" s="1" t="str">
        <f t="shared" ca="1" si="12"/>
        <v>F</v>
      </c>
      <c r="V38" s="1" t="str">
        <f t="shared" ca="1" si="13"/>
        <v>F</v>
      </c>
      <c r="W38" s="1" t="str">
        <f t="shared" ca="1" si="14"/>
        <v>Markus Anderson</v>
      </c>
    </row>
    <row r="39" spans="1:23">
      <c r="A39" s="1" t="str">
        <f ca="1">IFERROR(__xludf.DUMMYFUNCTION("""COMPUTED_VALUE"""),"Tomás")</f>
        <v>Tomás</v>
      </c>
      <c r="B39" s="1" t="str">
        <f ca="1">IFERROR(__xludf.DUMMYFUNCTION("""COMPUTED_VALUE"""),"Ángel")</f>
        <v>Ángel</v>
      </c>
      <c r="C39" s="1" t="str">
        <f ca="1">IFERROR(__xludf.DUMMYFUNCTION("""COMPUTED_VALUE"""),"LAFC")</f>
        <v>LAFC</v>
      </c>
      <c r="D39" s="1" t="str">
        <f ca="1">IFERROR(__xludf.DUMMYFUNCTION("""COMPUTED_VALUE"""),"Center Forward")</f>
        <v>Center Forward</v>
      </c>
      <c r="E39" s="2">
        <f ca="1">IFERROR(__xludf.DUMMYFUNCTION("""COMPUTED_VALUE"""),250000)</f>
        <v>250000</v>
      </c>
      <c r="F39" s="2">
        <f ca="1">IFERROR(__xludf.DUMMYFUNCTION("""COMPUTED_VALUE"""),368750)</f>
        <v>368750</v>
      </c>
      <c r="H39" s="1" t="str">
        <f t="shared" ca="1" si="0"/>
        <v>Center Forward</v>
      </c>
      <c r="I39" s="3" t="str">
        <f t="shared" ca="1" si="1"/>
        <v>Center Forward</v>
      </c>
      <c r="J39" s="1" t="str">
        <f t="shared" ca="1" si="2"/>
        <v>Center Forward</v>
      </c>
      <c r="K39" s="1" t="str">
        <f t="shared" ca="1" si="15"/>
        <v>Center Forward</v>
      </c>
      <c r="L39" s="1" t="str">
        <f t="shared" ca="1" si="3"/>
        <v>Center Forward</v>
      </c>
      <c r="M39" s="1" t="str">
        <f t="shared" ca="1" si="4"/>
        <v>Center Forward</v>
      </c>
      <c r="N39" s="1" t="str">
        <f t="shared" ca="1" si="5"/>
        <v>Center Forward</v>
      </c>
      <c r="O39" s="1" t="str">
        <f t="shared" ca="1" si="6"/>
        <v>F</v>
      </c>
      <c r="P39" s="1" t="str">
        <f t="shared" ca="1" si="7"/>
        <v>F</v>
      </c>
      <c r="Q39" s="1" t="str">
        <f t="shared" ca="1" si="8"/>
        <v>F</v>
      </c>
      <c r="R39" s="1" t="str">
        <f t="shared" ca="1" si="9"/>
        <v>F</v>
      </c>
      <c r="S39" s="1" t="str">
        <f t="shared" ca="1" si="10"/>
        <v>F</v>
      </c>
      <c r="T39" s="1" t="str">
        <f t="shared" ca="1" si="11"/>
        <v>F</v>
      </c>
      <c r="U39" s="1" t="str">
        <f t="shared" ca="1" si="12"/>
        <v>F</v>
      </c>
      <c r="V39" s="1" t="str">
        <f t="shared" ca="1" si="13"/>
        <v>F</v>
      </c>
      <c r="W39" s="1" t="str">
        <f t="shared" ca="1" si="14"/>
        <v>Tomás Ángel</v>
      </c>
    </row>
    <row r="40" spans="1:23">
      <c r="A40" s="1" t="str">
        <f ca="1">IFERROR(__xludf.DUMMYFUNCTION("""COMPUTED_VALUE"""),"Marco")</f>
        <v>Marco</v>
      </c>
      <c r="B40" s="1" t="str">
        <f ca="1">IFERROR(__xludf.DUMMYFUNCTION("""COMPUTED_VALUE"""),"Angulo")</f>
        <v>Angulo</v>
      </c>
      <c r="C40" s="1" t="str">
        <f ca="1">IFERROR(__xludf.DUMMYFUNCTION("""COMPUTED_VALUE"""),"FC Cincinnati")</f>
        <v>FC Cincinnati</v>
      </c>
      <c r="D40" s="1" t="str">
        <f ca="1">IFERROR(__xludf.DUMMYFUNCTION("""COMPUTED_VALUE"""),"Defensive Midfield")</f>
        <v>Defensive Midfield</v>
      </c>
      <c r="E40" s="2">
        <f ca="1">IFERROR(__xludf.DUMMYFUNCTION("""COMPUTED_VALUE"""),350000)</f>
        <v>350000</v>
      </c>
      <c r="F40" s="2">
        <f ca="1">IFERROR(__xludf.DUMMYFUNCTION("""COMPUTED_VALUE"""),398000)</f>
        <v>398000</v>
      </c>
      <c r="H40" s="1" t="str">
        <f t="shared" ca="1" si="0"/>
        <v>Defensive Midfield</v>
      </c>
      <c r="I40" s="3" t="str">
        <f t="shared" ca="1" si="1"/>
        <v>Defensive Midfield</v>
      </c>
      <c r="J40" s="1" t="str">
        <f t="shared" ca="1" si="2"/>
        <v>Defensive Midfield</v>
      </c>
      <c r="K40" s="1" t="str">
        <f t="shared" ca="1" si="15"/>
        <v>M</v>
      </c>
      <c r="L40" s="1" t="str">
        <f t="shared" ca="1" si="3"/>
        <v>M</v>
      </c>
      <c r="M40" s="1" t="str">
        <f t="shared" ca="1" si="4"/>
        <v>M</v>
      </c>
      <c r="N40" s="1" t="str">
        <f t="shared" ca="1" si="5"/>
        <v>M</v>
      </c>
      <c r="O40" s="1" t="str">
        <f t="shared" ca="1" si="6"/>
        <v>M</v>
      </c>
      <c r="P40" s="1" t="str">
        <f t="shared" ca="1" si="7"/>
        <v>M</v>
      </c>
      <c r="Q40" s="1" t="str">
        <f t="shared" ca="1" si="8"/>
        <v>M</v>
      </c>
      <c r="R40" s="1" t="str">
        <f t="shared" ca="1" si="9"/>
        <v>M</v>
      </c>
      <c r="S40" s="1" t="str">
        <f t="shared" ca="1" si="10"/>
        <v>M</v>
      </c>
      <c r="T40" s="1" t="str">
        <f t="shared" ca="1" si="11"/>
        <v>M</v>
      </c>
      <c r="U40" s="1" t="str">
        <f t="shared" ca="1" si="12"/>
        <v>M</v>
      </c>
      <c r="V40" s="1" t="str">
        <f t="shared" ca="1" si="13"/>
        <v>M</v>
      </c>
      <c r="W40" s="1" t="str">
        <f t="shared" ca="1" si="14"/>
        <v>Marco Angulo</v>
      </c>
    </row>
    <row r="41" spans="1:23">
      <c r="A41" s="1" t="str">
        <f ca="1">IFERROR(__xludf.DUMMYFUNCTION("""COMPUTED_VALUE"""),"Iván")</f>
        <v>Iván</v>
      </c>
      <c r="B41" s="1" t="str">
        <f ca="1">IFERROR(__xludf.DUMMYFUNCTION("""COMPUTED_VALUE"""),"Angulo")</f>
        <v>Angulo</v>
      </c>
      <c r="C41" s="1" t="str">
        <f ca="1">IFERROR(__xludf.DUMMYFUNCTION("""COMPUTED_VALUE"""),"Orlando City SC")</f>
        <v>Orlando City SC</v>
      </c>
      <c r="D41" s="1" t="str">
        <f ca="1">IFERROR(__xludf.DUMMYFUNCTION("""COMPUTED_VALUE"""),"Left Wing")</f>
        <v>Left Wing</v>
      </c>
      <c r="E41" s="2">
        <f ca="1">IFERROR(__xludf.DUMMYFUNCTION("""COMPUTED_VALUE"""),500004)</f>
        <v>500004</v>
      </c>
      <c r="F41" s="2">
        <f ca="1">IFERROR(__xludf.DUMMYFUNCTION("""COMPUTED_VALUE"""),532664)</f>
        <v>532664</v>
      </c>
      <c r="H41" s="1" t="str">
        <f t="shared" ca="1" si="0"/>
        <v>Left Wing</v>
      </c>
      <c r="I41" s="3" t="str">
        <f t="shared" ca="1" si="1"/>
        <v>Left Wing</v>
      </c>
      <c r="J41" s="1" t="str">
        <f t="shared" ca="1" si="2"/>
        <v>Left Wing</v>
      </c>
      <c r="K41" s="1" t="str">
        <f t="shared" ca="1" si="15"/>
        <v>Left Wing</v>
      </c>
      <c r="L41" s="1" t="str">
        <f t="shared" ca="1" si="3"/>
        <v>Left Wing</v>
      </c>
      <c r="M41" s="1" t="str">
        <f t="shared" ca="1" si="4"/>
        <v>Left Wing</v>
      </c>
      <c r="N41" s="1" t="str">
        <f t="shared" ca="1" si="5"/>
        <v>Left Wing</v>
      </c>
      <c r="O41" s="1" t="str">
        <f t="shared" ca="1" si="6"/>
        <v>Left Wing</v>
      </c>
      <c r="P41" s="1" t="str">
        <f t="shared" ca="1" si="7"/>
        <v>F</v>
      </c>
      <c r="Q41" s="1" t="str">
        <f t="shared" ca="1" si="8"/>
        <v>F</v>
      </c>
      <c r="R41" s="1" t="str">
        <f t="shared" ca="1" si="9"/>
        <v>F</v>
      </c>
      <c r="S41" s="1" t="str">
        <f t="shared" ca="1" si="10"/>
        <v>F</v>
      </c>
      <c r="T41" s="1" t="str">
        <f t="shared" ca="1" si="11"/>
        <v>F</v>
      </c>
      <c r="U41" s="1" t="str">
        <f t="shared" ca="1" si="12"/>
        <v>F</v>
      </c>
      <c r="V41" s="1" t="str">
        <f t="shared" ca="1" si="13"/>
        <v>F</v>
      </c>
      <c r="W41" s="1" t="str">
        <f t="shared" ca="1" si="14"/>
        <v>Iván Angulo</v>
      </c>
    </row>
    <row r="42" spans="1:23">
      <c r="A42" s="1" t="str">
        <f ca="1">IFERROR(__xludf.DUMMYFUNCTION("""COMPUTED_VALUE"""),"Eugene")</f>
        <v>Eugene</v>
      </c>
      <c r="B42" s="1" t="str">
        <f ca="1">IFERROR(__xludf.DUMMYFUNCTION("""COMPUTED_VALUE"""),"Ansah")</f>
        <v>Ansah</v>
      </c>
      <c r="C42" s="1" t="str">
        <f ca="1">IFERROR(__xludf.DUMMYFUNCTION("""COMPUTED_VALUE"""),"FC Dallas")</f>
        <v>FC Dallas</v>
      </c>
      <c r="D42" s="1" t="str">
        <f ca="1">IFERROR(__xludf.DUMMYFUNCTION("""COMPUTED_VALUE"""),"Left Wing")</f>
        <v>Left Wing</v>
      </c>
      <c r="E42" s="2">
        <f ca="1">IFERROR(__xludf.DUMMYFUNCTION("""COMPUTED_VALUE"""),600000)</f>
        <v>600000</v>
      </c>
      <c r="F42" s="2">
        <f ca="1">IFERROR(__xludf.DUMMYFUNCTION("""COMPUTED_VALUE"""),702833)</f>
        <v>702833</v>
      </c>
      <c r="H42" s="1" t="str">
        <f t="shared" ca="1" si="0"/>
        <v>Left Wing</v>
      </c>
      <c r="I42" s="3" t="str">
        <f t="shared" ca="1" si="1"/>
        <v>Left Wing</v>
      </c>
      <c r="J42" s="1" t="str">
        <f t="shared" ca="1" si="2"/>
        <v>Left Wing</v>
      </c>
      <c r="K42" s="1" t="str">
        <f t="shared" ca="1" si="15"/>
        <v>Left Wing</v>
      </c>
      <c r="L42" s="1" t="str">
        <f t="shared" ca="1" si="3"/>
        <v>Left Wing</v>
      </c>
      <c r="M42" s="1" t="str">
        <f t="shared" ca="1" si="4"/>
        <v>Left Wing</v>
      </c>
      <c r="N42" s="1" t="str">
        <f t="shared" ca="1" si="5"/>
        <v>Left Wing</v>
      </c>
      <c r="O42" s="1" t="str">
        <f t="shared" ca="1" si="6"/>
        <v>Left Wing</v>
      </c>
      <c r="P42" s="1" t="str">
        <f t="shared" ca="1" si="7"/>
        <v>F</v>
      </c>
      <c r="Q42" s="1" t="str">
        <f t="shared" ca="1" si="8"/>
        <v>F</v>
      </c>
      <c r="R42" s="1" t="str">
        <f t="shared" ca="1" si="9"/>
        <v>F</v>
      </c>
      <c r="S42" s="1" t="str">
        <f t="shared" ca="1" si="10"/>
        <v>F</v>
      </c>
      <c r="T42" s="1" t="str">
        <f t="shared" ca="1" si="11"/>
        <v>F</v>
      </c>
      <c r="U42" s="1" t="str">
        <f t="shared" ca="1" si="12"/>
        <v>F</v>
      </c>
      <c r="V42" s="1" t="str">
        <f t="shared" ca="1" si="13"/>
        <v>F</v>
      </c>
      <c r="W42" s="1" t="str">
        <f t="shared" ca="1" si="14"/>
        <v>Eugene Ansah</v>
      </c>
    </row>
    <row r="43" spans="1:23">
      <c r="A43" s="1" t="str">
        <f ca="1">IFERROR(__xludf.DUMMYFUNCTION("""COMPUTED_VALUE"""),"Conner")</f>
        <v>Conner</v>
      </c>
      <c r="B43" s="1" t="str">
        <f ca="1">IFERROR(__xludf.DUMMYFUNCTION("""COMPUTED_VALUE"""),"Antley")</f>
        <v>Antley</v>
      </c>
      <c r="C43" s="1" t="str">
        <f ca="1">IFERROR(__xludf.DUMMYFUNCTION("""COMPUTED_VALUE"""),"DC United")</f>
        <v>DC United</v>
      </c>
      <c r="D43" s="1" t="str">
        <f ca="1">IFERROR(__xludf.DUMMYFUNCTION("""COMPUTED_VALUE"""),"Right-back")</f>
        <v>Right-back</v>
      </c>
      <c r="E43" s="2">
        <f ca="1">IFERROR(__xludf.DUMMYFUNCTION("""COMPUTED_VALUE"""),89716)</f>
        <v>89716</v>
      </c>
      <c r="F43" s="2">
        <f ca="1">IFERROR(__xludf.DUMMYFUNCTION("""COMPUTED_VALUE"""),91383)</f>
        <v>91383</v>
      </c>
      <c r="H43" s="1" t="str">
        <f t="shared" ca="1" si="0"/>
        <v>Right-back</v>
      </c>
      <c r="I43" s="3" t="str">
        <f t="shared" ca="1" si="1"/>
        <v>Right-back</v>
      </c>
      <c r="J43" s="1" t="str">
        <f t="shared" ca="1" si="2"/>
        <v>D</v>
      </c>
      <c r="K43" s="1" t="str">
        <f t="shared" ca="1" si="15"/>
        <v>D</v>
      </c>
      <c r="L43" s="1" t="str">
        <f t="shared" ca="1" si="3"/>
        <v>D</v>
      </c>
      <c r="M43" s="1" t="str">
        <f t="shared" ca="1" si="4"/>
        <v>D</v>
      </c>
      <c r="N43" s="1" t="str">
        <f t="shared" ca="1" si="5"/>
        <v>D</v>
      </c>
      <c r="O43" s="1" t="str">
        <f t="shared" ca="1" si="6"/>
        <v>D</v>
      </c>
      <c r="P43" s="1" t="str">
        <f t="shared" ca="1" si="7"/>
        <v>D</v>
      </c>
      <c r="Q43" s="1" t="str">
        <f t="shared" ca="1" si="8"/>
        <v>D</v>
      </c>
      <c r="R43" s="1" t="str">
        <f t="shared" ca="1" si="9"/>
        <v>D</v>
      </c>
      <c r="S43" s="1" t="str">
        <f t="shared" ca="1" si="10"/>
        <v>D</v>
      </c>
      <c r="T43" s="1" t="str">
        <f t="shared" ca="1" si="11"/>
        <v>D</v>
      </c>
      <c r="U43" s="1" t="str">
        <f t="shared" ca="1" si="12"/>
        <v>D</v>
      </c>
      <c r="V43" s="1" t="str">
        <f t="shared" ca="1" si="13"/>
        <v>D</v>
      </c>
      <c r="W43" s="1" t="str">
        <f t="shared" ca="1" si="14"/>
        <v>Conner Antley</v>
      </c>
    </row>
    <row r="44" spans="1:23">
      <c r="A44" s="1" t="str">
        <f ca="1">IFERROR(__xludf.DUMMYFUNCTION("""COMPUTED_VALUE"""),"Tah")</f>
        <v>Tah</v>
      </c>
      <c r="B44" s="1" t="str">
        <f ca="1">IFERROR(__xludf.DUMMYFUNCTION("""COMPUTED_VALUE"""),"Anunga")</f>
        <v>Anunga</v>
      </c>
      <c r="C44" s="1" t="str">
        <f ca="1">IFERROR(__xludf.DUMMYFUNCTION("""COMPUTED_VALUE"""),"Nashville SC")</f>
        <v>Nashville SC</v>
      </c>
      <c r="D44" s="1" t="str">
        <f ca="1">IFERROR(__xludf.DUMMYFUNCTION("""COMPUTED_VALUE"""),"Central Midfield")</f>
        <v>Central Midfield</v>
      </c>
      <c r="E44" s="2">
        <f ca="1">IFERROR(__xludf.DUMMYFUNCTION("""COMPUTED_VALUE"""),275000)</f>
        <v>275000</v>
      </c>
      <c r="F44" s="2">
        <f ca="1">IFERROR(__xludf.DUMMYFUNCTION("""COMPUTED_VALUE"""),295000)</f>
        <v>295000</v>
      </c>
      <c r="H44" s="1" t="str">
        <f t="shared" ca="1" si="0"/>
        <v>Central Midfield</v>
      </c>
      <c r="I44" s="3" t="str">
        <f t="shared" ca="1" si="1"/>
        <v>Central Midfield</v>
      </c>
      <c r="J44" s="1" t="str">
        <f t="shared" ca="1" si="2"/>
        <v>Central Midfield</v>
      </c>
      <c r="K44" s="1" t="str">
        <f t="shared" ca="1" si="15"/>
        <v>Central Midfield</v>
      </c>
      <c r="L44" s="1" t="str">
        <f t="shared" ca="1" si="3"/>
        <v>M</v>
      </c>
      <c r="M44" s="1" t="str">
        <f t="shared" ca="1" si="4"/>
        <v>M</v>
      </c>
      <c r="N44" s="1" t="str">
        <f t="shared" ca="1" si="5"/>
        <v>M</v>
      </c>
      <c r="O44" s="1" t="str">
        <f t="shared" ca="1" si="6"/>
        <v>M</v>
      </c>
      <c r="P44" s="1" t="str">
        <f t="shared" ca="1" si="7"/>
        <v>M</v>
      </c>
      <c r="Q44" s="1" t="str">
        <f t="shared" ca="1" si="8"/>
        <v>M</v>
      </c>
      <c r="R44" s="1" t="str">
        <f t="shared" ca="1" si="9"/>
        <v>M</v>
      </c>
      <c r="S44" s="1" t="str">
        <f t="shared" ca="1" si="10"/>
        <v>M</v>
      </c>
      <c r="T44" s="1" t="str">
        <f t="shared" ca="1" si="11"/>
        <v>M</v>
      </c>
      <c r="U44" s="1" t="str">
        <f t="shared" ca="1" si="12"/>
        <v>M</v>
      </c>
      <c r="V44" s="1" t="str">
        <f t="shared" ca="1" si="13"/>
        <v>M</v>
      </c>
      <c r="W44" s="1" t="str">
        <f t="shared" ca="1" si="14"/>
        <v>Tah Anunga</v>
      </c>
    </row>
    <row r="45" spans="1:23">
      <c r="A45" s="1" t="str">
        <f ca="1">IFERROR(__xludf.DUMMYFUNCTION("""COMPUTED_VALUE"""),"César")</f>
        <v>César</v>
      </c>
      <c r="B45" s="1" t="str">
        <f ca="1">IFERROR(__xludf.DUMMYFUNCTION("""COMPUTED_VALUE"""),"Araújo")</f>
        <v>Araújo</v>
      </c>
      <c r="C45" s="1" t="str">
        <f ca="1">IFERROR(__xludf.DUMMYFUNCTION("""COMPUTED_VALUE"""),"Orlando City SC")</f>
        <v>Orlando City SC</v>
      </c>
      <c r="D45" s="1" t="str">
        <f ca="1">IFERROR(__xludf.DUMMYFUNCTION("""COMPUTED_VALUE"""),"Defensive Midfield")</f>
        <v>Defensive Midfield</v>
      </c>
      <c r="E45" s="2">
        <f ca="1">IFERROR(__xludf.DUMMYFUNCTION("""COMPUTED_VALUE"""),304000)</f>
        <v>304000</v>
      </c>
      <c r="F45" s="2">
        <f ca="1">IFERROR(__xludf.DUMMYFUNCTION("""COMPUTED_VALUE"""),343000)</f>
        <v>343000</v>
      </c>
      <c r="H45" s="1" t="str">
        <f t="shared" ca="1" si="0"/>
        <v>Defensive Midfield</v>
      </c>
      <c r="I45" s="3" t="str">
        <f t="shared" ca="1" si="1"/>
        <v>Defensive Midfield</v>
      </c>
      <c r="J45" s="1" t="str">
        <f t="shared" ca="1" si="2"/>
        <v>Defensive Midfield</v>
      </c>
      <c r="K45" s="1" t="str">
        <f t="shared" ca="1" si="15"/>
        <v>M</v>
      </c>
      <c r="L45" s="1" t="str">
        <f t="shared" ca="1" si="3"/>
        <v>M</v>
      </c>
      <c r="M45" s="1" t="str">
        <f t="shared" ca="1" si="4"/>
        <v>M</v>
      </c>
      <c r="N45" s="1" t="str">
        <f t="shared" ca="1" si="5"/>
        <v>M</v>
      </c>
      <c r="O45" s="1" t="str">
        <f t="shared" ca="1" si="6"/>
        <v>M</v>
      </c>
      <c r="P45" s="1" t="str">
        <f t="shared" ca="1" si="7"/>
        <v>M</v>
      </c>
      <c r="Q45" s="1" t="str">
        <f t="shared" ca="1" si="8"/>
        <v>M</v>
      </c>
      <c r="R45" s="1" t="str">
        <f t="shared" ca="1" si="9"/>
        <v>M</v>
      </c>
      <c r="S45" s="1" t="str">
        <f t="shared" ca="1" si="10"/>
        <v>M</v>
      </c>
      <c r="T45" s="1" t="str">
        <f t="shared" ca="1" si="11"/>
        <v>M</v>
      </c>
      <c r="U45" s="1" t="str">
        <f t="shared" ca="1" si="12"/>
        <v>M</v>
      </c>
      <c r="V45" s="1" t="str">
        <f t="shared" ca="1" si="13"/>
        <v>M</v>
      </c>
      <c r="W45" s="1" t="str">
        <f t="shared" ca="1" si="14"/>
        <v>César Araújo</v>
      </c>
    </row>
    <row r="46" spans="1:23">
      <c r="A46" s="1" t="str">
        <f ca="1">IFERROR(__xludf.DUMMYFUNCTION("""COMPUTED_VALUE"""),"Cristian")</f>
        <v>Cristian</v>
      </c>
      <c r="B46" s="1" t="str">
        <f ca="1">IFERROR(__xludf.DUMMYFUNCTION("""COMPUTED_VALUE"""),"Arango")</f>
        <v>Arango</v>
      </c>
      <c r="C46" s="1" t="str">
        <f ca="1">IFERROR(__xludf.DUMMYFUNCTION("""COMPUTED_VALUE"""),"Real Salt Lake")</f>
        <v>Real Salt Lake</v>
      </c>
      <c r="D46" s="1" t="str">
        <f ca="1">IFERROR(__xludf.DUMMYFUNCTION("""COMPUTED_VALUE"""),"Center Forward")</f>
        <v>Center Forward</v>
      </c>
      <c r="E46" s="2">
        <f ca="1">IFERROR(__xludf.DUMMYFUNCTION("""COMPUTED_VALUE"""),1899996)</f>
        <v>1899996</v>
      </c>
      <c r="F46" s="2">
        <f ca="1">IFERROR(__xludf.DUMMYFUNCTION("""COMPUTED_VALUE"""),2088746)</f>
        <v>2088746</v>
      </c>
      <c r="H46" s="1" t="str">
        <f t="shared" ca="1" si="0"/>
        <v>Center Forward</v>
      </c>
      <c r="I46" s="3" t="str">
        <f t="shared" ca="1" si="1"/>
        <v>Center Forward</v>
      </c>
      <c r="J46" s="1" t="str">
        <f t="shared" ca="1" si="2"/>
        <v>Center Forward</v>
      </c>
      <c r="K46" s="1" t="str">
        <f t="shared" ca="1" si="15"/>
        <v>Center Forward</v>
      </c>
      <c r="L46" s="1" t="str">
        <f t="shared" ca="1" si="3"/>
        <v>Center Forward</v>
      </c>
      <c r="M46" s="1" t="str">
        <f t="shared" ca="1" si="4"/>
        <v>Center Forward</v>
      </c>
      <c r="N46" s="1" t="str">
        <f t="shared" ca="1" si="5"/>
        <v>Center Forward</v>
      </c>
      <c r="O46" s="1" t="str">
        <f t="shared" ca="1" si="6"/>
        <v>F</v>
      </c>
      <c r="P46" s="1" t="str">
        <f t="shared" ca="1" si="7"/>
        <v>F</v>
      </c>
      <c r="Q46" s="1" t="str">
        <f t="shared" ca="1" si="8"/>
        <v>F</v>
      </c>
      <c r="R46" s="1" t="str">
        <f t="shared" ca="1" si="9"/>
        <v>F</v>
      </c>
      <c r="S46" s="1" t="str">
        <f t="shared" ca="1" si="10"/>
        <v>F</v>
      </c>
      <c r="T46" s="1" t="str">
        <f t="shared" ca="1" si="11"/>
        <v>F</v>
      </c>
      <c r="U46" s="1" t="str">
        <f t="shared" ca="1" si="12"/>
        <v>F</v>
      </c>
      <c r="V46" s="1" t="str">
        <f t="shared" ca="1" si="13"/>
        <v>F</v>
      </c>
      <c r="W46" s="1" t="str">
        <f t="shared" ca="1" si="14"/>
        <v>Cristian Arango</v>
      </c>
    </row>
    <row r="47" spans="1:23">
      <c r="A47" s="1" t="str">
        <f ca="1">IFERROR(__xludf.DUMMYFUNCTION("""COMPUTED_VALUE"""),"Miguel")</f>
        <v>Miguel</v>
      </c>
      <c r="B47" s="1" t="str">
        <f ca="1">IFERROR(__xludf.DUMMYFUNCTION("""COMPUTED_VALUE"""),"Araujo")</f>
        <v>Araujo</v>
      </c>
      <c r="C47" s="1" t="str">
        <f ca="1">IFERROR(__xludf.DUMMYFUNCTION("""COMPUTED_VALUE"""),"Portland Timbers")</f>
        <v>Portland Timbers</v>
      </c>
      <c r="D47" s="1" t="str">
        <f ca="1">IFERROR(__xludf.DUMMYFUNCTION("""COMPUTED_VALUE"""),"Center-back")</f>
        <v>Center-back</v>
      </c>
      <c r="E47" s="2">
        <f ca="1">IFERROR(__xludf.DUMMYFUNCTION("""COMPUTED_VALUE"""),550000)</f>
        <v>550000</v>
      </c>
      <c r="F47" s="2">
        <f ca="1">IFERROR(__xludf.DUMMYFUNCTION("""COMPUTED_VALUE"""),705313)</f>
        <v>705313</v>
      </c>
      <c r="H47" s="1" t="str">
        <f t="shared" ca="1" si="0"/>
        <v>D</v>
      </c>
      <c r="I47" s="3" t="str">
        <f t="shared" ca="1" si="1"/>
        <v>D</v>
      </c>
      <c r="J47" s="1" t="str">
        <f t="shared" ca="1" si="2"/>
        <v>D</v>
      </c>
      <c r="K47" s="1" t="str">
        <f t="shared" ca="1" si="15"/>
        <v>D</v>
      </c>
      <c r="L47" s="1" t="str">
        <f t="shared" ca="1" si="3"/>
        <v>D</v>
      </c>
      <c r="M47" s="1" t="str">
        <f t="shared" ca="1" si="4"/>
        <v>D</v>
      </c>
      <c r="N47" s="1" t="str">
        <f t="shared" ca="1" si="5"/>
        <v>D</v>
      </c>
      <c r="O47" s="1" t="str">
        <f t="shared" ca="1" si="6"/>
        <v>D</v>
      </c>
      <c r="P47" s="1" t="str">
        <f t="shared" ca="1" si="7"/>
        <v>D</v>
      </c>
      <c r="Q47" s="1" t="str">
        <f t="shared" ca="1" si="8"/>
        <v>D</v>
      </c>
      <c r="R47" s="1" t="str">
        <f t="shared" ca="1" si="9"/>
        <v>D</v>
      </c>
      <c r="S47" s="1" t="str">
        <f t="shared" ca="1" si="10"/>
        <v>D</v>
      </c>
      <c r="T47" s="1" t="str">
        <f t="shared" ca="1" si="11"/>
        <v>D</v>
      </c>
      <c r="U47" s="1" t="str">
        <f t="shared" ca="1" si="12"/>
        <v>D</v>
      </c>
      <c r="V47" s="1" t="str">
        <f t="shared" ca="1" si="13"/>
        <v>D</v>
      </c>
      <c r="W47" s="1" t="str">
        <f t="shared" ca="1" si="14"/>
        <v>Miguel Araujo</v>
      </c>
    </row>
    <row r="48" spans="1:23">
      <c r="A48" s="1" t="str">
        <f ca="1">IFERROR(__xludf.DUMMYFUNCTION("""COMPUTED_VALUE"""),"Scott")</f>
        <v>Scott</v>
      </c>
      <c r="B48" s="1" t="str">
        <f ca="1">IFERROR(__xludf.DUMMYFUNCTION("""COMPUTED_VALUE"""),"Arfield")</f>
        <v>Arfield</v>
      </c>
      <c r="C48" s="1" t="str">
        <f ca="1">IFERROR(__xludf.DUMMYFUNCTION("""COMPUTED_VALUE"""),"Charlotte FC")</f>
        <v>Charlotte FC</v>
      </c>
      <c r="D48" s="1" t="str">
        <f ca="1">IFERROR(__xludf.DUMMYFUNCTION("""COMPUTED_VALUE"""),"Central Midfield")</f>
        <v>Central Midfield</v>
      </c>
      <c r="E48" s="2">
        <f ca="1">IFERROR(__xludf.DUMMYFUNCTION("""COMPUTED_VALUE"""),450000)</f>
        <v>450000</v>
      </c>
      <c r="F48" s="2">
        <f ca="1">IFERROR(__xludf.DUMMYFUNCTION("""COMPUTED_VALUE"""),487500)</f>
        <v>487500</v>
      </c>
      <c r="H48" s="1" t="str">
        <f t="shared" ca="1" si="0"/>
        <v>Central Midfield</v>
      </c>
      <c r="I48" s="3" t="str">
        <f t="shared" ca="1" si="1"/>
        <v>Central Midfield</v>
      </c>
      <c r="J48" s="1" t="str">
        <f t="shared" ca="1" si="2"/>
        <v>Central Midfield</v>
      </c>
      <c r="K48" s="1" t="str">
        <f t="shared" ca="1" si="15"/>
        <v>Central Midfield</v>
      </c>
      <c r="L48" s="1" t="str">
        <f t="shared" ca="1" si="3"/>
        <v>M</v>
      </c>
      <c r="M48" s="1" t="str">
        <f t="shared" ca="1" si="4"/>
        <v>M</v>
      </c>
      <c r="N48" s="1" t="str">
        <f t="shared" ca="1" si="5"/>
        <v>M</v>
      </c>
      <c r="O48" s="1" t="str">
        <f t="shared" ca="1" si="6"/>
        <v>M</v>
      </c>
      <c r="P48" s="1" t="str">
        <f t="shared" ca="1" si="7"/>
        <v>M</v>
      </c>
      <c r="Q48" s="1" t="str">
        <f t="shared" ca="1" si="8"/>
        <v>M</v>
      </c>
      <c r="R48" s="1" t="str">
        <f t="shared" ca="1" si="9"/>
        <v>M</v>
      </c>
      <c r="S48" s="1" t="str">
        <f t="shared" ca="1" si="10"/>
        <v>M</v>
      </c>
      <c r="T48" s="1" t="str">
        <f t="shared" ca="1" si="11"/>
        <v>M</v>
      </c>
      <c r="U48" s="1" t="str">
        <f t="shared" ca="1" si="12"/>
        <v>M</v>
      </c>
      <c r="V48" s="1" t="str">
        <f t="shared" ca="1" si="13"/>
        <v>M</v>
      </c>
      <c r="W48" s="1" t="str">
        <f t="shared" ca="1" si="14"/>
        <v>Scott Arfield</v>
      </c>
    </row>
    <row r="49" spans="1:23">
      <c r="A49" s="1" t="str">
        <f ca="1">IFERROR(__xludf.DUMMYFUNCTION("""COMPUTED_VALUE"""),"Max")</f>
        <v>Max</v>
      </c>
      <c r="B49" s="1" t="str">
        <f ca="1">IFERROR(__xludf.DUMMYFUNCTION("""COMPUTED_VALUE"""),"Arfsten")</f>
        <v>Arfsten</v>
      </c>
      <c r="C49" s="1" t="str">
        <f ca="1">IFERROR(__xludf.DUMMYFUNCTION("""COMPUTED_VALUE"""),"Columbus Crew")</f>
        <v>Columbus Crew</v>
      </c>
      <c r="D49" s="1" t="str">
        <f ca="1">IFERROR(__xludf.DUMMYFUNCTION("""COMPUTED_VALUE"""),"Right Wing")</f>
        <v>Right Wing</v>
      </c>
      <c r="E49" s="2">
        <f ca="1">IFERROR(__xludf.DUMMYFUNCTION("""COMPUTED_VALUE"""),71401)</f>
        <v>71401</v>
      </c>
      <c r="F49" s="2">
        <f ca="1">IFERROR(__xludf.DUMMYFUNCTION("""COMPUTED_VALUE"""),73246)</f>
        <v>73246</v>
      </c>
      <c r="H49" s="1" t="str">
        <f t="shared" ca="1" si="0"/>
        <v>Right Wing</v>
      </c>
      <c r="I49" s="3" t="str">
        <f t="shared" ca="1" si="1"/>
        <v>Right Wing</v>
      </c>
      <c r="J49" s="1" t="str">
        <f t="shared" ca="1" si="2"/>
        <v>Right Wing</v>
      </c>
      <c r="K49" s="1" t="str">
        <f t="shared" ca="1" si="15"/>
        <v>Right Wing</v>
      </c>
      <c r="L49" s="1" t="str">
        <f t="shared" ca="1" si="3"/>
        <v>Right Wing</v>
      </c>
      <c r="M49" s="1" t="str">
        <f t="shared" ca="1" si="4"/>
        <v>Right Wing</v>
      </c>
      <c r="N49" s="1" t="str">
        <f t="shared" ca="1" si="5"/>
        <v>F</v>
      </c>
      <c r="O49" s="1" t="str">
        <f t="shared" ca="1" si="6"/>
        <v>F</v>
      </c>
      <c r="P49" s="1" t="str">
        <f t="shared" ca="1" si="7"/>
        <v>F</v>
      </c>
      <c r="Q49" s="1" t="str">
        <f t="shared" ca="1" si="8"/>
        <v>F</v>
      </c>
      <c r="R49" s="1" t="str">
        <f t="shared" ca="1" si="9"/>
        <v>F</v>
      </c>
      <c r="S49" s="1" t="str">
        <f t="shared" ca="1" si="10"/>
        <v>F</v>
      </c>
      <c r="T49" s="1" t="str">
        <f t="shared" ca="1" si="11"/>
        <v>F</v>
      </c>
      <c r="U49" s="1" t="str">
        <f t="shared" ca="1" si="12"/>
        <v>F</v>
      </c>
      <c r="V49" s="1" t="str">
        <f t="shared" ca="1" si="13"/>
        <v>F</v>
      </c>
      <c r="W49" s="1" t="str">
        <f t="shared" ca="1" si="14"/>
        <v>Max Arfsten</v>
      </c>
    </row>
    <row r="50" spans="1:23">
      <c r="A50" s="1" t="str">
        <f ca="1">IFERROR(__xludf.DUMMYFUNCTION("""COMPUTED_VALUE"""),"Allan")</f>
        <v>Allan</v>
      </c>
      <c r="B50" s="1" t="str">
        <f ca="1">IFERROR(__xludf.DUMMYFUNCTION("""COMPUTED_VALUE"""),"Arigoni")</f>
        <v>Arigoni</v>
      </c>
      <c r="C50" s="1" t="str">
        <f ca="1">IFERROR(__xludf.DUMMYFUNCTION("""COMPUTED_VALUE"""),"Chicago Fire")</f>
        <v>Chicago Fire</v>
      </c>
      <c r="D50" s="1" t="str">
        <f ca="1">IFERROR(__xludf.DUMMYFUNCTION("""COMPUTED_VALUE"""),"Right-back")</f>
        <v>Right-back</v>
      </c>
      <c r="E50" s="2">
        <f ca="1">IFERROR(__xludf.DUMMYFUNCTION("""COMPUTED_VALUE"""),462000)</f>
        <v>462000</v>
      </c>
      <c r="F50" s="2">
        <f ca="1">IFERROR(__xludf.DUMMYFUNCTION("""COMPUTED_VALUE"""),472000)</f>
        <v>472000</v>
      </c>
      <c r="H50" s="1" t="str">
        <f t="shared" ca="1" si="0"/>
        <v>Right-back</v>
      </c>
      <c r="I50" s="3" t="str">
        <f t="shared" ca="1" si="1"/>
        <v>Right-back</v>
      </c>
      <c r="J50" s="1" t="str">
        <f t="shared" ca="1" si="2"/>
        <v>D</v>
      </c>
      <c r="K50" s="1" t="str">
        <f t="shared" ca="1" si="15"/>
        <v>D</v>
      </c>
      <c r="L50" s="1" t="str">
        <f t="shared" ca="1" si="3"/>
        <v>D</v>
      </c>
      <c r="M50" s="1" t="str">
        <f t="shared" ca="1" si="4"/>
        <v>D</v>
      </c>
      <c r="N50" s="1" t="str">
        <f t="shared" ca="1" si="5"/>
        <v>D</v>
      </c>
      <c r="O50" s="1" t="str">
        <f t="shared" ca="1" si="6"/>
        <v>D</v>
      </c>
      <c r="P50" s="1" t="str">
        <f t="shared" ca="1" si="7"/>
        <v>D</v>
      </c>
      <c r="Q50" s="1" t="str">
        <f t="shared" ca="1" si="8"/>
        <v>D</v>
      </c>
      <c r="R50" s="1" t="str">
        <f t="shared" ca="1" si="9"/>
        <v>D</v>
      </c>
      <c r="S50" s="1" t="str">
        <f t="shared" ca="1" si="10"/>
        <v>D</v>
      </c>
      <c r="T50" s="1" t="str">
        <f t="shared" ca="1" si="11"/>
        <v>D</v>
      </c>
      <c r="U50" s="1" t="str">
        <f t="shared" ca="1" si="12"/>
        <v>D</v>
      </c>
      <c r="V50" s="1" t="str">
        <f t="shared" ca="1" si="13"/>
        <v>D</v>
      </c>
      <c r="W50" s="1" t="str">
        <f t="shared" ca="1" si="14"/>
        <v>Allan Arigoni</v>
      </c>
    </row>
    <row r="51" spans="1:23">
      <c r="A51" s="1" t="str">
        <f ca="1">IFERROR(__xludf.DUMMYFUNCTION("""COMPUTED_VALUE"""),"Xavier")</f>
        <v>Xavier</v>
      </c>
      <c r="B51" s="1" t="str">
        <f ca="1">IFERROR(__xludf.DUMMYFUNCTION("""COMPUTED_VALUE"""),"Arreaga")</f>
        <v>Arreaga</v>
      </c>
      <c r="C51" s="1" t="str">
        <f ca="1">IFERROR(__xludf.DUMMYFUNCTION("""COMPUTED_VALUE"""),"New England Revolution")</f>
        <v>New England Revolution</v>
      </c>
      <c r="D51" s="1" t="str">
        <f ca="1">IFERROR(__xludf.DUMMYFUNCTION("""COMPUTED_VALUE"""),"Center-back")</f>
        <v>Center-back</v>
      </c>
      <c r="E51" s="2">
        <f ca="1">IFERROR(__xludf.DUMMYFUNCTION("""COMPUTED_VALUE"""),775000)</f>
        <v>775000</v>
      </c>
      <c r="F51" s="2">
        <f ca="1">IFERROR(__xludf.DUMMYFUNCTION("""COMPUTED_VALUE"""),775000)</f>
        <v>775000</v>
      </c>
      <c r="H51" s="1" t="str">
        <f t="shared" ca="1" si="0"/>
        <v>D</v>
      </c>
      <c r="I51" s="3" t="str">
        <f t="shared" ca="1" si="1"/>
        <v>D</v>
      </c>
      <c r="J51" s="1" t="str">
        <f t="shared" ca="1" si="2"/>
        <v>D</v>
      </c>
      <c r="K51" s="1" t="str">
        <f t="shared" ca="1" si="15"/>
        <v>D</v>
      </c>
      <c r="L51" s="1" t="str">
        <f t="shared" ca="1" si="3"/>
        <v>D</v>
      </c>
      <c r="M51" s="1" t="str">
        <f t="shared" ca="1" si="4"/>
        <v>D</v>
      </c>
      <c r="N51" s="1" t="str">
        <f t="shared" ca="1" si="5"/>
        <v>D</v>
      </c>
      <c r="O51" s="1" t="str">
        <f t="shared" ca="1" si="6"/>
        <v>D</v>
      </c>
      <c r="P51" s="1" t="str">
        <f t="shared" ca="1" si="7"/>
        <v>D</v>
      </c>
      <c r="Q51" s="1" t="str">
        <f t="shared" ca="1" si="8"/>
        <v>D</v>
      </c>
      <c r="R51" s="1" t="str">
        <f t="shared" ca="1" si="9"/>
        <v>D</v>
      </c>
      <c r="S51" s="1" t="str">
        <f t="shared" ca="1" si="10"/>
        <v>D</v>
      </c>
      <c r="T51" s="1" t="str">
        <f t="shared" ca="1" si="11"/>
        <v>D</v>
      </c>
      <c r="U51" s="1" t="str">
        <f t="shared" ca="1" si="12"/>
        <v>D</v>
      </c>
      <c r="V51" s="1" t="str">
        <f t="shared" ca="1" si="13"/>
        <v>D</v>
      </c>
      <c r="W51" s="1" t="str">
        <f t="shared" ca="1" si="14"/>
        <v>Xavier Arreaga</v>
      </c>
    </row>
    <row r="52" spans="1:23">
      <c r="A52" s="1" t="str">
        <f ca="1">IFERROR(__xludf.DUMMYFUNCTION("""COMPUTED_VALUE"""),"Kervin")</f>
        <v>Kervin</v>
      </c>
      <c r="B52" s="1" t="str">
        <f ca="1">IFERROR(__xludf.DUMMYFUNCTION("""COMPUTED_VALUE"""),"Arriaga")</f>
        <v>Arriaga</v>
      </c>
      <c r="C52" s="1" t="str">
        <f ca="1">IFERROR(__xludf.DUMMYFUNCTION("""COMPUTED_VALUE"""),"Minnesota United")</f>
        <v>Minnesota United</v>
      </c>
      <c r="D52" s="1" t="str">
        <f ca="1">IFERROR(__xludf.DUMMYFUNCTION("""COMPUTED_VALUE"""),"Defensive Midfield")</f>
        <v>Defensive Midfield</v>
      </c>
      <c r="E52" s="2">
        <f ca="1">IFERROR(__xludf.DUMMYFUNCTION("""COMPUTED_VALUE"""),240000)</f>
        <v>240000</v>
      </c>
      <c r="F52" s="2">
        <f ca="1">IFERROR(__xludf.DUMMYFUNCTION("""COMPUTED_VALUE"""),259667)</f>
        <v>259667</v>
      </c>
      <c r="H52" s="1" t="str">
        <f t="shared" ca="1" si="0"/>
        <v>Defensive Midfield</v>
      </c>
      <c r="I52" s="3" t="str">
        <f t="shared" ca="1" si="1"/>
        <v>Defensive Midfield</v>
      </c>
      <c r="J52" s="1" t="str">
        <f t="shared" ca="1" si="2"/>
        <v>Defensive Midfield</v>
      </c>
      <c r="K52" s="1" t="str">
        <f t="shared" ca="1" si="15"/>
        <v>M</v>
      </c>
      <c r="L52" s="1" t="str">
        <f t="shared" ca="1" si="3"/>
        <v>M</v>
      </c>
      <c r="M52" s="1" t="str">
        <f t="shared" ca="1" si="4"/>
        <v>M</v>
      </c>
      <c r="N52" s="1" t="str">
        <f t="shared" ca="1" si="5"/>
        <v>M</v>
      </c>
      <c r="O52" s="1" t="str">
        <f t="shared" ca="1" si="6"/>
        <v>M</v>
      </c>
      <c r="P52" s="1" t="str">
        <f t="shared" ca="1" si="7"/>
        <v>M</v>
      </c>
      <c r="Q52" s="1" t="str">
        <f t="shared" ca="1" si="8"/>
        <v>M</v>
      </c>
      <c r="R52" s="1" t="str">
        <f t="shared" ca="1" si="9"/>
        <v>M</v>
      </c>
      <c r="S52" s="1" t="str">
        <f t="shared" ca="1" si="10"/>
        <v>M</v>
      </c>
      <c r="T52" s="1" t="str">
        <f t="shared" ca="1" si="11"/>
        <v>M</v>
      </c>
      <c r="U52" s="1" t="str">
        <f t="shared" ca="1" si="12"/>
        <v>M</v>
      </c>
      <c r="V52" s="1" t="str">
        <f t="shared" ca="1" si="13"/>
        <v>M</v>
      </c>
      <c r="W52" s="1" t="str">
        <f t="shared" ca="1" si="14"/>
        <v>Kervin Arriaga</v>
      </c>
    </row>
    <row r="53" spans="1:23">
      <c r="A53" s="1" t="str">
        <f ca="1">IFERROR(__xludf.DUMMYFUNCTION("""COMPUTED_VALUE"""),"Paul")</f>
        <v>Paul</v>
      </c>
      <c r="B53" s="1" t="str">
        <f ca="1">IFERROR(__xludf.DUMMYFUNCTION("""COMPUTED_VALUE"""),"Arriola")</f>
        <v>Arriola</v>
      </c>
      <c r="C53" s="1" t="str">
        <f ca="1">IFERROR(__xludf.DUMMYFUNCTION("""COMPUTED_VALUE"""),"FC Dallas")</f>
        <v>FC Dallas</v>
      </c>
      <c r="D53" s="1" t="str">
        <f ca="1">IFERROR(__xludf.DUMMYFUNCTION("""COMPUTED_VALUE"""),"Right Wing")</f>
        <v>Right Wing</v>
      </c>
      <c r="E53" s="2">
        <f ca="1">IFERROR(__xludf.DUMMYFUNCTION("""COMPUTED_VALUE"""),1550000)</f>
        <v>1550000</v>
      </c>
      <c r="F53" s="2">
        <f ca="1">IFERROR(__xludf.DUMMYFUNCTION("""COMPUTED_VALUE"""),1729400)</f>
        <v>1729400</v>
      </c>
      <c r="H53" s="1" t="str">
        <f t="shared" ca="1" si="0"/>
        <v>Right Wing</v>
      </c>
      <c r="I53" s="3" t="str">
        <f t="shared" ca="1" si="1"/>
        <v>Right Wing</v>
      </c>
      <c r="J53" s="1" t="str">
        <f t="shared" ca="1" si="2"/>
        <v>Right Wing</v>
      </c>
      <c r="K53" s="1" t="str">
        <f t="shared" ca="1" si="15"/>
        <v>Right Wing</v>
      </c>
      <c r="L53" s="1" t="str">
        <f t="shared" ca="1" si="3"/>
        <v>Right Wing</v>
      </c>
      <c r="M53" s="1" t="str">
        <f t="shared" ca="1" si="4"/>
        <v>Right Wing</v>
      </c>
      <c r="N53" s="1" t="str">
        <f t="shared" ca="1" si="5"/>
        <v>F</v>
      </c>
      <c r="O53" s="1" t="str">
        <f t="shared" ca="1" si="6"/>
        <v>F</v>
      </c>
      <c r="P53" s="1" t="str">
        <f t="shared" ca="1" si="7"/>
        <v>F</v>
      </c>
      <c r="Q53" s="1" t="str">
        <f t="shared" ca="1" si="8"/>
        <v>F</v>
      </c>
      <c r="R53" s="1" t="str">
        <f t="shared" ca="1" si="9"/>
        <v>F</v>
      </c>
      <c r="S53" s="1" t="str">
        <f t="shared" ca="1" si="10"/>
        <v>F</v>
      </c>
      <c r="T53" s="1" t="str">
        <f t="shared" ca="1" si="11"/>
        <v>F</v>
      </c>
      <c r="U53" s="1" t="str">
        <f t="shared" ca="1" si="12"/>
        <v>F</v>
      </c>
      <c r="V53" s="1" t="str">
        <f t="shared" ca="1" si="13"/>
        <v>F</v>
      </c>
      <c r="W53" s="1" t="str">
        <f t="shared" ca="1" si="14"/>
        <v>Paul Arriola</v>
      </c>
    </row>
    <row r="54" spans="1:23">
      <c r="A54" s="1" t="str">
        <f ca="1">IFERROR(__xludf.DUMMYFUNCTION("""COMPUTED_VALUE"""),"Yamil")</f>
        <v>Yamil</v>
      </c>
      <c r="B54" s="1" t="str">
        <f ca="1">IFERROR(__xludf.DUMMYFUNCTION("""COMPUTED_VALUE"""),"Asad")</f>
        <v>Asad</v>
      </c>
      <c r="C54" s="1" t="str">
        <f ca="1">IFERROR(__xludf.DUMMYFUNCTION("""COMPUTED_VALUE"""),"FC Cincinnati")</f>
        <v>FC Cincinnati</v>
      </c>
      <c r="D54" s="1" t="str">
        <f ca="1">IFERROR(__xludf.DUMMYFUNCTION("""COMPUTED_VALUE"""),"Left Wing")</f>
        <v>Left Wing</v>
      </c>
      <c r="E54" s="2">
        <f ca="1">IFERROR(__xludf.DUMMYFUNCTION("""COMPUTED_VALUE"""),89716)</f>
        <v>89716</v>
      </c>
      <c r="F54" s="2">
        <f ca="1">IFERROR(__xludf.DUMMYFUNCTION("""COMPUTED_VALUE"""),89716)</f>
        <v>89716</v>
      </c>
      <c r="H54" s="1" t="str">
        <f t="shared" ca="1" si="0"/>
        <v>Left Wing</v>
      </c>
      <c r="I54" s="3" t="str">
        <f t="shared" ca="1" si="1"/>
        <v>Left Wing</v>
      </c>
      <c r="J54" s="1" t="str">
        <f t="shared" ca="1" si="2"/>
        <v>Left Wing</v>
      </c>
      <c r="K54" s="1" t="str">
        <f t="shared" ca="1" si="15"/>
        <v>Left Wing</v>
      </c>
      <c r="L54" s="1" t="str">
        <f t="shared" ca="1" si="3"/>
        <v>Left Wing</v>
      </c>
      <c r="M54" s="1" t="str">
        <f t="shared" ca="1" si="4"/>
        <v>Left Wing</v>
      </c>
      <c r="N54" s="1" t="str">
        <f t="shared" ca="1" si="5"/>
        <v>Left Wing</v>
      </c>
      <c r="O54" s="1" t="str">
        <f t="shared" ca="1" si="6"/>
        <v>Left Wing</v>
      </c>
      <c r="P54" s="1" t="str">
        <f t="shared" ca="1" si="7"/>
        <v>F</v>
      </c>
      <c r="Q54" s="1" t="str">
        <f t="shared" ca="1" si="8"/>
        <v>F</v>
      </c>
      <c r="R54" s="1" t="str">
        <f t="shared" ca="1" si="9"/>
        <v>F</v>
      </c>
      <c r="S54" s="1" t="str">
        <f t="shared" ca="1" si="10"/>
        <v>F</v>
      </c>
      <c r="T54" s="1" t="str">
        <f t="shared" ca="1" si="11"/>
        <v>F</v>
      </c>
      <c r="U54" s="1" t="str">
        <f t="shared" ca="1" si="12"/>
        <v>F</v>
      </c>
      <c r="V54" s="1" t="str">
        <f t="shared" ca="1" si="13"/>
        <v>F</v>
      </c>
      <c r="W54" s="1" t="str">
        <f t="shared" ca="1" si="14"/>
        <v>Yamil Asad</v>
      </c>
    </row>
    <row r="55" spans="1:23">
      <c r="A55" s="1" t="str">
        <f ca="1">IFERROR(__xludf.DUMMYFUNCTION("""COMPUTED_VALUE"""),"Dairon")</f>
        <v>Dairon</v>
      </c>
      <c r="B55" s="1" t="str">
        <f ca="1">IFERROR(__xludf.DUMMYFUNCTION("""COMPUTED_VALUE"""),"Asprilla")</f>
        <v>Asprilla</v>
      </c>
      <c r="C55" s="1" t="str">
        <f ca="1">IFERROR(__xludf.DUMMYFUNCTION("""COMPUTED_VALUE"""),"Portland Timbers")</f>
        <v>Portland Timbers</v>
      </c>
      <c r="D55" s="1" t="str">
        <f ca="1">IFERROR(__xludf.DUMMYFUNCTION("""COMPUTED_VALUE"""),"Right Wing")</f>
        <v>Right Wing</v>
      </c>
      <c r="E55" s="2">
        <f ca="1">IFERROR(__xludf.DUMMYFUNCTION("""COMPUTED_VALUE"""),355000)</f>
        <v>355000</v>
      </c>
      <c r="F55" s="2">
        <f ca="1">IFERROR(__xludf.DUMMYFUNCTION("""COMPUTED_VALUE"""),367500)</f>
        <v>367500</v>
      </c>
      <c r="H55" s="1" t="str">
        <f t="shared" ca="1" si="0"/>
        <v>Right Wing</v>
      </c>
      <c r="I55" s="3" t="str">
        <f t="shared" ca="1" si="1"/>
        <v>Right Wing</v>
      </c>
      <c r="J55" s="1" t="str">
        <f t="shared" ca="1" si="2"/>
        <v>Right Wing</v>
      </c>
      <c r="K55" s="1" t="str">
        <f t="shared" ca="1" si="15"/>
        <v>Right Wing</v>
      </c>
      <c r="L55" s="1" t="str">
        <f t="shared" ca="1" si="3"/>
        <v>Right Wing</v>
      </c>
      <c r="M55" s="1" t="str">
        <f t="shared" ca="1" si="4"/>
        <v>Right Wing</v>
      </c>
      <c r="N55" s="1" t="str">
        <f t="shared" ca="1" si="5"/>
        <v>F</v>
      </c>
      <c r="O55" s="1" t="str">
        <f t="shared" ca="1" si="6"/>
        <v>F</v>
      </c>
      <c r="P55" s="1" t="str">
        <f t="shared" ca="1" si="7"/>
        <v>F</v>
      </c>
      <c r="Q55" s="1" t="str">
        <f t="shared" ca="1" si="8"/>
        <v>F</v>
      </c>
      <c r="R55" s="1" t="str">
        <f t="shared" ca="1" si="9"/>
        <v>F</v>
      </c>
      <c r="S55" s="1" t="str">
        <f t="shared" ca="1" si="10"/>
        <v>F</v>
      </c>
      <c r="T55" s="1" t="str">
        <f t="shared" ca="1" si="11"/>
        <v>F</v>
      </c>
      <c r="U55" s="1" t="str">
        <f t="shared" ca="1" si="12"/>
        <v>F</v>
      </c>
      <c r="V55" s="1" t="str">
        <f t="shared" ca="1" si="13"/>
        <v>F</v>
      </c>
      <c r="W55" s="1" t="str">
        <f t="shared" ca="1" si="14"/>
        <v>Dairon Asprilla</v>
      </c>
    </row>
    <row r="56" spans="1:23">
      <c r="A56" s="1" t="str">
        <f ca="1">IFERROR(__xludf.DUMMYFUNCTION("""COMPUTED_VALUE"""),"Karol")</f>
        <v>Karol</v>
      </c>
      <c r="B56" s="1" t="str">
        <f ca="1">IFERROR(__xludf.DUMMYFUNCTION("""COMPUTED_VALUE"""),"Świderski")</f>
        <v>Świderski</v>
      </c>
      <c r="C56" s="1" t="str">
        <f ca="1">IFERROR(__xludf.DUMMYFUNCTION("""COMPUTED_VALUE"""),"Charlotte FC")</f>
        <v>Charlotte FC</v>
      </c>
      <c r="D56" s="1" t="str">
        <f ca="1">IFERROR(__xludf.DUMMYFUNCTION("""COMPUTED_VALUE"""),"Center Forward")</f>
        <v>Center Forward</v>
      </c>
      <c r="E56" s="2">
        <f ca="1">IFERROR(__xludf.DUMMYFUNCTION("""COMPUTED_VALUE"""),2200000)</f>
        <v>2200000</v>
      </c>
      <c r="F56" s="2">
        <f ca="1">IFERROR(__xludf.DUMMYFUNCTION("""COMPUTED_VALUE"""),2258000)</f>
        <v>2258000</v>
      </c>
      <c r="H56" s="1" t="str">
        <f t="shared" ca="1" si="0"/>
        <v>Center Forward</v>
      </c>
      <c r="I56" s="3" t="str">
        <f t="shared" ca="1" si="1"/>
        <v>Center Forward</v>
      </c>
      <c r="J56" s="1" t="str">
        <f t="shared" ca="1" si="2"/>
        <v>Center Forward</v>
      </c>
      <c r="K56" s="1" t="str">
        <f t="shared" ca="1" si="15"/>
        <v>Center Forward</v>
      </c>
      <c r="L56" s="1" t="str">
        <f t="shared" ca="1" si="3"/>
        <v>Center Forward</v>
      </c>
      <c r="M56" s="1" t="str">
        <f t="shared" ca="1" si="4"/>
        <v>Center Forward</v>
      </c>
      <c r="N56" s="1" t="str">
        <f t="shared" ca="1" si="5"/>
        <v>Center Forward</v>
      </c>
      <c r="O56" s="1" t="str">
        <f t="shared" ca="1" si="6"/>
        <v>F</v>
      </c>
      <c r="P56" s="1" t="str">
        <f t="shared" ca="1" si="7"/>
        <v>F</v>
      </c>
      <c r="Q56" s="1" t="str">
        <f t="shared" ca="1" si="8"/>
        <v>F</v>
      </c>
      <c r="R56" s="1" t="str">
        <f t="shared" ca="1" si="9"/>
        <v>F</v>
      </c>
      <c r="S56" s="1" t="str">
        <f t="shared" ca="1" si="10"/>
        <v>F</v>
      </c>
      <c r="T56" s="1" t="str">
        <f t="shared" ca="1" si="11"/>
        <v>F</v>
      </c>
      <c r="U56" s="1" t="str">
        <f t="shared" ca="1" si="12"/>
        <v>F</v>
      </c>
      <c r="V56" s="1" t="str">
        <f t="shared" ca="1" si="13"/>
        <v>F</v>
      </c>
      <c r="W56" s="1" t="str">
        <f t="shared" ca="1" si="14"/>
        <v>Karol Świderski</v>
      </c>
    </row>
    <row r="57" spans="1:23">
      <c r="A57" s="1" t="str">
        <f ca="1">IFERROR(__xludf.DUMMYFUNCTION("""COMPUTED_VALUE"""),"Josh")</f>
        <v>Josh</v>
      </c>
      <c r="B57" s="1" t="str">
        <f ca="1">IFERROR(__xludf.DUMMYFUNCTION("""COMPUTED_VALUE"""),"Atencio")</f>
        <v>Atencio</v>
      </c>
      <c r="C57" s="1" t="str">
        <f ca="1">IFERROR(__xludf.DUMMYFUNCTION("""COMPUTED_VALUE"""),"Seattle Sounders FC")</f>
        <v>Seattle Sounders FC</v>
      </c>
      <c r="D57" s="1" t="str">
        <f ca="1">IFERROR(__xludf.DUMMYFUNCTION("""COMPUTED_VALUE"""),"Defensive Midfield")</f>
        <v>Defensive Midfield</v>
      </c>
      <c r="E57" s="2">
        <f ca="1">IFERROR(__xludf.DUMMYFUNCTION("""COMPUTED_VALUE"""),350000)</f>
        <v>350000</v>
      </c>
      <c r="F57" s="2">
        <f ca="1">IFERROR(__xludf.DUMMYFUNCTION("""COMPUTED_VALUE"""),350000)</f>
        <v>350000</v>
      </c>
      <c r="H57" s="1" t="str">
        <f t="shared" ca="1" si="0"/>
        <v>Defensive Midfield</v>
      </c>
      <c r="I57" s="3" t="str">
        <f t="shared" ca="1" si="1"/>
        <v>Defensive Midfield</v>
      </c>
      <c r="J57" s="1" t="str">
        <f t="shared" ca="1" si="2"/>
        <v>Defensive Midfield</v>
      </c>
      <c r="K57" s="1" t="str">
        <f t="shared" ca="1" si="15"/>
        <v>M</v>
      </c>
      <c r="L57" s="1" t="str">
        <f t="shared" ca="1" si="3"/>
        <v>M</v>
      </c>
      <c r="M57" s="1" t="str">
        <f t="shared" ca="1" si="4"/>
        <v>M</v>
      </c>
      <c r="N57" s="1" t="str">
        <f t="shared" ca="1" si="5"/>
        <v>M</v>
      </c>
      <c r="O57" s="1" t="str">
        <f t="shared" ca="1" si="6"/>
        <v>M</v>
      </c>
      <c r="P57" s="1" t="str">
        <f t="shared" ca="1" si="7"/>
        <v>M</v>
      </c>
      <c r="Q57" s="1" t="str">
        <f t="shared" ca="1" si="8"/>
        <v>M</v>
      </c>
      <c r="R57" s="1" t="str">
        <f t="shared" ca="1" si="9"/>
        <v>M</v>
      </c>
      <c r="S57" s="1" t="str">
        <f t="shared" ca="1" si="10"/>
        <v>M</v>
      </c>
      <c r="T57" s="1" t="str">
        <f t="shared" ca="1" si="11"/>
        <v>M</v>
      </c>
      <c r="U57" s="1" t="str">
        <f t="shared" ca="1" si="12"/>
        <v>M</v>
      </c>
      <c r="V57" s="1" t="str">
        <f t="shared" ca="1" si="13"/>
        <v>M</v>
      </c>
      <c r="W57" s="1" t="str">
        <f t="shared" ca="1" si="14"/>
        <v>Josh Atencio</v>
      </c>
    </row>
    <row r="58" spans="1:23">
      <c r="A58" s="1" t="str">
        <f ca="1">IFERROR(__xludf.DUMMYFUNCTION("""COMPUTED_VALUE"""),"Eduard")</f>
        <v>Eduard</v>
      </c>
      <c r="B58" s="1" t="str">
        <f ca="1">IFERROR(__xludf.DUMMYFUNCTION("""COMPUTED_VALUE"""),"Atuesta")</f>
        <v>Atuesta</v>
      </c>
      <c r="C58" s="1" t="str">
        <f ca="1">IFERROR(__xludf.DUMMYFUNCTION("""COMPUTED_VALUE"""),"LAFC")</f>
        <v>LAFC</v>
      </c>
      <c r="D58" s="1" t="str">
        <f ca="1">IFERROR(__xludf.DUMMYFUNCTION("""COMPUTED_VALUE"""),"Central Midfield")</f>
        <v>Central Midfield</v>
      </c>
      <c r="E58" s="2">
        <f ca="1">IFERROR(__xludf.DUMMYFUNCTION("""COMPUTED_VALUE"""),689700)</f>
        <v>689700</v>
      </c>
      <c r="F58" s="2">
        <f ca="1">IFERROR(__xludf.DUMMYFUNCTION("""COMPUTED_VALUE"""),689700)</f>
        <v>689700</v>
      </c>
      <c r="H58" s="1" t="str">
        <f t="shared" ca="1" si="0"/>
        <v>Central Midfield</v>
      </c>
      <c r="I58" s="3" t="str">
        <f t="shared" ca="1" si="1"/>
        <v>Central Midfield</v>
      </c>
      <c r="J58" s="1" t="str">
        <f t="shared" ca="1" si="2"/>
        <v>Central Midfield</v>
      </c>
      <c r="K58" s="1" t="str">
        <f t="shared" ca="1" si="15"/>
        <v>Central Midfield</v>
      </c>
      <c r="L58" s="1" t="str">
        <f t="shared" ca="1" si="3"/>
        <v>M</v>
      </c>
      <c r="M58" s="1" t="str">
        <f t="shared" ca="1" si="4"/>
        <v>M</v>
      </c>
      <c r="N58" s="1" t="str">
        <f t="shared" ca="1" si="5"/>
        <v>M</v>
      </c>
      <c r="O58" s="1" t="str">
        <f t="shared" ca="1" si="6"/>
        <v>M</v>
      </c>
      <c r="P58" s="1" t="str">
        <f t="shared" ca="1" si="7"/>
        <v>M</v>
      </c>
      <c r="Q58" s="1" t="str">
        <f t="shared" ca="1" si="8"/>
        <v>M</v>
      </c>
      <c r="R58" s="1" t="str">
        <f t="shared" ca="1" si="9"/>
        <v>M</v>
      </c>
      <c r="S58" s="1" t="str">
        <f t="shared" ca="1" si="10"/>
        <v>M</v>
      </c>
      <c r="T58" s="1" t="str">
        <f t="shared" ca="1" si="11"/>
        <v>M</v>
      </c>
      <c r="U58" s="1" t="str">
        <f t="shared" ca="1" si="12"/>
        <v>M</v>
      </c>
      <c r="V58" s="1" t="str">
        <f t="shared" ca="1" si="13"/>
        <v>M</v>
      </c>
      <c r="W58" s="1" t="str">
        <f t="shared" ca="1" si="14"/>
        <v>Eduard Atuesta</v>
      </c>
    </row>
    <row r="59" spans="1:23">
      <c r="A59" s="1" t="str">
        <f ca="1">IFERROR(__xludf.DUMMYFUNCTION("""COMPUTED_VALUE"""),"Julián")</f>
        <v>Julián</v>
      </c>
      <c r="B59" s="1" t="str">
        <f ca="1">IFERROR(__xludf.DUMMYFUNCTION("""COMPUTED_VALUE"""),"Aude")</f>
        <v>Aude</v>
      </c>
      <c r="C59" s="1" t="str">
        <f ca="1">IFERROR(__xludf.DUMMYFUNCTION("""COMPUTED_VALUE"""),"LA Galaxy")</f>
        <v>LA Galaxy</v>
      </c>
      <c r="D59" s="1" t="str">
        <f ca="1">IFERROR(__xludf.DUMMYFUNCTION("""COMPUTED_VALUE"""),"Left-back")</f>
        <v>Left-back</v>
      </c>
      <c r="E59" s="2">
        <f ca="1">IFERROR(__xludf.DUMMYFUNCTION("""COMPUTED_VALUE"""),325000)</f>
        <v>325000</v>
      </c>
      <c r="F59" s="2">
        <f ca="1">IFERROR(__xludf.DUMMYFUNCTION("""COMPUTED_VALUE"""),335000)</f>
        <v>335000</v>
      </c>
      <c r="H59" s="1" t="str">
        <f t="shared" ca="1" si="0"/>
        <v>Left-back</v>
      </c>
      <c r="I59" s="3" t="str">
        <f t="shared" ca="1" si="1"/>
        <v>D</v>
      </c>
      <c r="J59" s="1" t="str">
        <f t="shared" ca="1" si="2"/>
        <v>D</v>
      </c>
      <c r="K59" s="1" t="str">
        <f t="shared" ca="1" si="15"/>
        <v>D</v>
      </c>
      <c r="L59" s="1" t="str">
        <f t="shared" ca="1" si="3"/>
        <v>D</v>
      </c>
      <c r="M59" s="1" t="str">
        <f t="shared" ca="1" si="4"/>
        <v>D</v>
      </c>
      <c r="N59" s="1" t="str">
        <f t="shared" ca="1" si="5"/>
        <v>D</v>
      </c>
      <c r="O59" s="1" t="str">
        <f t="shared" ca="1" si="6"/>
        <v>D</v>
      </c>
      <c r="P59" s="1" t="str">
        <f t="shared" ca="1" si="7"/>
        <v>D</v>
      </c>
      <c r="Q59" s="1" t="str">
        <f t="shared" ca="1" si="8"/>
        <v>D</v>
      </c>
      <c r="R59" s="1" t="str">
        <f t="shared" ca="1" si="9"/>
        <v>D</v>
      </c>
      <c r="S59" s="1" t="str">
        <f t="shared" ca="1" si="10"/>
        <v>D</v>
      </c>
      <c r="T59" s="1" t="str">
        <f t="shared" ca="1" si="11"/>
        <v>D</v>
      </c>
      <c r="U59" s="1" t="str">
        <f t="shared" ca="1" si="12"/>
        <v>D</v>
      </c>
      <c r="V59" s="1" t="str">
        <f t="shared" ca="1" si="13"/>
        <v>D</v>
      </c>
      <c r="W59" s="1" t="str">
        <f t="shared" ca="1" si="14"/>
        <v>Julián Aude</v>
      </c>
    </row>
    <row r="60" spans="1:23">
      <c r="A60" s="1" t="str">
        <f ca="1">IFERROR(__xludf.DUMMYFUNCTION("""COMPUTED_VALUE"""),"Tomás")</f>
        <v>Tomás</v>
      </c>
      <c r="B60" s="1" t="str">
        <f ca="1">IFERROR(__xludf.DUMMYFUNCTION("""COMPUTED_VALUE"""),"Avilés")</f>
        <v>Avilés</v>
      </c>
      <c r="C60" s="1" t="str">
        <f ca="1">IFERROR(__xludf.DUMMYFUNCTION("""COMPUTED_VALUE"""),"Inter Miami")</f>
        <v>Inter Miami</v>
      </c>
      <c r="D60" s="1" t="str">
        <f ca="1">IFERROR(__xludf.DUMMYFUNCTION("""COMPUTED_VALUE"""),"Center-back")</f>
        <v>Center-back</v>
      </c>
      <c r="E60" s="2">
        <f ca="1">IFERROR(__xludf.DUMMYFUNCTION("""COMPUTED_VALUE"""),384996)</f>
        <v>384996</v>
      </c>
      <c r="F60" s="2">
        <f ca="1">IFERROR(__xludf.DUMMYFUNCTION("""COMPUTED_VALUE"""),412496)</f>
        <v>412496</v>
      </c>
      <c r="H60" s="1" t="str">
        <f t="shared" ca="1" si="0"/>
        <v>D</v>
      </c>
      <c r="I60" s="3" t="str">
        <f t="shared" ca="1" si="1"/>
        <v>D</v>
      </c>
      <c r="J60" s="1" t="str">
        <f t="shared" ca="1" si="2"/>
        <v>D</v>
      </c>
      <c r="K60" s="1" t="str">
        <f t="shared" ca="1" si="15"/>
        <v>D</v>
      </c>
      <c r="L60" s="1" t="str">
        <f t="shared" ca="1" si="3"/>
        <v>D</v>
      </c>
      <c r="M60" s="1" t="str">
        <f t="shared" ca="1" si="4"/>
        <v>D</v>
      </c>
      <c r="N60" s="1" t="str">
        <f t="shared" ca="1" si="5"/>
        <v>D</v>
      </c>
      <c r="O60" s="1" t="str">
        <f t="shared" ca="1" si="6"/>
        <v>D</v>
      </c>
      <c r="P60" s="1" t="str">
        <f t="shared" ca="1" si="7"/>
        <v>D</v>
      </c>
      <c r="Q60" s="1" t="str">
        <f t="shared" ca="1" si="8"/>
        <v>D</v>
      </c>
      <c r="R60" s="1" t="str">
        <f t="shared" ca="1" si="9"/>
        <v>D</v>
      </c>
      <c r="S60" s="1" t="str">
        <f t="shared" ca="1" si="10"/>
        <v>D</v>
      </c>
      <c r="T60" s="1" t="str">
        <f t="shared" ca="1" si="11"/>
        <v>D</v>
      </c>
      <c r="U60" s="1" t="str">
        <f t="shared" ca="1" si="12"/>
        <v>D</v>
      </c>
      <c r="V60" s="1" t="str">
        <f t="shared" ca="1" si="13"/>
        <v>D</v>
      </c>
      <c r="W60" s="1" t="str">
        <f t="shared" ca="1" si="14"/>
        <v>Tomás Avilés</v>
      </c>
    </row>
    <row r="61" spans="1:23">
      <c r="A61" s="1" t="str">
        <f ca="1">IFERROR(__xludf.DUMMYFUNCTION("""COMPUTED_VALUE"""),"David")</f>
        <v>David</v>
      </c>
      <c r="B61" s="1" t="str">
        <f ca="1">IFERROR(__xludf.DUMMYFUNCTION("""COMPUTED_VALUE"""),"Ayala")</f>
        <v>Ayala</v>
      </c>
      <c r="C61" s="1" t="str">
        <f ca="1">IFERROR(__xludf.DUMMYFUNCTION("""COMPUTED_VALUE"""),"Portland Timbers")</f>
        <v>Portland Timbers</v>
      </c>
      <c r="D61" s="1" t="str">
        <f ca="1">IFERROR(__xludf.DUMMYFUNCTION("""COMPUTED_VALUE"""),"Defensive Midfield")</f>
        <v>Defensive Midfield</v>
      </c>
      <c r="E61" s="2">
        <f ca="1">IFERROR(__xludf.DUMMYFUNCTION("""COMPUTED_VALUE"""),400000)</f>
        <v>400000</v>
      </c>
      <c r="F61" s="2">
        <f ca="1">IFERROR(__xludf.DUMMYFUNCTION("""COMPUTED_VALUE"""),452000)</f>
        <v>452000</v>
      </c>
      <c r="H61" s="1" t="str">
        <f t="shared" ca="1" si="0"/>
        <v>Defensive Midfield</v>
      </c>
      <c r="I61" s="3" t="str">
        <f t="shared" ca="1" si="1"/>
        <v>Defensive Midfield</v>
      </c>
      <c r="J61" s="1" t="str">
        <f t="shared" ca="1" si="2"/>
        <v>Defensive Midfield</v>
      </c>
      <c r="K61" s="1" t="str">
        <f t="shared" ca="1" si="15"/>
        <v>M</v>
      </c>
      <c r="L61" s="1" t="str">
        <f t="shared" ca="1" si="3"/>
        <v>M</v>
      </c>
      <c r="M61" s="1" t="str">
        <f t="shared" ca="1" si="4"/>
        <v>M</v>
      </c>
      <c r="N61" s="1" t="str">
        <f t="shared" ca="1" si="5"/>
        <v>M</v>
      </c>
      <c r="O61" s="1" t="str">
        <f t="shared" ca="1" si="6"/>
        <v>M</v>
      </c>
      <c r="P61" s="1" t="str">
        <f t="shared" ca="1" si="7"/>
        <v>M</v>
      </c>
      <c r="Q61" s="1" t="str">
        <f t="shared" ca="1" si="8"/>
        <v>M</v>
      </c>
      <c r="R61" s="1" t="str">
        <f t="shared" ca="1" si="9"/>
        <v>M</v>
      </c>
      <c r="S61" s="1" t="str">
        <f t="shared" ca="1" si="10"/>
        <v>M</v>
      </c>
      <c r="T61" s="1" t="str">
        <f t="shared" ca="1" si="11"/>
        <v>M</v>
      </c>
      <c r="U61" s="1" t="str">
        <f t="shared" ca="1" si="12"/>
        <v>M</v>
      </c>
      <c r="V61" s="1" t="str">
        <f t="shared" ca="1" si="13"/>
        <v>M</v>
      </c>
      <c r="W61" s="1" t="str">
        <f t="shared" ca="1" si="14"/>
        <v>David Ayala</v>
      </c>
    </row>
    <row r="62" spans="1:23">
      <c r="A62" s="1" t="str">
        <f ca="1">IFERROR(__xludf.DUMMYFUNCTION("""COMPUTED_VALUE"""),"Edison")</f>
        <v>Edison</v>
      </c>
      <c r="B62" s="1" t="str">
        <f ca="1">IFERROR(__xludf.DUMMYFUNCTION("""COMPUTED_VALUE"""),"Azcona")</f>
        <v>Azcona</v>
      </c>
      <c r="C62" s="1" t="str">
        <f ca="1">IFERROR(__xludf.DUMMYFUNCTION("""COMPUTED_VALUE"""),"Inter Miami")</f>
        <v>Inter Miami</v>
      </c>
      <c r="D62" s="1" t="str">
        <f ca="1">IFERROR(__xludf.DUMMYFUNCTION("""COMPUTED_VALUE"""),"Left Wing")</f>
        <v>Left Wing</v>
      </c>
      <c r="E62" s="2">
        <f ca="1">IFERROR(__xludf.DUMMYFUNCTION("""COMPUTED_VALUE"""),110000)</f>
        <v>110000</v>
      </c>
      <c r="F62" s="2">
        <f ca="1">IFERROR(__xludf.DUMMYFUNCTION("""COMPUTED_VALUE"""),110000)</f>
        <v>110000</v>
      </c>
      <c r="H62" s="1" t="str">
        <f t="shared" ca="1" si="0"/>
        <v>Left Wing</v>
      </c>
      <c r="I62" s="3" t="str">
        <f t="shared" ca="1" si="1"/>
        <v>Left Wing</v>
      </c>
      <c r="J62" s="1" t="str">
        <f t="shared" ca="1" si="2"/>
        <v>Left Wing</v>
      </c>
      <c r="K62" s="1" t="str">
        <f t="shared" ca="1" si="15"/>
        <v>Left Wing</v>
      </c>
      <c r="L62" s="1" t="str">
        <f t="shared" ca="1" si="3"/>
        <v>Left Wing</v>
      </c>
      <c r="M62" s="1" t="str">
        <f t="shared" ca="1" si="4"/>
        <v>Left Wing</v>
      </c>
      <c r="N62" s="1" t="str">
        <f t="shared" ca="1" si="5"/>
        <v>Left Wing</v>
      </c>
      <c r="O62" s="1" t="str">
        <f t="shared" ca="1" si="6"/>
        <v>Left Wing</v>
      </c>
      <c r="P62" s="1" t="str">
        <f t="shared" ca="1" si="7"/>
        <v>F</v>
      </c>
      <c r="Q62" s="1" t="str">
        <f t="shared" ca="1" si="8"/>
        <v>F</v>
      </c>
      <c r="R62" s="1" t="str">
        <f t="shared" ca="1" si="9"/>
        <v>F</v>
      </c>
      <c r="S62" s="1" t="str">
        <f t="shared" ca="1" si="10"/>
        <v>F</v>
      </c>
      <c r="T62" s="1" t="str">
        <f t="shared" ca="1" si="11"/>
        <v>F</v>
      </c>
      <c r="U62" s="1" t="str">
        <f t="shared" ca="1" si="12"/>
        <v>F</v>
      </c>
      <c r="V62" s="1" t="str">
        <f t="shared" ca="1" si="13"/>
        <v>F</v>
      </c>
      <c r="W62" s="1" t="str">
        <f t="shared" ca="1" si="14"/>
        <v>Edison Azcona</v>
      </c>
    </row>
    <row r="63" spans="1:23">
      <c r="A63" s="1" t="str">
        <f ca="1">IFERROR(__xludf.DUMMYFUNCTION("""COMPUTED_VALUE"""),"Roman")</f>
        <v>Roman</v>
      </c>
      <c r="B63" s="1" t="str">
        <f ca="1">IFERROR(__xludf.DUMMYFUNCTION("""COMPUTED_VALUE"""),"Bürki")</f>
        <v>Bürki</v>
      </c>
      <c r="C63" s="1" t="str">
        <f ca="1">IFERROR(__xludf.DUMMYFUNCTION("""COMPUTED_VALUE"""),"St. Louis City SC")</f>
        <v>St. Louis City SC</v>
      </c>
      <c r="D63" s="1" t="str">
        <f ca="1">IFERROR(__xludf.DUMMYFUNCTION("""COMPUTED_VALUE"""),"Goalkeeper")</f>
        <v>Goalkeeper</v>
      </c>
      <c r="E63" s="2">
        <f ca="1">IFERROR(__xludf.DUMMYFUNCTION("""COMPUTED_VALUE"""),1525000)</f>
        <v>1525000</v>
      </c>
      <c r="F63" s="2">
        <f ca="1">IFERROR(__xludf.DUMMYFUNCTION("""COMPUTED_VALUE"""),1657469)</f>
        <v>1657469</v>
      </c>
      <c r="H63" s="1" t="str">
        <f t="shared" ca="1" si="0"/>
        <v>Goalkeeper</v>
      </c>
      <c r="I63" s="3" t="str">
        <f t="shared" ca="1" si="1"/>
        <v>Goalkeeper</v>
      </c>
      <c r="J63" s="1" t="str">
        <f t="shared" ca="1" si="2"/>
        <v>Goalkeeper</v>
      </c>
      <c r="K63" s="1" t="str">
        <f t="shared" ca="1" si="15"/>
        <v>Goalkeeper</v>
      </c>
      <c r="L63" s="1" t="str">
        <f t="shared" ca="1" si="3"/>
        <v>Goalkeeper</v>
      </c>
      <c r="M63" s="1" t="str">
        <f t="shared" ca="1" si="4"/>
        <v>Goalkeeper</v>
      </c>
      <c r="N63" s="1" t="str">
        <f t="shared" ca="1" si="5"/>
        <v>Goalkeeper</v>
      </c>
      <c r="O63" s="1" t="str">
        <f t="shared" ca="1" si="6"/>
        <v>Goalkeeper</v>
      </c>
      <c r="P63" s="1" t="str">
        <f t="shared" ca="1" si="7"/>
        <v>Goalkeeper</v>
      </c>
      <c r="Q63" s="1" t="str">
        <f t="shared" ca="1" si="8"/>
        <v>Goalkeeper</v>
      </c>
      <c r="R63" s="1" t="str">
        <f t="shared" ca="1" si="9"/>
        <v>GK</v>
      </c>
      <c r="S63" s="1" t="str">
        <f t="shared" ca="1" si="10"/>
        <v>GK</v>
      </c>
      <c r="T63" s="1" t="str">
        <f t="shared" ca="1" si="11"/>
        <v>GK</v>
      </c>
      <c r="U63" s="1" t="str">
        <f t="shared" ca="1" si="12"/>
        <v>GK</v>
      </c>
      <c r="V63" s="1" t="str">
        <f t="shared" ca="1" si="13"/>
        <v>GK</v>
      </c>
      <c r="W63" s="1" t="str">
        <f t="shared" ca="1" si="14"/>
        <v>Roman Bürki</v>
      </c>
    </row>
    <row r="64" spans="1:23">
      <c r="A64" s="1" t="str">
        <f ca="1">IFERROR(__xludf.DUMMYFUNCTION("""COMPUTED_VALUE"""),"Talles Magno")</f>
        <v>Talles Magno</v>
      </c>
      <c r="B64" s="1" t="str">
        <f ca="1">IFERROR(__xludf.DUMMYFUNCTION("""COMPUTED_VALUE"""),"Bacelar Martins")</f>
        <v>Bacelar Martins</v>
      </c>
      <c r="C64" s="1" t="str">
        <f ca="1">IFERROR(__xludf.DUMMYFUNCTION("""COMPUTED_VALUE"""),"New York City FC")</f>
        <v>New York City FC</v>
      </c>
      <c r="D64" s="1" t="str">
        <f ca="1">IFERROR(__xludf.DUMMYFUNCTION("""COMPUTED_VALUE"""),"Left Wing")</f>
        <v>Left Wing</v>
      </c>
      <c r="E64" s="2">
        <f ca="1">IFERROR(__xludf.DUMMYFUNCTION("""COMPUTED_VALUE"""),950000)</f>
        <v>950000</v>
      </c>
      <c r="F64" s="2">
        <f ca="1">IFERROR(__xludf.DUMMYFUNCTION("""COMPUTED_VALUE"""),1198000)</f>
        <v>1198000</v>
      </c>
      <c r="H64" s="1" t="str">
        <f t="shared" ca="1" si="0"/>
        <v>Left Wing</v>
      </c>
      <c r="I64" s="3" t="str">
        <f t="shared" ca="1" si="1"/>
        <v>Left Wing</v>
      </c>
      <c r="J64" s="1" t="str">
        <f t="shared" ca="1" si="2"/>
        <v>Left Wing</v>
      </c>
      <c r="K64" s="1" t="str">
        <f t="shared" ca="1" si="15"/>
        <v>Left Wing</v>
      </c>
      <c r="L64" s="1" t="str">
        <f t="shared" ca="1" si="3"/>
        <v>Left Wing</v>
      </c>
      <c r="M64" s="1" t="str">
        <f t="shared" ca="1" si="4"/>
        <v>Left Wing</v>
      </c>
      <c r="N64" s="1" t="str">
        <f t="shared" ca="1" si="5"/>
        <v>Left Wing</v>
      </c>
      <c r="O64" s="1" t="str">
        <f t="shared" ca="1" si="6"/>
        <v>Left Wing</v>
      </c>
      <c r="P64" s="1" t="str">
        <f t="shared" ca="1" si="7"/>
        <v>F</v>
      </c>
      <c r="Q64" s="1" t="str">
        <f t="shared" ca="1" si="8"/>
        <v>F</v>
      </c>
      <c r="R64" s="1" t="str">
        <f t="shared" ca="1" si="9"/>
        <v>F</v>
      </c>
      <c r="S64" s="1" t="str">
        <f t="shared" ca="1" si="10"/>
        <v>F</v>
      </c>
      <c r="T64" s="1" t="str">
        <f t="shared" ca="1" si="11"/>
        <v>F</v>
      </c>
      <c r="U64" s="1" t="str">
        <f t="shared" ca="1" si="12"/>
        <v>F</v>
      </c>
      <c r="V64" s="1" t="str">
        <f t="shared" ca="1" si="13"/>
        <v>F</v>
      </c>
      <c r="W64" s="1" t="str">
        <f t="shared" ca="1" si="14"/>
        <v>Talles Magno Bacelar Martins</v>
      </c>
    </row>
    <row r="65" spans="1:23">
      <c r="A65" s="1" t="str">
        <f ca="1">IFERROR(__xludf.DUMMYFUNCTION("""COMPUTED_VALUE"""),"Hugo")</f>
        <v>Hugo</v>
      </c>
      <c r="B65" s="1" t="str">
        <f ca="1">IFERROR(__xludf.DUMMYFUNCTION("""COMPUTED_VALUE"""),"Bacharach")</f>
        <v>Bacharach</v>
      </c>
      <c r="C65" s="1" t="str">
        <f ca="1">IFERROR(__xludf.DUMMYFUNCTION("""COMPUTED_VALUE"""),"Minnesota United")</f>
        <v>Minnesota United</v>
      </c>
      <c r="D65" s="1" t="str">
        <f ca="1">IFERROR(__xludf.DUMMYFUNCTION("""COMPUTED_VALUE"""),"Center-back")</f>
        <v>Center-back</v>
      </c>
      <c r="E65" s="2">
        <f ca="1">IFERROR(__xludf.DUMMYFUNCTION("""COMPUTED_VALUE"""),71401)</f>
        <v>71401</v>
      </c>
      <c r="F65" s="2">
        <f ca="1">IFERROR(__xludf.DUMMYFUNCTION("""COMPUTED_VALUE"""),73285)</f>
        <v>73285</v>
      </c>
      <c r="H65" s="1" t="str">
        <f t="shared" ca="1" si="0"/>
        <v>D</v>
      </c>
      <c r="I65" s="3" t="str">
        <f t="shared" ca="1" si="1"/>
        <v>D</v>
      </c>
      <c r="J65" s="1" t="str">
        <f t="shared" ca="1" si="2"/>
        <v>D</v>
      </c>
      <c r="K65" s="1" t="str">
        <f t="shared" ca="1" si="15"/>
        <v>D</v>
      </c>
      <c r="L65" s="1" t="str">
        <f t="shared" ca="1" si="3"/>
        <v>D</v>
      </c>
      <c r="M65" s="1" t="str">
        <f t="shared" ca="1" si="4"/>
        <v>D</v>
      </c>
      <c r="N65" s="1" t="str">
        <f t="shared" ca="1" si="5"/>
        <v>D</v>
      </c>
      <c r="O65" s="1" t="str">
        <f t="shared" ca="1" si="6"/>
        <v>D</v>
      </c>
      <c r="P65" s="1" t="str">
        <f t="shared" ca="1" si="7"/>
        <v>D</v>
      </c>
      <c r="Q65" s="1" t="str">
        <f t="shared" ca="1" si="8"/>
        <v>D</v>
      </c>
      <c r="R65" s="1" t="str">
        <f t="shared" ca="1" si="9"/>
        <v>D</v>
      </c>
      <c r="S65" s="1" t="str">
        <f t="shared" ca="1" si="10"/>
        <v>D</v>
      </c>
      <c r="T65" s="1" t="str">
        <f t="shared" ca="1" si="11"/>
        <v>D</v>
      </c>
      <c r="U65" s="1" t="str">
        <f t="shared" ca="1" si="12"/>
        <v>D</v>
      </c>
      <c r="V65" s="1" t="str">
        <f t="shared" ca="1" si="13"/>
        <v>D</v>
      </c>
      <c r="W65" s="1" t="str">
        <f t="shared" ca="1" si="14"/>
        <v>Hugo Bacharach</v>
      </c>
    </row>
    <row r="66" spans="1:23">
      <c r="A66" s="1" t="str">
        <f ca="1">IFERROR(__xludf.DUMMYFUNCTION("""COMPUTED_VALUE"""),"Drew")</f>
        <v>Drew</v>
      </c>
      <c r="B66" s="1" t="str">
        <f ca="1">IFERROR(__xludf.DUMMYFUNCTION("""COMPUTED_VALUE"""),"Baiera")</f>
        <v>Baiera</v>
      </c>
      <c r="C66" s="1" t="str">
        <f ca="1">IFERROR(__xludf.DUMMYFUNCTION("""COMPUTED_VALUE"""),"New York City FC")</f>
        <v>New York City FC</v>
      </c>
      <c r="D66" s="1" t="str">
        <f ca="1">IFERROR(__xludf.DUMMYFUNCTION("""COMPUTED_VALUE"""),"Right-back")</f>
        <v>Right-back</v>
      </c>
      <c r="E66" s="2">
        <f ca="1">IFERROR(__xludf.DUMMYFUNCTION("""COMPUTED_VALUE"""),71401)</f>
        <v>71401</v>
      </c>
      <c r="F66" s="2">
        <f ca="1">IFERROR(__xludf.DUMMYFUNCTION("""COMPUTED_VALUE"""),77337)</f>
        <v>77337</v>
      </c>
      <c r="H66" s="1" t="str">
        <f t="shared" ca="1" si="0"/>
        <v>Right-back</v>
      </c>
      <c r="I66" s="3" t="str">
        <f t="shared" ca="1" si="1"/>
        <v>Right-back</v>
      </c>
      <c r="J66" s="1" t="str">
        <f t="shared" ca="1" si="2"/>
        <v>D</v>
      </c>
      <c r="K66" s="1" t="str">
        <f t="shared" ca="1" si="15"/>
        <v>D</v>
      </c>
      <c r="L66" s="1" t="str">
        <f t="shared" ca="1" si="3"/>
        <v>D</v>
      </c>
      <c r="M66" s="1" t="str">
        <f t="shared" ca="1" si="4"/>
        <v>D</v>
      </c>
      <c r="N66" s="1" t="str">
        <f t="shared" ca="1" si="5"/>
        <v>D</v>
      </c>
      <c r="O66" s="1" t="str">
        <f t="shared" ca="1" si="6"/>
        <v>D</v>
      </c>
      <c r="P66" s="1" t="str">
        <f t="shared" ca="1" si="7"/>
        <v>D</v>
      </c>
      <c r="Q66" s="1" t="str">
        <f t="shared" ca="1" si="8"/>
        <v>D</v>
      </c>
      <c r="R66" s="1" t="str">
        <f t="shared" ca="1" si="9"/>
        <v>D</v>
      </c>
      <c r="S66" s="1" t="str">
        <f t="shared" ca="1" si="10"/>
        <v>D</v>
      </c>
      <c r="T66" s="1" t="str">
        <f t="shared" ca="1" si="11"/>
        <v>D</v>
      </c>
      <c r="U66" s="1" t="str">
        <f t="shared" ca="1" si="12"/>
        <v>D</v>
      </c>
      <c r="V66" s="1" t="str">
        <f t="shared" ca="1" si="13"/>
        <v>D</v>
      </c>
      <c r="W66" s="1" t="str">
        <f t="shared" ca="1" si="14"/>
        <v>Drew Baiera</v>
      </c>
    </row>
    <row r="67" spans="1:23">
      <c r="A67" s="1" t="str">
        <f ca="1">IFERROR(__xludf.DUMMYFUNCTION("""COMPUTED_VALUE"""),"Corey")</f>
        <v>Corey</v>
      </c>
      <c r="B67" s="1" t="str">
        <f ca="1">IFERROR(__xludf.DUMMYFUNCTION("""COMPUTED_VALUE"""),"Baird")</f>
        <v>Baird</v>
      </c>
      <c r="C67" s="1" t="str">
        <f ca="1">IFERROR(__xludf.DUMMYFUNCTION("""COMPUTED_VALUE"""),"FC Cincinnati")</f>
        <v>FC Cincinnati</v>
      </c>
      <c r="D67" s="1" t="str">
        <f ca="1">IFERROR(__xludf.DUMMYFUNCTION("""COMPUTED_VALUE"""),"Center Forward")</f>
        <v>Center Forward</v>
      </c>
      <c r="E67" s="2">
        <f ca="1">IFERROR(__xludf.DUMMYFUNCTION("""COMPUTED_VALUE"""),644319)</f>
        <v>644319</v>
      </c>
      <c r="F67" s="2">
        <f ca="1">IFERROR(__xludf.DUMMYFUNCTION("""COMPUTED_VALUE"""),712026)</f>
        <v>712026</v>
      </c>
      <c r="H67" s="1" t="str">
        <f t="shared" ca="1" si="0"/>
        <v>Center Forward</v>
      </c>
      <c r="I67" s="3" t="str">
        <f t="shared" ca="1" si="1"/>
        <v>Center Forward</v>
      </c>
      <c r="J67" s="1" t="str">
        <f t="shared" ca="1" si="2"/>
        <v>Center Forward</v>
      </c>
      <c r="K67" s="1" t="str">
        <f t="shared" ca="1" si="15"/>
        <v>Center Forward</v>
      </c>
      <c r="L67" s="1" t="str">
        <f t="shared" ca="1" si="3"/>
        <v>Center Forward</v>
      </c>
      <c r="M67" s="1" t="str">
        <f t="shared" ca="1" si="4"/>
        <v>Center Forward</v>
      </c>
      <c r="N67" s="1" t="str">
        <f t="shared" ca="1" si="5"/>
        <v>Center Forward</v>
      </c>
      <c r="O67" s="1" t="str">
        <f t="shared" ca="1" si="6"/>
        <v>F</v>
      </c>
      <c r="P67" s="1" t="str">
        <f t="shared" ca="1" si="7"/>
        <v>F</v>
      </c>
      <c r="Q67" s="1" t="str">
        <f t="shared" ca="1" si="8"/>
        <v>F</v>
      </c>
      <c r="R67" s="1" t="str">
        <f t="shared" ca="1" si="9"/>
        <v>F</v>
      </c>
      <c r="S67" s="1" t="str">
        <f t="shared" ca="1" si="10"/>
        <v>F</v>
      </c>
      <c r="T67" s="1" t="str">
        <f t="shared" ca="1" si="11"/>
        <v>F</v>
      </c>
      <c r="U67" s="1" t="str">
        <f t="shared" ca="1" si="12"/>
        <v>F</v>
      </c>
      <c r="V67" s="1" t="str">
        <f t="shared" ca="1" si="13"/>
        <v>F</v>
      </c>
      <c r="W67" s="1" t="str">
        <f t="shared" ca="1" si="14"/>
        <v>Corey Baird</v>
      </c>
    </row>
    <row r="68" spans="1:23">
      <c r="A68" s="1" t="str">
        <f ca="1">IFERROR(__xludf.DUMMYFUNCTION("""COMPUTED_VALUE"""),"Esmir")</f>
        <v>Esmir</v>
      </c>
      <c r="B68" s="1" t="str">
        <f ca="1">IFERROR(__xludf.DUMMYFUNCTION("""COMPUTED_VALUE"""),"Bajraktarević")</f>
        <v>Bajraktarević</v>
      </c>
      <c r="C68" s="1" t="str">
        <f ca="1">IFERROR(__xludf.DUMMYFUNCTION("""COMPUTED_VALUE"""),"New England Revolution")</f>
        <v>New England Revolution</v>
      </c>
      <c r="D68" s="1" t="str">
        <f ca="1">IFERROR(__xludf.DUMMYFUNCTION("""COMPUTED_VALUE"""),"Right Wing")</f>
        <v>Right Wing</v>
      </c>
      <c r="E68" s="2">
        <f ca="1">IFERROR(__xludf.DUMMYFUNCTION("""COMPUTED_VALUE"""),115000)</f>
        <v>115000</v>
      </c>
      <c r="F68" s="2">
        <f ca="1">IFERROR(__xludf.DUMMYFUNCTION("""COMPUTED_VALUE"""),120923)</f>
        <v>120923</v>
      </c>
      <c r="H68" s="1" t="str">
        <f t="shared" ca="1" si="0"/>
        <v>Right Wing</v>
      </c>
      <c r="I68" s="3" t="str">
        <f t="shared" ca="1" si="1"/>
        <v>Right Wing</v>
      </c>
      <c r="J68" s="1" t="str">
        <f t="shared" ca="1" si="2"/>
        <v>Right Wing</v>
      </c>
      <c r="K68" s="1" t="str">
        <f t="shared" ca="1" si="15"/>
        <v>Right Wing</v>
      </c>
      <c r="L68" s="1" t="str">
        <f t="shared" ca="1" si="3"/>
        <v>Right Wing</v>
      </c>
      <c r="M68" s="1" t="str">
        <f t="shared" ca="1" si="4"/>
        <v>Right Wing</v>
      </c>
      <c r="N68" s="1" t="str">
        <f t="shared" ca="1" si="5"/>
        <v>F</v>
      </c>
      <c r="O68" s="1" t="str">
        <f t="shared" ca="1" si="6"/>
        <v>F</v>
      </c>
      <c r="P68" s="1" t="str">
        <f t="shared" ca="1" si="7"/>
        <v>F</v>
      </c>
      <c r="Q68" s="1" t="str">
        <f t="shared" ca="1" si="8"/>
        <v>F</v>
      </c>
      <c r="R68" s="1" t="str">
        <f t="shared" ca="1" si="9"/>
        <v>F</v>
      </c>
      <c r="S68" s="1" t="str">
        <f t="shared" ca="1" si="10"/>
        <v>F</v>
      </c>
      <c r="T68" s="1" t="str">
        <f t="shared" ca="1" si="11"/>
        <v>F</v>
      </c>
      <c r="U68" s="1" t="str">
        <f t="shared" ca="1" si="12"/>
        <v>F</v>
      </c>
      <c r="V68" s="1" t="str">
        <f t="shared" ca="1" si="13"/>
        <v>F</v>
      </c>
      <c r="W68" s="1" t="str">
        <f t="shared" ca="1" si="14"/>
        <v>Esmir Bajraktarević</v>
      </c>
    </row>
    <row r="69" spans="1:23">
      <c r="A69" s="1" t="str">
        <f ca="1">IFERROR(__xludf.DUMMYFUNCTION("""COMPUTED_VALUE"""),"Cody")</f>
        <v>Cody</v>
      </c>
      <c r="B69" s="1" t="str">
        <f ca="1">IFERROR(__xludf.DUMMYFUNCTION("""COMPUTED_VALUE"""),"Baker")</f>
        <v>Baker</v>
      </c>
      <c r="C69" s="1" t="str">
        <f ca="1">IFERROR(__xludf.DUMMYFUNCTION("""COMPUTED_VALUE"""),"Seattle Sounders FC")</f>
        <v>Seattle Sounders FC</v>
      </c>
      <c r="D69" s="1" t="str">
        <f ca="1">IFERROR(__xludf.DUMMYFUNCTION("""COMPUTED_VALUE"""),"Right-back")</f>
        <v>Right-back</v>
      </c>
      <c r="E69" s="2">
        <f ca="1">IFERROR(__xludf.DUMMYFUNCTION("""COMPUTED_VALUE"""),89716)</f>
        <v>89716</v>
      </c>
      <c r="F69" s="2">
        <f ca="1">IFERROR(__xludf.DUMMYFUNCTION("""COMPUTED_VALUE"""),95420)</f>
        <v>95420</v>
      </c>
      <c r="H69" s="1" t="str">
        <f t="shared" ca="1" si="0"/>
        <v>Right-back</v>
      </c>
      <c r="I69" s="3" t="str">
        <f t="shared" ca="1" si="1"/>
        <v>Right-back</v>
      </c>
      <c r="J69" s="1" t="str">
        <f t="shared" ca="1" si="2"/>
        <v>D</v>
      </c>
      <c r="K69" s="1" t="str">
        <f t="shared" ca="1" si="15"/>
        <v>D</v>
      </c>
      <c r="L69" s="1" t="str">
        <f t="shared" ca="1" si="3"/>
        <v>D</v>
      </c>
      <c r="M69" s="1" t="str">
        <f t="shared" ca="1" si="4"/>
        <v>D</v>
      </c>
      <c r="N69" s="1" t="str">
        <f t="shared" ca="1" si="5"/>
        <v>D</v>
      </c>
      <c r="O69" s="1" t="str">
        <f t="shared" ca="1" si="6"/>
        <v>D</v>
      </c>
      <c r="P69" s="1" t="str">
        <f t="shared" ca="1" si="7"/>
        <v>D</v>
      </c>
      <c r="Q69" s="1" t="str">
        <f t="shared" ca="1" si="8"/>
        <v>D</v>
      </c>
      <c r="R69" s="1" t="str">
        <f t="shared" ca="1" si="9"/>
        <v>D</v>
      </c>
      <c r="S69" s="1" t="str">
        <f t="shared" ca="1" si="10"/>
        <v>D</v>
      </c>
      <c r="T69" s="1" t="str">
        <f t="shared" ca="1" si="11"/>
        <v>D</v>
      </c>
      <c r="U69" s="1" t="str">
        <f t="shared" ca="1" si="12"/>
        <v>D</v>
      </c>
      <c r="V69" s="1" t="str">
        <f t="shared" ca="1" si="13"/>
        <v>D</v>
      </c>
      <c r="W69" s="1" t="str">
        <f t="shared" ca="1" si="14"/>
        <v>Cody Baker</v>
      </c>
    </row>
    <row r="70" spans="1:23">
      <c r="A70" s="1" t="str">
        <f ca="1">IFERROR(__xludf.DUMMYFUNCTION("""COMPUTED_VALUE"""),"Reed")</f>
        <v>Reed</v>
      </c>
      <c r="B70" s="1" t="str">
        <f ca="1">IFERROR(__xludf.DUMMYFUNCTION("""COMPUTED_VALUE"""),"Baker-Whiting")</f>
        <v>Baker-Whiting</v>
      </c>
      <c r="C70" s="1" t="str">
        <f ca="1">IFERROR(__xludf.DUMMYFUNCTION("""COMPUTED_VALUE"""),"Seattle Sounders FC")</f>
        <v>Seattle Sounders FC</v>
      </c>
      <c r="D70" s="1" t="str">
        <f ca="1">IFERROR(__xludf.DUMMYFUNCTION("""COMPUTED_VALUE"""),"Central Midfield")</f>
        <v>Central Midfield</v>
      </c>
      <c r="E70" s="2">
        <f ca="1">IFERROR(__xludf.DUMMYFUNCTION("""COMPUTED_VALUE"""),100000)</f>
        <v>100000</v>
      </c>
      <c r="F70" s="2">
        <f ca="1">IFERROR(__xludf.DUMMYFUNCTION("""COMPUTED_VALUE"""),120000)</f>
        <v>120000</v>
      </c>
      <c r="H70" s="1" t="str">
        <f t="shared" ca="1" si="0"/>
        <v>Central Midfield</v>
      </c>
      <c r="I70" s="3" t="str">
        <f t="shared" ca="1" si="1"/>
        <v>Central Midfield</v>
      </c>
      <c r="J70" s="1" t="str">
        <f t="shared" ca="1" si="2"/>
        <v>Central Midfield</v>
      </c>
      <c r="K70" s="1" t="str">
        <f t="shared" ca="1" si="15"/>
        <v>Central Midfield</v>
      </c>
      <c r="L70" s="1" t="str">
        <f t="shared" ca="1" si="3"/>
        <v>M</v>
      </c>
      <c r="M70" s="1" t="str">
        <f t="shared" ca="1" si="4"/>
        <v>M</v>
      </c>
      <c r="N70" s="1" t="str">
        <f t="shared" ca="1" si="5"/>
        <v>M</v>
      </c>
      <c r="O70" s="1" t="str">
        <f t="shared" ca="1" si="6"/>
        <v>M</v>
      </c>
      <c r="P70" s="1" t="str">
        <f t="shared" ca="1" si="7"/>
        <v>M</v>
      </c>
      <c r="Q70" s="1" t="str">
        <f t="shared" ca="1" si="8"/>
        <v>M</v>
      </c>
      <c r="R70" s="1" t="str">
        <f t="shared" ca="1" si="9"/>
        <v>M</v>
      </c>
      <c r="S70" s="1" t="str">
        <f t="shared" ca="1" si="10"/>
        <v>M</v>
      </c>
      <c r="T70" s="1" t="str">
        <f t="shared" ca="1" si="11"/>
        <v>M</v>
      </c>
      <c r="U70" s="1" t="str">
        <f t="shared" ca="1" si="12"/>
        <v>M</v>
      </c>
      <c r="V70" s="1" t="str">
        <f t="shared" ca="1" si="13"/>
        <v>M</v>
      </c>
      <c r="W70" s="1" t="str">
        <f t="shared" ca="1" si="14"/>
        <v>Reed Baker-Whiting</v>
      </c>
    </row>
    <row r="71" spans="1:23">
      <c r="A71" s="1" t="str">
        <f ca="1">IFERROR(__xludf.DUMMYFUNCTION("""COMPUTED_VALUE"""),"Monsef")</f>
        <v>Monsef</v>
      </c>
      <c r="B71" s="1" t="str">
        <f ca="1">IFERROR(__xludf.DUMMYFUNCTION("""COMPUTED_VALUE"""),"Bakrar")</f>
        <v>Bakrar</v>
      </c>
      <c r="C71" s="1" t="str">
        <f ca="1">IFERROR(__xludf.DUMMYFUNCTION("""COMPUTED_VALUE"""),"New York City FC")</f>
        <v>New York City FC</v>
      </c>
      <c r="D71" s="1" t="str">
        <f ca="1">IFERROR(__xludf.DUMMYFUNCTION("""COMPUTED_VALUE"""),"Center Forward")</f>
        <v>Center Forward</v>
      </c>
      <c r="E71" s="2">
        <f ca="1">IFERROR(__xludf.DUMMYFUNCTION("""COMPUTED_VALUE"""),360000)</f>
        <v>360000</v>
      </c>
      <c r="F71" s="2">
        <f ca="1">IFERROR(__xludf.DUMMYFUNCTION("""COMPUTED_VALUE"""),456720)</f>
        <v>456720</v>
      </c>
      <c r="H71" s="1" t="str">
        <f t="shared" ca="1" si="0"/>
        <v>Center Forward</v>
      </c>
      <c r="I71" s="3" t="str">
        <f t="shared" ca="1" si="1"/>
        <v>Center Forward</v>
      </c>
      <c r="J71" s="1" t="str">
        <f t="shared" ca="1" si="2"/>
        <v>Center Forward</v>
      </c>
      <c r="K71" s="1" t="str">
        <f t="shared" ca="1" si="15"/>
        <v>Center Forward</v>
      </c>
      <c r="L71" s="1" t="str">
        <f t="shared" ca="1" si="3"/>
        <v>Center Forward</v>
      </c>
      <c r="M71" s="1" t="str">
        <f t="shared" ca="1" si="4"/>
        <v>Center Forward</v>
      </c>
      <c r="N71" s="1" t="str">
        <f t="shared" ca="1" si="5"/>
        <v>Center Forward</v>
      </c>
      <c r="O71" s="1" t="str">
        <f t="shared" ca="1" si="6"/>
        <v>F</v>
      </c>
      <c r="P71" s="1" t="str">
        <f t="shared" ca="1" si="7"/>
        <v>F</v>
      </c>
      <c r="Q71" s="1" t="str">
        <f t="shared" ca="1" si="8"/>
        <v>F</v>
      </c>
      <c r="R71" s="1" t="str">
        <f t="shared" ca="1" si="9"/>
        <v>F</v>
      </c>
      <c r="S71" s="1" t="str">
        <f t="shared" ca="1" si="10"/>
        <v>F</v>
      </c>
      <c r="T71" s="1" t="str">
        <f t="shared" ca="1" si="11"/>
        <v>F</v>
      </c>
      <c r="U71" s="1" t="str">
        <f t="shared" ca="1" si="12"/>
        <v>F</v>
      </c>
      <c r="V71" s="1" t="str">
        <f t="shared" ca="1" si="13"/>
        <v>F</v>
      </c>
      <c r="W71" s="1" t="str">
        <f t="shared" ca="1" si="14"/>
        <v>Monsef Bakrar</v>
      </c>
    </row>
    <row r="72" spans="1:23">
      <c r="A72" s="1" t="str">
        <f ca="1">IFERROR(__xludf.DUMMYFUNCTION("""COMPUTED_VALUE"""),"Michael")</f>
        <v>Michael</v>
      </c>
      <c r="B72" s="1" t="str">
        <f ca="1">IFERROR(__xludf.DUMMYFUNCTION("""COMPUTED_VALUE"""),"Baldisimo")</f>
        <v>Baldisimo</v>
      </c>
      <c r="C72" s="1" t="str">
        <f ca="1">IFERROR(__xludf.DUMMYFUNCTION("""COMPUTED_VALUE"""),"San Jose Earthquakes")</f>
        <v>San Jose Earthquakes</v>
      </c>
      <c r="D72" s="1" t="str">
        <f ca="1">IFERROR(__xludf.DUMMYFUNCTION("""COMPUTED_VALUE"""),"Defensive Midfield")</f>
        <v>Defensive Midfield</v>
      </c>
      <c r="E72" s="2">
        <f ca="1">IFERROR(__xludf.DUMMYFUNCTION("""COMPUTED_VALUE"""),105000)</f>
        <v>105000</v>
      </c>
      <c r="F72" s="2">
        <f ca="1">IFERROR(__xludf.DUMMYFUNCTION("""COMPUTED_VALUE"""),105000)</f>
        <v>105000</v>
      </c>
      <c r="H72" s="1" t="str">
        <f t="shared" ca="1" si="0"/>
        <v>Defensive Midfield</v>
      </c>
      <c r="I72" s="3" t="str">
        <f t="shared" ca="1" si="1"/>
        <v>Defensive Midfield</v>
      </c>
      <c r="J72" s="1" t="str">
        <f t="shared" ca="1" si="2"/>
        <v>Defensive Midfield</v>
      </c>
      <c r="K72" s="1" t="str">
        <f t="shared" ca="1" si="15"/>
        <v>M</v>
      </c>
      <c r="L72" s="1" t="str">
        <f t="shared" ca="1" si="3"/>
        <v>M</v>
      </c>
      <c r="M72" s="1" t="str">
        <f t="shared" ca="1" si="4"/>
        <v>M</v>
      </c>
      <c r="N72" s="1" t="str">
        <f t="shared" ca="1" si="5"/>
        <v>M</v>
      </c>
      <c r="O72" s="1" t="str">
        <f t="shared" ca="1" si="6"/>
        <v>M</v>
      </c>
      <c r="P72" s="1" t="str">
        <f t="shared" ca="1" si="7"/>
        <v>M</v>
      </c>
      <c r="Q72" s="1" t="str">
        <f t="shared" ca="1" si="8"/>
        <v>M</v>
      </c>
      <c r="R72" s="1" t="str">
        <f t="shared" ca="1" si="9"/>
        <v>M</v>
      </c>
      <c r="S72" s="1" t="str">
        <f t="shared" ca="1" si="10"/>
        <v>M</v>
      </c>
      <c r="T72" s="1" t="str">
        <f t="shared" ca="1" si="11"/>
        <v>M</v>
      </c>
      <c r="U72" s="1" t="str">
        <f t="shared" ca="1" si="12"/>
        <v>M</v>
      </c>
      <c r="V72" s="1" t="str">
        <f t="shared" ca="1" si="13"/>
        <v>M</v>
      </c>
      <c r="W72" s="1" t="str">
        <f t="shared" ca="1" si="14"/>
        <v>Michael Baldisimo</v>
      </c>
    </row>
    <row r="73" spans="1:23">
      <c r="A73" s="1" t="str">
        <f ca="1">IFERROR(__xludf.DUMMYFUNCTION("""COMPUTED_VALUE"""),"Fidel")</f>
        <v>Fidel</v>
      </c>
      <c r="B73" s="1" t="str">
        <f ca="1">IFERROR(__xludf.DUMMYFUNCTION("""COMPUTED_VALUE"""),"Barajas")</f>
        <v>Barajas</v>
      </c>
      <c r="C73" s="1" t="str">
        <f ca="1">IFERROR(__xludf.DUMMYFUNCTION("""COMPUTED_VALUE"""),"Real Salt Lake")</f>
        <v>Real Salt Lake</v>
      </c>
      <c r="D73" s="1" t="str">
        <f ca="1">IFERROR(__xludf.DUMMYFUNCTION("""COMPUTED_VALUE"""),"Right Wing")</f>
        <v>Right Wing</v>
      </c>
      <c r="E73" s="2">
        <f ca="1">IFERROR(__xludf.DUMMYFUNCTION("""COMPUTED_VALUE"""),71401)</f>
        <v>71401</v>
      </c>
      <c r="F73" s="2">
        <f ca="1">IFERROR(__xludf.DUMMYFUNCTION("""COMPUTED_VALUE"""),96177)</f>
        <v>96177</v>
      </c>
      <c r="H73" s="1" t="str">
        <f t="shared" ca="1" si="0"/>
        <v>Right Wing</v>
      </c>
      <c r="I73" s="3" t="str">
        <f t="shared" ca="1" si="1"/>
        <v>Right Wing</v>
      </c>
      <c r="J73" s="1" t="str">
        <f t="shared" ca="1" si="2"/>
        <v>Right Wing</v>
      </c>
      <c r="K73" s="1" t="str">
        <f t="shared" ca="1" si="15"/>
        <v>Right Wing</v>
      </c>
      <c r="L73" s="1" t="str">
        <f t="shared" ca="1" si="3"/>
        <v>Right Wing</v>
      </c>
      <c r="M73" s="1" t="str">
        <f t="shared" ca="1" si="4"/>
        <v>Right Wing</v>
      </c>
      <c r="N73" s="1" t="str">
        <f t="shared" ca="1" si="5"/>
        <v>F</v>
      </c>
      <c r="O73" s="1" t="str">
        <f t="shared" ca="1" si="6"/>
        <v>F</v>
      </c>
      <c r="P73" s="1" t="str">
        <f t="shared" ca="1" si="7"/>
        <v>F</v>
      </c>
      <c r="Q73" s="1" t="str">
        <f t="shared" ca="1" si="8"/>
        <v>F</v>
      </c>
      <c r="R73" s="1" t="str">
        <f t="shared" ca="1" si="9"/>
        <v>F</v>
      </c>
      <c r="S73" s="1" t="str">
        <f t="shared" ca="1" si="10"/>
        <v>F</v>
      </c>
      <c r="T73" s="1" t="str">
        <f t="shared" ca="1" si="11"/>
        <v>F</v>
      </c>
      <c r="U73" s="1" t="str">
        <f t="shared" ca="1" si="12"/>
        <v>F</v>
      </c>
      <c r="V73" s="1" t="str">
        <f t="shared" ca="1" si="13"/>
        <v>F</v>
      </c>
      <c r="W73" s="1" t="str">
        <f t="shared" ca="1" si="14"/>
        <v>Fidel Barajas</v>
      </c>
    </row>
    <row r="74" spans="1:23">
      <c r="A74" s="1" t="str">
        <f ca="1">IFERROR(__xludf.DUMMYFUNCTION("""COMPUTED_VALUE"""),"Tai")</f>
        <v>Tai</v>
      </c>
      <c r="B74" s="1" t="str">
        <f ca="1">IFERROR(__xludf.DUMMYFUNCTION("""COMPUTED_VALUE"""),"Baribo")</f>
        <v>Baribo</v>
      </c>
      <c r="C74" s="1" t="str">
        <f ca="1">IFERROR(__xludf.DUMMYFUNCTION("""COMPUTED_VALUE"""),"Philadelphia Union")</f>
        <v>Philadelphia Union</v>
      </c>
      <c r="D74" s="1" t="str">
        <f ca="1">IFERROR(__xludf.DUMMYFUNCTION("""COMPUTED_VALUE"""),"Center Forward")</f>
        <v>Center Forward</v>
      </c>
      <c r="E74" s="2">
        <f ca="1">IFERROR(__xludf.DUMMYFUNCTION("""COMPUTED_VALUE"""),650000)</f>
        <v>650000</v>
      </c>
      <c r="F74" s="2">
        <f ca="1">IFERROR(__xludf.DUMMYFUNCTION("""COMPUTED_VALUE"""),760000)</f>
        <v>760000</v>
      </c>
      <c r="H74" s="1" t="str">
        <f t="shared" ca="1" si="0"/>
        <v>Center Forward</v>
      </c>
      <c r="I74" s="3" t="str">
        <f t="shared" ca="1" si="1"/>
        <v>Center Forward</v>
      </c>
      <c r="J74" s="1" t="str">
        <f t="shared" ca="1" si="2"/>
        <v>Center Forward</v>
      </c>
      <c r="K74" s="1" t="str">
        <f t="shared" ca="1" si="15"/>
        <v>Center Forward</v>
      </c>
      <c r="L74" s="1" t="str">
        <f t="shared" ca="1" si="3"/>
        <v>Center Forward</v>
      </c>
      <c r="M74" s="1" t="str">
        <f t="shared" ca="1" si="4"/>
        <v>Center Forward</v>
      </c>
      <c r="N74" s="1" t="str">
        <f t="shared" ca="1" si="5"/>
        <v>Center Forward</v>
      </c>
      <c r="O74" s="1" t="str">
        <f t="shared" ca="1" si="6"/>
        <v>F</v>
      </c>
      <c r="P74" s="1" t="str">
        <f t="shared" ca="1" si="7"/>
        <v>F</v>
      </c>
      <c r="Q74" s="1" t="str">
        <f t="shared" ca="1" si="8"/>
        <v>F</v>
      </c>
      <c r="R74" s="1" t="str">
        <f t="shared" ca="1" si="9"/>
        <v>F</v>
      </c>
      <c r="S74" s="1" t="str">
        <f t="shared" ca="1" si="10"/>
        <v>F</v>
      </c>
      <c r="T74" s="1" t="str">
        <f t="shared" ca="1" si="11"/>
        <v>F</v>
      </c>
      <c r="U74" s="1" t="str">
        <f t="shared" ca="1" si="12"/>
        <v>F</v>
      </c>
      <c r="V74" s="1" t="str">
        <f t="shared" ca="1" si="13"/>
        <v>F</v>
      </c>
      <c r="W74" s="1" t="str">
        <f t="shared" ca="1" si="14"/>
        <v>Tai Baribo</v>
      </c>
    </row>
    <row r="75" spans="1:23">
      <c r="A75" s="1" t="str">
        <f ca="1">IFERROR(__xludf.DUMMYFUNCTION("""COMPUTED_VALUE"""),"Tom")</f>
        <v>Tom</v>
      </c>
      <c r="B75" s="1" t="str">
        <f ca="1">IFERROR(__xludf.DUMMYFUNCTION("""COMPUTED_VALUE"""),"Barlow")</f>
        <v>Barlow</v>
      </c>
      <c r="C75" s="1" t="str">
        <f ca="1">IFERROR(__xludf.DUMMYFUNCTION("""COMPUTED_VALUE"""),"Chicago Fire")</f>
        <v>Chicago Fire</v>
      </c>
      <c r="D75" s="1" t="str">
        <f ca="1">IFERROR(__xludf.DUMMYFUNCTION("""COMPUTED_VALUE"""),"Center Forward")</f>
        <v>Center Forward</v>
      </c>
      <c r="E75" s="2">
        <f ca="1">IFERROR(__xludf.DUMMYFUNCTION("""COMPUTED_VALUE"""),250000)</f>
        <v>250000</v>
      </c>
      <c r="F75" s="2">
        <f ca="1">IFERROR(__xludf.DUMMYFUNCTION("""COMPUTED_VALUE"""),280000)</f>
        <v>280000</v>
      </c>
      <c r="H75" s="1" t="str">
        <f t="shared" ca="1" si="0"/>
        <v>Center Forward</v>
      </c>
      <c r="I75" s="3" t="str">
        <f t="shared" ca="1" si="1"/>
        <v>Center Forward</v>
      </c>
      <c r="J75" s="1" t="str">
        <f t="shared" ca="1" si="2"/>
        <v>Center Forward</v>
      </c>
      <c r="K75" s="1" t="str">
        <f t="shared" ca="1" si="15"/>
        <v>Center Forward</v>
      </c>
      <c r="L75" s="1" t="str">
        <f t="shared" ca="1" si="3"/>
        <v>Center Forward</v>
      </c>
      <c r="M75" s="1" t="str">
        <f t="shared" ca="1" si="4"/>
        <v>Center Forward</v>
      </c>
      <c r="N75" s="1" t="str">
        <f t="shared" ca="1" si="5"/>
        <v>Center Forward</v>
      </c>
      <c r="O75" s="1" t="str">
        <f t="shared" ca="1" si="6"/>
        <v>F</v>
      </c>
      <c r="P75" s="1" t="str">
        <f t="shared" ca="1" si="7"/>
        <v>F</v>
      </c>
      <c r="Q75" s="1" t="str">
        <f t="shared" ca="1" si="8"/>
        <v>F</v>
      </c>
      <c r="R75" s="1" t="str">
        <f t="shared" ca="1" si="9"/>
        <v>F</v>
      </c>
      <c r="S75" s="1" t="str">
        <f t="shared" ca="1" si="10"/>
        <v>F</v>
      </c>
      <c r="T75" s="1" t="str">
        <f t="shared" ca="1" si="11"/>
        <v>F</v>
      </c>
      <c r="U75" s="1" t="str">
        <f t="shared" ca="1" si="12"/>
        <v>F</v>
      </c>
      <c r="V75" s="1" t="str">
        <f t="shared" ca="1" si="13"/>
        <v>F</v>
      </c>
      <c r="W75" s="1" t="str">
        <f t="shared" ca="1" si="14"/>
        <v>Tom Barlow</v>
      </c>
    </row>
    <row r="76" spans="1:23">
      <c r="A76" s="1" t="str">
        <f ca="1">IFERROR(__xludf.DUMMYFUNCTION("""COMPUTED_VALUE"""),"Luis")</f>
        <v>Luis</v>
      </c>
      <c r="B76" s="1" t="str">
        <f ca="1">IFERROR(__xludf.DUMMYFUNCTION("""COMPUTED_VALUE"""),"Barraza")</f>
        <v>Barraza</v>
      </c>
      <c r="C76" s="1" t="str">
        <f ca="1">IFERROR(__xludf.DUMMYFUNCTION("""COMPUTED_VALUE"""),"New York City FC")</f>
        <v>New York City FC</v>
      </c>
      <c r="D76" s="1" t="str">
        <f ca="1">IFERROR(__xludf.DUMMYFUNCTION("""COMPUTED_VALUE"""),"Goalkeeper")</f>
        <v>Goalkeeper</v>
      </c>
      <c r="E76" s="2">
        <f ca="1">IFERROR(__xludf.DUMMYFUNCTION("""COMPUTED_VALUE"""),165000)</f>
        <v>165000</v>
      </c>
      <c r="F76" s="2">
        <f ca="1">IFERROR(__xludf.DUMMYFUNCTION("""COMPUTED_VALUE"""),172688)</f>
        <v>172688</v>
      </c>
      <c r="H76" s="1" t="str">
        <f t="shared" ca="1" si="0"/>
        <v>Goalkeeper</v>
      </c>
      <c r="I76" s="3" t="str">
        <f t="shared" ca="1" si="1"/>
        <v>Goalkeeper</v>
      </c>
      <c r="J76" s="1" t="str">
        <f t="shared" ca="1" si="2"/>
        <v>Goalkeeper</v>
      </c>
      <c r="K76" s="1" t="str">
        <f t="shared" ca="1" si="15"/>
        <v>Goalkeeper</v>
      </c>
      <c r="L76" s="1" t="str">
        <f t="shared" ca="1" si="3"/>
        <v>Goalkeeper</v>
      </c>
      <c r="M76" s="1" t="str">
        <f t="shared" ca="1" si="4"/>
        <v>Goalkeeper</v>
      </c>
      <c r="N76" s="1" t="str">
        <f t="shared" ca="1" si="5"/>
        <v>Goalkeeper</v>
      </c>
      <c r="O76" s="1" t="str">
        <f t="shared" ca="1" si="6"/>
        <v>Goalkeeper</v>
      </c>
      <c r="P76" s="1" t="str">
        <f t="shared" ca="1" si="7"/>
        <v>Goalkeeper</v>
      </c>
      <c r="Q76" s="1" t="str">
        <f t="shared" ca="1" si="8"/>
        <v>Goalkeeper</v>
      </c>
      <c r="R76" s="1" t="str">
        <f t="shared" ca="1" si="9"/>
        <v>GK</v>
      </c>
      <c r="S76" s="1" t="str">
        <f t="shared" ca="1" si="10"/>
        <v>GK</v>
      </c>
      <c r="T76" s="1" t="str">
        <f t="shared" ca="1" si="11"/>
        <v>GK</v>
      </c>
      <c r="U76" s="1" t="str">
        <f t="shared" ca="1" si="12"/>
        <v>GK</v>
      </c>
      <c r="V76" s="1" t="str">
        <f t="shared" ca="1" si="13"/>
        <v>GK</v>
      </c>
      <c r="W76" s="1" t="str">
        <f t="shared" ca="1" si="14"/>
        <v>Luis Barraza</v>
      </c>
    </row>
    <row r="77" spans="1:23">
      <c r="A77" s="1" t="str">
        <f ca="1">IFERROR(__xludf.DUMMYFUNCTION("""COMPUTED_VALUE"""),"Álvaro")</f>
        <v>Álvaro</v>
      </c>
      <c r="B77" s="1" t="str">
        <f ca="1">IFERROR(__xludf.DUMMYFUNCTION("""COMPUTED_VALUE"""),"Barreal")</f>
        <v>Barreal</v>
      </c>
      <c r="C77" s="1" t="str">
        <f ca="1">IFERROR(__xludf.DUMMYFUNCTION("""COMPUTED_VALUE"""),"FC Cincinnati")</f>
        <v>FC Cincinnati</v>
      </c>
      <c r="D77" s="1" t="str">
        <f ca="1">IFERROR(__xludf.DUMMYFUNCTION("""COMPUTED_VALUE"""),"Left Wing")</f>
        <v>Left Wing</v>
      </c>
      <c r="E77" s="2">
        <f ca="1">IFERROR(__xludf.DUMMYFUNCTION("""COMPUTED_VALUE"""),690000)</f>
        <v>690000</v>
      </c>
      <c r="F77" s="2">
        <f ca="1">IFERROR(__xludf.DUMMYFUNCTION("""COMPUTED_VALUE"""),909297)</f>
        <v>909297</v>
      </c>
      <c r="H77" s="1" t="str">
        <f t="shared" ca="1" si="0"/>
        <v>Left Wing</v>
      </c>
      <c r="I77" s="3" t="str">
        <f t="shared" ca="1" si="1"/>
        <v>Left Wing</v>
      </c>
      <c r="J77" s="1" t="str">
        <f t="shared" ca="1" si="2"/>
        <v>Left Wing</v>
      </c>
      <c r="K77" s="1" t="str">
        <f t="shared" ca="1" si="15"/>
        <v>Left Wing</v>
      </c>
      <c r="L77" s="1" t="str">
        <f t="shared" ca="1" si="3"/>
        <v>Left Wing</v>
      </c>
      <c r="M77" s="1" t="str">
        <f t="shared" ca="1" si="4"/>
        <v>Left Wing</v>
      </c>
      <c r="N77" s="1" t="str">
        <f t="shared" ca="1" si="5"/>
        <v>Left Wing</v>
      </c>
      <c r="O77" s="1" t="str">
        <f t="shared" ca="1" si="6"/>
        <v>Left Wing</v>
      </c>
      <c r="P77" s="1" t="str">
        <f t="shared" ca="1" si="7"/>
        <v>F</v>
      </c>
      <c r="Q77" s="1" t="str">
        <f t="shared" ca="1" si="8"/>
        <v>F</v>
      </c>
      <c r="R77" s="1" t="str">
        <f t="shared" ca="1" si="9"/>
        <v>F</v>
      </c>
      <c r="S77" s="1" t="str">
        <f t="shared" ca="1" si="10"/>
        <v>F</v>
      </c>
      <c r="T77" s="1" t="str">
        <f t="shared" ca="1" si="11"/>
        <v>F</v>
      </c>
      <c r="U77" s="1" t="str">
        <f t="shared" ca="1" si="12"/>
        <v>F</v>
      </c>
      <c r="V77" s="1" t="str">
        <f t="shared" ca="1" si="13"/>
        <v>F</v>
      </c>
      <c r="W77" s="1" t="str">
        <f t="shared" ca="1" si="14"/>
        <v>Álvaro Barreal</v>
      </c>
    </row>
    <row r="78" spans="1:23">
      <c r="A78" s="1" t="str">
        <f ca="1">IFERROR(__xludf.DUMMYFUNCTION("""COMPUTED_VALUE"""),"Lucas")</f>
        <v>Lucas</v>
      </c>
      <c r="B78" s="1" t="str">
        <f ca="1">IFERROR(__xludf.DUMMYFUNCTION("""COMPUTED_VALUE"""),"Bartlett")</f>
        <v>Bartlett</v>
      </c>
      <c r="C78" s="1" t="str">
        <f ca="1">IFERROR(__xludf.DUMMYFUNCTION("""COMPUTED_VALUE"""),"DC United")</f>
        <v>DC United</v>
      </c>
      <c r="D78" s="1" t="str">
        <f ca="1">IFERROR(__xludf.DUMMYFUNCTION("""COMPUTED_VALUE"""),"Center-back")</f>
        <v>Center-back</v>
      </c>
      <c r="E78" s="2">
        <f ca="1">IFERROR(__xludf.DUMMYFUNCTION("""COMPUTED_VALUE"""),89716)</f>
        <v>89716</v>
      </c>
      <c r="F78" s="2">
        <f ca="1">IFERROR(__xludf.DUMMYFUNCTION("""COMPUTED_VALUE"""),89716)</f>
        <v>89716</v>
      </c>
      <c r="H78" s="1" t="str">
        <f t="shared" ca="1" si="0"/>
        <v>D</v>
      </c>
      <c r="I78" s="3" t="str">
        <f t="shared" ca="1" si="1"/>
        <v>D</v>
      </c>
      <c r="J78" s="1" t="str">
        <f t="shared" ca="1" si="2"/>
        <v>D</v>
      </c>
      <c r="K78" s="1" t="str">
        <f t="shared" ca="1" si="15"/>
        <v>D</v>
      </c>
      <c r="L78" s="1" t="str">
        <f t="shared" ca="1" si="3"/>
        <v>D</v>
      </c>
      <c r="M78" s="1" t="str">
        <f t="shared" ca="1" si="4"/>
        <v>D</v>
      </c>
      <c r="N78" s="1" t="str">
        <f t="shared" ca="1" si="5"/>
        <v>D</v>
      </c>
      <c r="O78" s="1" t="str">
        <f t="shared" ca="1" si="6"/>
        <v>D</v>
      </c>
      <c r="P78" s="1" t="str">
        <f t="shared" ca="1" si="7"/>
        <v>D</v>
      </c>
      <c r="Q78" s="1" t="str">
        <f t="shared" ca="1" si="8"/>
        <v>D</v>
      </c>
      <c r="R78" s="1" t="str">
        <f t="shared" ca="1" si="9"/>
        <v>D</v>
      </c>
      <c r="S78" s="1" t="str">
        <f t="shared" ca="1" si="10"/>
        <v>D</v>
      </c>
      <c r="T78" s="1" t="str">
        <f t="shared" ca="1" si="11"/>
        <v>D</v>
      </c>
      <c r="U78" s="1" t="str">
        <f t="shared" ca="1" si="12"/>
        <v>D</v>
      </c>
      <c r="V78" s="1" t="str">
        <f t="shared" ca="1" si="13"/>
        <v>D</v>
      </c>
      <c r="W78" s="1" t="str">
        <f t="shared" ca="1" si="14"/>
        <v>Lucas Bartlett</v>
      </c>
    </row>
    <row r="79" spans="1:23">
      <c r="A79" s="1" t="str">
        <f ca="1">IFERROR(__xludf.DUMMYFUNCTION("""COMPUTED_VALUE"""),"Ethan")</f>
        <v>Ethan</v>
      </c>
      <c r="B79" s="1" t="str">
        <f ca="1">IFERROR(__xludf.DUMMYFUNCTION("""COMPUTED_VALUE"""),"Bartlow")</f>
        <v>Bartlow</v>
      </c>
      <c r="C79" s="1" t="str">
        <f ca="1">IFERROR(__xludf.DUMMYFUNCTION("""COMPUTED_VALUE"""),"Houston Dynamo")</f>
        <v>Houston Dynamo</v>
      </c>
      <c r="D79" s="1" t="str">
        <f ca="1">IFERROR(__xludf.DUMMYFUNCTION("""COMPUTED_VALUE"""),"Center-back")</f>
        <v>Center-back</v>
      </c>
      <c r="E79" s="2">
        <f ca="1">IFERROR(__xludf.DUMMYFUNCTION("""COMPUTED_VALUE"""),250000)</f>
        <v>250000</v>
      </c>
      <c r="F79" s="2">
        <f ca="1">IFERROR(__xludf.DUMMYFUNCTION("""COMPUTED_VALUE"""),260000)</f>
        <v>260000</v>
      </c>
      <c r="H79" s="1" t="str">
        <f t="shared" ca="1" si="0"/>
        <v>D</v>
      </c>
      <c r="I79" s="3" t="str">
        <f t="shared" ca="1" si="1"/>
        <v>D</v>
      </c>
      <c r="J79" s="1" t="str">
        <f t="shared" ca="1" si="2"/>
        <v>D</v>
      </c>
      <c r="K79" s="1" t="str">
        <f t="shared" ca="1" si="15"/>
        <v>D</v>
      </c>
      <c r="L79" s="1" t="str">
        <f t="shared" ca="1" si="3"/>
        <v>D</v>
      </c>
      <c r="M79" s="1" t="str">
        <f t="shared" ca="1" si="4"/>
        <v>D</v>
      </c>
      <c r="N79" s="1" t="str">
        <f t="shared" ca="1" si="5"/>
        <v>D</v>
      </c>
      <c r="O79" s="1" t="str">
        <f t="shared" ca="1" si="6"/>
        <v>D</v>
      </c>
      <c r="P79" s="1" t="str">
        <f t="shared" ca="1" si="7"/>
        <v>D</v>
      </c>
      <c r="Q79" s="1" t="str">
        <f t="shared" ca="1" si="8"/>
        <v>D</v>
      </c>
      <c r="R79" s="1" t="str">
        <f t="shared" ca="1" si="9"/>
        <v>D</v>
      </c>
      <c r="S79" s="1" t="str">
        <f t="shared" ca="1" si="10"/>
        <v>D</v>
      </c>
      <c r="T79" s="1" t="str">
        <f t="shared" ca="1" si="11"/>
        <v>D</v>
      </c>
      <c r="U79" s="1" t="str">
        <f t="shared" ca="1" si="12"/>
        <v>D</v>
      </c>
      <c r="V79" s="1" t="str">
        <f t="shared" ca="1" si="13"/>
        <v>D</v>
      </c>
      <c r="W79" s="1" t="str">
        <f t="shared" ca="1" si="14"/>
        <v>Ethan Bartlow</v>
      </c>
    </row>
    <row r="80" spans="1:23">
      <c r="A80" s="1" t="str">
        <f ca="1">IFERROR(__xludf.DUMMYFUNCTION("""COMPUTED_VALUE"""),"Cole")</f>
        <v>Cole</v>
      </c>
      <c r="B80" s="1" t="str">
        <f ca="1">IFERROR(__xludf.DUMMYFUNCTION("""COMPUTED_VALUE"""),"Bassett")</f>
        <v>Bassett</v>
      </c>
      <c r="C80" s="1" t="str">
        <f ca="1">IFERROR(__xludf.DUMMYFUNCTION("""COMPUTED_VALUE"""),"Colorado Rapids")</f>
        <v>Colorado Rapids</v>
      </c>
      <c r="D80" s="1" t="str">
        <f ca="1">IFERROR(__xludf.DUMMYFUNCTION("""COMPUTED_VALUE"""),"Attacking Midfield")</f>
        <v>Attacking Midfield</v>
      </c>
      <c r="E80" s="2">
        <f ca="1">IFERROR(__xludf.DUMMYFUNCTION("""COMPUTED_VALUE"""),850000)</f>
        <v>850000</v>
      </c>
      <c r="F80" s="2">
        <f ca="1">IFERROR(__xludf.DUMMYFUNCTION("""COMPUTED_VALUE"""),850000)</f>
        <v>850000</v>
      </c>
      <c r="H80" s="1" t="str">
        <f t="shared" ca="1" si="0"/>
        <v>Attacking Midfield</v>
      </c>
      <c r="I80" s="3" t="str">
        <f t="shared" ca="1" si="1"/>
        <v>Attacking Midfield</v>
      </c>
      <c r="J80" s="1" t="str">
        <f t="shared" ca="1" si="2"/>
        <v>Attacking Midfield</v>
      </c>
      <c r="K80" s="1" t="str">
        <f t="shared" ca="1" si="15"/>
        <v>Attacking Midfield</v>
      </c>
      <c r="L80" s="1" t="str">
        <f t="shared" ca="1" si="3"/>
        <v>Attacking Midfield</v>
      </c>
      <c r="M80" s="1" t="str">
        <f t="shared" ca="1" si="4"/>
        <v>M</v>
      </c>
      <c r="N80" s="1" t="str">
        <f t="shared" ca="1" si="5"/>
        <v>M</v>
      </c>
      <c r="O80" s="1" t="str">
        <f t="shared" ca="1" si="6"/>
        <v>M</v>
      </c>
      <c r="P80" s="1" t="str">
        <f t="shared" ca="1" si="7"/>
        <v>M</v>
      </c>
      <c r="Q80" s="1" t="str">
        <f t="shared" ca="1" si="8"/>
        <v>M</v>
      </c>
      <c r="R80" s="1" t="str">
        <f t="shared" ca="1" si="9"/>
        <v>M</v>
      </c>
      <c r="S80" s="1" t="str">
        <f t="shared" ca="1" si="10"/>
        <v>M</v>
      </c>
      <c r="T80" s="1" t="str">
        <f t="shared" ca="1" si="11"/>
        <v>M</v>
      </c>
      <c r="U80" s="1" t="str">
        <f t="shared" ca="1" si="12"/>
        <v>M</v>
      </c>
      <c r="V80" s="1" t="str">
        <f t="shared" ca="1" si="13"/>
        <v>M</v>
      </c>
      <c r="W80" s="1" t="str">
        <f t="shared" ca="1" si="14"/>
        <v>Cole Bassett</v>
      </c>
    </row>
    <row r="81" spans="1:23">
      <c r="A81" s="1" t="str">
        <f ca="1">IFERROR(__xludf.DUMMYFUNCTION("""COMPUTED_VALUE"""),"Amine")</f>
        <v>Amine</v>
      </c>
      <c r="B81" s="1" t="str">
        <f ca="1">IFERROR(__xludf.DUMMYFUNCTION("""COMPUTED_VALUE"""),"Bassi")</f>
        <v>Bassi</v>
      </c>
      <c r="C81" s="1" t="str">
        <f ca="1">IFERROR(__xludf.DUMMYFUNCTION("""COMPUTED_VALUE"""),"Houston Dynamo")</f>
        <v>Houston Dynamo</v>
      </c>
      <c r="D81" s="1" t="str">
        <f ca="1">IFERROR(__xludf.DUMMYFUNCTION("""COMPUTED_VALUE"""),"Attacking Midfield")</f>
        <v>Attacking Midfield</v>
      </c>
      <c r="E81" s="2">
        <f ca="1">IFERROR(__xludf.DUMMYFUNCTION("""COMPUTED_VALUE"""),605000)</f>
        <v>605000</v>
      </c>
      <c r="F81" s="2">
        <f ca="1">IFERROR(__xludf.DUMMYFUNCTION("""COMPUTED_VALUE"""),605000)</f>
        <v>605000</v>
      </c>
      <c r="H81" s="1" t="str">
        <f t="shared" ca="1" si="0"/>
        <v>Attacking Midfield</v>
      </c>
      <c r="I81" s="3" t="str">
        <f t="shared" ca="1" si="1"/>
        <v>Attacking Midfield</v>
      </c>
      <c r="J81" s="1" t="str">
        <f t="shared" ca="1" si="2"/>
        <v>Attacking Midfield</v>
      </c>
      <c r="K81" s="1" t="str">
        <f t="shared" ca="1" si="15"/>
        <v>Attacking Midfield</v>
      </c>
      <c r="L81" s="1" t="str">
        <f t="shared" ca="1" si="3"/>
        <v>Attacking Midfield</v>
      </c>
      <c r="M81" s="1" t="str">
        <f t="shared" ca="1" si="4"/>
        <v>M</v>
      </c>
      <c r="N81" s="1" t="str">
        <f t="shared" ca="1" si="5"/>
        <v>M</v>
      </c>
      <c r="O81" s="1" t="str">
        <f t="shared" ca="1" si="6"/>
        <v>M</v>
      </c>
      <c r="P81" s="1" t="str">
        <f t="shared" ca="1" si="7"/>
        <v>M</v>
      </c>
      <c r="Q81" s="1" t="str">
        <f t="shared" ca="1" si="8"/>
        <v>M</v>
      </c>
      <c r="R81" s="1" t="str">
        <f t="shared" ca="1" si="9"/>
        <v>M</v>
      </c>
      <c r="S81" s="1" t="str">
        <f t="shared" ca="1" si="10"/>
        <v>M</v>
      </c>
      <c r="T81" s="1" t="str">
        <f t="shared" ca="1" si="11"/>
        <v>M</v>
      </c>
      <c r="U81" s="1" t="str">
        <f t="shared" ca="1" si="12"/>
        <v>M</v>
      </c>
      <c r="V81" s="1" t="str">
        <f t="shared" ca="1" si="13"/>
        <v>M</v>
      </c>
      <c r="W81" s="1" t="str">
        <f t="shared" ca="1" si="14"/>
        <v>Amine Bassi</v>
      </c>
    </row>
    <row r="82" spans="1:23">
      <c r="A82" s="1" t="str">
        <f ca="1">IFERROR(__xludf.DUMMYFUNCTION("""COMPUTED_VALUE"""),"Zorhan")</f>
        <v>Zorhan</v>
      </c>
      <c r="B82" s="1" t="str">
        <f ca="1">IFERROR(__xludf.DUMMYFUNCTION("""COMPUTED_VALUE"""),"Bassong")</f>
        <v>Bassong</v>
      </c>
      <c r="C82" s="1" t="str">
        <f ca="1">IFERROR(__xludf.DUMMYFUNCTION("""COMPUTED_VALUE"""),"Sporting Kansas City")</f>
        <v>Sporting Kansas City</v>
      </c>
      <c r="D82" s="1" t="str">
        <f ca="1">IFERROR(__xludf.DUMMYFUNCTION("""COMPUTED_VALUE"""),"Left-back")</f>
        <v>Left-back</v>
      </c>
      <c r="E82" s="2">
        <f ca="1">IFERROR(__xludf.DUMMYFUNCTION("""COMPUTED_VALUE"""),89716)</f>
        <v>89716</v>
      </c>
      <c r="F82" s="2">
        <f ca="1">IFERROR(__xludf.DUMMYFUNCTION("""COMPUTED_VALUE"""),99953)</f>
        <v>99953</v>
      </c>
      <c r="H82" s="1" t="str">
        <f t="shared" ca="1" si="0"/>
        <v>Left-back</v>
      </c>
      <c r="I82" s="3" t="str">
        <f t="shared" ca="1" si="1"/>
        <v>D</v>
      </c>
      <c r="J82" s="1" t="str">
        <f t="shared" ca="1" si="2"/>
        <v>D</v>
      </c>
      <c r="K82" s="1" t="str">
        <f t="shared" ca="1" si="15"/>
        <v>D</v>
      </c>
      <c r="L82" s="1" t="str">
        <f t="shared" ca="1" si="3"/>
        <v>D</v>
      </c>
      <c r="M82" s="1" t="str">
        <f t="shared" ca="1" si="4"/>
        <v>D</v>
      </c>
      <c r="N82" s="1" t="str">
        <f t="shared" ca="1" si="5"/>
        <v>D</v>
      </c>
      <c r="O82" s="1" t="str">
        <f t="shared" ca="1" si="6"/>
        <v>D</v>
      </c>
      <c r="P82" s="1" t="str">
        <f t="shared" ca="1" si="7"/>
        <v>D</v>
      </c>
      <c r="Q82" s="1" t="str">
        <f t="shared" ca="1" si="8"/>
        <v>D</v>
      </c>
      <c r="R82" s="1" t="str">
        <f t="shared" ca="1" si="9"/>
        <v>D</v>
      </c>
      <c r="S82" s="1" t="str">
        <f t="shared" ca="1" si="10"/>
        <v>D</v>
      </c>
      <c r="T82" s="1" t="str">
        <f t="shared" ca="1" si="11"/>
        <v>D</v>
      </c>
      <c r="U82" s="1" t="str">
        <f t="shared" ca="1" si="12"/>
        <v>D</v>
      </c>
      <c r="V82" s="1" t="str">
        <f t="shared" ca="1" si="13"/>
        <v>D</v>
      </c>
      <c r="W82" s="1" t="str">
        <f t="shared" ca="1" si="14"/>
        <v>Zorhan Bassong</v>
      </c>
    </row>
    <row r="83" spans="1:23">
      <c r="A83" s="1" t="str">
        <f ca="1">IFERROR(__xludf.DUMMYFUNCTION("""COMPUTED_VALUE"""),"Josh")</f>
        <v>Josh</v>
      </c>
      <c r="B83" s="1" t="str">
        <f ca="1">IFERROR(__xludf.DUMMYFUNCTION("""COMPUTED_VALUE"""),"Bauer")</f>
        <v>Bauer</v>
      </c>
      <c r="C83" s="1" t="str">
        <f ca="1">IFERROR(__xludf.DUMMYFUNCTION("""COMPUTED_VALUE"""),"Nashville SC")</f>
        <v>Nashville SC</v>
      </c>
      <c r="D83" s="1" t="str">
        <f ca="1">IFERROR(__xludf.DUMMYFUNCTION("""COMPUTED_VALUE"""),"Center-back")</f>
        <v>Center-back</v>
      </c>
      <c r="E83" s="2">
        <f ca="1">IFERROR(__xludf.DUMMYFUNCTION("""COMPUTED_VALUE"""),94202)</f>
        <v>94202</v>
      </c>
      <c r="F83" s="2">
        <f ca="1">IFERROR(__xludf.DUMMYFUNCTION("""COMPUTED_VALUE"""),94202)</f>
        <v>94202</v>
      </c>
      <c r="H83" s="1" t="str">
        <f t="shared" ca="1" si="0"/>
        <v>D</v>
      </c>
      <c r="I83" s="3" t="str">
        <f t="shared" ca="1" si="1"/>
        <v>D</v>
      </c>
      <c r="J83" s="1" t="str">
        <f t="shared" ca="1" si="2"/>
        <v>D</v>
      </c>
      <c r="K83" s="1" t="str">
        <f t="shared" ca="1" si="15"/>
        <v>D</v>
      </c>
      <c r="L83" s="1" t="str">
        <f t="shared" ca="1" si="3"/>
        <v>D</v>
      </c>
      <c r="M83" s="1" t="str">
        <f t="shared" ca="1" si="4"/>
        <v>D</v>
      </c>
      <c r="N83" s="1" t="str">
        <f t="shared" ca="1" si="5"/>
        <v>D</v>
      </c>
      <c r="O83" s="1" t="str">
        <f t="shared" ca="1" si="6"/>
        <v>D</v>
      </c>
      <c r="P83" s="1" t="str">
        <f t="shared" ca="1" si="7"/>
        <v>D</v>
      </c>
      <c r="Q83" s="1" t="str">
        <f t="shared" ca="1" si="8"/>
        <v>D</v>
      </c>
      <c r="R83" s="1" t="str">
        <f t="shared" ca="1" si="9"/>
        <v>D</v>
      </c>
      <c r="S83" s="1" t="str">
        <f t="shared" ca="1" si="10"/>
        <v>D</v>
      </c>
      <c r="T83" s="1" t="str">
        <f t="shared" ca="1" si="11"/>
        <v>D</v>
      </c>
      <c r="U83" s="1" t="str">
        <f t="shared" ca="1" si="12"/>
        <v>D</v>
      </c>
      <c r="V83" s="1" t="str">
        <f t="shared" ca="1" si="13"/>
        <v>D</v>
      </c>
      <c r="W83" s="1" t="str">
        <f t="shared" ca="1" si="14"/>
        <v>Josh Bauer</v>
      </c>
    </row>
    <row r="84" spans="1:23">
      <c r="A84" s="1" t="str">
        <f ca="1">IFERROR(__xludf.DUMMYFUNCTION("""COMPUTED_VALUE"""),"Tanner")</f>
        <v>Tanner</v>
      </c>
      <c r="B84" s="1" t="str">
        <f ca="1">IFERROR(__xludf.DUMMYFUNCTION("""COMPUTED_VALUE"""),"Beason")</f>
        <v>Beason</v>
      </c>
      <c r="C84" s="1" t="str">
        <f ca="1">IFERROR(__xludf.DUMMYFUNCTION("""COMPUTED_VALUE"""),"San Jose Earthquakes")</f>
        <v>San Jose Earthquakes</v>
      </c>
      <c r="D84" s="1" t="str">
        <f ca="1">IFERROR(__xludf.DUMMYFUNCTION("""COMPUTED_VALUE"""),"Center-back")</f>
        <v>Center-back</v>
      </c>
      <c r="E84" s="2">
        <f ca="1">IFERROR(__xludf.DUMMYFUNCTION("""COMPUTED_VALUE"""),300000)</f>
        <v>300000</v>
      </c>
      <c r="F84" s="2">
        <f ca="1">IFERROR(__xludf.DUMMYFUNCTION("""COMPUTED_VALUE"""),300000)</f>
        <v>300000</v>
      </c>
      <c r="H84" s="1" t="str">
        <f t="shared" ca="1" si="0"/>
        <v>D</v>
      </c>
      <c r="I84" s="3" t="str">
        <f t="shared" ca="1" si="1"/>
        <v>D</v>
      </c>
      <c r="J84" s="1" t="str">
        <f t="shared" ca="1" si="2"/>
        <v>D</v>
      </c>
      <c r="K84" s="1" t="str">
        <f t="shared" ca="1" si="15"/>
        <v>D</v>
      </c>
      <c r="L84" s="1" t="str">
        <f t="shared" ca="1" si="3"/>
        <v>D</v>
      </c>
      <c r="M84" s="1" t="str">
        <f t="shared" ca="1" si="4"/>
        <v>D</v>
      </c>
      <c r="N84" s="1" t="str">
        <f t="shared" ca="1" si="5"/>
        <v>D</v>
      </c>
      <c r="O84" s="1" t="str">
        <f t="shared" ca="1" si="6"/>
        <v>D</v>
      </c>
      <c r="P84" s="1" t="str">
        <f t="shared" ca="1" si="7"/>
        <v>D</v>
      </c>
      <c r="Q84" s="1" t="str">
        <f t="shared" ca="1" si="8"/>
        <v>D</v>
      </c>
      <c r="R84" s="1" t="str">
        <f t="shared" ca="1" si="9"/>
        <v>D</v>
      </c>
      <c r="S84" s="1" t="str">
        <f t="shared" ca="1" si="10"/>
        <v>D</v>
      </c>
      <c r="T84" s="1" t="str">
        <f t="shared" ca="1" si="11"/>
        <v>D</v>
      </c>
      <c r="U84" s="1" t="str">
        <f t="shared" ca="1" si="12"/>
        <v>D</v>
      </c>
      <c r="V84" s="1" t="str">
        <f t="shared" ca="1" si="13"/>
        <v>D</v>
      </c>
      <c r="W84" s="1" t="str">
        <f t="shared" ca="1" si="14"/>
        <v>Tanner Beason</v>
      </c>
    </row>
    <row r="85" spans="1:23">
      <c r="A85" s="1" t="str">
        <f ca="1">IFERROR(__xludf.DUMMYFUNCTION("""COMPUTED_VALUE"""),"Adam")</f>
        <v>Adam</v>
      </c>
      <c r="B85" s="1" t="str">
        <f ca="1">IFERROR(__xludf.DUMMYFUNCTION("""COMPUTED_VALUE"""),"Beaudry")</f>
        <v>Beaudry</v>
      </c>
      <c r="C85" s="1" t="str">
        <f ca="1">IFERROR(__xludf.DUMMYFUNCTION("""COMPUTED_VALUE"""),"Colorado Rapids")</f>
        <v>Colorado Rapids</v>
      </c>
      <c r="D85" s="1" t="str">
        <f ca="1">IFERROR(__xludf.DUMMYFUNCTION("""COMPUTED_VALUE"""),"Goalkeeper")</f>
        <v>Goalkeeper</v>
      </c>
      <c r="E85" s="2">
        <f ca="1">IFERROR(__xludf.DUMMYFUNCTION("""COMPUTED_VALUE"""),71401)</f>
        <v>71401</v>
      </c>
      <c r="F85" s="2">
        <f ca="1">IFERROR(__xludf.DUMMYFUNCTION("""COMPUTED_VALUE"""),75568)</f>
        <v>75568</v>
      </c>
      <c r="H85" s="1" t="str">
        <f t="shared" ca="1" si="0"/>
        <v>Goalkeeper</v>
      </c>
      <c r="I85" s="3" t="str">
        <f t="shared" ca="1" si="1"/>
        <v>Goalkeeper</v>
      </c>
      <c r="J85" s="1" t="str">
        <f t="shared" ca="1" si="2"/>
        <v>Goalkeeper</v>
      </c>
      <c r="K85" s="1" t="str">
        <f t="shared" ca="1" si="15"/>
        <v>Goalkeeper</v>
      </c>
      <c r="L85" s="1" t="str">
        <f t="shared" ca="1" si="3"/>
        <v>Goalkeeper</v>
      </c>
      <c r="M85" s="1" t="str">
        <f t="shared" ca="1" si="4"/>
        <v>Goalkeeper</v>
      </c>
      <c r="N85" s="1" t="str">
        <f t="shared" ca="1" si="5"/>
        <v>Goalkeeper</v>
      </c>
      <c r="O85" s="1" t="str">
        <f t="shared" ca="1" si="6"/>
        <v>Goalkeeper</v>
      </c>
      <c r="P85" s="1" t="str">
        <f t="shared" ca="1" si="7"/>
        <v>Goalkeeper</v>
      </c>
      <c r="Q85" s="1" t="str">
        <f t="shared" ca="1" si="8"/>
        <v>Goalkeeper</v>
      </c>
      <c r="R85" s="1" t="str">
        <f t="shared" ca="1" si="9"/>
        <v>GK</v>
      </c>
      <c r="S85" s="1" t="str">
        <f t="shared" ca="1" si="10"/>
        <v>GK</v>
      </c>
      <c r="T85" s="1" t="str">
        <f t="shared" ca="1" si="11"/>
        <v>GK</v>
      </c>
      <c r="U85" s="1" t="str">
        <f t="shared" ca="1" si="12"/>
        <v>GK</v>
      </c>
      <c r="V85" s="1" t="str">
        <f t="shared" ca="1" si="13"/>
        <v>GK</v>
      </c>
      <c r="W85" s="1" t="str">
        <f t="shared" ca="1" si="14"/>
        <v>Adam Beaudry</v>
      </c>
    </row>
    <row r="86" spans="1:23">
      <c r="A86" s="1" t="str">
        <f ca="1">IFERROR(__xludf.DUMMYFUNCTION("""COMPUTED_VALUE"""),"Gavin")</f>
        <v>Gavin</v>
      </c>
      <c r="B86" s="1" t="str">
        <f ca="1">IFERROR(__xludf.DUMMYFUNCTION("""COMPUTED_VALUE"""),"Beavers")</f>
        <v>Beavers</v>
      </c>
      <c r="C86" s="1" t="str">
        <f ca="1">IFERROR(__xludf.DUMMYFUNCTION("""COMPUTED_VALUE"""),"Real Salt Lake")</f>
        <v>Real Salt Lake</v>
      </c>
      <c r="D86" s="1" t="str">
        <f ca="1">IFERROR(__xludf.DUMMYFUNCTION("""COMPUTED_VALUE"""),"Goalkeeper")</f>
        <v>Goalkeeper</v>
      </c>
      <c r="E86" s="2">
        <f ca="1">IFERROR(__xludf.DUMMYFUNCTION("""COMPUTED_VALUE"""),120000)</f>
        <v>120000</v>
      </c>
      <c r="F86" s="2">
        <f ca="1">IFERROR(__xludf.DUMMYFUNCTION("""COMPUTED_VALUE"""),125583)</f>
        <v>125583</v>
      </c>
      <c r="H86" s="1" t="str">
        <f t="shared" ca="1" si="0"/>
        <v>Goalkeeper</v>
      </c>
      <c r="I86" s="3" t="str">
        <f t="shared" ca="1" si="1"/>
        <v>Goalkeeper</v>
      </c>
      <c r="J86" s="1" t="str">
        <f t="shared" ca="1" si="2"/>
        <v>Goalkeeper</v>
      </c>
      <c r="K86" s="1" t="str">
        <f t="shared" ca="1" si="15"/>
        <v>Goalkeeper</v>
      </c>
      <c r="L86" s="1" t="str">
        <f t="shared" ca="1" si="3"/>
        <v>Goalkeeper</v>
      </c>
      <c r="M86" s="1" t="str">
        <f t="shared" ca="1" si="4"/>
        <v>Goalkeeper</v>
      </c>
      <c r="N86" s="1" t="str">
        <f t="shared" ca="1" si="5"/>
        <v>Goalkeeper</v>
      </c>
      <c r="O86" s="1" t="str">
        <f t="shared" ca="1" si="6"/>
        <v>Goalkeeper</v>
      </c>
      <c r="P86" s="1" t="str">
        <f t="shared" ca="1" si="7"/>
        <v>Goalkeeper</v>
      </c>
      <c r="Q86" s="1" t="str">
        <f t="shared" ca="1" si="8"/>
        <v>Goalkeeper</v>
      </c>
      <c r="R86" s="1" t="str">
        <f t="shared" ca="1" si="9"/>
        <v>GK</v>
      </c>
      <c r="S86" s="1" t="str">
        <f t="shared" ca="1" si="10"/>
        <v>GK</v>
      </c>
      <c r="T86" s="1" t="str">
        <f t="shared" ca="1" si="11"/>
        <v>GK</v>
      </c>
      <c r="U86" s="1" t="str">
        <f t="shared" ca="1" si="12"/>
        <v>GK</v>
      </c>
      <c r="V86" s="1" t="str">
        <f t="shared" ca="1" si="13"/>
        <v>GK</v>
      </c>
      <c r="W86" s="1" t="str">
        <f t="shared" ca="1" si="14"/>
        <v>Gavin Beavers</v>
      </c>
    </row>
    <row r="87" spans="1:23">
      <c r="A87" s="1" t="str">
        <f ca="1">IFERROR(__xludf.DUMMYFUNCTION("""COMPUTED_VALUE"""),"Alejandro")</f>
        <v>Alejandro</v>
      </c>
      <c r="B87" s="1" t="str">
        <f ca="1">IFERROR(__xludf.DUMMYFUNCTION("""COMPUTED_VALUE"""),"Bedoya")</f>
        <v>Bedoya</v>
      </c>
      <c r="C87" s="1" t="str">
        <f ca="1">IFERROR(__xludf.DUMMYFUNCTION("""COMPUTED_VALUE"""),"Philadelphia Union")</f>
        <v>Philadelphia Union</v>
      </c>
      <c r="D87" s="1" t="str">
        <f ca="1">IFERROR(__xludf.DUMMYFUNCTION("""COMPUTED_VALUE"""),"Central Midfield")</f>
        <v>Central Midfield</v>
      </c>
      <c r="E87" s="2">
        <f ca="1">IFERROR(__xludf.DUMMYFUNCTION("""COMPUTED_VALUE"""),324996)</f>
        <v>324996</v>
      </c>
      <c r="F87" s="2">
        <f ca="1">IFERROR(__xludf.DUMMYFUNCTION("""COMPUTED_VALUE"""),449996)</f>
        <v>449996</v>
      </c>
      <c r="H87" s="1" t="str">
        <f t="shared" ca="1" si="0"/>
        <v>Central Midfield</v>
      </c>
      <c r="I87" s="3" t="str">
        <f t="shared" ca="1" si="1"/>
        <v>Central Midfield</v>
      </c>
      <c r="J87" s="1" t="str">
        <f t="shared" ca="1" si="2"/>
        <v>Central Midfield</v>
      </c>
      <c r="K87" s="1" t="str">
        <f t="shared" ca="1" si="15"/>
        <v>Central Midfield</v>
      </c>
      <c r="L87" s="1" t="str">
        <f t="shared" ca="1" si="3"/>
        <v>M</v>
      </c>
      <c r="M87" s="1" t="str">
        <f t="shared" ca="1" si="4"/>
        <v>M</v>
      </c>
      <c r="N87" s="1" t="str">
        <f t="shared" ca="1" si="5"/>
        <v>M</v>
      </c>
      <c r="O87" s="1" t="str">
        <f t="shared" ca="1" si="6"/>
        <v>M</v>
      </c>
      <c r="P87" s="1" t="str">
        <f t="shared" ca="1" si="7"/>
        <v>M</v>
      </c>
      <c r="Q87" s="1" t="str">
        <f t="shared" ca="1" si="8"/>
        <v>M</v>
      </c>
      <c r="R87" s="1" t="str">
        <f t="shared" ca="1" si="9"/>
        <v>M</v>
      </c>
      <c r="S87" s="1" t="str">
        <f t="shared" ca="1" si="10"/>
        <v>M</v>
      </c>
      <c r="T87" s="1" t="str">
        <f t="shared" ca="1" si="11"/>
        <v>M</v>
      </c>
      <c r="U87" s="1" t="str">
        <f t="shared" ca="1" si="12"/>
        <v>M</v>
      </c>
      <c r="V87" s="1" t="str">
        <f t="shared" ca="1" si="13"/>
        <v>M</v>
      </c>
      <c r="W87" s="1" t="str">
        <f t="shared" ca="1" si="14"/>
        <v>Alejandro Bedoya</v>
      </c>
    </row>
    <row r="88" spans="1:23">
      <c r="A88" s="1" t="str">
        <f ca="1">IFERROR(__xludf.DUMMYFUNCTION("""COMPUTED_VALUE"""),"Matthew")</f>
        <v>Matthew</v>
      </c>
      <c r="B88" s="1" t="str">
        <f ca="1">IFERROR(__xludf.DUMMYFUNCTION("""COMPUTED_VALUE"""),"Bell")</f>
        <v>Bell</v>
      </c>
      <c r="C88" s="1" t="str">
        <f ca="1">IFERROR(__xludf.DUMMYFUNCTION("""COMPUTED_VALUE"""),"Real Salt Lake")</f>
        <v>Real Salt Lake</v>
      </c>
      <c r="D88" s="1" t="str">
        <f ca="1">IFERROR(__xludf.DUMMYFUNCTION("""COMPUTED_VALUE"""),"Forward")</f>
        <v>Forward</v>
      </c>
      <c r="E88" s="2">
        <f ca="1">IFERROR(__xludf.DUMMYFUNCTION("""COMPUTED_VALUE"""),71401)</f>
        <v>71401</v>
      </c>
      <c r="F88" s="2">
        <f ca="1">IFERROR(__xludf.DUMMYFUNCTION("""COMPUTED_VALUE"""),71847)</f>
        <v>71847</v>
      </c>
      <c r="H88" s="1" t="str">
        <f t="shared" ca="1" si="0"/>
        <v>Forward</v>
      </c>
      <c r="I88" s="3" t="str">
        <f t="shared" ca="1" si="1"/>
        <v>Forward</v>
      </c>
      <c r="J88" s="1" t="str">
        <f t="shared" ca="1" si="2"/>
        <v>Forward</v>
      </c>
      <c r="K88" s="1" t="str">
        <f t="shared" ca="1" si="15"/>
        <v>Forward</v>
      </c>
      <c r="L88" s="1" t="str">
        <f t="shared" ca="1" si="3"/>
        <v>Forward</v>
      </c>
      <c r="M88" s="1" t="str">
        <f t="shared" ca="1" si="4"/>
        <v>Forward</v>
      </c>
      <c r="N88" s="1" t="str">
        <f t="shared" ca="1" si="5"/>
        <v>Forward</v>
      </c>
      <c r="O88" s="1" t="str">
        <f t="shared" ca="1" si="6"/>
        <v>Forward</v>
      </c>
      <c r="P88" s="1" t="str">
        <f t="shared" ca="1" si="7"/>
        <v>Forward</v>
      </c>
      <c r="Q88" s="1" t="str">
        <f t="shared" ca="1" si="8"/>
        <v>F</v>
      </c>
      <c r="R88" s="1" t="str">
        <f t="shared" ca="1" si="9"/>
        <v>F</v>
      </c>
      <c r="S88" s="1" t="str">
        <f t="shared" ca="1" si="10"/>
        <v>F</v>
      </c>
      <c r="T88" s="1" t="str">
        <f t="shared" ca="1" si="11"/>
        <v>F</v>
      </c>
      <c r="U88" s="1" t="str">
        <f t="shared" ca="1" si="12"/>
        <v>F</v>
      </c>
      <c r="V88" s="1" t="str">
        <f t="shared" ca="1" si="13"/>
        <v>F</v>
      </c>
      <c r="W88" s="1" t="str">
        <f t="shared" ca="1" si="14"/>
        <v>Matthew Bell</v>
      </c>
    </row>
    <row r="89" spans="1:23">
      <c r="A89" s="1" t="str">
        <f ca="1">IFERROR(__xludf.DUMMYFUNCTION("""COMPUTED_VALUE"""),"Jon")</f>
        <v>Jon</v>
      </c>
      <c r="B89" s="1" t="str">
        <f ca="1">IFERROR(__xludf.DUMMYFUNCTION("""COMPUTED_VALUE"""),"Bell")</f>
        <v>Bell</v>
      </c>
      <c r="C89" s="1" t="str">
        <f ca="1">IFERROR(__xludf.DUMMYFUNCTION("""COMPUTED_VALUE"""),"Seattle Sounders FC")</f>
        <v>Seattle Sounders FC</v>
      </c>
      <c r="D89" s="1" t="str">
        <f ca="1">IFERROR(__xludf.DUMMYFUNCTION("""COMPUTED_VALUE"""),"Center-back")</f>
        <v>Center-back</v>
      </c>
      <c r="E89" s="2">
        <f ca="1">IFERROR(__xludf.DUMMYFUNCTION("""COMPUTED_VALUE"""),100444)</f>
        <v>100444</v>
      </c>
      <c r="F89" s="2">
        <f ca="1">IFERROR(__xludf.DUMMYFUNCTION("""COMPUTED_VALUE"""),100444)</f>
        <v>100444</v>
      </c>
      <c r="H89" s="1" t="str">
        <f t="shared" ca="1" si="0"/>
        <v>D</v>
      </c>
      <c r="I89" s="3" t="str">
        <f t="shared" ca="1" si="1"/>
        <v>D</v>
      </c>
      <c r="J89" s="1" t="str">
        <f t="shared" ca="1" si="2"/>
        <v>D</v>
      </c>
      <c r="K89" s="1" t="str">
        <f t="shared" ca="1" si="15"/>
        <v>D</v>
      </c>
      <c r="L89" s="1" t="str">
        <f t="shared" ca="1" si="3"/>
        <v>D</v>
      </c>
      <c r="M89" s="1" t="str">
        <f t="shared" ca="1" si="4"/>
        <v>D</v>
      </c>
      <c r="N89" s="1" t="str">
        <f t="shared" ca="1" si="5"/>
        <v>D</v>
      </c>
      <c r="O89" s="1" t="str">
        <f t="shared" ca="1" si="6"/>
        <v>D</v>
      </c>
      <c r="P89" s="1" t="str">
        <f t="shared" ca="1" si="7"/>
        <v>D</v>
      </c>
      <c r="Q89" s="1" t="str">
        <f t="shared" ca="1" si="8"/>
        <v>D</v>
      </c>
      <c r="R89" s="1" t="str">
        <f t="shared" ca="1" si="9"/>
        <v>D</v>
      </c>
      <c r="S89" s="1" t="str">
        <f t="shared" ca="1" si="10"/>
        <v>D</v>
      </c>
      <c r="T89" s="1" t="str">
        <f t="shared" ca="1" si="11"/>
        <v>D</v>
      </c>
      <c r="U89" s="1" t="str">
        <f t="shared" ca="1" si="12"/>
        <v>D</v>
      </c>
      <c r="V89" s="1" t="str">
        <f t="shared" ca="1" si="13"/>
        <v>D</v>
      </c>
      <c r="W89" s="1" t="str">
        <f t="shared" ca="1" si="14"/>
        <v>Jon Bell</v>
      </c>
    </row>
    <row r="90" spans="1:23">
      <c r="A90" s="1" t="str">
        <f ca="1">IFERROR(__xludf.DUMMYFUNCTION("""COMPUTED_VALUE"""),"Ben")</f>
        <v>Ben</v>
      </c>
      <c r="B90" s="1" t="str">
        <f ca="1">IFERROR(__xludf.DUMMYFUNCTION("""COMPUTED_VALUE"""),"Bender")</f>
        <v>Bender</v>
      </c>
      <c r="C90" s="1" t="str">
        <f ca="1">IFERROR(__xludf.DUMMYFUNCTION("""COMPUTED_VALUE"""),"Charlotte FC")</f>
        <v>Charlotte FC</v>
      </c>
      <c r="D90" s="1" t="str">
        <f ca="1">IFERROR(__xludf.DUMMYFUNCTION("""COMPUTED_VALUE"""),"Central Midfield")</f>
        <v>Central Midfield</v>
      </c>
      <c r="E90" s="2">
        <f ca="1">IFERROR(__xludf.DUMMYFUNCTION("""COMPUTED_VALUE"""),115000)</f>
        <v>115000</v>
      </c>
      <c r="F90" s="2">
        <f ca="1">IFERROR(__xludf.DUMMYFUNCTION("""COMPUTED_VALUE"""),125000)</f>
        <v>125000</v>
      </c>
      <c r="H90" s="1" t="str">
        <f t="shared" ca="1" si="0"/>
        <v>Central Midfield</v>
      </c>
      <c r="I90" s="3" t="str">
        <f t="shared" ca="1" si="1"/>
        <v>Central Midfield</v>
      </c>
      <c r="J90" s="1" t="str">
        <f t="shared" ca="1" si="2"/>
        <v>Central Midfield</v>
      </c>
      <c r="K90" s="1" t="str">
        <f t="shared" ca="1" si="15"/>
        <v>Central Midfield</v>
      </c>
      <c r="L90" s="1" t="str">
        <f t="shared" ca="1" si="3"/>
        <v>M</v>
      </c>
      <c r="M90" s="1" t="str">
        <f t="shared" ca="1" si="4"/>
        <v>M</v>
      </c>
      <c r="N90" s="1" t="str">
        <f t="shared" ca="1" si="5"/>
        <v>M</v>
      </c>
      <c r="O90" s="1" t="str">
        <f t="shared" ca="1" si="6"/>
        <v>M</v>
      </c>
      <c r="P90" s="1" t="str">
        <f t="shared" ca="1" si="7"/>
        <v>M</v>
      </c>
      <c r="Q90" s="1" t="str">
        <f t="shared" ca="1" si="8"/>
        <v>M</v>
      </c>
      <c r="R90" s="1" t="str">
        <f t="shared" ca="1" si="9"/>
        <v>M</v>
      </c>
      <c r="S90" s="1" t="str">
        <f t="shared" ca="1" si="10"/>
        <v>M</v>
      </c>
      <c r="T90" s="1" t="str">
        <f t="shared" ca="1" si="11"/>
        <v>M</v>
      </c>
      <c r="U90" s="1" t="str">
        <f t="shared" ca="1" si="12"/>
        <v>M</v>
      </c>
      <c r="V90" s="1" t="str">
        <f t="shared" ca="1" si="13"/>
        <v>M</v>
      </c>
      <c r="W90" s="1" t="str">
        <f t="shared" ca="1" si="14"/>
        <v>Ben Bender</v>
      </c>
    </row>
    <row r="91" spans="1:23">
      <c r="A91" s="1" t="str">
        <f ca="1">IFERROR(__xludf.DUMMYFUNCTION("""COMPUTED_VALUE"""),"Joe")</f>
        <v>Joe</v>
      </c>
      <c r="B91" s="1" t="str">
        <f ca="1">IFERROR(__xludf.DUMMYFUNCTION("""COMPUTED_VALUE"""),"Bendik")</f>
        <v>Bendik</v>
      </c>
      <c r="C91" s="1" t="str">
        <f ca="1">IFERROR(__xludf.DUMMYFUNCTION("""COMPUTED_VALUE"""),"Vancouver Whitecaps")</f>
        <v>Vancouver Whitecaps</v>
      </c>
      <c r="D91" s="1" t="str">
        <f ca="1">IFERROR(__xludf.DUMMYFUNCTION("""COMPUTED_VALUE"""),"Goalkeeper")</f>
        <v>Goalkeeper</v>
      </c>
      <c r="E91" s="2">
        <f ca="1">IFERROR(__xludf.DUMMYFUNCTION("""COMPUTED_VALUE"""),108000)</f>
        <v>108000</v>
      </c>
      <c r="F91" s="2">
        <f ca="1">IFERROR(__xludf.DUMMYFUNCTION("""COMPUTED_VALUE"""),116673)</f>
        <v>116673</v>
      </c>
      <c r="H91" s="1" t="str">
        <f t="shared" ca="1" si="0"/>
        <v>Goalkeeper</v>
      </c>
      <c r="I91" s="3" t="str">
        <f t="shared" ca="1" si="1"/>
        <v>Goalkeeper</v>
      </c>
      <c r="J91" s="1" t="str">
        <f t="shared" ca="1" si="2"/>
        <v>Goalkeeper</v>
      </c>
      <c r="K91" s="1" t="str">
        <f t="shared" ca="1" si="15"/>
        <v>Goalkeeper</v>
      </c>
      <c r="L91" s="1" t="str">
        <f t="shared" ca="1" si="3"/>
        <v>Goalkeeper</v>
      </c>
      <c r="M91" s="1" t="str">
        <f t="shared" ca="1" si="4"/>
        <v>Goalkeeper</v>
      </c>
      <c r="N91" s="1" t="str">
        <f t="shared" ca="1" si="5"/>
        <v>Goalkeeper</v>
      </c>
      <c r="O91" s="1" t="str">
        <f t="shared" ca="1" si="6"/>
        <v>Goalkeeper</v>
      </c>
      <c r="P91" s="1" t="str">
        <f t="shared" ca="1" si="7"/>
        <v>Goalkeeper</v>
      </c>
      <c r="Q91" s="1" t="str">
        <f t="shared" ca="1" si="8"/>
        <v>Goalkeeper</v>
      </c>
      <c r="R91" s="1" t="str">
        <f t="shared" ca="1" si="9"/>
        <v>GK</v>
      </c>
      <c r="S91" s="1" t="str">
        <f t="shared" ca="1" si="10"/>
        <v>GK</v>
      </c>
      <c r="T91" s="1" t="str">
        <f t="shared" ca="1" si="11"/>
        <v>GK</v>
      </c>
      <c r="U91" s="1" t="str">
        <f t="shared" ca="1" si="12"/>
        <v>GK</v>
      </c>
      <c r="V91" s="1" t="str">
        <f t="shared" ca="1" si="13"/>
        <v>GK</v>
      </c>
      <c r="W91" s="1" t="str">
        <f t="shared" ca="1" si="14"/>
        <v>Joe Bendik</v>
      </c>
    </row>
    <row r="92" spans="1:23">
      <c r="A92" s="1" t="str">
        <f ca="1">IFERROR(__xludf.DUMMYFUNCTION("""COMPUTED_VALUE"""),"Christian")</f>
        <v>Christian</v>
      </c>
      <c r="B92" s="1" t="str">
        <f ca="1">IFERROR(__xludf.DUMMYFUNCTION("""COMPUTED_VALUE"""),"Benteke")</f>
        <v>Benteke</v>
      </c>
      <c r="C92" s="1" t="str">
        <f ca="1">IFERROR(__xludf.DUMMYFUNCTION("""COMPUTED_VALUE"""),"DC United")</f>
        <v>DC United</v>
      </c>
      <c r="D92" s="1" t="str">
        <f ca="1">IFERROR(__xludf.DUMMYFUNCTION("""COMPUTED_VALUE"""),"Center Forward")</f>
        <v>Center Forward</v>
      </c>
      <c r="E92" s="2">
        <f ca="1">IFERROR(__xludf.DUMMYFUNCTION("""COMPUTED_VALUE"""),4250000)</f>
        <v>4250000</v>
      </c>
      <c r="F92" s="2">
        <f ca="1">IFERROR(__xludf.DUMMYFUNCTION("""COMPUTED_VALUE"""),4432778)</f>
        <v>4432778</v>
      </c>
      <c r="H92" s="1" t="str">
        <f t="shared" ca="1" si="0"/>
        <v>Center Forward</v>
      </c>
      <c r="I92" s="3" t="str">
        <f t="shared" ca="1" si="1"/>
        <v>Center Forward</v>
      </c>
      <c r="J92" s="1" t="str">
        <f t="shared" ca="1" si="2"/>
        <v>Center Forward</v>
      </c>
      <c r="K92" s="1" t="str">
        <f t="shared" ca="1" si="15"/>
        <v>Center Forward</v>
      </c>
      <c r="L92" s="1" t="str">
        <f t="shared" ca="1" si="3"/>
        <v>Center Forward</v>
      </c>
      <c r="M92" s="1" t="str">
        <f t="shared" ca="1" si="4"/>
        <v>Center Forward</v>
      </c>
      <c r="N92" s="1" t="str">
        <f t="shared" ca="1" si="5"/>
        <v>Center Forward</v>
      </c>
      <c r="O92" s="1" t="str">
        <f t="shared" ca="1" si="6"/>
        <v>F</v>
      </c>
      <c r="P92" s="1" t="str">
        <f t="shared" ca="1" si="7"/>
        <v>F</v>
      </c>
      <c r="Q92" s="1" t="str">
        <f t="shared" ca="1" si="8"/>
        <v>F</v>
      </c>
      <c r="R92" s="1" t="str">
        <f t="shared" ca="1" si="9"/>
        <v>F</v>
      </c>
      <c r="S92" s="1" t="str">
        <f t="shared" ca="1" si="10"/>
        <v>F</v>
      </c>
      <c r="T92" s="1" t="str">
        <f t="shared" ca="1" si="11"/>
        <v>F</v>
      </c>
      <c r="U92" s="1" t="str">
        <f t="shared" ca="1" si="12"/>
        <v>F</v>
      </c>
      <c r="V92" s="1" t="str">
        <f t="shared" ca="1" si="13"/>
        <v>F</v>
      </c>
      <c r="W92" s="1" t="str">
        <f t="shared" ca="1" si="14"/>
        <v>Christian Benteke</v>
      </c>
    </row>
    <row r="93" spans="1:23">
      <c r="A93" s="1" t="str">
        <f ca="1">IFERROR(__xludf.DUMMYFUNCTION("""COMPUTED_VALUE"""),"Nimfasha")</f>
        <v>Nimfasha</v>
      </c>
      <c r="B93" s="1" t="str">
        <f ca="1">IFERROR(__xludf.DUMMYFUNCTION("""COMPUTED_VALUE"""),"Berchimas")</f>
        <v>Berchimas</v>
      </c>
      <c r="C93" s="1" t="str">
        <f ca="1">IFERROR(__xludf.DUMMYFUNCTION("""COMPUTED_VALUE"""),"Charlotte FC")</f>
        <v>Charlotte FC</v>
      </c>
      <c r="D93" s="1" t="str">
        <f ca="1">IFERROR(__xludf.DUMMYFUNCTION("""COMPUTED_VALUE"""),"Left Wing")</f>
        <v>Left Wing</v>
      </c>
      <c r="E93" s="2">
        <f ca="1">IFERROR(__xludf.DUMMYFUNCTION("""COMPUTED_VALUE"""),89716)</f>
        <v>89716</v>
      </c>
      <c r="F93" s="2">
        <f ca="1">IFERROR(__xludf.DUMMYFUNCTION("""COMPUTED_VALUE"""),104650)</f>
        <v>104650</v>
      </c>
      <c r="H93" s="1" t="str">
        <f t="shared" ca="1" si="0"/>
        <v>Left Wing</v>
      </c>
      <c r="I93" s="3" t="str">
        <f t="shared" ca="1" si="1"/>
        <v>Left Wing</v>
      </c>
      <c r="J93" s="1" t="str">
        <f t="shared" ca="1" si="2"/>
        <v>Left Wing</v>
      </c>
      <c r="K93" s="1" t="str">
        <f t="shared" ca="1" si="15"/>
        <v>Left Wing</v>
      </c>
      <c r="L93" s="1" t="str">
        <f t="shared" ca="1" si="3"/>
        <v>Left Wing</v>
      </c>
      <c r="M93" s="1" t="str">
        <f t="shared" ca="1" si="4"/>
        <v>Left Wing</v>
      </c>
      <c r="N93" s="1" t="str">
        <f t="shared" ca="1" si="5"/>
        <v>Left Wing</v>
      </c>
      <c r="O93" s="1" t="str">
        <f t="shared" ca="1" si="6"/>
        <v>Left Wing</v>
      </c>
      <c r="P93" s="1" t="str">
        <f t="shared" ca="1" si="7"/>
        <v>F</v>
      </c>
      <c r="Q93" s="1" t="str">
        <f t="shared" ca="1" si="8"/>
        <v>F</v>
      </c>
      <c r="R93" s="1" t="str">
        <f t="shared" ca="1" si="9"/>
        <v>F</v>
      </c>
      <c r="S93" s="1" t="str">
        <f t="shared" ca="1" si="10"/>
        <v>F</v>
      </c>
      <c r="T93" s="1" t="str">
        <f t="shared" ca="1" si="11"/>
        <v>F</v>
      </c>
      <c r="U93" s="1" t="str">
        <f t="shared" ca="1" si="12"/>
        <v>F</v>
      </c>
      <c r="V93" s="1" t="str">
        <f t="shared" ca="1" si="13"/>
        <v>F</v>
      </c>
      <c r="W93" s="1" t="str">
        <f t="shared" ca="1" si="14"/>
        <v>Nimfasha Berchimas</v>
      </c>
    </row>
    <row r="94" spans="1:23">
      <c r="A94" s="1" t="str">
        <f ca="1">IFERROR(__xludf.DUMMYFUNCTION("""COMPUTED_VALUE"""),"Jamir")</f>
        <v>Jamir</v>
      </c>
      <c r="B94" s="1" t="str">
        <f ca="1">IFERROR(__xludf.DUMMYFUNCTION("""COMPUTED_VALUE"""),"Berdecio")</f>
        <v>Berdecio</v>
      </c>
      <c r="C94" s="1" t="str">
        <f ca="1">IFERROR(__xludf.DUMMYFUNCTION("""COMPUTED_VALUE"""),"Philadelphia Union")</f>
        <v>Philadelphia Union</v>
      </c>
      <c r="D94" s="1" t="str">
        <f ca="1">IFERROR(__xludf.DUMMYFUNCTION("""COMPUTED_VALUE"""),"Right-back")</f>
        <v>Right-back</v>
      </c>
      <c r="E94" s="2">
        <f ca="1">IFERROR(__xludf.DUMMYFUNCTION("""COMPUTED_VALUE"""),89716)</f>
        <v>89716</v>
      </c>
      <c r="F94" s="2">
        <f ca="1">IFERROR(__xludf.DUMMYFUNCTION("""COMPUTED_VALUE"""),97910)</f>
        <v>97910</v>
      </c>
      <c r="H94" s="1" t="str">
        <f t="shared" ca="1" si="0"/>
        <v>Right-back</v>
      </c>
      <c r="I94" s="3" t="str">
        <f t="shared" ca="1" si="1"/>
        <v>Right-back</v>
      </c>
      <c r="J94" s="1" t="str">
        <f t="shared" ca="1" si="2"/>
        <v>D</v>
      </c>
      <c r="K94" s="1" t="str">
        <f t="shared" ca="1" si="15"/>
        <v>D</v>
      </c>
      <c r="L94" s="1" t="str">
        <f t="shared" ca="1" si="3"/>
        <v>D</v>
      </c>
      <c r="M94" s="1" t="str">
        <f t="shared" ca="1" si="4"/>
        <v>D</v>
      </c>
      <c r="N94" s="1" t="str">
        <f t="shared" ca="1" si="5"/>
        <v>D</v>
      </c>
      <c r="O94" s="1" t="str">
        <f t="shared" ca="1" si="6"/>
        <v>D</v>
      </c>
      <c r="P94" s="1" t="str">
        <f t="shared" ca="1" si="7"/>
        <v>D</v>
      </c>
      <c r="Q94" s="1" t="str">
        <f t="shared" ca="1" si="8"/>
        <v>D</v>
      </c>
      <c r="R94" s="1" t="str">
        <f t="shared" ca="1" si="9"/>
        <v>D</v>
      </c>
      <c r="S94" s="1" t="str">
        <f t="shared" ca="1" si="10"/>
        <v>D</v>
      </c>
      <c r="T94" s="1" t="str">
        <f t="shared" ca="1" si="11"/>
        <v>D</v>
      </c>
      <c r="U94" s="1" t="str">
        <f t="shared" ca="1" si="12"/>
        <v>D</v>
      </c>
      <c r="V94" s="1" t="str">
        <f t="shared" ca="1" si="13"/>
        <v>D</v>
      </c>
      <c r="W94" s="1" t="str">
        <f t="shared" ca="1" si="14"/>
        <v>Jamir Berdecio</v>
      </c>
    </row>
    <row r="95" spans="1:23">
      <c r="A95" s="1" t="str">
        <f ca="1">IFERROR(__xludf.DUMMYFUNCTION("""COMPUTED_VALUE"""),"Sebastian")</f>
        <v>Sebastian</v>
      </c>
      <c r="B95" s="1" t="str">
        <f ca="1">IFERROR(__xludf.DUMMYFUNCTION("""COMPUTED_VALUE"""),"Berhalter")</f>
        <v>Berhalter</v>
      </c>
      <c r="C95" s="1" t="str">
        <f ca="1">IFERROR(__xludf.DUMMYFUNCTION("""COMPUTED_VALUE"""),"Vancouver Whitecaps")</f>
        <v>Vancouver Whitecaps</v>
      </c>
      <c r="D95" s="1" t="str">
        <f ca="1">IFERROR(__xludf.DUMMYFUNCTION("""COMPUTED_VALUE"""),"Central Midfield")</f>
        <v>Central Midfield</v>
      </c>
      <c r="E95" s="2">
        <f ca="1">IFERROR(__xludf.DUMMYFUNCTION("""COMPUTED_VALUE"""),330000)</f>
        <v>330000</v>
      </c>
      <c r="F95" s="2">
        <f ca="1">IFERROR(__xludf.DUMMYFUNCTION("""COMPUTED_VALUE"""),330000)</f>
        <v>330000</v>
      </c>
      <c r="H95" s="1" t="str">
        <f t="shared" ca="1" si="0"/>
        <v>Central Midfield</v>
      </c>
      <c r="I95" s="3" t="str">
        <f t="shared" ca="1" si="1"/>
        <v>Central Midfield</v>
      </c>
      <c r="J95" s="1" t="str">
        <f t="shared" ca="1" si="2"/>
        <v>Central Midfield</v>
      </c>
      <c r="K95" s="1" t="str">
        <f t="shared" ca="1" si="15"/>
        <v>Central Midfield</v>
      </c>
      <c r="L95" s="1" t="str">
        <f t="shared" ca="1" si="3"/>
        <v>M</v>
      </c>
      <c r="M95" s="1" t="str">
        <f t="shared" ca="1" si="4"/>
        <v>M</v>
      </c>
      <c r="N95" s="1" t="str">
        <f t="shared" ca="1" si="5"/>
        <v>M</v>
      </c>
      <c r="O95" s="1" t="str">
        <f t="shared" ca="1" si="6"/>
        <v>M</v>
      </c>
      <c r="P95" s="1" t="str">
        <f t="shared" ca="1" si="7"/>
        <v>M</v>
      </c>
      <c r="Q95" s="1" t="str">
        <f t="shared" ca="1" si="8"/>
        <v>M</v>
      </c>
      <c r="R95" s="1" t="str">
        <f t="shared" ca="1" si="9"/>
        <v>M</v>
      </c>
      <c r="S95" s="1" t="str">
        <f t="shared" ca="1" si="10"/>
        <v>M</v>
      </c>
      <c r="T95" s="1" t="str">
        <f t="shared" ca="1" si="11"/>
        <v>M</v>
      </c>
      <c r="U95" s="1" t="str">
        <f t="shared" ca="1" si="12"/>
        <v>M</v>
      </c>
      <c r="V95" s="1" t="str">
        <f t="shared" ca="1" si="13"/>
        <v>M</v>
      </c>
      <c r="W95" s="1" t="str">
        <f t="shared" ca="1" si="14"/>
        <v>Sebastian Berhalter</v>
      </c>
    </row>
    <row r="96" spans="1:23">
      <c r="A96" s="1" t="str">
        <f ca="1">IFERROR(__xludf.DUMMYFUNCTION("""COMPUTED_VALUE"""),"Federico")</f>
        <v>Federico</v>
      </c>
      <c r="B96" s="1" t="str">
        <f ca="1">IFERROR(__xludf.DUMMYFUNCTION("""COMPUTED_VALUE"""),"Bernardeschi")</f>
        <v>Bernardeschi</v>
      </c>
      <c r="C96" s="1" t="str">
        <f ca="1">IFERROR(__xludf.DUMMYFUNCTION("""COMPUTED_VALUE"""),"Toronto FC")</f>
        <v>Toronto FC</v>
      </c>
      <c r="D96" s="1" t="str">
        <f ca="1">IFERROR(__xludf.DUMMYFUNCTION("""COMPUTED_VALUE"""),"Right Wing")</f>
        <v>Right Wing</v>
      </c>
      <c r="E96" s="2">
        <f ca="1">IFERROR(__xludf.DUMMYFUNCTION("""COMPUTED_VALUE"""),3125000)</f>
        <v>3125000</v>
      </c>
      <c r="F96" s="2">
        <f ca="1">IFERROR(__xludf.DUMMYFUNCTION("""COMPUTED_VALUE"""),6295381)</f>
        <v>6295381</v>
      </c>
      <c r="H96" s="1" t="str">
        <f t="shared" ca="1" si="0"/>
        <v>Right Wing</v>
      </c>
      <c r="I96" s="3" t="str">
        <f t="shared" ca="1" si="1"/>
        <v>Right Wing</v>
      </c>
      <c r="J96" s="1" t="str">
        <f t="shared" ca="1" si="2"/>
        <v>Right Wing</v>
      </c>
      <c r="K96" s="1" t="str">
        <f t="shared" ca="1" si="15"/>
        <v>Right Wing</v>
      </c>
      <c r="L96" s="1" t="str">
        <f t="shared" ca="1" si="3"/>
        <v>Right Wing</v>
      </c>
      <c r="M96" s="1" t="str">
        <f t="shared" ca="1" si="4"/>
        <v>Right Wing</v>
      </c>
      <c r="N96" s="1" t="str">
        <f t="shared" ca="1" si="5"/>
        <v>F</v>
      </c>
      <c r="O96" s="1" t="str">
        <f t="shared" ca="1" si="6"/>
        <v>F</v>
      </c>
      <c r="P96" s="1" t="str">
        <f t="shared" ca="1" si="7"/>
        <v>F</v>
      </c>
      <c r="Q96" s="1" t="str">
        <f t="shared" ca="1" si="8"/>
        <v>F</v>
      </c>
      <c r="R96" s="1" t="str">
        <f t="shared" ca="1" si="9"/>
        <v>F</v>
      </c>
      <c r="S96" s="1" t="str">
        <f t="shared" ca="1" si="10"/>
        <v>F</v>
      </c>
      <c r="T96" s="1" t="str">
        <f t="shared" ca="1" si="11"/>
        <v>F</v>
      </c>
      <c r="U96" s="1" t="str">
        <f t="shared" ca="1" si="12"/>
        <v>F</v>
      </c>
      <c r="V96" s="1" t="str">
        <f t="shared" ca="1" si="13"/>
        <v>F</v>
      </c>
      <c r="W96" s="1" t="str">
        <f t="shared" ca="1" si="14"/>
        <v>Federico Bernardeschi</v>
      </c>
    </row>
    <row r="97" spans="1:23">
      <c r="A97" s="1" t="str">
        <f ca="1">IFERROR(__xludf.DUMMYFUNCTION("""COMPUTED_VALUE"""),"Miguel")</f>
        <v>Miguel</v>
      </c>
      <c r="B97" s="1" t="str">
        <f ca="1">IFERROR(__xludf.DUMMYFUNCTION("""COMPUTED_VALUE"""),"Berry")</f>
        <v>Berry</v>
      </c>
      <c r="C97" s="1" t="str">
        <f ca="1">IFERROR(__xludf.DUMMYFUNCTION("""COMPUTED_VALUE"""),"LA Galaxy")</f>
        <v>LA Galaxy</v>
      </c>
      <c r="D97" s="1" t="str">
        <f ca="1">IFERROR(__xludf.DUMMYFUNCTION("""COMPUTED_VALUE"""),"Center Forward")</f>
        <v>Center Forward</v>
      </c>
      <c r="E97" s="2">
        <f ca="1">IFERROR(__xludf.DUMMYFUNCTION("""COMPUTED_VALUE"""),175008)</f>
        <v>175008</v>
      </c>
      <c r="F97" s="2">
        <f ca="1">IFERROR(__xludf.DUMMYFUNCTION("""COMPUTED_VALUE"""),181675)</f>
        <v>181675</v>
      </c>
      <c r="H97" s="1" t="str">
        <f t="shared" ca="1" si="0"/>
        <v>Center Forward</v>
      </c>
      <c r="I97" s="3" t="str">
        <f t="shared" ca="1" si="1"/>
        <v>Center Forward</v>
      </c>
      <c r="J97" s="1" t="str">
        <f t="shared" ca="1" si="2"/>
        <v>Center Forward</v>
      </c>
      <c r="K97" s="1" t="str">
        <f t="shared" ca="1" si="15"/>
        <v>Center Forward</v>
      </c>
      <c r="L97" s="1" t="str">
        <f t="shared" ca="1" si="3"/>
        <v>Center Forward</v>
      </c>
      <c r="M97" s="1" t="str">
        <f t="shared" ca="1" si="4"/>
        <v>Center Forward</v>
      </c>
      <c r="N97" s="1" t="str">
        <f t="shared" ca="1" si="5"/>
        <v>Center Forward</v>
      </c>
      <c r="O97" s="1" t="str">
        <f t="shared" ca="1" si="6"/>
        <v>F</v>
      </c>
      <c r="P97" s="1" t="str">
        <f t="shared" ca="1" si="7"/>
        <v>F</v>
      </c>
      <c r="Q97" s="1" t="str">
        <f t="shared" ca="1" si="8"/>
        <v>F</v>
      </c>
      <c r="R97" s="1" t="str">
        <f t="shared" ca="1" si="9"/>
        <v>F</v>
      </c>
      <c r="S97" s="1" t="str">
        <f t="shared" ca="1" si="10"/>
        <v>F</v>
      </c>
      <c r="T97" s="1" t="str">
        <f t="shared" ca="1" si="11"/>
        <v>F</v>
      </c>
      <c r="U97" s="1" t="str">
        <f t="shared" ca="1" si="12"/>
        <v>F</v>
      </c>
      <c r="V97" s="1" t="str">
        <f t="shared" ca="1" si="13"/>
        <v>F</v>
      </c>
      <c r="W97" s="1" t="str">
        <f t="shared" ca="1" si="14"/>
        <v>Miguel Berry</v>
      </c>
    </row>
    <row r="98" spans="1:23">
      <c r="A98" s="1" t="str">
        <f ca="1">IFERROR(__xludf.DUMMYFUNCTION("""COMPUTED_VALUE"""),"Matt")</f>
        <v>Matt</v>
      </c>
      <c r="B98" s="1" t="str">
        <f ca="1">IFERROR(__xludf.DUMMYFUNCTION("""COMPUTED_VALUE"""),"Bersano")</f>
        <v>Bersano</v>
      </c>
      <c r="C98" s="1" t="str">
        <f ca="1">IFERROR(__xludf.DUMMYFUNCTION("""COMPUTED_VALUE"""),"Austin FC")</f>
        <v>Austin FC</v>
      </c>
      <c r="D98" s="1" t="str">
        <f ca="1">IFERROR(__xludf.DUMMYFUNCTION("""COMPUTED_VALUE"""),"Goalkeeper")</f>
        <v>Goalkeeper</v>
      </c>
      <c r="E98" s="2">
        <f ca="1">IFERROR(__xludf.DUMMYFUNCTION("""COMPUTED_VALUE"""),150000)</f>
        <v>150000</v>
      </c>
      <c r="F98" s="2">
        <f ca="1">IFERROR(__xludf.DUMMYFUNCTION("""COMPUTED_VALUE"""),157500)</f>
        <v>157500</v>
      </c>
      <c r="H98" s="1" t="str">
        <f t="shared" ca="1" si="0"/>
        <v>Goalkeeper</v>
      </c>
      <c r="I98" s="3" t="str">
        <f t="shared" ca="1" si="1"/>
        <v>Goalkeeper</v>
      </c>
      <c r="J98" s="1" t="str">
        <f t="shared" ca="1" si="2"/>
        <v>Goalkeeper</v>
      </c>
      <c r="K98" s="1" t="str">
        <f t="shared" ca="1" si="15"/>
        <v>Goalkeeper</v>
      </c>
      <c r="L98" s="1" t="str">
        <f t="shared" ca="1" si="3"/>
        <v>Goalkeeper</v>
      </c>
      <c r="M98" s="1" t="str">
        <f t="shared" ca="1" si="4"/>
        <v>Goalkeeper</v>
      </c>
      <c r="N98" s="1" t="str">
        <f t="shared" ca="1" si="5"/>
        <v>Goalkeeper</v>
      </c>
      <c r="O98" s="1" t="str">
        <f t="shared" ca="1" si="6"/>
        <v>Goalkeeper</v>
      </c>
      <c r="P98" s="1" t="str">
        <f t="shared" ca="1" si="7"/>
        <v>Goalkeeper</v>
      </c>
      <c r="Q98" s="1" t="str">
        <f t="shared" ca="1" si="8"/>
        <v>Goalkeeper</v>
      </c>
      <c r="R98" s="1" t="str">
        <f t="shared" ca="1" si="9"/>
        <v>GK</v>
      </c>
      <c r="S98" s="1" t="str">
        <f t="shared" ca="1" si="10"/>
        <v>GK</v>
      </c>
      <c r="T98" s="1" t="str">
        <f t="shared" ca="1" si="11"/>
        <v>GK</v>
      </c>
      <c r="U98" s="1" t="str">
        <f t="shared" ca="1" si="12"/>
        <v>GK</v>
      </c>
      <c r="V98" s="1" t="str">
        <f t="shared" ca="1" si="13"/>
        <v>GK</v>
      </c>
      <c r="W98" s="1" t="str">
        <f t="shared" ca="1" si="14"/>
        <v>Matt Bersano</v>
      </c>
    </row>
    <row r="99" spans="1:23">
      <c r="A99" s="1" t="str">
        <f ca="1">IFERROR(__xludf.DUMMYFUNCTION("""COMPUTED_VALUE"""),"Victor")</f>
        <v>Victor</v>
      </c>
      <c r="B99" s="1" t="str">
        <f ca="1">IFERROR(__xludf.DUMMYFUNCTION("""COMPUTED_VALUE"""),"Bezerra")</f>
        <v>Bezerra</v>
      </c>
      <c r="C99" s="1" t="str">
        <f ca="1">IFERROR(__xludf.DUMMYFUNCTION("""COMPUTED_VALUE"""),"Chicago Fire")</f>
        <v>Chicago Fire</v>
      </c>
      <c r="D99" s="1" t="str">
        <f ca="1">IFERROR(__xludf.DUMMYFUNCTION("""COMPUTED_VALUE"""),"Center Forward")</f>
        <v>Center Forward</v>
      </c>
      <c r="E99" s="2">
        <f ca="1">IFERROR(__xludf.DUMMYFUNCTION("""COMPUTED_VALUE"""),104004)</f>
        <v>104004</v>
      </c>
      <c r="F99" s="2">
        <f ca="1">IFERROR(__xludf.DUMMYFUNCTION("""COMPUTED_VALUE"""),116465)</f>
        <v>116465</v>
      </c>
      <c r="H99" s="1" t="str">
        <f t="shared" ca="1" si="0"/>
        <v>Center Forward</v>
      </c>
      <c r="I99" s="3" t="str">
        <f t="shared" ca="1" si="1"/>
        <v>Center Forward</v>
      </c>
      <c r="J99" s="1" t="str">
        <f t="shared" ca="1" si="2"/>
        <v>Center Forward</v>
      </c>
      <c r="K99" s="1" t="str">
        <f t="shared" ca="1" si="15"/>
        <v>Center Forward</v>
      </c>
      <c r="L99" s="1" t="str">
        <f t="shared" ca="1" si="3"/>
        <v>Center Forward</v>
      </c>
      <c r="M99" s="1" t="str">
        <f t="shared" ca="1" si="4"/>
        <v>Center Forward</v>
      </c>
      <c r="N99" s="1" t="str">
        <f t="shared" ca="1" si="5"/>
        <v>Center Forward</v>
      </c>
      <c r="O99" s="1" t="str">
        <f t="shared" ca="1" si="6"/>
        <v>F</v>
      </c>
      <c r="P99" s="1" t="str">
        <f t="shared" ca="1" si="7"/>
        <v>F</v>
      </c>
      <c r="Q99" s="1" t="str">
        <f t="shared" ca="1" si="8"/>
        <v>F</v>
      </c>
      <c r="R99" s="1" t="str">
        <f t="shared" ca="1" si="9"/>
        <v>F</v>
      </c>
      <c r="S99" s="1" t="str">
        <f t="shared" ca="1" si="10"/>
        <v>F</v>
      </c>
      <c r="T99" s="1" t="str">
        <f t="shared" ca="1" si="11"/>
        <v>F</v>
      </c>
      <c r="U99" s="1" t="str">
        <f t="shared" ca="1" si="12"/>
        <v>F</v>
      </c>
      <c r="V99" s="1" t="str">
        <f t="shared" ca="1" si="13"/>
        <v>F</v>
      </c>
      <c r="W99" s="1" t="str">
        <f t="shared" ca="1" si="14"/>
        <v>Victor Bezerra</v>
      </c>
    </row>
    <row r="100" spans="1:23">
      <c r="A100" s="1" t="str">
        <f ca="1">IFERROR(__xludf.DUMMYFUNCTION("""COMPUTED_VALUE"""),"Aaron")</f>
        <v>Aaron</v>
      </c>
      <c r="B100" s="1" t="str">
        <f ca="1">IFERROR(__xludf.DUMMYFUNCTION("""COMPUTED_VALUE"""),"Bibout")</f>
        <v>Bibout</v>
      </c>
      <c r="C100" s="1" t="str">
        <f ca="1">IFERROR(__xludf.DUMMYFUNCTION("""COMPUTED_VALUE"""),"LA Galaxy")</f>
        <v>LA Galaxy</v>
      </c>
      <c r="D100" s="1" t="str">
        <f ca="1">IFERROR(__xludf.DUMMYFUNCTION("""COMPUTED_VALUE"""),"Center Forward")</f>
        <v>Center Forward</v>
      </c>
      <c r="E100" s="2">
        <f ca="1">IFERROR(__xludf.DUMMYFUNCTION("""COMPUTED_VALUE"""),71401)</f>
        <v>71401</v>
      </c>
      <c r="F100" s="2">
        <f ca="1">IFERROR(__xludf.DUMMYFUNCTION("""COMPUTED_VALUE"""),71401)</f>
        <v>71401</v>
      </c>
      <c r="H100" s="1" t="str">
        <f t="shared" ca="1" si="0"/>
        <v>Center Forward</v>
      </c>
      <c r="I100" s="3" t="str">
        <f t="shared" ca="1" si="1"/>
        <v>Center Forward</v>
      </c>
      <c r="J100" s="1" t="str">
        <f t="shared" ca="1" si="2"/>
        <v>Center Forward</v>
      </c>
      <c r="K100" s="1" t="str">
        <f t="shared" ca="1" si="15"/>
        <v>Center Forward</v>
      </c>
      <c r="L100" s="1" t="str">
        <f t="shared" ca="1" si="3"/>
        <v>Center Forward</v>
      </c>
      <c r="M100" s="1" t="str">
        <f t="shared" ca="1" si="4"/>
        <v>Center Forward</v>
      </c>
      <c r="N100" s="1" t="str">
        <f t="shared" ca="1" si="5"/>
        <v>Center Forward</v>
      </c>
      <c r="O100" s="1" t="str">
        <f t="shared" ca="1" si="6"/>
        <v>F</v>
      </c>
      <c r="P100" s="1" t="str">
        <f t="shared" ca="1" si="7"/>
        <v>F</v>
      </c>
      <c r="Q100" s="1" t="str">
        <f t="shared" ca="1" si="8"/>
        <v>F</v>
      </c>
      <c r="R100" s="1" t="str">
        <f t="shared" ca="1" si="9"/>
        <v>F</v>
      </c>
      <c r="S100" s="1" t="str">
        <f t="shared" ca="1" si="10"/>
        <v>F</v>
      </c>
      <c r="T100" s="1" t="str">
        <f t="shared" ca="1" si="11"/>
        <v>F</v>
      </c>
      <c r="U100" s="1" t="str">
        <f t="shared" ca="1" si="12"/>
        <v>F</v>
      </c>
      <c r="V100" s="1" t="str">
        <f t="shared" ca="1" si="13"/>
        <v>F</v>
      </c>
      <c r="W100" s="1" t="str">
        <f t="shared" ca="1" si="14"/>
        <v>Aaron Bibout</v>
      </c>
    </row>
    <row r="101" spans="1:23">
      <c r="A101" s="1" t="str">
        <f ca="1">IFERROR(__xludf.DUMMYFUNCTION("""COMPUTED_VALUE"""),"Mikolaj")</f>
        <v>Mikolaj</v>
      </c>
      <c r="B101" s="1" t="str">
        <f ca="1">IFERROR(__xludf.DUMMYFUNCTION("""COMPUTED_VALUE"""),"Bieganski")</f>
        <v>Bieganski</v>
      </c>
      <c r="C101" s="1" t="str">
        <f ca="1">IFERROR(__xludf.DUMMYFUNCTION("""COMPUTED_VALUE"""),"San Jose Earthquakes")</f>
        <v>San Jose Earthquakes</v>
      </c>
      <c r="D101" s="1" t="str">
        <f ca="1">IFERROR(__xludf.DUMMYFUNCTION("""COMPUTED_VALUE"""),"Goalkeeper")</f>
        <v>Goalkeeper</v>
      </c>
      <c r="E101" s="2">
        <f ca="1">IFERROR(__xludf.DUMMYFUNCTION("""COMPUTED_VALUE"""),89716)</f>
        <v>89716</v>
      </c>
      <c r="F101" s="2">
        <f ca="1">IFERROR(__xludf.DUMMYFUNCTION("""COMPUTED_VALUE"""),104091)</f>
        <v>104091</v>
      </c>
      <c r="H101" s="1" t="str">
        <f t="shared" ca="1" si="0"/>
        <v>Goalkeeper</v>
      </c>
      <c r="I101" s="3" t="str">
        <f t="shared" ca="1" si="1"/>
        <v>Goalkeeper</v>
      </c>
      <c r="J101" s="1" t="str">
        <f t="shared" ca="1" si="2"/>
        <v>Goalkeeper</v>
      </c>
      <c r="K101" s="1" t="str">
        <f t="shared" ca="1" si="15"/>
        <v>Goalkeeper</v>
      </c>
      <c r="L101" s="1" t="str">
        <f t="shared" ca="1" si="3"/>
        <v>Goalkeeper</v>
      </c>
      <c r="M101" s="1" t="str">
        <f t="shared" ca="1" si="4"/>
        <v>Goalkeeper</v>
      </c>
      <c r="N101" s="1" t="str">
        <f t="shared" ca="1" si="5"/>
        <v>Goalkeeper</v>
      </c>
      <c r="O101" s="1" t="str">
        <f t="shared" ca="1" si="6"/>
        <v>Goalkeeper</v>
      </c>
      <c r="P101" s="1" t="str">
        <f t="shared" ca="1" si="7"/>
        <v>Goalkeeper</v>
      </c>
      <c r="Q101" s="1" t="str">
        <f t="shared" ca="1" si="8"/>
        <v>Goalkeeper</v>
      </c>
      <c r="R101" s="1" t="str">
        <f t="shared" ca="1" si="9"/>
        <v>GK</v>
      </c>
      <c r="S101" s="1" t="str">
        <f t="shared" ca="1" si="10"/>
        <v>GK</v>
      </c>
      <c r="T101" s="1" t="str">
        <f t="shared" ca="1" si="11"/>
        <v>GK</v>
      </c>
      <c r="U101" s="1" t="str">
        <f t="shared" ca="1" si="12"/>
        <v>GK</v>
      </c>
      <c r="V101" s="1" t="str">
        <f t="shared" ca="1" si="13"/>
        <v>GK</v>
      </c>
      <c r="W101" s="1" t="str">
        <f t="shared" ca="1" si="14"/>
        <v>Mikolaj Bieganski</v>
      </c>
    </row>
    <row r="102" spans="1:23">
      <c r="A102" s="1" t="str">
        <f ca="1">IFERROR(__xludf.DUMMYFUNCTION("""COMPUTED_VALUE"""),"Alessandro")</f>
        <v>Alessandro</v>
      </c>
      <c r="B102" s="1" t="str">
        <f ca="1">IFERROR(__xludf.DUMMYFUNCTION("""COMPUTED_VALUE"""),"Biello")</f>
        <v>Biello</v>
      </c>
      <c r="C102" s="1" t="str">
        <f ca="1">IFERROR(__xludf.DUMMYFUNCTION("""COMPUTED_VALUE"""),"CF Montreal")</f>
        <v>CF Montreal</v>
      </c>
      <c r="D102" s="1" t="str">
        <f ca="1">IFERROR(__xludf.DUMMYFUNCTION("""COMPUTED_VALUE"""),"Central Midfield")</f>
        <v>Central Midfield</v>
      </c>
      <c r="E102" s="2">
        <f ca="1">IFERROR(__xludf.DUMMYFUNCTION("""COMPUTED_VALUE"""),71401)</f>
        <v>71401</v>
      </c>
      <c r="F102" s="2">
        <f ca="1">IFERROR(__xludf.DUMMYFUNCTION("""COMPUTED_VALUE"""),71401)</f>
        <v>71401</v>
      </c>
      <c r="H102" s="1" t="str">
        <f t="shared" ca="1" si="0"/>
        <v>Central Midfield</v>
      </c>
      <c r="I102" s="3" t="str">
        <f t="shared" ca="1" si="1"/>
        <v>Central Midfield</v>
      </c>
      <c r="J102" s="1" t="str">
        <f t="shared" ca="1" si="2"/>
        <v>Central Midfield</v>
      </c>
      <c r="K102" s="1" t="str">
        <f t="shared" ca="1" si="15"/>
        <v>Central Midfield</v>
      </c>
      <c r="L102" s="1" t="str">
        <f t="shared" ca="1" si="3"/>
        <v>M</v>
      </c>
      <c r="M102" s="1" t="str">
        <f t="shared" ca="1" si="4"/>
        <v>M</v>
      </c>
      <c r="N102" s="1" t="str">
        <f t="shared" ca="1" si="5"/>
        <v>M</v>
      </c>
      <c r="O102" s="1" t="str">
        <f t="shared" ca="1" si="6"/>
        <v>M</v>
      </c>
      <c r="P102" s="1" t="str">
        <f t="shared" ca="1" si="7"/>
        <v>M</v>
      </c>
      <c r="Q102" s="1" t="str">
        <f t="shared" ca="1" si="8"/>
        <v>M</v>
      </c>
      <c r="R102" s="1" t="str">
        <f t="shared" ca="1" si="9"/>
        <v>M</v>
      </c>
      <c r="S102" s="1" t="str">
        <f t="shared" ca="1" si="10"/>
        <v>M</v>
      </c>
      <c r="T102" s="1" t="str">
        <f t="shared" ca="1" si="11"/>
        <v>M</v>
      </c>
      <c r="U102" s="1" t="str">
        <f t="shared" ca="1" si="12"/>
        <v>M</v>
      </c>
      <c r="V102" s="1" t="str">
        <f t="shared" ca="1" si="13"/>
        <v>M</v>
      </c>
      <c r="W102" s="1" t="str">
        <f t="shared" ca="1" si="14"/>
        <v>Alessandro Biello</v>
      </c>
    </row>
    <row r="103" spans="1:23">
      <c r="A103" s="1" t="str">
        <f ca="1">IFERROR(__xludf.DUMMYFUNCTION("""COMPUTED_VALUE"""),"David")</f>
        <v>David</v>
      </c>
      <c r="B103" s="1" t="str">
        <f ca="1">IFERROR(__xludf.DUMMYFUNCTION("""COMPUTED_VALUE"""),"Bingham")</f>
        <v>Bingham</v>
      </c>
      <c r="C103" s="1" t="str">
        <f ca="1">IFERROR(__xludf.DUMMYFUNCTION("""COMPUTED_VALUE"""),"Charlotte FC")</f>
        <v>Charlotte FC</v>
      </c>
      <c r="D103" s="1" t="str">
        <f ca="1">IFERROR(__xludf.DUMMYFUNCTION("""COMPUTED_VALUE"""),"Goalkeeper")</f>
        <v>Goalkeeper</v>
      </c>
      <c r="E103" s="2">
        <f ca="1">IFERROR(__xludf.DUMMYFUNCTION("""COMPUTED_VALUE"""),89716)</f>
        <v>89716</v>
      </c>
      <c r="F103" s="2">
        <f ca="1">IFERROR(__xludf.DUMMYFUNCTION("""COMPUTED_VALUE"""),89716)</f>
        <v>89716</v>
      </c>
      <c r="H103" s="1" t="str">
        <f t="shared" ca="1" si="0"/>
        <v>Goalkeeper</v>
      </c>
      <c r="I103" s="3" t="str">
        <f t="shared" ca="1" si="1"/>
        <v>Goalkeeper</v>
      </c>
      <c r="J103" s="1" t="str">
        <f t="shared" ca="1" si="2"/>
        <v>Goalkeeper</v>
      </c>
      <c r="K103" s="1" t="str">
        <f t="shared" ca="1" si="15"/>
        <v>Goalkeeper</v>
      </c>
      <c r="L103" s="1" t="str">
        <f t="shared" ca="1" si="3"/>
        <v>Goalkeeper</v>
      </c>
      <c r="M103" s="1" t="str">
        <f t="shared" ca="1" si="4"/>
        <v>Goalkeeper</v>
      </c>
      <c r="N103" s="1" t="str">
        <f t="shared" ca="1" si="5"/>
        <v>Goalkeeper</v>
      </c>
      <c r="O103" s="1" t="str">
        <f t="shared" ca="1" si="6"/>
        <v>Goalkeeper</v>
      </c>
      <c r="P103" s="1" t="str">
        <f t="shared" ca="1" si="7"/>
        <v>Goalkeeper</v>
      </c>
      <c r="Q103" s="1" t="str">
        <f t="shared" ca="1" si="8"/>
        <v>Goalkeeper</v>
      </c>
      <c r="R103" s="1" t="str">
        <f t="shared" ca="1" si="9"/>
        <v>GK</v>
      </c>
      <c r="S103" s="1" t="str">
        <f t="shared" ca="1" si="10"/>
        <v>GK</v>
      </c>
      <c r="T103" s="1" t="str">
        <f t="shared" ca="1" si="11"/>
        <v>GK</v>
      </c>
      <c r="U103" s="1" t="str">
        <f t="shared" ca="1" si="12"/>
        <v>GK</v>
      </c>
      <c r="V103" s="1" t="str">
        <f t="shared" ca="1" si="13"/>
        <v>GK</v>
      </c>
      <c r="W103" s="1" t="str">
        <f t="shared" ca="1" si="14"/>
        <v>David Bingham</v>
      </c>
    </row>
    <row r="104" spans="1:23">
      <c r="A104" s="1" t="str">
        <f ca="1">IFERROR(__xludf.DUMMYFUNCTION("""COMPUTED_VALUE"""),"Steve")</f>
        <v>Steve</v>
      </c>
      <c r="B104" s="1" t="str">
        <f ca="1">IFERROR(__xludf.DUMMYFUNCTION("""COMPUTED_VALUE"""),"Birnbaum")</f>
        <v>Birnbaum</v>
      </c>
      <c r="C104" s="1" t="str">
        <f ca="1">IFERROR(__xludf.DUMMYFUNCTION("""COMPUTED_VALUE"""),"DC United")</f>
        <v>DC United</v>
      </c>
      <c r="D104" s="1" t="str">
        <f ca="1">IFERROR(__xludf.DUMMYFUNCTION("""COMPUTED_VALUE"""),"Center-back")</f>
        <v>Center-back</v>
      </c>
      <c r="E104" s="2">
        <f ca="1">IFERROR(__xludf.DUMMYFUNCTION("""COMPUTED_VALUE"""),815000)</f>
        <v>815000</v>
      </c>
      <c r="F104" s="2">
        <f ca="1">IFERROR(__xludf.DUMMYFUNCTION("""COMPUTED_VALUE"""),815000)</f>
        <v>815000</v>
      </c>
      <c r="H104" s="1" t="str">
        <f t="shared" ca="1" si="0"/>
        <v>D</v>
      </c>
      <c r="I104" s="3" t="str">
        <f t="shared" ca="1" si="1"/>
        <v>D</v>
      </c>
      <c r="J104" s="1" t="str">
        <f t="shared" ca="1" si="2"/>
        <v>D</v>
      </c>
      <c r="K104" s="1" t="str">
        <f t="shared" ca="1" si="15"/>
        <v>D</v>
      </c>
      <c r="L104" s="1" t="str">
        <f t="shared" ca="1" si="3"/>
        <v>D</v>
      </c>
      <c r="M104" s="1" t="str">
        <f t="shared" ca="1" si="4"/>
        <v>D</v>
      </c>
      <c r="N104" s="1" t="str">
        <f t="shared" ca="1" si="5"/>
        <v>D</v>
      </c>
      <c r="O104" s="1" t="str">
        <f t="shared" ca="1" si="6"/>
        <v>D</v>
      </c>
      <c r="P104" s="1" t="str">
        <f t="shared" ca="1" si="7"/>
        <v>D</v>
      </c>
      <c r="Q104" s="1" t="str">
        <f t="shared" ca="1" si="8"/>
        <v>D</v>
      </c>
      <c r="R104" s="1" t="str">
        <f t="shared" ca="1" si="9"/>
        <v>D</v>
      </c>
      <c r="S104" s="1" t="str">
        <f t="shared" ca="1" si="10"/>
        <v>D</v>
      </c>
      <c r="T104" s="1" t="str">
        <f t="shared" ca="1" si="11"/>
        <v>D</v>
      </c>
      <c r="U104" s="1" t="str">
        <f t="shared" ca="1" si="12"/>
        <v>D</v>
      </c>
      <c r="V104" s="1" t="str">
        <f t="shared" ca="1" si="13"/>
        <v>D</v>
      </c>
      <c r="W104" s="1" t="str">
        <f t="shared" ca="1" si="14"/>
        <v>Steve Birnbaum</v>
      </c>
    </row>
    <row r="105" spans="1:23">
      <c r="A105" s="1" t="str">
        <f ca="1">IFERROR(__xludf.DUMMYFUNCTION("""COMPUTED_VALUE"""),"Stipe")</f>
        <v>Stipe</v>
      </c>
      <c r="B105" s="1" t="str">
        <f ca="1">IFERROR(__xludf.DUMMYFUNCTION("""COMPUTED_VALUE"""),"Biuk")</f>
        <v>Biuk</v>
      </c>
      <c r="C105" s="1" t="str">
        <f ca="1">IFERROR(__xludf.DUMMYFUNCTION("""COMPUTED_VALUE"""),"LAFC")</f>
        <v>LAFC</v>
      </c>
      <c r="D105" s="1" t="str">
        <f ca="1">IFERROR(__xludf.DUMMYFUNCTION("""COMPUTED_VALUE"""),"Left Wing")</f>
        <v>Left Wing</v>
      </c>
      <c r="E105" s="2">
        <f ca="1">IFERROR(__xludf.DUMMYFUNCTION("""COMPUTED_VALUE"""),675000)</f>
        <v>675000</v>
      </c>
      <c r="F105" s="2">
        <f ca="1">IFERROR(__xludf.DUMMYFUNCTION("""COMPUTED_VALUE"""),675000)</f>
        <v>675000</v>
      </c>
      <c r="H105" s="1" t="str">
        <f t="shared" ca="1" si="0"/>
        <v>Left Wing</v>
      </c>
      <c r="I105" s="3" t="str">
        <f t="shared" ca="1" si="1"/>
        <v>Left Wing</v>
      </c>
      <c r="J105" s="1" t="str">
        <f t="shared" ca="1" si="2"/>
        <v>Left Wing</v>
      </c>
      <c r="K105" s="1" t="str">
        <f t="shared" ca="1" si="15"/>
        <v>Left Wing</v>
      </c>
      <c r="L105" s="1" t="str">
        <f t="shared" ca="1" si="3"/>
        <v>Left Wing</v>
      </c>
      <c r="M105" s="1" t="str">
        <f t="shared" ca="1" si="4"/>
        <v>Left Wing</v>
      </c>
      <c r="N105" s="1" t="str">
        <f t="shared" ca="1" si="5"/>
        <v>Left Wing</v>
      </c>
      <c r="O105" s="1" t="str">
        <f t="shared" ca="1" si="6"/>
        <v>Left Wing</v>
      </c>
      <c r="P105" s="1" t="str">
        <f t="shared" ca="1" si="7"/>
        <v>F</v>
      </c>
      <c r="Q105" s="1" t="str">
        <f t="shared" ca="1" si="8"/>
        <v>F</v>
      </c>
      <c r="R105" s="1" t="str">
        <f t="shared" ca="1" si="9"/>
        <v>F</v>
      </c>
      <c r="S105" s="1" t="str">
        <f t="shared" ca="1" si="10"/>
        <v>F</v>
      </c>
      <c r="T105" s="1" t="str">
        <f t="shared" ca="1" si="11"/>
        <v>F</v>
      </c>
      <c r="U105" s="1" t="str">
        <f t="shared" ca="1" si="12"/>
        <v>F</v>
      </c>
      <c r="V105" s="1" t="str">
        <f t="shared" ca="1" si="13"/>
        <v>F</v>
      </c>
      <c r="W105" s="1" t="str">
        <f t="shared" ca="1" si="14"/>
        <v>Stipe Biuk</v>
      </c>
    </row>
    <row r="106" spans="1:23">
      <c r="A106" s="1" t="str">
        <f ca="1">IFERROR(__xludf.DUMMYFUNCTION("""COMPUTED_VALUE"""),"Tristan")</f>
        <v>Tristan</v>
      </c>
      <c r="B106" s="1" t="str">
        <f ca="1">IFERROR(__xludf.DUMMYFUNCTION("""COMPUTED_VALUE"""),"Blackmon")</f>
        <v>Blackmon</v>
      </c>
      <c r="C106" s="1" t="str">
        <f ca="1">IFERROR(__xludf.DUMMYFUNCTION("""COMPUTED_VALUE"""),"Vancouver Whitecaps")</f>
        <v>Vancouver Whitecaps</v>
      </c>
      <c r="D106" s="1" t="str">
        <f ca="1">IFERROR(__xludf.DUMMYFUNCTION("""COMPUTED_VALUE"""),"Center-back")</f>
        <v>Center-back</v>
      </c>
      <c r="E106" s="2">
        <f ca="1">IFERROR(__xludf.DUMMYFUNCTION("""COMPUTED_VALUE"""),750000)</f>
        <v>750000</v>
      </c>
      <c r="F106" s="2">
        <f ca="1">IFERROR(__xludf.DUMMYFUNCTION("""COMPUTED_VALUE"""),750000)</f>
        <v>750000</v>
      </c>
      <c r="H106" s="1" t="str">
        <f t="shared" ca="1" si="0"/>
        <v>D</v>
      </c>
      <c r="I106" s="3" t="str">
        <f t="shared" ca="1" si="1"/>
        <v>D</v>
      </c>
      <c r="J106" s="1" t="str">
        <f t="shared" ca="1" si="2"/>
        <v>D</v>
      </c>
      <c r="K106" s="1" t="str">
        <f t="shared" ca="1" si="15"/>
        <v>D</v>
      </c>
      <c r="L106" s="1" t="str">
        <f t="shared" ca="1" si="3"/>
        <v>D</v>
      </c>
      <c r="M106" s="1" t="str">
        <f t="shared" ca="1" si="4"/>
        <v>D</v>
      </c>
      <c r="N106" s="1" t="str">
        <f t="shared" ca="1" si="5"/>
        <v>D</v>
      </c>
      <c r="O106" s="1" t="str">
        <f t="shared" ca="1" si="6"/>
        <v>D</v>
      </c>
      <c r="P106" s="1" t="str">
        <f t="shared" ca="1" si="7"/>
        <v>D</v>
      </c>
      <c r="Q106" s="1" t="str">
        <f t="shared" ca="1" si="8"/>
        <v>D</v>
      </c>
      <c r="R106" s="1" t="str">
        <f t="shared" ca="1" si="9"/>
        <v>D</v>
      </c>
      <c r="S106" s="1" t="str">
        <f t="shared" ca="1" si="10"/>
        <v>D</v>
      </c>
      <c r="T106" s="1" t="str">
        <f t="shared" ca="1" si="11"/>
        <v>D</v>
      </c>
      <c r="U106" s="1" t="str">
        <f t="shared" ca="1" si="12"/>
        <v>D</v>
      </c>
      <c r="V106" s="1" t="str">
        <f t="shared" ca="1" si="13"/>
        <v>D</v>
      </c>
      <c r="W106" s="1" t="str">
        <f t="shared" ca="1" si="14"/>
        <v>Tristan Blackmon</v>
      </c>
    </row>
    <row r="107" spans="1:23">
      <c r="A107" s="1" t="str">
        <f ca="1">IFERROR(__xludf.DUMMYFUNCTION("""COMPUTED_VALUE"""),"Andre")</f>
        <v>Andre</v>
      </c>
      <c r="B107" s="1" t="str">
        <f ca="1">IFERROR(__xludf.DUMMYFUNCTION("""COMPUTED_VALUE"""),"Blake")</f>
        <v>Blake</v>
      </c>
      <c r="C107" s="1" t="str">
        <f ca="1">IFERROR(__xludf.DUMMYFUNCTION("""COMPUTED_VALUE"""),"Philadelphia Union")</f>
        <v>Philadelphia Union</v>
      </c>
      <c r="D107" s="1" t="str">
        <f ca="1">IFERROR(__xludf.DUMMYFUNCTION("""COMPUTED_VALUE"""),"Goalkeeper")</f>
        <v>Goalkeeper</v>
      </c>
      <c r="E107" s="2">
        <f ca="1">IFERROR(__xludf.DUMMYFUNCTION("""COMPUTED_VALUE"""),800000)</f>
        <v>800000</v>
      </c>
      <c r="F107" s="2">
        <f ca="1">IFERROR(__xludf.DUMMYFUNCTION("""COMPUTED_VALUE"""),919375)</f>
        <v>919375</v>
      </c>
      <c r="H107" s="1" t="str">
        <f t="shared" ca="1" si="0"/>
        <v>Goalkeeper</v>
      </c>
      <c r="I107" s="3" t="str">
        <f t="shared" ca="1" si="1"/>
        <v>Goalkeeper</v>
      </c>
      <c r="J107" s="1" t="str">
        <f t="shared" ca="1" si="2"/>
        <v>Goalkeeper</v>
      </c>
      <c r="K107" s="1" t="str">
        <f t="shared" ca="1" si="15"/>
        <v>Goalkeeper</v>
      </c>
      <c r="L107" s="1" t="str">
        <f t="shared" ca="1" si="3"/>
        <v>Goalkeeper</v>
      </c>
      <c r="M107" s="1" t="str">
        <f t="shared" ca="1" si="4"/>
        <v>Goalkeeper</v>
      </c>
      <c r="N107" s="1" t="str">
        <f t="shared" ca="1" si="5"/>
        <v>Goalkeeper</v>
      </c>
      <c r="O107" s="1" t="str">
        <f t="shared" ca="1" si="6"/>
        <v>Goalkeeper</v>
      </c>
      <c r="P107" s="1" t="str">
        <f t="shared" ca="1" si="7"/>
        <v>Goalkeeper</v>
      </c>
      <c r="Q107" s="1" t="str">
        <f t="shared" ca="1" si="8"/>
        <v>Goalkeeper</v>
      </c>
      <c r="R107" s="1" t="str">
        <f t="shared" ca="1" si="9"/>
        <v>GK</v>
      </c>
      <c r="S107" s="1" t="str">
        <f t="shared" ca="1" si="10"/>
        <v>GK</v>
      </c>
      <c r="T107" s="1" t="str">
        <f t="shared" ca="1" si="11"/>
        <v>GK</v>
      </c>
      <c r="U107" s="1" t="str">
        <f t="shared" ca="1" si="12"/>
        <v>GK</v>
      </c>
      <c r="V107" s="1" t="str">
        <f t="shared" ca="1" si="13"/>
        <v>GK</v>
      </c>
      <c r="W107" s="1" t="str">
        <f t="shared" ca="1" si="14"/>
        <v>Andre Blake</v>
      </c>
    </row>
    <row r="108" spans="1:23">
      <c r="A108" s="1" t="str">
        <f ca="1">IFERROR(__xludf.DUMMYFUNCTION("""COMPUTED_VALUE"""),"Latif")</f>
        <v>Latif</v>
      </c>
      <c r="B108" s="1" t="str">
        <f ca="1">IFERROR(__xludf.DUMMYFUNCTION("""COMPUTED_VALUE"""),"Blessing")</f>
        <v>Blessing</v>
      </c>
      <c r="C108" s="1" t="str">
        <f ca="1">IFERROR(__xludf.DUMMYFUNCTION("""COMPUTED_VALUE"""),"Houston Dynamo")</f>
        <v>Houston Dynamo</v>
      </c>
      <c r="D108" s="1" t="str">
        <f ca="1">IFERROR(__xludf.DUMMYFUNCTION("""COMPUTED_VALUE"""),"Attacking Midfield")</f>
        <v>Attacking Midfield</v>
      </c>
      <c r="E108" s="2">
        <f ca="1">IFERROR(__xludf.DUMMYFUNCTION("""COMPUTED_VALUE"""),650000)</f>
        <v>650000</v>
      </c>
      <c r="F108" s="2">
        <f ca="1">IFERROR(__xludf.DUMMYFUNCTION("""COMPUTED_VALUE"""),715000)</f>
        <v>715000</v>
      </c>
      <c r="H108" s="1" t="str">
        <f t="shared" ca="1" si="0"/>
        <v>Attacking Midfield</v>
      </c>
      <c r="I108" s="3" t="str">
        <f t="shared" ca="1" si="1"/>
        <v>Attacking Midfield</v>
      </c>
      <c r="J108" s="1" t="str">
        <f t="shared" ca="1" si="2"/>
        <v>Attacking Midfield</v>
      </c>
      <c r="K108" s="1" t="str">
        <f t="shared" ca="1" si="15"/>
        <v>Attacking Midfield</v>
      </c>
      <c r="L108" s="1" t="str">
        <f t="shared" ca="1" si="3"/>
        <v>Attacking Midfield</v>
      </c>
      <c r="M108" s="1" t="str">
        <f t="shared" ca="1" si="4"/>
        <v>M</v>
      </c>
      <c r="N108" s="1" t="str">
        <f t="shared" ca="1" si="5"/>
        <v>M</v>
      </c>
      <c r="O108" s="1" t="str">
        <f t="shared" ca="1" si="6"/>
        <v>M</v>
      </c>
      <c r="P108" s="1" t="str">
        <f t="shared" ca="1" si="7"/>
        <v>M</v>
      </c>
      <c r="Q108" s="1" t="str">
        <f t="shared" ca="1" si="8"/>
        <v>M</v>
      </c>
      <c r="R108" s="1" t="str">
        <f t="shared" ca="1" si="9"/>
        <v>M</v>
      </c>
      <c r="S108" s="1" t="str">
        <f t="shared" ca="1" si="10"/>
        <v>M</v>
      </c>
      <c r="T108" s="1" t="str">
        <f t="shared" ca="1" si="11"/>
        <v>M</v>
      </c>
      <c r="U108" s="1" t="str">
        <f t="shared" ca="1" si="12"/>
        <v>M</v>
      </c>
      <c r="V108" s="1" t="str">
        <f t="shared" ca="1" si="13"/>
        <v>M</v>
      </c>
      <c r="W108" s="1" t="str">
        <f t="shared" ca="1" si="14"/>
        <v>Latif Blessing</v>
      </c>
    </row>
    <row r="109" spans="1:23">
      <c r="A109" s="1" t="str">
        <f ca="1">IFERROR(__xludf.DUMMYFUNCTION("""COMPUTED_VALUE"""),"Njabulo")</f>
        <v>Njabulo</v>
      </c>
      <c r="B109" s="1" t="str">
        <f ca="1">IFERROR(__xludf.DUMMYFUNCTION("""COMPUTED_VALUE"""),"Blom")</f>
        <v>Blom</v>
      </c>
      <c r="C109" s="1" t="str">
        <f ca="1">IFERROR(__xludf.DUMMYFUNCTION("""COMPUTED_VALUE"""),"St. Louis City SC")</f>
        <v>St. Louis City SC</v>
      </c>
      <c r="D109" s="1" t="str">
        <f ca="1">IFERROR(__xludf.DUMMYFUNCTION("""COMPUTED_VALUE"""),"Defensive Midfield")</f>
        <v>Defensive Midfield</v>
      </c>
      <c r="E109" s="2">
        <f ca="1">IFERROR(__xludf.DUMMYFUNCTION("""COMPUTED_VALUE"""),300000)</f>
        <v>300000</v>
      </c>
      <c r="F109" s="2">
        <f ca="1">IFERROR(__xludf.DUMMYFUNCTION("""COMPUTED_VALUE"""),392250)</f>
        <v>392250</v>
      </c>
      <c r="H109" s="1" t="str">
        <f t="shared" ca="1" si="0"/>
        <v>Defensive Midfield</v>
      </c>
      <c r="I109" s="3" t="str">
        <f t="shared" ca="1" si="1"/>
        <v>Defensive Midfield</v>
      </c>
      <c r="J109" s="1" t="str">
        <f t="shared" ca="1" si="2"/>
        <v>Defensive Midfield</v>
      </c>
      <c r="K109" s="1" t="str">
        <f t="shared" ca="1" si="15"/>
        <v>M</v>
      </c>
      <c r="L109" s="1" t="str">
        <f t="shared" ca="1" si="3"/>
        <v>M</v>
      </c>
      <c r="M109" s="1" t="str">
        <f t="shared" ca="1" si="4"/>
        <v>M</v>
      </c>
      <c r="N109" s="1" t="str">
        <f t="shared" ca="1" si="5"/>
        <v>M</v>
      </c>
      <c r="O109" s="1" t="str">
        <f t="shared" ca="1" si="6"/>
        <v>M</v>
      </c>
      <c r="P109" s="1" t="str">
        <f t="shared" ca="1" si="7"/>
        <v>M</v>
      </c>
      <c r="Q109" s="1" t="str">
        <f t="shared" ca="1" si="8"/>
        <v>M</v>
      </c>
      <c r="R109" s="1" t="str">
        <f t="shared" ca="1" si="9"/>
        <v>M</v>
      </c>
      <c r="S109" s="1" t="str">
        <f t="shared" ca="1" si="10"/>
        <v>M</v>
      </c>
      <c r="T109" s="1" t="str">
        <f t="shared" ca="1" si="11"/>
        <v>M</v>
      </c>
      <c r="U109" s="1" t="str">
        <f t="shared" ca="1" si="12"/>
        <v>M</v>
      </c>
      <c r="V109" s="1" t="str">
        <f t="shared" ca="1" si="13"/>
        <v>M</v>
      </c>
      <c r="W109" s="1" t="str">
        <f t="shared" ca="1" si="14"/>
        <v>Njabulo Blom</v>
      </c>
    </row>
    <row r="110" spans="1:23">
      <c r="A110" s="1" t="str">
        <f ca="1">IFERROR(__xludf.DUMMYFUNCTION("""COMPUTED_VALUE"""),"Emmanuel")</f>
        <v>Emmanuel</v>
      </c>
      <c r="B110" s="1" t="str">
        <f ca="1">IFERROR(__xludf.DUMMYFUNCTION("""COMPUTED_VALUE"""),"Boateng")</f>
        <v>Boateng</v>
      </c>
      <c r="C110" s="1" t="str">
        <f ca="1">IFERROR(__xludf.DUMMYFUNCTION("""COMPUTED_VALUE"""),"New England Revolution")</f>
        <v>New England Revolution</v>
      </c>
      <c r="D110" s="1" t="str">
        <f ca="1">IFERROR(__xludf.DUMMYFUNCTION("""COMPUTED_VALUE"""),"Left Midfield")</f>
        <v>Left Midfield</v>
      </c>
      <c r="E110" s="2">
        <f ca="1">IFERROR(__xludf.DUMMYFUNCTION("""COMPUTED_VALUE"""),155000)</f>
        <v>155000</v>
      </c>
      <c r="F110" s="2">
        <f ca="1">IFERROR(__xludf.DUMMYFUNCTION("""COMPUTED_VALUE"""),186500)</f>
        <v>186500</v>
      </c>
      <c r="H110" s="1" t="str">
        <f t="shared" ca="1" si="0"/>
        <v>Left Midfield</v>
      </c>
      <c r="I110" s="3" t="str">
        <f t="shared" ca="1" si="1"/>
        <v>Left Midfield</v>
      </c>
      <c r="J110" s="1" t="str">
        <f t="shared" ca="1" si="2"/>
        <v>Left Midfield</v>
      </c>
      <c r="K110" s="1" t="str">
        <f t="shared" ca="1" si="15"/>
        <v>Left Midfield</v>
      </c>
      <c r="L110" s="1" t="str">
        <f t="shared" ca="1" si="3"/>
        <v>Left Midfield</v>
      </c>
      <c r="M110" s="1" t="str">
        <f t="shared" ca="1" si="4"/>
        <v>Left Midfield</v>
      </c>
      <c r="N110" s="1" t="str">
        <f t="shared" ca="1" si="5"/>
        <v>Left Midfield</v>
      </c>
      <c r="O110" s="1" t="str">
        <f t="shared" ca="1" si="6"/>
        <v>Left Midfield</v>
      </c>
      <c r="P110" s="1" t="str">
        <f t="shared" ca="1" si="7"/>
        <v>Left Midfield</v>
      </c>
      <c r="Q110" s="1" t="str">
        <f t="shared" ca="1" si="8"/>
        <v>Left Midfield</v>
      </c>
      <c r="R110" s="1" t="str">
        <f t="shared" ca="1" si="9"/>
        <v>Left Midfield</v>
      </c>
      <c r="S110" s="1" t="str">
        <f t="shared" ca="1" si="10"/>
        <v>M</v>
      </c>
      <c r="T110" s="1" t="str">
        <f t="shared" ca="1" si="11"/>
        <v>M</v>
      </c>
      <c r="U110" s="1" t="str">
        <f t="shared" ca="1" si="12"/>
        <v>M</v>
      </c>
      <c r="V110" s="1" t="str">
        <f t="shared" ca="1" si="13"/>
        <v>M</v>
      </c>
      <c r="W110" s="1" t="str">
        <f t="shared" ca="1" si="14"/>
        <v>Emmanuel Boateng</v>
      </c>
    </row>
    <row r="111" spans="1:23">
      <c r="A111" s="1" t="str">
        <f ca="1">IFERROR(__xludf.DUMMYFUNCTION("""COMPUTED_VALUE"""),"Israel")</f>
        <v>Israel</v>
      </c>
      <c r="B111" s="1" t="str">
        <f ca="1">IFERROR(__xludf.DUMMYFUNCTION("""COMPUTED_VALUE"""),"Boatwright")</f>
        <v>Boatwright</v>
      </c>
      <c r="C111" s="1" t="str">
        <f ca="1">IFERROR(__xludf.DUMMYFUNCTION("""COMPUTED_VALUE"""),"Inter Miami")</f>
        <v>Inter Miami</v>
      </c>
      <c r="D111" s="1" t="str">
        <f ca="1">IFERROR(__xludf.DUMMYFUNCTION("""COMPUTED_VALUE"""),"Right-back")</f>
        <v>Right-back</v>
      </c>
      <c r="E111" s="2">
        <f ca="1">IFERROR(__xludf.DUMMYFUNCTION("""COMPUTED_VALUE"""),71401)</f>
        <v>71401</v>
      </c>
      <c r="F111" s="2">
        <f ca="1">IFERROR(__xludf.DUMMYFUNCTION("""COMPUTED_VALUE"""),73401)</f>
        <v>73401</v>
      </c>
      <c r="H111" s="1" t="str">
        <f t="shared" ca="1" si="0"/>
        <v>Right-back</v>
      </c>
      <c r="I111" s="3" t="str">
        <f t="shared" ca="1" si="1"/>
        <v>Right-back</v>
      </c>
      <c r="J111" s="1" t="str">
        <f t="shared" ca="1" si="2"/>
        <v>D</v>
      </c>
      <c r="K111" s="1" t="str">
        <f t="shared" ca="1" si="15"/>
        <v>D</v>
      </c>
      <c r="L111" s="1" t="str">
        <f t="shared" ca="1" si="3"/>
        <v>D</v>
      </c>
      <c r="M111" s="1" t="str">
        <f t="shared" ca="1" si="4"/>
        <v>D</v>
      </c>
      <c r="N111" s="1" t="str">
        <f t="shared" ca="1" si="5"/>
        <v>D</v>
      </c>
      <c r="O111" s="1" t="str">
        <f t="shared" ca="1" si="6"/>
        <v>D</v>
      </c>
      <c r="P111" s="1" t="str">
        <f t="shared" ca="1" si="7"/>
        <v>D</v>
      </c>
      <c r="Q111" s="1" t="str">
        <f t="shared" ca="1" si="8"/>
        <v>D</v>
      </c>
      <c r="R111" s="1" t="str">
        <f t="shared" ca="1" si="9"/>
        <v>D</v>
      </c>
      <c r="S111" s="1" t="str">
        <f t="shared" ca="1" si="10"/>
        <v>D</v>
      </c>
      <c r="T111" s="1" t="str">
        <f t="shared" ca="1" si="11"/>
        <v>D</v>
      </c>
      <c r="U111" s="1" t="str">
        <f t="shared" ca="1" si="12"/>
        <v>D</v>
      </c>
      <c r="V111" s="1" t="str">
        <f t="shared" ca="1" si="13"/>
        <v>D</v>
      </c>
      <c r="W111" s="1" t="str">
        <f t="shared" ca="1" si="14"/>
        <v>Israel Boatwright</v>
      </c>
    </row>
    <row r="112" spans="1:23">
      <c r="A112" s="1" t="str">
        <f ca="1">IFERROR(__xludf.DUMMYFUNCTION("""COMPUTED_VALUE"""),"Isaac")</f>
        <v>Isaac</v>
      </c>
      <c r="B112" s="1" t="str">
        <f ca="1">IFERROR(__xludf.DUMMYFUNCTION("""COMPUTED_VALUE"""),"Boehmer")</f>
        <v>Boehmer</v>
      </c>
      <c r="C112" s="1" t="str">
        <f ca="1">IFERROR(__xludf.DUMMYFUNCTION("""COMPUTED_VALUE"""),"Vancouver Whitecaps")</f>
        <v>Vancouver Whitecaps</v>
      </c>
      <c r="D112" s="1" t="str">
        <f ca="1">IFERROR(__xludf.DUMMYFUNCTION("""COMPUTED_VALUE"""),"Goalkeeper")</f>
        <v>Goalkeeper</v>
      </c>
      <c r="E112" s="2">
        <f ca="1">IFERROR(__xludf.DUMMYFUNCTION("""COMPUTED_VALUE"""),89716)</f>
        <v>89716</v>
      </c>
      <c r="F112" s="2">
        <f ca="1">IFERROR(__xludf.DUMMYFUNCTION("""COMPUTED_VALUE"""),89716)</f>
        <v>89716</v>
      </c>
      <c r="H112" s="1" t="str">
        <f t="shared" ca="1" si="0"/>
        <v>Goalkeeper</v>
      </c>
      <c r="I112" s="3" t="str">
        <f t="shared" ca="1" si="1"/>
        <v>Goalkeeper</v>
      </c>
      <c r="J112" s="1" t="str">
        <f t="shared" ca="1" si="2"/>
        <v>Goalkeeper</v>
      </c>
      <c r="K112" s="1" t="str">
        <f t="shared" ca="1" si="15"/>
        <v>Goalkeeper</v>
      </c>
      <c r="L112" s="1" t="str">
        <f t="shared" ca="1" si="3"/>
        <v>Goalkeeper</v>
      </c>
      <c r="M112" s="1" t="str">
        <f t="shared" ca="1" si="4"/>
        <v>Goalkeeper</v>
      </c>
      <c r="N112" s="1" t="str">
        <f t="shared" ca="1" si="5"/>
        <v>Goalkeeper</v>
      </c>
      <c r="O112" s="1" t="str">
        <f t="shared" ca="1" si="6"/>
        <v>Goalkeeper</v>
      </c>
      <c r="P112" s="1" t="str">
        <f t="shared" ca="1" si="7"/>
        <v>Goalkeeper</v>
      </c>
      <c r="Q112" s="1" t="str">
        <f t="shared" ca="1" si="8"/>
        <v>Goalkeeper</v>
      </c>
      <c r="R112" s="1" t="str">
        <f t="shared" ca="1" si="9"/>
        <v>GK</v>
      </c>
      <c r="S112" s="1" t="str">
        <f t="shared" ca="1" si="10"/>
        <v>GK</v>
      </c>
      <c r="T112" s="1" t="str">
        <f t="shared" ca="1" si="11"/>
        <v>GK</v>
      </c>
      <c r="U112" s="1" t="str">
        <f t="shared" ca="1" si="12"/>
        <v>GK</v>
      </c>
      <c r="V112" s="1" t="str">
        <f t="shared" ca="1" si="13"/>
        <v>GK</v>
      </c>
      <c r="W112" s="1" t="str">
        <f t="shared" ca="1" si="14"/>
        <v>Isaac Boehmer</v>
      </c>
    </row>
    <row r="113" spans="1:23">
      <c r="A113" s="1" t="str">
        <f ca="1">IFERROR(__xludf.DUMMYFUNCTION("""COMPUTED_VALUE"""),"Mateusz")</f>
        <v>Mateusz</v>
      </c>
      <c r="B113" s="1" t="str">
        <f ca="1">IFERROR(__xludf.DUMMYFUNCTION("""COMPUTED_VALUE"""),"Bogusz")</f>
        <v>Bogusz</v>
      </c>
      <c r="C113" s="1" t="str">
        <f ca="1">IFERROR(__xludf.DUMMYFUNCTION("""COMPUTED_VALUE"""),"LAFC")</f>
        <v>LAFC</v>
      </c>
      <c r="D113" s="1" t="str">
        <f ca="1">IFERROR(__xludf.DUMMYFUNCTION("""COMPUTED_VALUE"""),"Attacking Midfield")</f>
        <v>Attacking Midfield</v>
      </c>
      <c r="E113" s="2">
        <f ca="1">IFERROR(__xludf.DUMMYFUNCTION("""COMPUTED_VALUE"""),675000)</f>
        <v>675000</v>
      </c>
      <c r="F113" s="2">
        <f ca="1">IFERROR(__xludf.DUMMYFUNCTION("""COMPUTED_VALUE"""),675000)</f>
        <v>675000</v>
      </c>
      <c r="H113" s="1" t="str">
        <f t="shared" ca="1" si="0"/>
        <v>Attacking Midfield</v>
      </c>
      <c r="I113" s="3" t="str">
        <f t="shared" ca="1" si="1"/>
        <v>Attacking Midfield</v>
      </c>
      <c r="J113" s="1" t="str">
        <f t="shared" ca="1" si="2"/>
        <v>Attacking Midfield</v>
      </c>
      <c r="K113" s="1" t="str">
        <f t="shared" ca="1" si="15"/>
        <v>Attacking Midfield</v>
      </c>
      <c r="L113" s="1" t="str">
        <f t="shared" ca="1" si="3"/>
        <v>Attacking Midfield</v>
      </c>
      <c r="M113" s="1" t="str">
        <f t="shared" ca="1" si="4"/>
        <v>M</v>
      </c>
      <c r="N113" s="1" t="str">
        <f t="shared" ca="1" si="5"/>
        <v>M</v>
      </c>
      <c r="O113" s="1" t="str">
        <f t="shared" ca="1" si="6"/>
        <v>M</v>
      </c>
      <c r="P113" s="1" t="str">
        <f t="shared" ca="1" si="7"/>
        <v>M</v>
      </c>
      <c r="Q113" s="1" t="str">
        <f t="shared" ca="1" si="8"/>
        <v>M</v>
      </c>
      <c r="R113" s="1" t="str">
        <f t="shared" ca="1" si="9"/>
        <v>M</v>
      </c>
      <c r="S113" s="1" t="str">
        <f t="shared" ca="1" si="10"/>
        <v>M</v>
      </c>
      <c r="T113" s="1" t="str">
        <f t="shared" ca="1" si="11"/>
        <v>M</v>
      </c>
      <c r="U113" s="1" t="str">
        <f t="shared" ca="1" si="12"/>
        <v>M</v>
      </c>
      <c r="V113" s="1" t="str">
        <f t="shared" ca="1" si="13"/>
        <v>M</v>
      </c>
      <c r="W113" s="1" t="str">
        <f t="shared" ca="1" si="14"/>
        <v>Mateusz Bogusz</v>
      </c>
    </row>
    <row r="114" spans="1:23">
      <c r="A114" s="1" t="str">
        <f ca="1">IFERROR(__xludf.DUMMYFUNCTION("""COMPUTED_VALUE"""),"Josh")</f>
        <v>Josh</v>
      </c>
      <c r="B114" s="1" t="str">
        <f ca="1">IFERROR(__xludf.DUMMYFUNCTION("""COMPUTED_VALUE"""),"Bolma")</f>
        <v>Bolma</v>
      </c>
      <c r="C114" s="1" t="str">
        <f ca="1">IFERROR(__xludf.DUMMYFUNCTION("""COMPUTED_VALUE"""),"New England Revolution")</f>
        <v>New England Revolution</v>
      </c>
      <c r="D114" s="1" t="str">
        <f ca="1">IFERROR(__xludf.DUMMYFUNCTION("""COMPUTED_VALUE"""),"Central Midfield")</f>
        <v>Central Midfield</v>
      </c>
      <c r="E114" s="2">
        <f ca="1">IFERROR(__xludf.DUMMYFUNCTION("""COMPUTED_VALUE"""),89716)</f>
        <v>89716</v>
      </c>
      <c r="F114" s="2">
        <f ca="1">IFERROR(__xludf.DUMMYFUNCTION("""COMPUTED_VALUE"""),96383)</f>
        <v>96383</v>
      </c>
      <c r="H114" s="1" t="str">
        <f t="shared" ca="1" si="0"/>
        <v>Central Midfield</v>
      </c>
      <c r="I114" s="3" t="str">
        <f t="shared" ca="1" si="1"/>
        <v>Central Midfield</v>
      </c>
      <c r="J114" s="1" t="str">
        <f t="shared" ca="1" si="2"/>
        <v>Central Midfield</v>
      </c>
      <c r="K114" s="1" t="str">
        <f t="shared" ca="1" si="15"/>
        <v>Central Midfield</v>
      </c>
      <c r="L114" s="1" t="str">
        <f t="shared" ca="1" si="3"/>
        <v>M</v>
      </c>
      <c r="M114" s="1" t="str">
        <f t="shared" ca="1" si="4"/>
        <v>M</v>
      </c>
      <c r="N114" s="1" t="str">
        <f t="shared" ca="1" si="5"/>
        <v>M</v>
      </c>
      <c r="O114" s="1" t="str">
        <f t="shared" ca="1" si="6"/>
        <v>M</v>
      </c>
      <c r="P114" s="1" t="str">
        <f t="shared" ca="1" si="7"/>
        <v>M</v>
      </c>
      <c r="Q114" s="1" t="str">
        <f t="shared" ca="1" si="8"/>
        <v>M</v>
      </c>
      <c r="R114" s="1" t="str">
        <f t="shared" ca="1" si="9"/>
        <v>M</v>
      </c>
      <c r="S114" s="1" t="str">
        <f t="shared" ca="1" si="10"/>
        <v>M</v>
      </c>
      <c r="T114" s="1" t="str">
        <f t="shared" ca="1" si="11"/>
        <v>M</v>
      </c>
      <c r="U114" s="1" t="str">
        <f t="shared" ca="1" si="12"/>
        <v>M</v>
      </c>
      <c r="V114" s="1" t="str">
        <f t="shared" ca="1" si="13"/>
        <v>M</v>
      </c>
      <c r="W114" s="1" t="str">
        <f t="shared" ca="1" si="14"/>
        <v>Josh Bolma</v>
      </c>
    </row>
    <row r="115" spans="1:23">
      <c r="A115" s="1" t="str">
        <f ca="1">IFERROR(__xludf.DUMMYFUNCTION("""COMPUTED_VALUE"""),"Moïse")</f>
        <v>Moïse</v>
      </c>
      <c r="B115" s="1" t="str">
        <f ca="1">IFERROR(__xludf.DUMMYFUNCTION("""COMPUTED_VALUE"""),"Bombito")</f>
        <v>Bombito</v>
      </c>
      <c r="C115" s="1" t="str">
        <f ca="1">IFERROR(__xludf.DUMMYFUNCTION("""COMPUTED_VALUE"""),"Colorado Rapids")</f>
        <v>Colorado Rapids</v>
      </c>
      <c r="D115" s="1" t="str">
        <f ca="1">IFERROR(__xludf.DUMMYFUNCTION("""COMPUTED_VALUE"""),"Center-back")</f>
        <v>Center-back</v>
      </c>
      <c r="E115" s="2">
        <f ca="1">IFERROR(__xludf.DUMMYFUNCTION("""COMPUTED_VALUE"""),89716)</f>
        <v>89716</v>
      </c>
      <c r="F115" s="2">
        <f ca="1">IFERROR(__xludf.DUMMYFUNCTION("""COMPUTED_VALUE"""),107928)</f>
        <v>107928</v>
      </c>
      <c r="H115" s="1" t="str">
        <f t="shared" ca="1" si="0"/>
        <v>D</v>
      </c>
      <c r="I115" s="3" t="str">
        <f t="shared" ca="1" si="1"/>
        <v>D</v>
      </c>
      <c r="J115" s="1" t="str">
        <f t="shared" ca="1" si="2"/>
        <v>D</v>
      </c>
      <c r="K115" s="1" t="str">
        <f t="shared" ca="1" si="15"/>
        <v>D</v>
      </c>
      <c r="L115" s="1" t="str">
        <f t="shared" ca="1" si="3"/>
        <v>D</v>
      </c>
      <c r="M115" s="1" t="str">
        <f t="shared" ca="1" si="4"/>
        <v>D</v>
      </c>
      <c r="N115" s="1" t="str">
        <f t="shared" ca="1" si="5"/>
        <v>D</v>
      </c>
      <c r="O115" s="1" t="str">
        <f t="shared" ca="1" si="6"/>
        <v>D</v>
      </c>
      <c r="P115" s="1" t="str">
        <f t="shared" ca="1" si="7"/>
        <v>D</v>
      </c>
      <c r="Q115" s="1" t="str">
        <f t="shared" ca="1" si="8"/>
        <v>D</v>
      </c>
      <c r="R115" s="1" t="str">
        <f t="shared" ca="1" si="9"/>
        <v>D</v>
      </c>
      <c r="S115" s="1" t="str">
        <f t="shared" ca="1" si="10"/>
        <v>D</v>
      </c>
      <c r="T115" s="1" t="str">
        <f t="shared" ca="1" si="11"/>
        <v>D</v>
      </c>
      <c r="U115" s="1" t="str">
        <f t="shared" ca="1" si="12"/>
        <v>D</v>
      </c>
      <c r="V115" s="1" t="str">
        <f t="shared" ca="1" si="13"/>
        <v>D</v>
      </c>
      <c r="W115" s="1" t="str">
        <f t="shared" ca="1" si="14"/>
        <v>Moïse Bombito</v>
      </c>
    </row>
    <row r="116" spans="1:23">
      <c r="A116" s="1" t="str">
        <f ca="1">IFERROR(__xludf.DUMMYFUNCTION("""COMPUTED_VALUE"""),"Kevin")</f>
        <v>Kevin</v>
      </c>
      <c r="B116" s="1" t="str">
        <f ca="1">IFERROR(__xludf.DUMMYFUNCTION("""COMPUTED_VALUE"""),"Bonilla")</f>
        <v>Bonilla</v>
      </c>
      <c r="C116" s="1" t="str">
        <f ca="1">IFERROR(__xludf.DUMMYFUNCTION("""COMPUTED_VALUE"""),"Real Salt Lake")</f>
        <v>Real Salt Lake</v>
      </c>
      <c r="D116" s="1" t="str">
        <f ca="1">IFERROR(__xludf.DUMMYFUNCTION("""COMPUTED_VALUE"""),"Right-back")</f>
        <v>Right-back</v>
      </c>
      <c r="E116" s="2">
        <f ca="1">IFERROR(__xludf.DUMMYFUNCTION("""COMPUTED_VALUE"""),71401)</f>
        <v>71401</v>
      </c>
      <c r="F116" s="2">
        <f ca="1">IFERROR(__xludf.DUMMYFUNCTION("""COMPUTED_VALUE"""),71401)</f>
        <v>71401</v>
      </c>
      <c r="H116" s="1" t="str">
        <f t="shared" ca="1" si="0"/>
        <v>Right-back</v>
      </c>
      <c r="I116" s="3" t="str">
        <f t="shared" ca="1" si="1"/>
        <v>Right-back</v>
      </c>
      <c r="J116" s="1" t="str">
        <f t="shared" ca="1" si="2"/>
        <v>D</v>
      </c>
      <c r="K116" s="1" t="str">
        <f t="shared" ca="1" si="15"/>
        <v>D</v>
      </c>
      <c r="L116" s="1" t="str">
        <f t="shared" ca="1" si="3"/>
        <v>D</v>
      </c>
      <c r="M116" s="1" t="str">
        <f t="shared" ca="1" si="4"/>
        <v>D</v>
      </c>
      <c r="N116" s="1" t="str">
        <f t="shared" ca="1" si="5"/>
        <v>D</v>
      </c>
      <c r="O116" s="1" t="str">
        <f t="shared" ca="1" si="6"/>
        <v>D</v>
      </c>
      <c r="P116" s="1" t="str">
        <f t="shared" ca="1" si="7"/>
        <v>D</v>
      </c>
      <c r="Q116" s="1" t="str">
        <f t="shared" ca="1" si="8"/>
        <v>D</v>
      </c>
      <c r="R116" s="1" t="str">
        <f t="shared" ca="1" si="9"/>
        <v>D</v>
      </c>
      <c r="S116" s="1" t="str">
        <f t="shared" ca="1" si="10"/>
        <v>D</v>
      </c>
      <c r="T116" s="1" t="str">
        <f t="shared" ca="1" si="11"/>
        <v>D</v>
      </c>
      <c r="U116" s="1" t="str">
        <f t="shared" ca="1" si="12"/>
        <v>D</v>
      </c>
      <c r="V116" s="1" t="str">
        <f t="shared" ca="1" si="13"/>
        <v>D</v>
      </c>
      <c r="W116" s="1" t="str">
        <f t="shared" ca="1" si="14"/>
        <v>Kevin Bonilla</v>
      </c>
    </row>
    <row r="117" spans="1:23">
      <c r="A117" s="1" t="str">
        <f ca="1">IFERROR(__xludf.DUMMYFUNCTION("""COMPUTED_VALUE"""),"Alex")</f>
        <v>Alex</v>
      </c>
      <c r="B117" s="1" t="str">
        <f ca="1">IFERROR(__xludf.DUMMYFUNCTION("""COMPUTED_VALUE"""),"Bono")</f>
        <v>Bono</v>
      </c>
      <c r="C117" s="1" t="str">
        <f ca="1">IFERROR(__xludf.DUMMYFUNCTION("""COMPUTED_VALUE"""),"DC United")</f>
        <v>DC United</v>
      </c>
      <c r="D117" s="1" t="str">
        <f ca="1">IFERROR(__xludf.DUMMYFUNCTION("""COMPUTED_VALUE"""),"Goalkeeper")</f>
        <v>Goalkeeper</v>
      </c>
      <c r="E117" s="2">
        <f ca="1">IFERROR(__xludf.DUMMYFUNCTION("""COMPUTED_VALUE"""),200000)</f>
        <v>200000</v>
      </c>
      <c r="F117" s="2">
        <f ca="1">IFERROR(__xludf.DUMMYFUNCTION("""COMPUTED_VALUE"""),220000)</f>
        <v>220000</v>
      </c>
      <c r="H117" s="1" t="str">
        <f t="shared" ca="1" si="0"/>
        <v>Goalkeeper</v>
      </c>
      <c r="I117" s="3" t="str">
        <f t="shared" ca="1" si="1"/>
        <v>Goalkeeper</v>
      </c>
      <c r="J117" s="1" t="str">
        <f t="shared" ca="1" si="2"/>
        <v>Goalkeeper</v>
      </c>
      <c r="K117" s="1" t="str">
        <f t="shared" ca="1" si="15"/>
        <v>Goalkeeper</v>
      </c>
      <c r="L117" s="1" t="str">
        <f t="shared" ca="1" si="3"/>
        <v>Goalkeeper</v>
      </c>
      <c r="M117" s="1" t="str">
        <f t="shared" ca="1" si="4"/>
        <v>Goalkeeper</v>
      </c>
      <c r="N117" s="1" t="str">
        <f t="shared" ca="1" si="5"/>
        <v>Goalkeeper</v>
      </c>
      <c r="O117" s="1" t="str">
        <f t="shared" ca="1" si="6"/>
        <v>Goalkeeper</v>
      </c>
      <c r="P117" s="1" t="str">
        <f t="shared" ca="1" si="7"/>
        <v>Goalkeeper</v>
      </c>
      <c r="Q117" s="1" t="str">
        <f t="shared" ca="1" si="8"/>
        <v>Goalkeeper</v>
      </c>
      <c r="R117" s="1" t="str">
        <f t="shared" ca="1" si="9"/>
        <v>GK</v>
      </c>
      <c r="S117" s="1" t="str">
        <f t="shared" ca="1" si="10"/>
        <v>GK</v>
      </c>
      <c r="T117" s="1" t="str">
        <f t="shared" ca="1" si="11"/>
        <v>GK</v>
      </c>
      <c r="U117" s="1" t="str">
        <f t="shared" ca="1" si="12"/>
        <v>GK</v>
      </c>
      <c r="V117" s="1" t="str">
        <f t="shared" ca="1" si="13"/>
        <v>GK</v>
      </c>
      <c r="W117" s="1" t="str">
        <f t="shared" ca="1" si="14"/>
        <v>Alex Bono</v>
      </c>
    </row>
    <row r="118" spans="1:23">
      <c r="A118" s="1" t="str">
        <f ca="1">IFERROR(__xludf.DUMMYFUNCTION("""COMPUTED_VALUE"""),"Shanyder")</f>
        <v>Shanyder</v>
      </c>
      <c r="B118" s="1" t="str">
        <f ca="1">IFERROR(__xludf.DUMMYFUNCTION("""COMPUTED_VALUE"""),"Borgelin")</f>
        <v>Borgelin</v>
      </c>
      <c r="C118" s="1" t="str">
        <f ca="1">IFERROR(__xludf.DUMMYFUNCTION("""COMPUTED_VALUE"""),"Inter Miami")</f>
        <v>Inter Miami</v>
      </c>
      <c r="D118" s="1" t="str">
        <f ca="1">IFERROR(__xludf.DUMMYFUNCTION("""COMPUTED_VALUE"""),"Center Forward")</f>
        <v>Center Forward</v>
      </c>
      <c r="E118" s="2">
        <f ca="1">IFERROR(__xludf.DUMMYFUNCTION("""COMPUTED_VALUE"""),71401)</f>
        <v>71401</v>
      </c>
      <c r="F118" s="2">
        <f ca="1">IFERROR(__xludf.DUMMYFUNCTION("""COMPUTED_VALUE"""),73901)</f>
        <v>73901</v>
      </c>
      <c r="H118" s="1" t="str">
        <f t="shared" ca="1" si="0"/>
        <v>Center Forward</v>
      </c>
      <c r="I118" s="3" t="str">
        <f t="shared" ca="1" si="1"/>
        <v>Center Forward</v>
      </c>
      <c r="J118" s="1" t="str">
        <f t="shared" ca="1" si="2"/>
        <v>Center Forward</v>
      </c>
      <c r="K118" s="1" t="str">
        <f t="shared" ca="1" si="15"/>
        <v>Center Forward</v>
      </c>
      <c r="L118" s="1" t="str">
        <f t="shared" ca="1" si="3"/>
        <v>Center Forward</v>
      </c>
      <c r="M118" s="1" t="str">
        <f t="shared" ca="1" si="4"/>
        <v>Center Forward</v>
      </c>
      <c r="N118" s="1" t="str">
        <f t="shared" ca="1" si="5"/>
        <v>Center Forward</v>
      </c>
      <c r="O118" s="1" t="str">
        <f t="shared" ca="1" si="6"/>
        <v>F</v>
      </c>
      <c r="P118" s="1" t="str">
        <f t="shared" ca="1" si="7"/>
        <v>F</v>
      </c>
      <c r="Q118" s="1" t="str">
        <f t="shared" ca="1" si="8"/>
        <v>F</v>
      </c>
      <c r="R118" s="1" t="str">
        <f t="shared" ca="1" si="9"/>
        <v>F</v>
      </c>
      <c r="S118" s="1" t="str">
        <f t="shared" ca="1" si="10"/>
        <v>F</v>
      </c>
      <c r="T118" s="1" t="str">
        <f t="shared" ca="1" si="11"/>
        <v>F</v>
      </c>
      <c r="U118" s="1" t="str">
        <f t="shared" ca="1" si="12"/>
        <v>F</v>
      </c>
      <c r="V118" s="1" t="str">
        <f t="shared" ca="1" si="13"/>
        <v>F</v>
      </c>
      <c r="W118" s="1" t="str">
        <f t="shared" ca="1" si="14"/>
        <v>Shanyder Borgelin</v>
      </c>
    </row>
    <row r="119" spans="1:23">
      <c r="A119" s="1" t="str">
        <f ca="1">IFERROR(__xludf.DUMMYFUNCTION("""COMPUTED_VALUE"""),"Dylan")</f>
        <v>Dylan</v>
      </c>
      <c r="B119" s="1" t="str">
        <f ca="1">IFERROR(__xludf.DUMMYFUNCTION("""COMPUTED_VALUE"""),"Borrero")</f>
        <v>Borrero</v>
      </c>
      <c r="C119" s="1" t="str">
        <f ca="1">IFERROR(__xludf.DUMMYFUNCTION("""COMPUTED_VALUE"""),"New England Revolution")</f>
        <v>New England Revolution</v>
      </c>
      <c r="D119" s="1" t="str">
        <f ca="1">IFERROR(__xludf.DUMMYFUNCTION("""COMPUTED_VALUE"""),"Left Wing")</f>
        <v>Left Wing</v>
      </c>
      <c r="E119" s="2">
        <f ca="1">IFERROR(__xludf.DUMMYFUNCTION("""COMPUTED_VALUE"""),600000)</f>
        <v>600000</v>
      </c>
      <c r="F119" s="2">
        <f ca="1">IFERROR(__xludf.DUMMYFUNCTION("""COMPUTED_VALUE"""),663962)</f>
        <v>663962</v>
      </c>
      <c r="H119" s="1" t="str">
        <f t="shared" ca="1" si="0"/>
        <v>Left Wing</v>
      </c>
      <c r="I119" s="3" t="str">
        <f t="shared" ca="1" si="1"/>
        <v>Left Wing</v>
      </c>
      <c r="J119" s="1" t="str">
        <f t="shared" ca="1" si="2"/>
        <v>Left Wing</v>
      </c>
      <c r="K119" s="1" t="str">
        <f t="shared" ca="1" si="15"/>
        <v>Left Wing</v>
      </c>
      <c r="L119" s="1" t="str">
        <f t="shared" ca="1" si="3"/>
        <v>Left Wing</v>
      </c>
      <c r="M119" s="1" t="str">
        <f t="shared" ca="1" si="4"/>
        <v>Left Wing</v>
      </c>
      <c r="N119" s="1" t="str">
        <f t="shared" ca="1" si="5"/>
        <v>Left Wing</v>
      </c>
      <c r="O119" s="1" t="str">
        <f t="shared" ca="1" si="6"/>
        <v>Left Wing</v>
      </c>
      <c r="P119" s="1" t="str">
        <f t="shared" ca="1" si="7"/>
        <v>F</v>
      </c>
      <c r="Q119" s="1" t="str">
        <f t="shared" ca="1" si="8"/>
        <v>F</v>
      </c>
      <c r="R119" s="1" t="str">
        <f t="shared" ca="1" si="9"/>
        <v>F</v>
      </c>
      <c r="S119" s="1" t="str">
        <f t="shared" ca="1" si="10"/>
        <v>F</v>
      </c>
      <c r="T119" s="1" t="str">
        <f t="shared" ca="1" si="11"/>
        <v>F</v>
      </c>
      <c r="U119" s="1" t="str">
        <f t="shared" ca="1" si="12"/>
        <v>F</v>
      </c>
      <c r="V119" s="1" t="str">
        <f t="shared" ca="1" si="13"/>
        <v>F</v>
      </c>
      <c r="W119" s="1" t="str">
        <f t="shared" ca="1" si="14"/>
        <v>Dylan Borrero</v>
      </c>
    </row>
    <row r="120" spans="1:23">
      <c r="A120" s="1" t="str">
        <f ca="1">IFERROR(__xludf.DUMMYFUNCTION("""COMPUTED_VALUE"""),"Denis")</f>
        <v>Denis</v>
      </c>
      <c r="B120" s="1" t="str">
        <f ca="1">IFERROR(__xludf.DUMMYFUNCTION("""COMPUTED_VALUE"""),"Bouanga")</f>
        <v>Bouanga</v>
      </c>
      <c r="C120" s="1" t="str">
        <f ca="1">IFERROR(__xludf.DUMMYFUNCTION("""COMPUTED_VALUE"""),"LAFC")</f>
        <v>LAFC</v>
      </c>
      <c r="D120" s="1" t="str">
        <f ca="1">IFERROR(__xludf.DUMMYFUNCTION("""COMPUTED_VALUE"""),"Left Wing")</f>
        <v>Left Wing</v>
      </c>
      <c r="E120" s="2">
        <f ca="1">IFERROR(__xludf.DUMMYFUNCTION("""COMPUTED_VALUE"""),2920000)</f>
        <v>2920000</v>
      </c>
      <c r="F120" s="2">
        <f ca="1">IFERROR(__xludf.DUMMYFUNCTION("""COMPUTED_VALUE"""),3609500)</f>
        <v>3609500</v>
      </c>
      <c r="H120" s="1" t="str">
        <f t="shared" ca="1" si="0"/>
        <v>Left Wing</v>
      </c>
      <c r="I120" s="3" t="str">
        <f t="shared" ca="1" si="1"/>
        <v>Left Wing</v>
      </c>
      <c r="J120" s="1" t="str">
        <f t="shared" ca="1" si="2"/>
        <v>Left Wing</v>
      </c>
      <c r="K120" s="1" t="str">
        <f t="shared" ca="1" si="15"/>
        <v>Left Wing</v>
      </c>
      <c r="L120" s="1" t="str">
        <f t="shared" ca="1" si="3"/>
        <v>Left Wing</v>
      </c>
      <c r="M120" s="1" t="str">
        <f t="shared" ca="1" si="4"/>
        <v>Left Wing</v>
      </c>
      <c r="N120" s="1" t="str">
        <f t="shared" ca="1" si="5"/>
        <v>Left Wing</v>
      </c>
      <c r="O120" s="1" t="str">
        <f t="shared" ca="1" si="6"/>
        <v>Left Wing</v>
      </c>
      <c r="P120" s="1" t="str">
        <f t="shared" ca="1" si="7"/>
        <v>F</v>
      </c>
      <c r="Q120" s="1" t="str">
        <f t="shared" ca="1" si="8"/>
        <v>F</v>
      </c>
      <c r="R120" s="1" t="str">
        <f t="shared" ca="1" si="9"/>
        <v>F</v>
      </c>
      <c r="S120" s="1" t="str">
        <f t="shared" ca="1" si="10"/>
        <v>F</v>
      </c>
      <c r="T120" s="1" t="str">
        <f t="shared" ca="1" si="11"/>
        <v>F</v>
      </c>
      <c r="U120" s="1" t="str">
        <f t="shared" ca="1" si="12"/>
        <v>F</v>
      </c>
      <c r="V120" s="1" t="str">
        <f t="shared" ca="1" si="13"/>
        <v>F</v>
      </c>
      <c r="W120" s="1" t="str">
        <f t="shared" ca="1" si="14"/>
        <v>Denis Bouanga</v>
      </c>
    </row>
    <row r="121" spans="1:23">
      <c r="A121" s="1" t="str">
        <f ca="1">IFERROR(__xludf.DUMMYFUNCTION("""COMPUTED_VALUE"""),"Ousseni")</f>
        <v>Ousseni</v>
      </c>
      <c r="B121" s="1" t="str">
        <f ca="1">IFERROR(__xludf.DUMMYFUNCTION("""COMPUTED_VALUE"""),"Bouda")</f>
        <v>Bouda</v>
      </c>
      <c r="C121" s="1" t="str">
        <f ca="1">IFERROR(__xludf.DUMMYFUNCTION("""COMPUTED_VALUE"""),"San Jose Earthquakes")</f>
        <v>San Jose Earthquakes</v>
      </c>
      <c r="D121" s="1" t="str">
        <f ca="1">IFERROR(__xludf.DUMMYFUNCTION("""COMPUTED_VALUE"""),"Left Wing")</f>
        <v>Left Wing</v>
      </c>
      <c r="E121" s="2">
        <f ca="1">IFERROR(__xludf.DUMMYFUNCTION("""COMPUTED_VALUE"""),125000)</f>
        <v>125000</v>
      </c>
      <c r="F121" s="2">
        <f ca="1">IFERROR(__xludf.DUMMYFUNCTION("""COMPUTED_VALUE"""),127500)</f>
        <v>127500</v>
      </c>
      <c r="H121" s="1" t="str">
        <f t="shared" ca="1" si="0"/>
        <v>Left Wing</v>
      </c>
      <c r="I121" s="3" t="str">
        <f t="shared" ca="1" si="1"/>
        <v>Left Wing</v>
      </c>
      <c r="J121" s="1" t="str">
        <f t="shared" ca="1" si="2"/>
        <v>Left Wing</v>
      </c>
      <c r="K121" s="1" t="str">
        <f t="shared" ca="1" si="15"/>
        <v>Left Wing</v>
      </c>
      <c r="L121" s="1" t="str">
        <f t="shared" ca="1" si="3"/>
        <v>Left Wing</v>
      </c>
      <c r="M121" s="1" t="str">
        <f t="shared" ca="1" si="4"/>
        <v>Left Wing</v>
      </c>
      <c r="N121" s="1" t="str">
        <f t="shared" ca="1" si="5"/>
        <v>Left Wing</v>
      </c>
      <c r="O121" s="1" t="str">
        <f t="shared" ca="1" si="6"/>
        <v>Left Wing</v>
      </c>
      <c r="P121" s="1" t="str">
        <f t="shared" ca="1" si="7"/>
        <v>F</v>
      </c>
      <c r="Q121" s="1" t="str">
        <f t="shared" ca="1" si="8"/>
        <v>F</v>
      </c>
      <c r="R121" s="1" t="str">
        <f t="shared" ca="1" si="9"/>
        <v>F</v>
      </c>
      <c r="S121" s="1" t="str">
        <f t="shared" ca="1" si="10"/>
        <v>F</v>
      </c>
      <c r="T121" s="1" t="str">
        <f t="shared" ca="1" si="11"/>
        <v>F</v>
      </c>
      <c r="U121" s="1" t="str">
        <f t="shared" ca="1" si="12"/>
        <v>F</v>
      </c>
      <c r="V121" s="1" t="str">
        <f t="shared" ca="1" si="13"/>
        <v>F</v>
      </c>
      <c r="W121" s="1" t="str">
        <f t="shared" ca="1" si="14"/>
        <v>Ousseni Bouda</v>
      </c>
    </row>
    <row r="122" spans="1:23">
      <c r="A122" s="1" t="str">
        <f ca="1">IFERROR(__xludf.DUMMYFUNCTION("""COMPUTED_VALUE"""),"Aaron")</f>
        <v>Aaron</v>
      </c>
      <c r="B122" s="1" t="str">
        <f ca="1">IFERROR(__xludf.DUMMYFUNCTION("""COMPUTED_VALUE"""),"Boupendza")</f>
        <v>Boupendza</v>
      </c>
      <c r="C122" s="1" t="str">
        <f ca="1">IFERROR(__xludf.DUMMYFUNCTION("""COMPUTED_VALUE"""),"FC Cincinnati")</f>
        <v>FC Cincinnati</v>
      </c>
      <c r="D122" s="1" t="str">
        <f ca="1">IFERROR(__xludf.DUMMYFUNCTION("""COMPUTED_VALUE"""),"Center Forward")</f>
        <v>Center Forward</v>
      </c>
      <c r="E122" s="2">
        <f ca="1">IFERROR(__xludf.DUMMYFUNCTION("""COMPUTED_VALUE"""),1352000)</f>
        <v>1352000</v>
      </c>
      <c r="F122" s="2">
        <f ca="1">IFERROR(__xludf.DUMMYFUNCTION("""COMPUTED_VALUE"""),1759600)</f>
        <v>1759600</v>
      </c>
      <c r="H122" s="1" t="str">
        <f t="shared" ca="1" si="0"/>
        <v>Center Forward</v>
      </c>
      <c r="I122" s="3" t="str">
        <f t="shared" ca="1" si="1"/>
        <v>Center Forward</v>
      </c>
      <c r="J122" s="1" t="str">
        <f t="shared" ca="1" si="2"/>
        <v>Center Forward</v>
      </c>
      <c r="K122" s="1" t="str">
        <f t="shared" ca="1" si="15"/>
        <v>Center Forward</v>
      </c>
      <c r="L122" s="1" t="str">
        <f t="shared" ca="1" si="3"/>
        <v>Center Forward</v>
      </c>
      <c r="M122" s="1" t="str">
        <f t="shared" ca="1" si="4"/>
        <v>Center Forward</v>
      </c>
      <c r="N122" s="1" t="str">
        <f t="shared" ca="1" si="5"/>
        <v>Center Forward</v>
      </c>
      <c r="O122" s="1" t="str">
        <f t="shared" ca="1" si="6"/>
        <v>F</v>
      </c>
      <c r="P122" s="1" t="str">
        <f t="shared" ca="1" si="7"/>
        <v>F</v>
      </c>
      <c r="Q122" s="1" t="str">
        <f t="shared" ca="1" si="8"/>
        <v>F</v>
      </c>
      <c r="R122" s="1" t="str">
        <f t="shared" ca="1" si="9"/>
        <v>F</v>
      </c>
      <c r="S122" s="1" t="str">
        <f t="shared" ca="1" si="10"/>
        <v>F</v>
      </c>
      <c r="T122" s="1" t="str">
        <f t="shared" ca="1" si="11"/>
        <v>F</v>
      </c>
      <c r="U122" s="1" t="str">
        <f t="shared" ca="1" si="12"/>
        <v>F</v>
      </c>
      <c r="V122" s="1" t="str">
        <f t="shared" ca="1" si="13"/>
        <v>F</v>
      </c>
      <c r="W122" s="1" t="str">
        <f t="shared" ca="1" si="14"/>
        <v>Aaron Boupendza</v>
      </c>
    </row>
    <row r="123" spans="1:23">
      <c r="A123" s="1" t="str">
        <f ca="1">IFERROR(__xludf.DUMMYFUNCTION("""COMPUTED_VALUE"""),"Michael")</f>
        <v>Michael</v>
      </c>
      <c r="B123" s="1" t="str">
        <f ca="1">IFERROR(__xludf.DUMMYFUNCTION("""COMPUTED_VALUE"""),"Boxall")</f>
        <v>Boxall</v>
      </c>
      <c r="C123" s="1" t="str">
        <f ca="1">IFERROR(__xludf.DUMMYFUNCTION("""COMPUTED_VALUE"""),"Minnesota United")</f>
        <v>Minnesota United</v>
      </c>
      <c r="D123" s="1" t="str">
        <f ca="1">IFERROR(__xludf.DUMMYFUNCTION("""COMPUTED_VALUE"""),"Center-back")</f>
        <v>Center-back</v>
      </c>
      <c r="E123" s="2">
        <f ca="1">IFERROR(__xludf.DUMMYFUNCTION("""COMPUTED_VALUE"""),675000)</f>
        <v>675000</v>
      </c>
      <c r="F123" s="2">
        <f ca="1">IFERROR(__xludf.DUMMYFUNCTION("""COMPUTED_VALUE"""),728097)</f>
        <v>728097</v>
      </c>
      <c r="H123" s="1" t="str">
        <f t="shared" ca="1" si="0"/>
        <v>D</v>
      </c>
      <c r="I123" s="3" t="str">
        <f t="shared" ca="1" si="1"/>
        <v>D</v>
      </c>
      <c r="J123" s="1" t="str">
        <f t="shared" ca="1" si="2"/>
        <v>D</v>
      </c>
      <c r="K123" s="1" t="str">
        <f t="shared" ca="1" si="15"/>
        <v>D</v>
      </c>
      <c r="L123" s="1" t="str">
        <f t="shared" ca="1" si="3"/>
        <v>D</v>
      </c>
      <c r="M123" s="1" t="str">
        <f t="shared" ca="1" si="4"/>
        <v>D</v>
      </c>
      <c r="N123" s="1" t="str">
        <f t="shared" ca="1" si="5"/>
        <v>D</v>
      </c>
      <c r="O123" s="1" t="str">
        <f t="shared" ca="1" si="6"/>
        <v>D</v>
      </c>
      <c r="P123" s="1" t="str">
        <f t="shared" ca="1" si="7"/>
        <v>D</v>
      </c>
      <c r="Q123" s="1" t="str">
        <f t="shared" ca="1" si="8"/>
        <v>D</v>
      </c>
      <c r="R123" s="1" t="str">
        <f t="shared" ca="1" si="9"/>
        <v>D</v>
      </c>
      <c r="S123" s="1" t="str">
        <f t="shared" ca="1" si="10"/>
        <v>D</v>
      </c>
      <c r="T123" s="1" t="str">
        <f t="shared" ca="1" si="11"/>
        <v>D</v>
      </c>
      <c r="U123" s="1" t="str">
        <f t="shared" ca="1" si="12"/>
        <v>D</v>
      </c>
      <c r="V123" s="1" t="str">
        <f t="shared" ca="1" si="13"/>
        <v>D</v>
      </c>
      <c r="W123" s="1" t="str">
        <f t="shared" ca="1" si="14"/>
        <v>Michael Boxall</v>
      </c>
    </row>
    <row r="124" spans="1:23">
      <c r="A124" s="1" t="str">
        <f ca="1">IFERROR(__xludf.DUMMYFUNCTION("""COMPUTED_VALUE"""),"Tyler")</f>
        <v>Tyler</v>
      </c>
      <c r="B124" s="1" t="str">
        <f ca="1">IFERROR(__xludf.DUMMYFUNCTION("""COMPUTED_VALUE"""),"Boyd")</f>
        <v>Boyd</v>
      </c>
      <c r="C124" s="1" t="str">
        <f ca="1">IFERROR(__xludf.DUMMYFUNCTION("""COMPUTED_VALUE"""),"Nashville SC")</f>
        <v>Nashville SC</v>
      </c>
      <c r="D124" s="1" t="str">
        <f ca="1">IFERROR(__xludf.DUMMYFUNCTION("""COMPUTED_VALUE"""),"Left Wing")</f>
        <v>Left Wing</v>
      </c>
      <c r="E124" s="2">
        <f ca="1">IFERROR(__xludf.DUMMYFUNCTION("""COMPUTED_VALUE"""),770000)</f>
        <v>770000</v>
      </c>
      <c r="F124" s="2">
        <f ca="1">IFERROR(__xludf.DUMMYFUNCTION("""COMPUTED_VALUE"""),775000)</f>
        <v>775000</v>
      </c>
      <c r="H124" s="1" t="str">
        <f t="shared" ca="1" si="0"/>
        <v>Left Wing</v>
      </c>
      <c r="I124" s="3" t="str">
        <f t="shared" ca="1" si="1"/>
        <v>Left Wing</v>
      </c>
      <c r="J124" s="1" t="str">
        <f t="shared" ca="1" si="2"/>
        <v>Left Wing</v>
      </c>
      <c r="K124" s="1" t="str">
        <f t="shared" ca="1" si="15"/>
        <v>Left Wing</v>
      </c>
      <c r="L124" s="1" t="str">
        <f t="shared" ca="1" si="3"/>
        <v>Left Wing</v>
      </c>
      <c r="M124" s="1" t="str">
        <f t="shared" ca="1" si="4"/>
        <v>Left Wing</v>
      </c>
      <c r="N124" s="1" t="str">
        <f t="shared" ca="1" si="5"/>
        <v>Left Wing</v>
      </c>
      <c r="O124" s="1" t="str">
        <f t="shared" ca="1" si="6"/>
        <v>Left Wing</v>
      </c>
      <c r="P124" s="1" t="str">
        <f t="shared" ca="1" si="7"/>
        <v>F</v>
      </c>
      <c r="Q124" s="1" t="str">
        <f t="shared" ca="1" si="8"/>
        <v>F</v>
      </c>
      <c r="R124" s="1" t="str">
        <f t="shared" ca="1" si="9"/>
        <v>F</v>
      </c>
      <c r="S124" s="1" t="str">
        <f t="shared" ca="1" si="10"/>
        <v>F</v>
      </c>
      <c r="T124" s="1" t="str">
        <f t="shared" ca="1" si="11"/>
        <v>F</v>
      </c>
      <c r="U124" s="1" t="str">
        <f t="shared" ca="1" si="12"/>
        <v>F</v>
      </c>
      <c r="V124" s="1" t="str">
        <f t="shared" ca="1" si="13"/>
        <v>F</v>
      </c>
      <c r="W124" s="1" t="str">
        <f t="shared" ca="1" si="14"/>
        <v>Tyler Boyd</v>
      </c>
    </row>
    <row r="125" spans="1:23">
      <c r="A125" s="1" t="str">
        <f ca="1">IFERROR(__xludf.DUMMYFUNCTION("""COMPUTED_VALUE"""),"Michael")</f>
        <v>Michael</v>
      </c>
      <c r="B125" s="1" t="str">
        <f ca="1">IFERROR(__xludf.DUMMYFUNCTION("""COMPUTED_VALUE"""),"Bradley")</f>
        <v>Bradley</v>
      </c>
      <c r="C125" s="1" t="str">
        <f ca="1">IFERROR(__xludf.DUMMYFUNCTION("""COMPUTED_VALUE"""),"MLS Pool")</f>
        <v>MLS Pool</v>
      </c>
      <c r="D125" s="1" t="str">
        <f ca="1">IFERROR(__xludf.DUMMYFUNCTION("""COMPUTED_VALUE"""),"Central Midfield")</f>
        <v>Central Midfield</v>
      </c>
      <c r="E125" s="2">
        <f ca="1">IFERROR(__xludf.DUMMYFUNCTION("""COMPUTED_VALUE"""),725000)</f>
        <v>725000</v>
      </c>
      <c r="F125" s="2">
        <f ca="1">IFERROR(__xludf.DUMMYFUNCTION("""COMPUTED_VALUE"""),725000)</f>
        <v>725000</v>
      </c>
      <c r="H125" s="1" t="str">
        <f t="shared" ca="1" si="0"/>
        <v>Central Midfield</v>
      </c>
      <c r="I125" s="3" t="str">
        <f t="shared" ca="1" si="1"/>
        <v>Central Midfield</v>
      </c>
      <c r="J125" s="1" t="str">
        <f t="shared" ca="1" si="2"/>
        <v>Central Midfield</v>
      </c>
      <c r="K125" s="1" t="str">
        <f t="shared" ca="1" si="15"/>
        <v>Central Midfield</v>
      </c>
      <c r="L125" s="1" t="str">
        <f t="shared" ca="1" si="3"/>
        <v>M</v>
      </c>
      <c r="M125" s="1" t="str">
        <f t="shared" ca="1" si="4"/>
        <v>M</v>
      </c>
      <c r="N125" s="1" t="str">
        <f t="shared" ca="1" si="5"/>
        <v>M</v>
      </c>
      <c r="O125" s="1" t="str">
        <f t="shared" ca="1" si="6"/>
        <v>M</v>
      </c>
      <c r="P125" s="1" t="str">
        <f t="shared" ca="1" si="7"/>
        <v>M</v>
      </c>
      <c r="Q125" s="1" t="str">
        <f t="shared" ca="1" si="8"/>
        <v>M</v>
      </c>
      <c r="R125" s="1" t="str">
        <f t="shared" ca="1" si="9"/>
        <v>M</v>
      </c>
      <c r="S125" s="1" t="str">
        <f t="shared" ca="1" si="10"/>
        <v>M</v>
      </c>
      <c r="T125" s="1" t="str">
        <f t="shared" ca="1" si="11"/>
        <v>M</v>
      </c>
      <c r="U125" s="1" t="str">
        <f t="shared" ca="1" si="12"/>
        <v>M</v>
      </c>
      <c r="V125" s="1" t="str">
        <f t="shared" ca="1" si="13"/>
        <v>M</v>
      </c>
      <c r="W125" s="1" t="str">
        <f t="shared" ca="1" si="14"/>
        <v>Michael Bradley</v>
      </c>
    </row>
    <row r="126" spans="1:23">
      <c r="A126" s="1" t="str">
        <f ca="1">IFERROR(__xludf.DUMMYFUNCTION("""COMPUTED_VALUE"""),"Chris")</f>
        <v>Chris</v>
      </c>
      <c r="B126" s="1" t="str">
        <f ca="1">IFERROR(__xludf.DUMMYFUNCTION("""COMPUTED_VALUE"""),"Brady")</f>
        <v>Brady</v>
      </c>
      <c r="C126" s="1" t="str">
        <f ca="1">IFERROR(__xludf.DUMMYFUNCTION("""COMPUTED_VALUE"""),"Chicago Fire")</f>
        <v>Chicago Fire</v>
      </c>
      <c r="D126" s="1" t="str">
        <f ca="1">IFERROR(__xludf.DUMMYFUNCTION("""COMPUTED_VALUE"""),"Goalkeeper")</f>
        <v>Goalkeeper</v>
      </c>
      <c r="E126" s="2">
        <f ca="1">IFERROR(__xludf.DUMMYFUNCTION("""COMPUTED_VALUE"""),225000)</f>
        <v>225000</v>
      </c>
      <c r="F126" s="2">
        <f ca="1">IFERROR(__xludf.DUMMYFUNCTION("""COMPUTED_VALUE"""),248250)</f>
        <v>248250</v>
      </c>
      <c r="H126" s="1" t="str">
        <f t="shared" ca="1" si="0"/>
        <v>Goalkeeper</v>
      </c>
      <c r="I126" s="3" t="str">
        <f t="shared" ca="1" si="1"/>
        <v>Goalkeeper</v>
      </c>
      <c r="J126" s="1" t="str">
        <f t="shared" ca="1" si="2"/>
        <v>Goalkeeper</v>
      </c>
      <c r="K126" s="1" t="str">
        <f t="shared" ca="1" si="15"/>
        <v>Goalkeeper</v>
      </c>
      <c r="L126" s="1" t="str">
        <f t="shared" ca="1" si="3"/>
        <v>Goalkeeper</v>
      </c>
      <c r="M126" s="1" t="str">
        <f t="shared" ca="1" si="4"/>
        <v>Goalkeeper</v>
      </c>
      <c r="N126" s="1" t="str">
        <f t="shared" ca="1" si="5"/>
        <v>Goalkeeper</v>
      </c>
      <c r="O126" s="1" t="str">
        <f t="shared" ca="1" si="6"/>
        <v>Goalkeeper</v>
      </c>
      <c r="P126" s="1" t="str">
        <f t="shared" ca="1" si="7"/>
        <v>Goalkeeper</v>
      </c>
      <c r="Q126" s="1" t="str">
        <f t="shared" ca="1" si="8"/>
        <v>Goalkeeper</v>
      </c>
      <c r="R126" s="1" t="str">
        <f t="shared" ca="1" si="9"/>
        <v>GK</v>
      </c>
      <c r="S126" s="1" t="str">
        <f t="shared" ca="1" si="10"/>
        <v>GK</v>
      </c>
      <c r="T126" s="1" t="str">
        <f t="shared" ca="1" si="11"/>
        <v>GK</v>
      </c>
      <c r="U126" s="1" t="str">
        <f t="shared" ca="1" si="12"/>
        <v>GK</v>
      </c>
      <c r="V126" s="1" t="str">
        <f t="shared" ca="1" si="13"/>
        <v>GK</v>
      </c>
      <c r="W126" s="1" t="str">
        <f t="shared" ca="1" si="14"/>
        <v>Chris Brady</v>
      </c>
    </row>
    <row r="127" spans="1:23">
      <c r="A127" s="1" t="str">
        <f ca="1">IFERROR(__xludf.DUMMYFUNCTION("""COMPUTED_VALUE"""),"Alejandro")</f>
        <v>Alejandro</v>
      </c>
      <c r="B127" s="1" t="str">
        <f ca="1">IFERROR(__xludf.DUMMYFUNCTION("""COMPUTED_VALUE"""),"Bran")</f>
        <v>Bran</v>
      </c>
      <c r="C127" s="1" t="str">
        <f ca="1">IFERROR(__xludf.DUMMYFUNCTION("""COMPUTED_VALUE"""),"Minnesota United")</f>
        <v>Minnesota United</v>
      </c>
      <c r="D127" s="1" t="str">
        <f ca="1">IFERROR(__xludf.DUMMYFUNCTION("""COMPUTED_VALUE"""),"Defensive Midfield")</f>
        <v>Defensive Midfield</v>
      </c>
      <c r="E127" s="2">
        <f ca="1">IFERROR(__xludf.DUMMYFUNCTION("""COMPUTED_VALUE"""),125000)</f>
        <v>125000</v>
      </c>
      <c r="F127" s="2">
        <f ca="1">IFERROR(__xludf.DUMMYFUNCTION("""COMPUTED_VALUE"""),125000)</f>
        <v>125000</v>
      </c>
      <c r="H127" s="1" t="str">
        <f t="shared" ca="1" si="0"/>
        <v>Defensive Midfield</v>
      </c>
      <c r="I127" s="3" t="str">
        <f t="shared" ca="1" si="1"/>
        <v>Defensive Midfield</v>
      </c>
      <c r="J127" s="1" t="str">
        <f t="shared" ca="1" si="2"/>
        <v>Defensive Midfield</v>
      </c>
      <c r="K127" s="1" t="str">
        <f t="shared" ca="1" si="15"/>
        <v>M</v>
      </c>
      <c r="L127" s="1" t="str">
        <f t="shared" ca="1" si="3"/>
        <v>M</v>
      </c>
      <c r="M127" s="1" t="str">
        <f t="shared" ca="1" si="4"/>
        <v>M</v>
      </c>
      <c r="N127" s="1" t="str">
        <f t="shared" ca="1" si="5"/>
        <v>M</v>
      </c>
      <c r="O127" s="1" t="str">
        <f t="shared" ca="1" si="6"/>
        <v>M</v>
      </c>
      <c r="P127" s="1" t="str">
        <f t="shared" ca="1" si="7"/>
        <v>M</v>
      </c>
      <c r="Q127" s="1" t="str">
        <f t="shared" ca="1" si="8"/>
        <v>M</v>
      </c>
      <c r="R127" s="1" t="str">
        <f t="shared" ca="1" si="9"/>
        <v>M</v>
      </c>
      <c r="S127" s="1" t="str">
        <f t="shared" ca="1" si="10"/>
        <v>M</v>
      </c>
      <c r="T127" s="1" t="str">
        <f t="shared" ca="1" si="11"/>
        <v>M</v>
      </c>
      <c r="U127" s="1" t="str">
        <f t="shared" ca="1" si="12"/>
        <v>M</v>
      </c>
      <c r="V127" s="1" t="str">
        <f t="shared" ca="1" si="13"/>
        <v>M</v>
      </c>
      <c r="W127" s="1" t="str">
        <f t="shared" ca="1" si="14"/>
        <v>Alejandro Bran</v>
      </c>
    </row>
    <row r="128" spans="1:23">
      <c r="A128" s="1" t="str">
        <f ca="1">IFERROR(__xludf.DUMMYFUNCTION("""COMPUTED_VALUE"""),"Claudio")</f>
        <v>Claudio</v>
      </c>
      <c r="B128" s="1" t="str">
        <f ca="1">IFERROR(__xludf.DUMMYFUNCTION("""COMPUTED_VALUE"""),"Bravo")</f>
        <v>Bravo</v>
      </c>
      <c r="C128" s="1" t="str">
        <f ca="1">IFERROR(__xludf.DUMMYFUNCTION("""COMPUTED_VALUE"""),"Portland Timbers")</f>
        <v>Portland Timbers</v>
      </c>
      <c r="D128" s="1" t="str">
        <f ca="1">IFERROR(__xludf.DUMMYFUNCTION("""COMPUTED_VALUE"""),"Left-back")</f>
        <v>Left-back</v>
      </c>
      <c r="E128" s="2">
        <f ca="1">IFERROR(__xludf.DUMMYFUNCTION("""COMPUTED_VALUE"""),325000)</f>
        <v>325000</v>
      </c>
      <c r="F128" s="2">
        <f ca="1">IFERROR(__xludf.DUMMYFUNCTION("""COMPUTED_VALUE"""),381654)</f>
        <v>381654</v>
      </c>
      <c r="H128" s="1" t="str">
        <f t="shared" ca="1" si="0"/>
        <v>Left-back</v>
      </c>
      <c r="I128" s="3" t="str">
        <f t="shared" ca="1" si="1"/>
        <v>D</v>
      </c>
      <c r="J128" s="1" t="str">
        <f t="shared" ca="1" si="2"/>
        <v>D</v>
      </c>
      <c r="K128" s="1" t="str">
        <f t="shared" ca="1" si="15"/>
        <v>D</v>
      </c>
      <c r="L128" s="1" t="str">
        <f t="shared" ca="1" si="3"/>
        <v>D</v>
      </c>
      <c r="M128" s="1" t="str">
        <f t="shared" ca="1" si="4"/>
        <v>D</v>
      </c>
      <c r="N128" s="1" t="str">
        <f t="shared" ca="1" si="5"/>
        <v>D</v>
      </c>
      <c r="O128" s="1" t="str">
        <f t="shared" ca="1" si="6"/>
        <v>D</v>
      </c>
      <c r="P128" s="1" t="str">
        <f t="shared" ca="1" si="7"/>
        <v>D</v>
      </c>
      <c r="Q128" s="1" t="str">
        <f t="shared" ca="1" si="8"/>
        <v>D</v>
      </c>
      <c r="R128" s="1" t="str">
        <f t="shared" ca="1" si="9"/>
        <v>D</v>
      </c>
      <c r="S128" s="1" t="str">
        <f t="shared" ca="1" si="10"/>
        <v>D</v>
      </c>
      <c r="T128" s="1" t="str">
        <f t="shared" ca="1" si="11"/>
        <v>D</v>
      </c>
      <c r="U128" s="1" t="str">
        <f t="shared" ca="1" si="12"/>
        <v>D</v>
      </c>
      <c r="V128" s="1" t="str">
        <f t="shared" ca="1" si="13"/>
        <v>D</v>
      </c>
      <c r="W128" s="1" t="str">
        <f t="shared" ca="1" si="14"/>
        <v>Claudio Bravo</v>
      </c>
    </row>
    <row r="129" spans="1:23">
      <c r="A129" s="1" t="str">
        <f ca="1">IFERROR(__xludf.DUMMYFUNCTION("""COMPUTED_VALUE"""),"David")</f>
        <v>David</v>
      </c>
      <c r="B129" s="1" t="str">
        <f ca="1">IFERROR(__xludf.DUMMYFUNCTION("""COMPUTED_VALUE"""),"Brekalo")</f>
        <v>Brekalo</v>
      </c>
      <c r="C129" s="1" t="str">
        <f ca="1">IFERROR(__xludf.DUMMYFUNCTION("""COMPUTED_VALUE"""),"Orlando City SC")</f>
        <v>Orlando City SC</v>
      </c>
      <c r="D129" s="1" t="str">
        <f ca="1">IFERROR(__xludf.DUMMYFUNCTION("""COMPUTED_VALUE"""),"Center-back")</f>
        <v>Center-back</v>
      </c>
      <c r="E129" s="2">
        <f ca="1">IFERROR(__xludf.DUMMYFUNCTION("""COMPUTED_VALUE"""),600000)</f>
        <v>600000</v>
      </c>
      <c r="F129" s="2">
        <f ca="1">IFERROR(__xludf.DUMMYFUNCTION("""COMPUTED_VALUE"""),683000)</f>
        <v>683000</v>
      </c>
      <c r="H129" s="1" t="str">
        <f t="shared" ca="1" si="0"/>
        <v>D</v>
      </c>
      <c r="I129" s="3" t="str">
        <f t="shared" ca="1" si="1"/>
        <v>D</v>
      </c>
      <c r="J129" s="1" t="str">
        <f t="shared" ca="1" si="2"/>
        <v>D</v>
      </c>
      <c r="K129" s="1" t="str">
        <f t="shared" ca="1" si="15"/>
        <v>D</v>
      </c>
      <c r="L129" s="1" t="str">
        <f t="shared" ca="1" si="3"/>
        <v>D</v>
      </c>
      <c r="M129" s="1" t="str">
        <f t="shared" ca="1" si="4"/>
        <v>D</v>
      </c>
      <c r="N129" s="1" t="str">
        <f t="shared" ca="1" si="5"/>
        <v>D</v>
      </c>
      <c r="O129" s="1" t="str">
        <f t="shared" ca="1" si="6"/>
        <v>D</v>
      </c>
      <c r="P129" s="1" t="str">
        <f t="shared" ca="1" si="7"/>
        <v>D</v>
      </c>
      <c r="Q129" s="1" t="str">
        <f t="shared" ca="1" si="8"/>
        <v>D</v>
      </c>
      <c r="R129" s="1" t="str">
        <f t="shared" ca="1" si="9"/>
        <v>D</v>
      </c>
      <c r="S129" s="1" t="str">
        <f t="shared" ca="1" si="10"/>
        <v>D</v>
      </c>
      <c r="T129" s="1" t="str">
        <f t="shared" ca="1" si="11"/>
        <v>D</v>
      </c>
      <c r="U129" s="1" t="str">
        <f t="shared" ca="1" si="12"/>
        <v>D</v>
      </c>
      <c r="V129" s="1" t="str">
        <f t="shared" ca="1" si="13"/>
        <v>D</v>
      </c>
      <c r="W129" s="1" t="str">
        <f t="shared" ca="1" si="14"/>
        <v>David Brekalo</v>
      </c>
    </row>
    <row r="130" spans="1:23">
      <c r="A130" s="1" t="str">
        <f ca="1">IFERROR(__xludf.DUMMYFUNCTION("""COMPUTED_VALUE"""),"Luke")</f>
        <v>Luke</v>
      </c>
      <c r="B130" s="1" t="str">
        <f ca="1">IFERROR(__xludf.DUMMYFUNCTION("""COMPUTED_VALUE"""),"Brennan")</f>
        <v>Brennan</v>
      </c>
      <c r="C130" s="1" t="str">
        <f ca="1">IFERROR(__xludf.DUMMYFUNCTION("""COMPUTED_VALUE"""),"Atlanta United")</f>
        <v>Atlanta United</v>
      </c>
      <c r="D130" s="1" t="str">
        <f ca="1">IFERROR(__xludf.DUMMYFUNCTION("""COMPUTED_VALUE"""),"Left Wing")</f>
        <v>Left Wing</v>
      </c>
      <c r="E130" s="2">
        <f ca="1">IFERROR(__xludf.DUMMYFUNCTION("""COMPUTED_VALUE"""),71401)</f>
        <v>71401</v>
      </c>
      <c r="F130" s="2">
        <f ca="1">IFERROR(__xludf.DUMMYFUNCTION("""COMPUTED_VALUE"""),71401)</f>
        <v>71401</v>
      </c>
      <c r="H130" s="1" t="str">
        <f t="shared" ca="1" si="0"/>
        <v>Left Wing</v>
      </c>
      <c r="I130" s="3" t="str">
        <f t="shared" ca="1" si="1"/>
        <v>Left Wing</v>
      </c>
      <c r="J130" s="1" t="str">
        <f t="shared" ca="1" si="2"/>
        <v>Left Wing</v>
      </c>
      <c r="K130" s="1" t="str">
        <f t="shared" ca="1" si="15"/>
        <v>Left Wing</v>
      </c>
      <c r="L130" s="1" t="str">
        <f t="shared" ca="1" si="3"/>
        <v>Left Wing</v>
      </c>
      <c r="M130" s="1" t="str">
        <f t="shared" ca="1" si="4"/>
        <v>Left Wing</v>
      </c>
      <c r="N130" s="1" t="str">
        <f t="shared" ca="1" si="5"/>
        <v>Left Wing</v>
      </c>
      <c r="O130" s="1" t="str">
        <f t="shared" ca="1" si="6"/>
        <v>Left Wing</v>
      </c>
      <c r="P130" s="1" t="str">
        <f t="shared" ca="1" si="7"/>
        <v>F</v>
      </c>
      <c r="Q130" s="1" t="str">
        <f t="shared" ca="1" si="8"/>
        <v>F</v>
      </c>
      <c r="R130" s="1" t="str">
        <f t="shared" ca="1" si="9"/>
        <v>F</v>
      </c>
      <c r="S130" s="1" t="str">
        <f t="shared" ca="1" si="10"/>
        <v>F</v>
      </c>
      <c r="T130" s="1" t="str">
        <f t="shared" ca="1" si="11"/>
        <v>F</v>
      </c>
      <c r="U130" s="1" t="str">
        <f t="shared" ca="1" si="12"/>
        <v>F</v>
      </c>
      <c r="V130" s="1" t="str">
        <f t="shared" ca="1" si="13"/>
        <v>F</v>
      </c>
      <c r="W130" s="1" t="str">
        <f t="shared" ca="1" si="14"/>
        <v>Luke Brennan</v>
      </c>
    </row>
    <row r="131" spans="1:23">
      <c r="A131" s="1" t="str">
        <f ca="1">IFERROR(__xludf.DUMMYFUNCTION("""COMPUTED_VALUE"""),"Sebastian")</f>
        <v>Sebastian</v>
      </c>
      <c r="B131" s="1" t="str">
        <f ca="1">IFERROR(__xludf.DUMMYFUNCTION("""COMPUTED_VALUE"""),"Breza")</f>
        <v>Breza</v>
      </c>
      <c r="C131" s="1" t="str">
        <f ca="1">IFERROR(__xludf.DUMMYFUNCTION("""COMPUTED_VALUE"""),"CF Montreal")</f>
        <v>CF Montreal</v>
      </c>
      <c r="D131" s="1" t="str">
        <f ca="1">IFERROR(__xludf.DUMMYFUNCTION("""COMPUTED_VALUE"""),"Goalkeeper")</f>
        <v>Goalkeeper</v>
      </c>
      <c r="E131" s="2">
        <f ca="1">IFERROR(__xludf.DUMMYFUNCTION("""COMPUTED_VALUE"""),89716)</f>
        <v>89716</v>
      </c>
      <c r="F131" s="2">
        <f ca="1">IFERROR(__xludf.DUMMYFUNCTION("""COMPUTED_VALUE"""),89716)</f>
        <v>89716</v>
      </c>
      <c r="H131" s="1" t="str">
        <f t="shared" ca="1" si="0"/>
        <v>Goalkeeper</v>
      </c>
      <c r="I131" s="3" t="str">
        <f t="shared" ca="1" si="1"/>
        <v>Goalkeeper</v>
      </c>
      <c r="J131" s="1" t="str">
        <f t="shared" ca="1" si="2"/>
        <v>Goalkeeper</v>
      </c>
      <c r="K131" s="1" t="str">
        <f t="shared" ca="1" si="15"/>
        <v>Goalkeeper</v>
      </c>
      <c r="L131" s="1" t="str">
        <f t="shared" ca="1" si="3"/>
        <v>Goalkeeper</v>
      </c>
      <c r="M131" s="1" t="str">
        <f t="shared" ca="1" si="4"/>
        <v>Goalkeeper</v>
      </c>
      <c r="N131" s="1" t="str">
        <f t="shared" ca="1" si="5"/>
        <v>Goalkeeper</v>
      </c>
      <c r="O131" s="1" t="str">
        <f t="shared" ca="1" si="6"/>
        <v>Goalkeeper</v>
      </c>
      <c r="P131" s="1" t="str">
        <f t="shared" ca="1" si="7"/>
        <v>Goalkeeper</v>
      </c>
      <c r="Q131" s="1" t="str">
        <f t="shared" ca="1" si="8"/>
        <v>Goalkeeper</v>
      </c>
      <c r="R131" s="1" t="str">
        <f t="shared" ca="1" si="9"/>
        <v>GK</v>
      </c>
      <c r="S131" s="1" t="str">
        <f t="shared" ca="1" si="10"/>
        <v>GK</v>
      </c>
      <c r="T131" s="1" t="str">
        <f t="shared" ca="1" si="11"/>
        <v>GK</v>
      </c>
      <c r="U131" s="1" t="str">
        <f t="shared" ca="1" si="12"/>
        <v>GK</v>
      </c>
      <c r="V131" s="1" t="str">
        <f t="shared" ca="1" si="13"/>
        <v>GK</v>
      </c>
      <c r="W131" s="1" t="str">
        <f t="shared" ca="1" si="14"/>
        <v>Sebastian Breza</v>
      </c>
    </row>
    <row r="132" spans="1:23">
      <c r="A132" s="1" t="str">
        <f ca="1">IFERROR(__xludf.DUMMYFUNCTION("""COMPUTED_VALUE"""),"Yannick")</f>
        <v>Yannick</v>
      </c>
      <c r="B132" s="1" t="str">
        <f ca="1">IFERROR(__xludf.DUMMYFUNCTION("""COMPUTED_VALUE"""),"Bright")</f>
        <v>Bright</v>
      </c>
      <c r="C132" s="1" t="str">
        <f ca="1">IFERROR(__xludf.DUMMYFUNCTION("""COMPUTED_VALUE"""),"Inter Miami")</f>
        <v>Inter Miami</v>
      </c>
      <c r="D132" s="1" t="str">
        <f ca="1">IFERROR(__xludf.DUMMYFUNCTION("""COMPUTED_VALUE"""),"Right-back")</f>
        <v>Right-back</v>
      </c>
      <c r="E132" s="2">
        <f ca="1">IFERROR(__xludf.DUMMYFUNCTION("""COMPUTED_VALUE"""),71401)</f>
        <v>71401</v>
      </c>
      <c r="F132" s="2">
        <f ca="1">IFERROR(__xludf.DUMMYFUNCTION("""COMPUTED_VALUE"""),74426)</f>
        <v>74426</v>
      </c>
      <c r="H132" s="1" t="str">
        <f t="shared" ca="1" si="0"/>
        <v>Right-back</v>
      </c>
      <c r="I132" s="3" t="str">
        <f t="shared" ca="1" si="1"/>
        <v>Right-back</v>
      </c>
      <c r="J132" s="1" t="str">
        <f t="shared" ca="1" si="2"/>
        <v>D</v>
      </c>
      <c r="K132" s="1" t="str">
        <f t="shared" ca="1" si="15"/>
        <v>D</v>
      </c>
      <c r="L132" s="1" t="str">
        <f t="shared" ca="1" si="3"/>
        <v>D</v>
      </c>
      <c r="M132" s="1" t="str">
        <f t="shared" ca="1" si="4"/>
        <v>D</v>
      </c>
      <c r="N132" s="1" t="str">
        <f t="shared" ca="1" si="5"/>
        <v>D</v>
      </c>
      <c r="O132" s="1" t="str">
        <f t="shared" ca="1" si="6"/>
        <v>D</v>
      </c>
      <c r="P132" s="1" t="str">
        <f t="shared" ca="1" si="7"/>
        <v>D</v>
      </c>
      <c r="Q132" s="1" t="str">
        <f t="shared" ca="1" si="8"/>
        <v>D</v>
      </c>
      <c r="R132" s="1" t="str">
        <f t="shared" ca="1" si="9"/>
        <v>D</v>
      </c>
      <c r="S132" s="1" t="str">
        <f t="shared" ca="1" si="10"/>
        <v>D</v>
      </c>
      <c r="T132" s="1" t="str">
        <f t="shared" ca="1" si="11"/>
        <v>D</v>
      </c>
      <c r="U132" s="1" t="str">
        <f t="shared" ca="1" si="12"/>
        <v>D</v>
      </c>
      <c r="V132" s="1" t="str">
        <f t="shared" ca="1" si="13"/>
        <v>D</v>
      </c>
      <c r="W132" s="1" t="str">
        <f t="shared" ca="1" si="14"/>
        <v>Yannick Bright</v>
      </c>
    </row>
    <row r="133" spans="1:23">
      <c r="A133" s="1" t="str">
        <f ca="1">IFERROR(__xludf.DUMMYFUNCTION("""COMPUTED_VALUE"""),"Ethan")</f>
        <v>Ethan</v>
      </c>
      <c r="B133" s="1" t="str">
        <f ca="1">IFERROR(__xludf.DUMMYFUNCTION("""COMPUTED_VALUE"""),"Bristow")</f>
        <v>Bristow</v>
      </c>
      <c r="C133" s="1" t="str">
        <f ca="1">IFERROR(__xludf.DUMMYFUNCTION("""COMPUTED_VALUE"""),"Minnesota United")</f>
        <v>Minnesota United</v>
      </c>
      <c r="D133" s="1" t="str">
        <f ca="1">IFERROR(__xludf.DUMMYFUNCTION("""COMPUTED_VALUE"""),"Left-back")</f>
        <v>Left-back</v>
      </c>
      <c r="E133" s="2">
        <f ca="1">IFERROR(__xludf.DUMMYFUNCTION("""COMPUTED_VALUE"""),89716)</f>
        <v>89716</v>
      </c>
      <c r="F133" s="2">
        <f ca="1">IFERROR(__xludf.DUMMYFUNCTION("""COMPUTED_VALUE"""),140902)</f>
        <v>140902</v>
      </c>
      <c r="H133" s="1" t="str">
        <f t="shared" ca="1" si="0"/>
        <v>Left-back</v>
      </c>
      <c r="I133" s="3" t="str">
        <f t="shared" ca="1" si="1"/>
        <v>D</v>
      </c>
      <c r="J133" s="1" t="str">
        <f t="shared" ca="1" si="2"/>
        <v>D</v>
      </c>
      <c r="K133" s="1" t="str">
        <f t="shared" ca="1" si="15"/>
        <v>D</v>
      </c>
      <c r="L133" s="1" t="str">
        <f t="shared" ca="1" si="3"/>
        <v>D</v>
      </c>
      <c r="M133" s="1" t="str">
        <f t="shared" ca="1" si="4"/>
        <v>D</v>
      </c>
      <c r="N133" s="1" t="str">
        <f t="shared" ca="1" si="5"/>
        <v>D</v>
      </c>
      <c r="O133" s="1" t="str">
        <f t="shared" ca="1" si="6"/>
        <v>D</v>
      </c>
      <c r="P133" s="1" t="str">
        <f t="shared" ca="1" si="7"/>
        <v>D</v>
      </c>
      <c r="Q133" s="1" t="str">
        <f t="shared" ca="1" si="8"/>
        <v>D</v>
      </c>
      <c r="R133" s="1" t="str">
        <f t="shared" ca="1" si="9"/>
        <v>D</v>
      </c>
      <c r="S133" s="1" t="str">
        <f t="shared" ca="1" si="10"/>
        <v>D</v>
      </c>
      <c r="T133" s="1" t="str">
        <f t="shared" ca="1" si="11"/>
        <v>D</v>
      </c>
      <c r="U133" s="1" t="str">
        <f t="shared" ca="1" si="12"/>
        <v>D</v>
      </c>
      <c r="V133" s="1" t="str">
        <f t="shared" ca="1" si="13"/>
        <v>D</v>
      </c>
      <c r="W133" s="1" t="str">
        <f t="shared" ca="1" si="14"/>
        <v>Ethan Bristow</v>
      </c>
    </row>
    <row r="134" spans="1:23">
      <c r="A134" s="1" t="str">
        <f ca="1">IFERROR(__xludf.DUMMYFUNCTION("""COMPUTED_VALUE"""),"Andrew")</f>
        <v>Andrew</v>
      </c>
      <c r="B134" s="1" t="str">
        <f ca="1">IFERROR(__xludf.DUMMYFUNCTION("""COMPUTED_VALUE"""),"Brody")</f>
        <v>Brody</v>
      </c>
      <c r="C134" s="1" t="str">
        <f ca="1">IFERROR(__xludf.DUMMYFUNCTION("""COMPUTED_VALUE"""),"Real Salt Lake")</f>
        <v>Real Salt Lake</v>
      </c>
      <c r="D134" s="1" t="str">
        <f ca="1">IFERROR(__xludf.DUMMYFUNCTION("""COMPUTED_VALUE"""),"Left-back")</f>
        <v>Left-back</v>
      </c>
      <c r="E134" s="2">
        <f ca="1">IFERROR(__xludf.DUMMYFUNCTION("""COMPUTED_VALUE"""),275000)</f>
        <v>275000</v>
      </c>
      <c r="F134" s="2">
        <f ca="1">IFERROR(__xludf.DUMMYFUNCTION("""COMPUTED_VALUE"""),300678)</f>
        <v>300678</v>
      </c>
      <c r="H134" s="1" t="str">
        <f t="shared" ca="1" si="0"/>
        <v>Left-back</v>
      </c>
      <c r="I134" s="3" t="str">
        <f t="shared" ca="1" si="1"/>
        <v>D</v>
      </c>
      <c r="J134" s="1" t="str">
        <f t="shared" ca="1" si="2"/>
        <v>D</v>
      </c>
      <c r="K134" s="1" t="str">
        <f t="shared" ca="1" si="15"/>
        <v>D</v>
      </c>
      <c r="L134" s="1" t="str">
        <f t="shared" ca="1" si="3"/>
        <v>D</v>
      </c>
      <c r="M134" s="1" t="str">
        <f t="shared" ca="1" si="4"/>
        <v>D</v>
      </c>
      <c r="N134" s="1" t="str">
        <f t="shared" ca="1" si="5"/>
        <v>D</v>
      </c>
      <c r="O134" s="1" t="str">
        <f t="shared" ca="1" si="6"/>
        <v>D</v>
      </c>
      <c r="P134" s="1" t="str">
        <f t="shared" ca="1" si="7"/>
        <v>D</v>
      </c>
      <c r="Q134" s="1" t="str">
        <f t="shared" ca="1" si="8"/>
        <v>D</v>
      </c>
      <c r="R134" s="1" t="str">
        <f t="shared" ca="1" si="9"/>
        <v>D</v>
      </c>
      <c r="S134" s="1" t="str">
        <f t="shared" ca="1" si="10"/>
        <v>D</v>
      </c>
      <c r="T134" s="1" t="str">
        <f t="shared" ca="1" si="11"/>
        <v>D</v>
      </c>
      <c r="U134" s="1" t="str">
        <f t="shared" ca="1" si="12"/>
        <v>D</v>
      </c>
      <c r="V134" s="1" t="str">
        <f t="shared" ca="1" si="13"/>
        <v>D</v>
      </c>
      <c r="W134" s="1" t="str">
        <f t="shared" ca="1" si="14"/>
        <v>Andrew Brody</v>
      </c>
    </row>
    <row r="135" spans="1:23">
      <c r="A135" s="1" t="str">
        <f ca="1">IFERROR(__xludf.DUMMYFUNCTION("""COMPUTED_VALUE"""),"Brandt")</f>
        <v>Brandt</v>
      </c>
      <c r="B135" s="1" t="str">
        <f ca="1">IFERROR(__xludf.DUMMYFUNCTION("""COMPUTED_VALUE"""),"Bronico")</f>
        <v>Bronico</v>
      </c>
      <c r="C135" s="1" t="str">
        <f ca="1">IFERROR(__xludf.DUMMYFUNCTION("""COMPUTED_VALUE"""),"Charlotte FC")</f>
        <v>Charlotte FC</v>
      </c>
      <c r="D135" s="1" t="str">
        <f ca="1">IFERROR(__xludf.DUMMYFUNCTION("""COMPUTED_VALUE"""),"Central Midfield")</f>
        <v>Central Midfield</v>
      </c>
      <c r="E135" s="2">
        <f ca="1">IFERROR(__xludf.DUMMYFUNCTION("""COMPUTED_VALUE"""),350000)</f>
        <v>350000</v>
      </c>
      <c r="F135" s="2">
        <f ca="1">IFERROR(__xludf.DUMMYFUNCTION("""COMPUTED_VALUE"""),389000)</f>
        <v>389000</v>
      </c>
      <c r="H135" s="1" t="str">
        <f t="shared" ca="1" si="0"/>
        <v>Central Midfield</v>
      </c>
      <c r="I135" s="3" t="str">
        <f t="shared" ca="1" si="1"/>
        <v>Central Midfield</v>
      </c>
      <c r="J135" s="1" t="str">
        <f t="shared" ca="1" si="2"/>
        <v>Central Midfield</v>
      </c>
      <c r="K135" s="1" t="str">
        <f t="shared" ca="1" si="15"/>
        <v>Central Midfield</v>
      </c>
      <c r="L135" s="1" t="str">
        <f t="shared" ca="1" si="3"/>
        <v>M</v>
      </c>
      <c r="M135" s="1" t="str">
        <f t="shared" ca="1" si="4"/>
        <v>M</v>
      </c>
      <c r="N135" s="1" t="str">
        <f t="shared" ca="1" si="5"/>
        <v>M</v>
      </c>
      <c r="O135" s="1" t="str">
        <f t="shared" ca="1" si="6"/>
        <v>M</v>
      </c>
      <c r="P135" s="1" t="str">
        <f t="shared" ca="1" si="7"/>
        <v>M</v>
      </c>
      <c r="Q135" s="1" t="str">
        <f t="shared" ca="1" si="8"/>
        <v>M</v>
      </c>
      <c r="R135" s="1" t="str">
        <f t="shared" ca="1" si="9"/>
        <v>M</v>
      </c>
      <c r="S135" s="1" t="str">
        <f t="shared" ca="1" si="10"/>
        <v>M</v>
      </c>
      <c r="T135" s="1" t="str">
        <f t="shared" ca="1" si="11"/>
        <v>M</v>
      </c>
      <c r="U135" s="1" t="str">
        <f t="shared" ca="1" si="12"/>
        <v>M</v>
      </c>
      <c r="V135" s="1" t="str">
        <f t="shared" ca="1" si="13"/>
        <v>M</v>
      </c>
      <c r="W135" s="1" t="str">
        <f t="shared" ca="1" si="14"/>
        <v>Brandt Bronico</v>
      </c>
    </row>
    <row r="136" spans="1:23">
      <c r="A136" s="1" t="str">
        <f ca="1">IFERROR(__xludf.DUMMYFUNCTION("""COMPUTED_VALUE"""),"Javain")</f>
        <v>Javain</v>
      </c>
      <c r="B136" s="1" t="str">
        <f ca="1">IFERROR(__xludf.DUMMYFUNCTION("""COMPUTED_VALUE"""),"Brown")</f>
        <v>Brown</v>
      </c>
      <c r="C136" s="1" t="str">
        <f ca="1">IFERROR(__xludf.DUMMYFUNCTION("""COMPUTED_VALUE"""),"Vancouver Whitecaps")</f>
        <v>Vancouver Whitecaps</v>
      </c>
      <c r="D136" s="1" t="str">
        <f ca="1">IFERROR(__xludf.DUMMYFUNCTION("""COMPUTED_VALUE"""),"Right-back")</f>
        <v>Right-back</v>
      </c>
      <c r="E136" s="2">
        <f ca="1">IFERROR(__xludf.DUMMYFUNCTION("""COMPUTED_VALUE"""),205000)</f>
        <v>205000</v>
      </c>
      <c r="F136" s="2">
        <f ca="1">IFERROR(__xludf.DUMMYFUNCTION("""COMPUTED_VALUE"""),218688)</f>
        <v>218688</v>
      </c>
      <c r="H136" s="1" t="str">
        <f t="shared" ca="1" si="0"/>
        <v>Right-back</v>
      </c>
      <c r="I136" s="3" t="str">
        <f t="shared" ca="1" si="1"/>
        <v>Right-back</v>
      </c>
      <c r="J136" s="1" t="str">
        <f t="shared" ca="1" si="2"/>
        <v>D</v>
      </c>
      <c r="K136" s="1" t="str">
        <f t="shared" ca="1" si="15"/>
        <v>D</v>
      </c>
      <c r="L136" s="1" t="str">
        <f t="shared" ca="1" si="3"/>
        <v>D</v>
      </c>
      <c r="M136" s="1" t="str">
        <f t="shared" ca="1" si="4"/>
        <v>D</v>
      </c>
      <c r="N136" s="1" t="str">
        <f t="shared" ca="1" si="5"/>
        <v>D</v>
      </c>
      <c r="O136" s="1" t="str">
        <f t="shared" ca="1" si="6"/>
        <v>D</v>
      </c>
      <c r="P136" s="1" t="str">
        <f t="shared" ca="1" si="7"/>
        <v>D</v>
      </c>
      <c r="Q136" s="1" t="str">
        <f t="shared" ca="1" si="8"/>
        <v>D</v>
      </c>
      <c r="R136" s="1" t="str">
        <f t="shared" ca="1" si="9"/>
        <v>D</v>
      </c>
      <c r="S136" s="1" t="str">
        <f t="shared" ca="1" si="10"/>
        <v>D</v>
      </c>
      <c r="T136" s="1" t="str">
        <f t="shared" ca="1" si="11"/>
        <v>D</v>
      </c>
      <c r="U136" s="1" t="str">
        <f t="shared" ca="1" si="12"/>
        <v>D</v>
      </c>
      <c r="V136" s="1" t="str">
        <f t="shared" ca="1" si="13"/>
        <v>D</v>
      </c>
      <c r="W136" s="1" t="str">
        <f t="shared" ca="1" si="14"/>
        <v>Javain Brown</v>
      </c>
    </row>
    <row r="137" spans="1:23">
      <c r="A137" s="1" t="str">
        <f ca="1">IFERROR(__xludf.DUMMYFUNCTION("""COMPUTED_VALUE"""),"Gastón")</f>
        <v>Gastón</v>
      </c>
      <c r="B137" s="1" t="str">
        <f ca="1">IFERROR(__xludf.DUMMYFUNCTION("""COMPUTED_VALUE"""),"Brugman")</f>
        <v>Brugman</v>
      </c>
      <c r="C137" s="1" t="str">
        <f ca="1">IFERROR(__xludf.DUMMYFUNCTION("""COMPUTED_VALUE"""),"LA Galaxy")</f>
        <v>LA Galaxy</v>
      </c>
      <c r="D137" s="1" t="str">
        <f ca="1">IFERROR(__xludf.DUMMYFUNCTION("""COMPUTED_VALUE"""),"Defensive Midfield")</f>
        <v>Defensive Midfield</v>
      </c>
      <c r="E137" s="2">
        <f ca="1">IFERROR(__xludf.DUMMYFUNCTION("""COMPUTED_VALUE"""),1200000)</f>
        <v>1200000</v>
      </c>
      <c r="F137" s="2">
        <f ca="1">IFERROR(__xludf.DUMMYFUNCTION("""COMPUTED_VALUE"""),1409000)</f>
        <v>1409000</v>
      </c>
      <c r="H137" s="1" t="str">
        <f t="shared" ca="1" si="0"/>
        <v>Defensive Midfield</v>
      </c>
      <c r="I137" s="3" t="str">
        <f t="shared" ca="1" si="1"/>
        <v>Defensive Midfield</v>
      </c>
      <c r="J137" s="1" t="str">
        <f t="shared" ca="1" si="2"/>
        <v>Defensive Midfield</v>
      </c>
      <c r="K137" s="1" t="str">
        <f t="shared" ca="1" si="15"/>
        <v>M</v>
      </c>
      <c r="L137" s="1" t="str">
        <f t="shared" ca="1" si="3"/>
        <v>M</v>
      </c>
      <c r="M137" s="1" t="str">
        <f t="shared" ca="1" si="4"/>
        <v>M</v>
      </c>
      <c r="N137" s="1" t="str">
        <f t="shared" ca="1" si="5"/>
        <v>M</v>
      </c>
      <c r="O137" s="1" t="str">
        <f t="shared" ca="1" si="6"/>
        <v>M</v>
      </c>
      <c r="P137" s="1" t="str">
        <f t="shared" ca="1" si="7"/>
        <v>M</v>
      </c>
      <c r="Q137" s="1" t="str">
        <f t="shared" ca="1" si="8"/>
        <v>M</v>
      </c>
      <c r="R137" s="1" t="str">
        <f t="shared" ca="1" si="9"/>
        <v>M</v>
      </c>
      <c r="S137" s="1" t="str">
        <f t="shared" ca="1" si="10"/>
        <v>M</v>
      </c>
      <c r="T137" s="1" t="str">
        <f t="shared" ca="1" si="11"/>
        <v>M</v>
      </c>
      <c r="U137" s="1" t="str">
        <f t="shared" ca="1" si="12"/>
        <v>M</v>
      </c>
      <c r="V137" s="1" t="str">
        <f t="shared" ca="1" si="13"/>
        <v>M</v>
      </c>
      <c r="W137" s="1" t="str">
        <f t="shared" ca="1" si="14"/>
        <v>Gastón Brugman</v>
      </c>
    </row>
    <row r="138" spans="1:23">
      <c r="A138" s="1" t="str">
        <f ca="1">IFERROR(__xludf.DUMMYFUNCTION("""COMPUTED_VALUE"""),"Pavel")</f>
        <v>Pavel</v>
      </c>
      <c r="B138" s="1" t="str">
        <f ca="1">IFERROR(__xludf.DUMMYFUNCTION("""COMPUTED_VALUE"""),"Bucha")</f>
        <v>Bucha</v>
      </c>
      <c r="C138" s="1" t="str">
        <f ca="1">IFERROR(__xludf.DUMMYFUNCTION("""COMPUTED_VALUE"""),"FC Cincinnati")</f>
        <v>FC Cincinnati</v>
      </c>
      <c r="D138" s="1" t="str">
        <f ca="1">IFERROR(__xludf.DUMMYFUNCTION("""COMPUTED_VALUE"""),"Central Midfield")</f>
        <v>Central Midfield</v>
      </c>
      <c r="E138" s="2">
        <f ca="1">IFERROR(__xludf.DUMMYFUNCTION("""COMPUTED_VALUE"""),450000)</f>
        <v>450000</v>
      </c>
      <c r="F138" s="2">
        <f ca="1">IFERROR(__xludf.DUMMYFUNCTION("""COMPUTED_VALUE"""),498782)</f>
        <v>498782</v>
      </c>
      <c r="H138" s="1" t="str">
        <f t="shared" ca="1" si="0"/>
        <v>Central Midfield</v>
      </c>
      <c r="I138" s="3" t="str">
        <f t="shared" ca="1" si="1"/>
        <v>Central Midfield</v>
      </c>
      <c r="J138" s="1" t="str">
        <f t="shared" ca="1" si="2"/>
        <v>Central Midfield</v>
      </c>
      <c r="K138" s="1" t="str">
        <f t="shared" ca="1" si="15"/>
        <v>Central Midfield</v>
      </c>
      <c r="L138" s="1" t="str">
        <f t="shared" ca="1" si="3"/>
        <v>M</v>
      </c>
      <c r="M138" s="1" t="str">
        <f t="shared" ca="1" si="4"/>
        <v>M</v>
      </c>
      <c r="N138" s="1" t="str">
        <f t="shared" ca="1" si="5"/>
        <v>M</v>
      </c>
      <c r="O138" s="1" t="str">
        <f t="shared" ca="1" si="6"/>
        <v>M</v>
      </c>
      <c r="P138" s="1" t="str">
        <f t="shared" ca="1" si="7"/>
        <v>M</v>
      </c>
      <c r="Q138" s="1" t="str">
        <f t="shared" ca="1" si="8"/>
        <v>M</v>
      </c>
      <c r="R138" s="1" t="str">
        <f t="shared" ca="1" si="9"/>
        <v>M</v>
      </c>
      <c r="S138" s="1" t="str">
        <f t="shared" ca="1" si="10"/>
        <v>M</v>
      </c>
      <c r="T138" s="1" t="str">
        <f t="shared" ca="1" si="11"/>
        <v>M</v>
      </c>
      <c r="U138" s="1" t="str">
        <f t="shared" ca="1" si="12"/>
        <v>M</v>
      </c>
      <c r="V138" s="1" t="str">
        <f t="shared" ca="1" si="13"/>
        <v>M</v>
      </c>
      <c r="W138" s="1" t="str">
        <f t="shared" ca="1" si="14"/>
        <v>Pavel Bucha</v>
      </c>
    </row>
    <row r="139" spans="1:23">
      <c r="A139" s="1" t="str">
        <f ca="1">IFERROR(__xludf.DUMMYFUNCTION("""COMPUTED_VALUE"""),"Noel")</f>
        <v>Noel</v>
      </c>
      <c r="B139" s="1" t="str">
        <f ca="1">IFERROR(__xludf.DUMMYFUNCTION("""COMPUTED_VALUE"""),"Buck")</f>
        <v>Buck</v>
      </c>
      <c r="C139" s="1" t="str">
        <f ca="1">IFERROR(__xludf.DUMMYFUNCTION("""COMPUTED_VALUE"""),"New England Revolution")</f>
        <v>New England Revolution</v>
      </c>
      <c r="D139" s="1" t="str">
        <f ca="1">IFERROR(__xludf.DUMMYFUNCTION("""COMPUTED_VALUE"""),"Central Midfield")</f>
        <v>Central Midfield</v>
      </c>
      <c r="E139" s="2">
        <f ca="1">IFERROR(__xludf.DUMMYFUNCTION("""COMPUTED_VALUE"""),89716)</f>
        <v>89716</v>
      </c>
      <c r="F139" s="2">
        <f ca="1">IFERROR(__xludf.DUMMYFUNCTION("""COMPUTED_VALUE"""),89716)</f>
        <v>89716</v>
      </c>
      <c r="H139" s="1" t="str">
        <f t="shared" ca="1" si="0"/>
        <v>Central Midfield</v>
      </c>
      <c r="I139" s="3" t="str">
        <f t="shared" ca="1" si="1"/>
        <v>Central Midfield</v>
      </c>
      <c r="J139" s="1" t="str">
        <f t="shared" ca="1" si="2"/>
        <v>Central Midfield</v>
      </c>
      <c r="K139" s="1" t="str">
        <f t="shared" ca="1" si="15"/>
        <v>Central Midfield</v>
      </c>
      <c r="L139" s="1" t="str">
        <f t="shared" ca="1" si="3"/>
        <v>M</v>
      </c>
      <c r="M139" s="1" t="str">
        <f t="shared" ca="1" si="4"/>
        <v>M</v>
      </c>
      <c r="N139" s="1" t="str">
        <f t="shared" ca="1" si="5"/>
        <v>M</v>
      </c>
      <c r="O139" s="1" t="str">
        <f t="shared" ca="1" si="6"/>
        <v>M</v>
      </c>
      <c r="P139" s="1" t="str">
        <f t="shared" ca="1" si="7"/>
        <v>M</v>
      </c>
      <c r="Q139" s="1" t="str">
        <f t="shared" ca="1" si="8"/>
        <v>M</v>
      </c>
      <c r="R139" s="1" t="str">
        <f t="shared" ca="1" si="9"/>
        <v>M</v>
      </c>
      <c r="S139" s="1" t="str">
        <f t="shared" ca="1" si="10"/>
        <v>M</v>
      </c>
      <c r="T139" s="1" t="str">
        <f t="shared" ca="1" si="11"/>
        <v>M</v>
      </c>
      <c r="U139" s="1" t="str">
        <f t="shared" ca="1" si="12"/>
        <v>M</v>
      </c>
      <c r="V139" s="1" t="str">
        <f t="shared" ca="1" si="13"/>
        <v>M</v>
      </c>
      <c r="W139" s="1" t="str">
        <f t="shared" ca="1" si="14"/>
        <v>Noel Buck</v>
      </c>
    </row>
    <row r="140" spans="1:23">
      <c r="A140" s="1" t="str">
        <f ca="1">IFERROR(__xludf.DUMMYFUNCTION("""COMPUTED_VALUE"""),"Jesús")</f>
        <v>Jesús</v>
      </c>
      <c r="B140" s="1" t="str">
        <f ca="1">IFERROR(__xludf.DUMMYFUNCTION("""COMPUTED_VALUE"""),"Bueno")</f>
        <v>Bueno</v>
      </c>
      <c r="C140" s="1" t="str">
        <f ca="1">IFERROR(__xludf.DUMMYFUNCTION("""COMPUTED_VALUE"""),"Philadelphia Union")</f>
        <v>Philadelphia Union</v>
      </c>
      <c r="D140" s="1" t="str">
        <f ca="1">IFERROR(__xludf.DUMMYFUNCTION("""COMPUTED_VALUE"""),"Defensive Midfield")</f>
        <v>Defensive Midfield</v>
      </c>
      <c r="E140" s="2">
        <f ca="1">IFERROR(__xludf.DUMMYFUNCTION("""COMPUTED_VALUE"""),280000)</f>
        <v>280000</v>
      </c>
      <c r="F140" s="2">
        <f ca="1">IFERROR(__xludf.DUMMYFUNCTION("""COMPUTED_VALUE"""),312625)</f>
        <v>312625</v>
      </c>
      <c r="H140" s="1" t="str">
        <f t="shared" ca="1" si="0"/>
        <v>Defensive Midfield</v>
      </c>
      <c r="I140" s="3" t="str">
        <f t="shared" ca="1" si="1"/>
        <v>Defensive Midfield</v>
      </c>
      <c r="J140" s="1" t="str">
        <f t="shared" ca="1" si="2"/>
        <v>Defensive Midfield</v>
      </c>
      <c r="K140" s="1" t="str">
        <f t="shared" ca="1" si="15"/>
        <v>M</v>
      </c>
      <c r="L140" s="1" t="str">
        <f t="shared" ca="1" si="3"/>
        <v>M</v>
      </c>
      <c r="M140" s="1" t="str">
        <f t="shared" ca="1" si="4"/>
        <v>M</v>
      </c>
      <c r="N140" s="1" t="str">
        <f t="shared" ca="1" si="5"/>
        <v>M</v>
      </c>
      <c r="O140" s="1" t="str">
        <f t="shared" ca="1" si="6"/>
        <v>M</v>
      </c>
      <c r="P140" s="1" t="str">
        <f t="shared" ca="1" si="7"/>
        <v>M</v>
      </c>
      <c r="Q140" s="1" t="str">
        <f t="shared" ca="1" si="8"/>
        <v>M</v>
      </c>
      <c r="R140" s="1" t="str">
        <f t="shared" ca="1" si="9"/>
        <v>M</v>
      </c>
      <c r="S140" s="1" t="str">
        <f t="shared" ca="1" si="10"/>
        <v>M</v>
      </c>
      <c r="T140" s="1" t="str">
        <f t="shared" ca="1" si="11"/>
        <v>M</v>
      </c>
      <c r="U140" s="1" t="str">
        <f t="shared" ca="1" si="12"/>
        <v>M</v>
      </c>
      <c r="V140" s="1" t="str">
        <f t="shared" ca="1" si="13"/>
        <v>M</v>
      </c>
      <c r="W140" s="1" t="str">
        <f t="shared" ca="1" si="14"/>
        <v>Jesús Bueno</v>
      </c>
    </row>
    <row r="141" spans="1:23">
      <c r="A141" s="1" t="str">
        <f ca="1">IFERROR(__xludf.DUMMYFUNCTION("""COMPUTED_VALUE"""),"Teal")</f>
        <v>Teal</v>
      </c>
      <c r="B141" s="1" t="str">
        <f ca="1">IFERROR(__xludf.DUMMYFUNCTION("""COMPUTED_VALUE"""),"Bunbury")</f>
        <v>Bunbury</v>
      </c>
      <c r="C141" s="1" t="str">
        <f ca="1">IFERROR(__xludf.DUMMYFUNCTION("""COMPUTED_VALUE"""),"Nashville SC")</f>
        <v>Nashville SC</v>
      </c>
      <c r="D141" s="1" t="str">
        <f ca="1">IFERROR(__xludf.DUMMYFUNCTION("""COMPUTED_VALUE"""),"Center Forward")</f>
        <v>Center Forward</v>
      </c>
      <c r="E141" s="2">
        <f ca="1">IFERROR(__xludf.DUMMYFUNCTION("""COMPUTED_VALUE"""),250000)</f>
        <v>250000</v>
      </c>
      <c r="F141" s="2">
        <f ca="1">IFERROR(__xludf.DUMMYFUNCTION("""COMPUTED_VALUE"""),280000)</f>
        <v>280000</v>
      </c>
      <c r="H141" s="1" t="str">
        <f t="shared" ca="1" si="0"/>
        <v>Center Forward</v>
      </c>
      <c r="I141" s="3" t="str">
        <f t="shared" ca="1" si="1"/>
        <v>Center Forward</v>
      </c>
      <c r="J141" s="1" t="str">
        <f t="shared" ca="1" si="2"/>
        <v>Center Forward</v>
      </c>
      <c r="K141" s="1" t="str">
        <f t="shared" ca="1" si="15"/>
        <v>Center Forward</v>
      </c>
      <c r="L141" s="1" t="str">
        <f t="shared" ca="1" si="3"/>
        <v>Center Forward</v>
      </c>
      <c r="M141" s="1" t="str">
        <f t="shared" ca="1" si="4"/>
        <v>Center Forward</v>
      </c>
      <c r="N141" s="1" t="str">
        <f t="shared" ca="1" si="5"/>
        <v>Center Forward</v>
      </c>
      <c r="O141" s="1" t="str">
        <f t="shared" ca="1" si="6"/>
        <v>F</v>
      </c>
      <c r="P141" s="1" t="str">
        <f t="shared" ca="1" si="7"/>
        <v>F</v>
      </c>
      <c r="Q141" s="1" t="str">
        <f t="shared" ca="1" si="8"/>
        <v>F</v>
      </c>
      <c r="R141" s="1" t="str">
        <f t="shared" ca="1" si="9"/>
        <v>F</v>
      </c>
      <c r="S141" s="1" t="str">
        <f t="shared" ca="1" si="10"/>
        <v>F</v>
      </c>
      <c r="T141" s="1" t="str">
        <f t="shared" ca="1" si="11"/>
        <v>F</v>
      </c>
      <c r="U141" s="1" t="str">
        <f t="shared" ca="1" si="12"/>
        <v>F</v>
      </c>
      <c r="V141" s="1" t="str">
        <f t="shared" ca="1" si="13"/>
        <v>F</v>
      </c>
      <c r="W141" s="1" t="str">
        <f t="shared" ca="1" si="14"/>
        <v>Teal Bunbury</v>
      </c>
    </row>
    <row r="142" spans="1:23">
      <c r="A142" s="1" t="str">
        <f ca="1">IFERROR(__xludf.DUMMYFUNCTION("""COMPUTED_VALUE"""),"Nkosi Tafari")</f>
        <v>Nkosi Tafari</v>
      </c>
      <c r="B142" s="1" t="str">
        <f ca="1">IFERROR(__xludf.DUMMYFUNCTION("""COMPUTED_VALUE"""),"Burgess")</f>
        <v>Burgess</v>
      </c>
      <c r="C142" s="1" t="str">
        <f ca="1">IFERROR(__xludf.DUMMYFUNCTION("""COMPUTED_VALUE"""),"FC Dallas")</f>
        <v>FC Dallas</v>
      </c>
      <c r="D142" s="1" t="str">
        <f ca="1">IFERROR(__xludf.DUMMYFUNCTION("""COMPUTED_VALUE"""),"Center-back")</f>
        <v>Center-back</v>
      </c>
      <c r="E142" s="2">
        <f ca="1">IFERROR(__xludf.DUMMYFUNCTION("""COMPUTED_VALUE"""),347750)</f>
        <v>347750</v>
      </c>
      <c r="F142" s="2">
        <f ca="1">IFERROR(__xludf.DUMMYFUNCTION("""COMPUTED_VALUE"""),347750)</f>
        <v>347750</v>
      </c>
      <c r="H142" s="1" t="str">
        <f t="shared" ca="1" si="0"/>
        <v>D</v>
      </c>
      <c r="I142" s="3" t="str">
        <f t="shared" ca="1" si="1"/>
        <v>D</v>
      </c>
      <c r="J142" s="1" t="str">
        <f t="shared" ca="1" si="2"/>
        <v>D</v>
      </c>
      <c r="K142" s="1" t="str">
        <f t="shared" ca="1" si="15"/>
        <v>D</v>
      </c>
      <c r="L142" s="1" t="str">
        <f t="shared" ca="1" si="3"/>
        <v>D</v>
      </c>
      <c r="M142" s="1" t="str">
        <f t="shared" ca="1" si="4"/>
        <v>D</v>
      </c>
      <c r="N142" s="1" t="str">
        <f t="shared" ca="1" si="5"/>
        <v>D</v>
      </c>
      <c r="O142" s="1" t="str">
        <f t="shared" ca="1" si="6"/>
        <v>D</v>
      </c>
      <c r="P142" s="1" t="str">
        <f t="shared" ca="1" si="7"/>
        <v>D</v>
      </c>
      <c r="Q142" s="1" t="str">
        <f t="shared" ca="1" si="8"/>
        <v>D</v>
      </c>
      <c r="R142" s="1" t="str">
        <f t="shared" ca="1" si="9"/>
        <v>D</v>
      </c>
      <c r="S142" s="1" t="str">
        <f t="shared" ca="1" si="10"/>
        <v>D</v>
      </c>
      <c r="T142" s="1" t="str">
        <f t="shared" ca="1" si="11"/>
        <v>D</v>
      </c>
      <c r="U142" s="1" t="str">
        <f t="shared" ca="1" si="12"/>
        <v>D</v>
      </c>
      <c r="V142" s="1" t="str">
        <f t="shared" ca="1" si="13"/>
        <v>D</v>
      </c>
      <c r="W142" s="1" t="str">
        <f t="shared" ca="1" si="14"/>
        <v>Nkosi Tafari Burgess</v>
      </c>
    </row>
    <row r="143" spans="1:23">
      <c r="A143" s="1" t="str">
        <f ca="1">IFERROR(__xludf.DUMMYFUNCTION("""COMPUTED_VALUE"""),"Cory")</f>
        <v>Cory</v>
      </c>
      <c r="B143" s="1" t="str">
        <f ca="1">IFERROR(__xludf.DUMMYFUNCTION("""COMPUTED_VALUE"""),"Burke")</f>
        <v>Burke</v>
      </c>
      <c r="C143" s="1" t="str">
        <f ca="1">IFERROR(__xludf.DUMMYFUNCTION("""COMPUTED_VALUE"""),"New York Red Bulls")</f>
        <v>New York Red Bulls</v>
      </c>
      <c r="D143" s="1" t="str">
        <f ca="1">IFERROR(__xludf.DUMMYFUNCTION("""COMPUTED_VALUE"""),"Center Forward")</f>
        <v>Center Forward</v>
      </c>
      <c r="E143" s="2">
        <f ca="1">IFERROR(__xludf.DUMMYFUNCTION("""COMPUTED_VALUE"""),500000)</f>
        <v>500000</v>
      </c>
      <c r="F143" s="2">
        <f ca="1">IFERROR(__xludf.DUMMYFUNCTION("""COMPUTED_VALUE"""),571871)</f>
        <v>571871</v>
      </c>
      <c r="H143" s="1" t="str">
        <f t="shared" ca="1" si="0"/>
        <v>Center Forward</v>
      </c>
      <c r="I143" s="3" t="str">
        <f t="shared" ca="1" si="1"/>
        <v>Center Forward</v>
      </c>
      <c r="J143" s="1" t="str">
        <f t="shared" ca="1" si="2"/>
        <v>Center Forward</v>
      </c>
      <c r="K143" s="1" t="str">
        <f t="shared" ca="1" si="15"/>
        <v>Center Forward</v>
      </c>
      <c r="L143" s="1" t="str">
        <f t="shared" ca="1" si="3"/>
        <v>Center Forward</v>
      </c>
      <c r="M143" s="1" t="str">
        <f t="shared" ca="1" si="4"/>
        <v>Center Forward</v>
      </c>
      <c r="N143" s="1" t="str">
        <f t="shared" ca="1" si="5"/>
        <v>Center Forward</v>
      </c>
      <c r="O143" s="1" t="str">
        <f t="shared" ca="1" si="6"/>
        <v>F</v>
      </c>
      <c r="P143" s="1" t="str">
        <f t="shared" ca="1" si="7"/>
        <v>F</v>
      </c>
      <c r="Q143" s="1" t="str">
        <f t="shared" ca="1" si="8"/>
        <v>F</v>
      </c>
      <c r="R143" s="1" t="str">
        <f t="shared" ca="1" si="9"/>
        <v>F</v>
      </c>
      <c r="S143" s="1" t="str">
        <f t="shared" ca="1" si="10"/>
        <v>F</v>
      </c>
      <c r="T143" s="1" t="str">
        <f t="shared" ca="1" si="11"/>
        <v>F</v>
      </c>
      <c r="U143" s="1" t="str">
        <f t="shared" ca="1" si="12"/>
        <v>F</v>
      </c>
      <c r="V143" s="1" t="str">
        <f t="shared" ca="1" si="13"/>
        <v>F</v>
      </c>
      <c r="W143" s="1" t="str">
        <f t="shared" ca="1" si="14"/>
        <v>Cory Burke</v>
      </c>
    </row>
    <row r="144" spans="1:23">
      <c r="A144" s="1" t="str">
        <f ca="1">IFERROR(__xludf.DUMMYFUNCTION("""COMPUTED_VALUE"""),"Micah")</f>
        <v>Micah</v>
      </c>
      <c r="B144" s="1" t="str">
        <f ca="1">IFERROR(__xludf.DUMMYFUNCTION("""COMPUTED_VALUE"""),"Burton")</f>
        <v>Burton</v>
      </c>
      <c r="C144" s="1" t="str">
        <f ca="1">IFERROR(__xludf.DUMMYFUNCTION("""COMPUTED_VALUE"""),"Austin FC")</f>
        <v>Austin FC</v>
      </c>
      <c r="D144" s="1" t="str">
        <f ca="1">IFERROR(__xludf.DUMMYFUNCTION("""COMPUTED_VALUE"""),"Attacking Midfield")</f>
        <v>Attacking Midfield</v>
      </c>
      <c r="E144" s="2">
        <f ca="1">IFERROR(__xludf.DUMMYFUNCTION("""COMPUTED_VALUE"""),71401)</f>
        <v>71401</v>
      </c>
      <c r="F144" s="2">
        <f ca="1">IFERROR(__xludf.DUMMYFUNCTION("""COMPUTED_VALUE"""),82401)</f>
        <v>82401</v>
      </c>
      <c r="H144" s="1" t="str">
        <f t="shared" ca="1" si="0"/>
        <v>Attacking Midfield</v>
      </c>
      <c r="I144" s="3" t="str">
        <f t="shared" ca="1" si="1"/>
        <v>Attacking Midfield</v>
      </c>
      <c r="J144" s="1" t="str">
        <f t="shared" ca="1" si="2"/>
        <v>Attacking Midfield</v>
      </c>
      <c r="K144" s="1" t="str">
        <f t="shared" ca="1" si="15"/>
        <v>Attacking Midfield</v>
      </c>
      <c r="L144" s="1" t="str">
        <f t="shared" ca="1" si="3"/>
        <v>Attacking Midfield</v>
      </c>
      <c r="M144" s="1" t="str">
        <f t="shared" ca="1" si="4"/>
        <v>M</v>
      </c>
      <c r="N144" s="1" t="str">
        <f t="shared" ca="1" si="5"/>
        <v>M</v>
      </c>
      <c r="O144" s="1" t="str">
        <f t="shared" ca="1" si="6"/>
        <v>M</v>
      </c>
      <c r="P144" s="1" t="str">
        <f t="shared" ca="1" si="7"/>
        <v>M</v>
      </c>
      <c r="Q144" s="1" t="str">
        <f t="shared" ca="1" si="8"/>
        <v>M</v>
      </c>
      <c r="R144" s="1" t="str">
        <f t="shared" ca="1" si="9"/>
        <v>M</v>
      </c>
      <c r="S144" s="1" t="str">
        <f t="shared" ca="1" si="10"/>
        <v>M</v>
      </c>
      <c r="T144" s="1" t="str">
        <f t="shared" ca="1" si="11"/>
        <v>M</v>
      </c>
      <c r="U144" s="1" t="str">
        <f t="shared" ca="1" si="12"/>
        <v>M</v>
      </c>
      <c r="V144" s="1" t="str">
        <f t="shared" ca="1" si="13"/>
        <v>M</v>
      </c>
      <c r="W144" s="1" t="str">
        <f t="shared" ca="1" si="14"/>
        <v>Micah Burton</v>
      </c>
    </row>
    <row r="145" spans="1:23">
      <c r="A145" s="1" t="str">
        <f ca="1">IFERROR(__xludf.DUMMYFUNCTION("""COMPUTED_VALUE"""),"Evan")</f>
        <v>Evan</v>
      </c>
      <c r="B145" s="1" t="str">
        <f ca="1">IFERROR(__xludf.DUMMYFUNCTION("""COMPUTED_VALUE"""),"Bush")</f>
        <v>Bush</v>
      </c>
      <c r="C145" s="1" t="str">
        <f ca="1">IFERROR(__xludf.DUMMYFUNCTION("""COMPUTED_VALUE"""),"Columbus Crew")</f>
        <v>Columbus Crew</v>
      </c>
      <c r="D145" s="1" t="str">
        <f ca="1">IFERROR(__xludf.DUMMYFUNCTION("""COMPUTED_VALUE"""),"Goalkeeper")</f>
        <v>Goalkeeper</v>
      </c>
      <c r="E145" s="2">
        <f ca="1">IFERROR(__xludf.DUMMYFUNCTION("""COMPUTED_VALUE"""),89716)</f>
        <v>89716</v>
      </c>
      <c r="F145" s="2">
        <f ca="1">IFERROR(__xludf.DUMMYFUNCTION("""COMPUTED_VALUE"""),89716)</f>
        <v>89716</v>
      </c>
      <c r="H145" s="1" t="str">
        <f t="shared" ca="1" si="0"/>
        <v>Goalkeeper</v>
      </c>
      <c r="I145" s="3" t="str">
        <f t="shared" ca="1" si="1"/>
        <v>Goalkeeper</v>
      </c>
      <c r="J145" s="1" t="str">
        <f t="shared" ca="1" si="2"/>
        <v>Goalkeeper</v>
      </c>
      <c r="K145" s="1" t="str">
        <f t="shared" ca="1" si="15"/>
        <v>Goalkeeper</v>
      </c>
      <c r="L145" s="1" t="str">
        <f t="shared" ca="1" si="3"/>
        <v>Goalkeeper</v>
      </c>
      <c r="M145" s="1" t="str">
        <f t="shared" ca="1" si="4"/>
        <v>Goalkeeper</v>
      </c>
      <c r="N145" s="1" t="str">
        <f t="shared" ca="1" si="5"/>
        <v>Goalkeeper</v>
      </c>
      <c r="O145" s="1" t="str">
        <f t="shared" ca="1" si="6"/>
        <v>Goalkeeper</v>
      </c>
      <c r="P145" s="1" t="str">
        <f t="shared" ca="1" si="7"/>
        <v>Goalkeeper</v>
      </c>
      <c r="Q145" s="1" t="str">
        <f t="shared" ca="1" si="8"/>
        <v>Goalkeeper</v>
      </c>
      <c r="R145" s="1" t="str">
        <f t="shared" ca="1" si="9"/>
        <v>GK</v>
      </c>
      <c r="S145" s="1" t="str">
        <f t="shared" ca="1" si="10"/>
        <v>GK</v>
      </c>
      <c r="T145" s="1" t="str">
        <f t="shared" ca="1" si="11"/>
        <v>GK</v>
      </c>
      <c r="U145" s="1" t="str">
        <f t="shared" ca="1" si="12"/>
        <v>GK</v>
      </c>
      <c r="V145" s="1" t="str">
        <f t="shared" ca="1" si="13"/>
        <v>GK</v>
      </c>
      <c r="W145" s="1" t="str">
        <f t="shared" ca="1" si="14"/>
        <v>Evan Bush</v>
      </c>
    </row>
    <row r="146" spans="1:23">
      <c r="A146" s="1" t="str">
        <f ca="1">IFERROR(__xludf.DUMMYFUNCTION("""COMPUTED_VALUE"""),"Sergio")</f>
        <v>Sergio</v>
      </c>
      <c r="B146" s="1" t="str">
        <f ca="1">IFERROR(__xludf.DUMMYFUNCTION("""COMPUTED_VALUE"""),"Busquets")</f>
        <v>Busquets</v>
      </c>
      <c r="C146" s="1" t="str">
        <f ca="1">IFERROR(__xludf.DUMMYFUNCTION("""COMPUTED_VALUE"""),"Inter Miami")</f>
        <v>Inter Miami</v>
      </c>
      <c r="D146" s="1" t="str">
        <f ca="1">IFERROR(__xludf.DUMMYFUNCTION("""COMPUTED_VALUE"""),"Defensive Midfield")</f>
        <v>Defensive Midfield</v>
      </c>
      <c r="E146" s="2">
        <f ca="1">IFERROR(__xludf.DUMMYFUNCTION("""COMPUTED_VALUE"""),8499996)</f>
        <v>8499996</v>
      </c>
      <c r="F146" s="2">
        <f ca="1">IFERROR(__xludf.DUMMYFUNCTION("""COMPUTED_VALUE"""),8774996)</f>
        <v>8774996</v>
      </c>
      <c r="H146" s="1" t="str">
        <f t="shared" ca="1" si="0"/>
        <v>Defensive Midfield</v>
      </c>
      <c r="I146" s="3" t="str">
        <f t="shared" ca="1" si="1"/>
        <v>Defensive Midfield</v>
      </c>
      <c r="J146" s="1" t="str">
        <f t="shared" ca="1" si="2"/>
        <v>Defensive Midfield</v>
      </c>
      <c r="K146" s="1" t="str">
        <f t="shared" ca="1" si="15"/>
        <v>M</v>
      </c>
      <c r="L146" s="1" t="str">
        <f t="shared" ca="1" si="3"/>
        <v>M</v>
      </c>
      <c r="M146" s="1" t="str">
        <f t="shared" ca="1" si="4"/>
        <v>M</v>
      </c>
      <c r="N146" s="1" t="str">
        <f t="shared" ca="1" si="5"/>
        <v>M</v>
      </c>
      <c r="O146" s="1" t="str">
        <f t="shared" ca="1" si="6"/>
        <v>M</v>
      </c>
      <c r="P146" s="1" t="str">
        <f t="shared" ca="1" si="7"/>
        <v>M</v>
      </c>
      <c r="Q146" s="1" t="str">
        <f t="shared" ca="1" si="8"/>
        <v>M</v>
      </c>
      <c r="R146" s="1" t="str">
        <f t="shared" ca="1" si="9"/>
        <v>M</v>
      </c>
      <c r="S146" s="1" t="str">
        <f t="shared" ca="1" si="10"/>
        <v>M</v>
      </c>
      <c r="T146" s="1" t="str">
        <f t="shared" ca="1" si="11"/>
        <v>M</v>
      </c>
      <c r="U146" s="1" t="str">
        <f t="shared" ca="1" si="12"/>
        <v>M</v>
      </c>
      <c r="V146" s="1" t="str">
        <f t="shared" ca="1" si="13"/>
        <v>M</v>
      </c>
      <c r="W146" s="1" t="str">
        <f t="shared" ca="1" si="14"/>
        <v>Sergio Busquets</v>
      </c>
    </row>
    <row r="147" spans="1:23">
      <c r="A147" s="1" t="str">
        <f ca="1">IFERROR(__xludf.DUMMYFUNCTION("""COMPUTED_VALUE"""),"Brandon")</f>
        <v>Brandon</v>
      </c>
      <c r="B147" s="1" t="str">
        <f ca="1">IFERROR(__xludf.DUMMYFUNCTION("""COMPUTED_VALUE"""),"Bye")</f>
        <v>Bye</v>
      </c>
      <c r="C147" s="1" t="str">
        <f ca="1">IFERROR(__xludf.DUMMYFUNCTION("""COMPUTED_VALUE"""),"New England Revolution")</f>
        <v>New England Revolution</v>
      </c>
      <c r="D147" s="1" t="str">
        <f ca="1">IFERROR(__xludf.DUMMYFUNCTION("""COMPUTED_VALUE"""),"Right-back")</f>
        <v>Right-back</v>
      </c>
      <c r="E147" s="2">
        <f ca="1">IFERROR(__xludf.DUMMYFUNCTION("""COMPUTED_VALUE"""),375000)</f>
        <v>375000</v>
      </c>
      <c r="F147" s="2">
        <f ca="1">IFERROR(__xludf.DUMMYFUNCTION("""COMPUTED_VALUE"""),393813)</f>
        <v>393813</v>
      </c>
      <c r="H147" s="1" t="str">
        <f t="shared" ca="1" si="0"/>
        <v>Right-back</v>
      </c>
      <c r="I147" s="3" t="str">
        <f t="shared" ca="1" si="1"/>
        <v>Right-back</v>
      </c>
      <c r="J147" s="1" t="str">
        <f t="shared" ca="1" si="2"/>
        <v>D</v>
      </c>
      <c r="K147" s="1" t="str">
        <f t="shared" ca="1" si="15"/>
        <v>D</v>
      </c>
      <c r="L147" s="1" t="str">
        <f t="shared" ca="1" si="3"/>
        <v>D</v>
      </c>
      <c r="M147" s="1" t="str">
        <f t="shared" ca="1" si="4"/>
        <v>D</v>
      </c>
      <c r="N147" s="1" t="str">
        <f t="shared" ca="1" si="5"/>
        <v>D</v>
      </c>
      <c r="O147" s="1" t="str">
        <f t="shared" ca="1" si="6"/>
        <v>D</v>
      </c>
      <c r="P147" s="1" t="str">
        <f t="shared" ca="1" si="7"/>
        <v>D</v>
      </c>
      <c r="Q147" s="1" t="str">
        <f t="shared" ca="1" si="8"/>
        <v>D</v>
      </c>
      <c r="R147" s="1" t="str">
        <f t="shared" ca="1" si="9"/>
        <v>D</v>
      </c>
      <c r="S147" s="1" t="str">
        <f t="shared" ca="1" si="10"/>
        <v>D</v>
      </c>
      <c r="T147" s="1" t="str">
        <f t="shared" ca="1" si="11"/>
        <v>D</v>
      </c>
      <c r="U147" s="1" t="str">
        <f t="shared" ca="1" si="12"/>
        <v>D</v>
      </c>
      <c r="V147" s="1" t="str">
        <f t="shared" ca="1" si="13"/>
        <v>D</v>
      </c>
      <c r="W147" s="1" t="str">
        <f t="shared" ca="1" si="14"/>
        <v>Brandon Bye</v>
      </c>
    </row>
    <row r="148" spans="1:23">
      <c r="A148" s="1" t="str">
        <f ca="1">IFERROR(__xludf.DUMMYFUNCTION("""COMPUTED_VALUE"""),"Nathan")</f>
        <v>Nathan</v>
      </c>
      <c r="B148" s="1" t="str">
        <f ca="1">IFERROR(__xludf.DUMMYFUNCTION("""COMPUTED_VALUE"""),"Byrne")</f>
        <v>Byrne</v>
      </c>
      <c r="C148" s="1" t="str">
        <f ca="1">IFERROR(__xludf.DUMMYFUNCTION("""COMPUTED_VALUE"""),"Charlotte FC")</f>
        <v>Charlotte FC</v>
      </c>
      <c r="D148" s="1" t="str">
        <f ca="1">IFERROR(__xludf.DUMMYFUNCTION("""COMPUTED_VALUE"""),"Right-back")</f>
        <v>Right-back</v>
      </c>
      <c r="E148" s="2">
        <f ca="1">IFERROR(__xludf.DUMMYFUNCTION("""COMPUTED_VALUE"""),560000)</f>
        <v>560000</v>
      </c>
      <c r="F148" s="2">
        <f ca="1">IFERROR(__xludf.DUMMYFUNCTION("""COMPUTED_VALUE"""),607833)</f>
        <v>607833</v>
      </c>
      <c r="H148" s="1" t="str">
        <f t="shared" ca="1" si="0"/>
        <v>Right-back</v>
      </c>
      <c r="I148" s="3" t="str">
        <f t="shared" ca="1" si="1"/>
        <v>Right-back</v>
      </c>
      <c r="J148" s="1" t="str">
        <f t="shared" ca="1" si="2"/>
        <v>D</v>
      </c>
      <c r="K148" s="1" t="str">
        <f t="shared" ca="1" si="15"/>
        <v>D</v>
      </c>
      <c r="L148" s="1" t="str">
        <f t="shared" ca="1" si="3"/>
        <v>D</v>
      </c>
      <c r="M148" s="1" t="str">
        <f t="shared" ca="1" si="4"/>
        <v>D</v>
      </c>
      <c r="N148" s="1" t="str">
        <f t="shared" ca="1" si="5"/>
        <v>D</v>
      </c>
      <c r="O148" s="1" t="str">
        <f t="shared" ca="1" si="6"/>
        <v>D</v>
      </c>
      <c r="P148" s="1" t="str">
        <f t="shared" ca="1" si="7"/>
        <v>D</v>
      </c>
      <c r="Q148" s="1" t="str">
        <f t="shared" ca="1" si="8"/>
        <v>D</v>
      </c>
      <c r="R148" s="1" t="str">
        <f t="shared" ca="1" si="9"/>
        <v>D</v>
      </c>
      <c r="S148" s="1" t="str">
        <f t="shared" ca="1" si="10"/>
        <v>D</v>
      </c>
      <c r="T148" s="1" t="str">
        <f t="shared" ca="1" si="11"/>
        <v>D</v>
      </c>
      <c r="U148" s="1" t="str">
        <f t="shared" ca="1" si="12"/>
        <v>D</v>
      </c>
      <c r="V148" s="1" t="str">
        <f t="shared" ca="1" si="13"/>
        <v>D</v>
      </c>
      <c r="W148" s="1" t="str">
        <f t="shared" ca="1" si="14"/>
        <v>Nathan Byrne</v>
      </c>
    </row>
    <row r="149" spans="1:23">
      <c r="A149" s="1" t="str">
        <f ca="1">IFERROR(__xludf.DUMMYFUNCTION("""COMPUTED_VALUE"""),"Martín")</f>
        <v>Martín</v>
      </c>
      <c r="B149" s="1" t="str">
        <f ca="1">IFERROR(__xludf.DUMMYFUNCTION("""COMPUTED_VALUE"""),"Cáceres")</f>
        <v>Cáceres</v>
      </c>
      <c r="C149" s="1" t="str">
        <f ca="1">IFERROR(__xludf.DUMMYFUNCTION("""COMPUTED_VALUE"""),"LA Galaxy")</f>
        <v>LA Galaxy</v>
      </c>
      <c r="D149" s="1" t="str">
        <f ca="1">IFERROR(__xludf.DUMMYFUNCTION("""COMPUTED_VALUE"""),"Center-back")</f>
        <v>Center-back</v>
      </c>
      <c r="E149" s="2">
        <f ca="1">IFERROR(__xludf.DUMMYFUNCTION("""COMPUTED_VALUE"""),600000)</f>
        <v>600000</v>
      </c>
      <c r="F149" s="2">
        <f ca="1">IFERROR(__xludf.DUMMYFUNCTION("""COMPUTED_VALUE"""),656667)</f>
        <v>656667</v>
      </c>
      <c r="H149" s="1" t="str">
        <f t="shared" ca="1" si="0"/>
        <v>D</v>
      </c>
      <c r="I149" s="3" t="str">
        <f t="shared" ca="1" si="1"/>
        <v>D</v>
      </c>
      <c r="J149" s="1" t="str">
        <f t="shared" ca="1" si="2"/>
        <v>D</v>
      </c>
      <c r="K149" s="1" t="str">
        <f t="shared" ca="1" si="15"/>
        <v>D</v>
      </c>
      <c r="L149" s="1" t="str">
        <f t="shared" ca="1" si="3"/>
        <v>D</v>
      </c>
      <c r="M149" s="1" t="str">
        <f t="shared" ca="1" si="4"/>
        <v>D</v>
      </c>
      <c r="N149" s="1" t="str">
        <f t="shared" ca="1" si="5"/>
        <v>D</v>
      </c>
      <c r="O149" s="1" t="str">
        <f t="shared" ca="1" si="6"/>
        <v>D</v>
      </c>
      <c r="P149" s="1" t="str">
        <f t="shared" ca="1" si="7"/>
        <v>D</v>
      </c>
      <c r="Q149" s="1" t="str">
        <f t="shared" ca="1" si="8"/>
        <v>D</v>
      </c>
      <c r="R149" s="1" t="str">
        <f t="shared" ca="1" si="9"/>
        <v>D</v>
      </c>
      <c r="S149" s="1" t="str">
        <f t="shared" ca="1" si="10"/>
        <v>D</v>
      </c>
      <c r="T149" s="1" t="str">
        <f t="shared" ca="1" si="11"/>
        <v>D</v>
      </c>
      <c r="U149" s="1" t="str">
        <f t="shared" ca="1" si="12"/>
        <v>D</v>
      </c>
      <c r="V149" s="1" t="str">
        <f t="shared" ca="1" si="13"/>
        <v>D</v>
      </c>
      <c r="W149" s="1" t="str">
        <f t="shared" ca="1" si="14"/>
        <v>Martín Cáceres</v>
      </c>
    </row>
    <row r="150" spans="1:23">
      <c r="A150" s="1" t="str">
        <f ca="1">IFERROR(__xludf.DUMMYFUNCTION("""COMPUTED_VALUE"""),"Matías")</f>
        <v>Matías</v>
      </c>
      <c r="B150" s="1" t="str">
        <f ca="1">IFERROR(__xludf.DUMMYFUNCTION("""COMPUTED_VALUE"""),"Cóccaro")</f>
        <v>Cóccaro</v>
      </c>
      <c r="C150" s="1" t="str">
        <f ca="1">IFERROR(__xludf.DUMMYFUNCTION("""COMPUTED_VALUE"""),"CF Montreal")</f>
        <v>CF Montreal</v>
      </c>
      <c r="D150" s="1" t="str">
        <f ca="1">IFERROR(__xludf.DUMMYFUNCTION("""COMPUTED_VALUE"""),"Center Forward")</f>
        <v>Center Forward</v>
      </c>
      <c r="E150" s="2">
        <f ca="1">IFERROR(__xludf.DUMMYFUNCTION("""COMPUTED_VALUE"""),800000)</f>
        <v>800000</v>
      </c>
      <c r="F150" s="2">
        <f ca="1">IFERROR(__xludf.DUMMYFUNCTION("""COMPUTED_VALUE"""),888000)</f>
        <v>888000</v>
      </c>
      <c r="H150" s="1" t="str">
        <f t="shared" ca="1" si="0"/>
        <v>Center Forward</v>
      </c>
      <c r="I150" s="3" t="str">
        <f t="shared" ca="1" si="1"/>
        <v>Center Forward</v>
      </c>
      <c r="J150" s="1" t="str">
        <f t="shared" ca="1" si="2"/>
        <v>Center Forward</v>
      </c>
      <c r="K150" s="1" t="str">
        <f t="shared" ca="1" si="15"/>
        <v>Center Forward</v>
      </c>
      <c r="L150" s="1" t="str">
        <f t="shared" ca="1" si="3"/>
        <v>Center Forward</v>
      </c>
      <c r="M150" s="1" t="str">
        <f t="shared" ca="1" si="4"/>
        <v>Center Forward</v>
      </c>
      <c r="N150" s="1" t="str">
        <f t="shared" ca="1" si="5"/>
        <v>Center Forward</v>
      </c>
      <c r="O150" s="1" t="str">
        <f t="shared" ca="1" si="6"/>
        <v>F</v>
      </c>
      <c r="P150" s="1" t="str">
        <f t="shared" ca="1" si="7"/>
        <v>F</v>
      </c>
      <c r="Q150" s="1" t="str">
        <f t="shared" ca="1" si="8"/>
        <v>F</v>
      </c>
      <c r="R150" s="1" t="str">
        <f t="shared" ca="1" si="9"/>
        <v>F</v>
      </c>
      <c r="S150" s="1" t="str">
        <f t="shared" ca="1" si="10"/>
        <v>F</v>
      </c>
      <c r="T150" s="1" t="str">
        <f t="shared" ca="1" si="11"/>
        <v>F</v>
      </c>
      <c r="U150" s="1" t="str">
        <f t="shared" ca="1" si="12"/>
        <v>F</v>
      </c>
      <c r="V150" s="1" t="str">
        <f t="shared" ca="1" si="13"/>
        <v>F</v>
      </c>
      <c r="W150" s="1" t="str">
        <f t="shared" ca="1" si="14"/>
        <v>Matías Cóccaro</v>
      </c>
    </row>
    <row r="151" spans="1:23">
      <c r="A151" s="1" t="str">
        <f ca="1">IFERROR(__xludf.DUMMYFUNCTION("""COMPUTED_VALUE"""),"Kévin")</f>
        <v>Kévin</v>
      </c>
      <c r="B151" s="1" t="str">
        <f ca="1">IFERROR(__xludf.DUMMYFUNCTION("""COMPUTED_VALUE"""),"Cabral")</f>
        <v>Cabral</v>
      </c>
      <c r="C151" s="1" t="str">
        <f ca="1">IFERROR(__xludf.DUMMYFUNCTION("""COMPUTED_VALUE"""),"Colorado Rapids")</f>
        <v>Colorado Rapids</v>
      </c>
      <c r="D151" s="1" t="str">
        <f ca="1">IFERROR(__xludf.DUMMYFUNCTION("""COMPUTED_VALUE"""),"Left Wing")</f>
        <v>Left Wing</v>
      </c>
      <c r="E151" s="2">
        <f ca="1">IFERROR(__xludf.DUMMYFUNCTION("""COMPUTED_VALUE"""),1950000)</f>
        <v>1950000</v>
      </c>
      <c r="F151" s="2">
        <f ca="1">IFERROR(__xludf.DUMMYFUNCTION("""COMPUTED_VALUE"""),1950000)</f>
        <v>1950000</v>
      </c>
      <c r="H151" s="1" t="str">
        <f t="shared" ca="1" si="0"/>
        <v>Left Wing</v>
      </c>
      <c r="I151" s="3" t="str">
        <f t="shared" ca="1" si="1"/>
        <v>Left Wing</v>
      </c>
      <c r="J151" s="1" t="str">
        <f t="shared" ca="1" si="2"/>
        <v>Left Wing</v>
      </c>
      <c r="K151" s="1" t="str">
        <f t="shared" ca="1" si="15"/>
        <v>Left Wing</v>
      </c>
      <c r="L151" s="1" t="str">
        <f t="shared" ca="1" si="3"/>
        <v>Left Wing</v>
      </c>
      <c r="M151" s="1" t="str">
        <f t="shared" ca="1" si="4"/>
        <v>Left Wing</v>
      </c>
      <c r="N151" s="1" t="str">
        <f t="shared" ca="1" si="5"/>
        <v>Left Wing</v>
      </c>
      <c r="O151" s="1" t="str">
        <f t="shared" ca="1" si="6"/>
        <v>Left Wing</v>
      </c>
      <c r="P151" s="1" t="str">
        <f t="shared" ca="1" si="7"/>
        <v>F</v>
      </c>
      <c r="Q151" s="1" t="str">
        <f t="shared" ca="1" si="8"/>
        <v>F</v>
      </c>
      <c r="R151" s="1" t="str">
        <f t="shared" ca="1" si="9"/>
        <v>F</v>
      </c>
      <c r="S151" s="1" t="str">
        <f t="shared" ca="1" si="10"/>
        <v>F</v>
      </c>
      <c r="T151" s="1" t="str">
        <f t="shared" ca="1" si="11"/>
        <v>F</v>
      </c>
      <c r="U151" s="1" t="str">
        <f t="shared" ca="1" si="12"/>
        <v>F</v>
      </c>
      <c r="V151" s="1" t="str">
        <f t="shared" ca="1" si="13"/>
        <v>F</v>
      </c>
      <c r="W151" s="1" t="str">
        <f t="shared" ca="1" si="14"/>
        <v>Kévin Cabral</v>
      </c>
    </row>
    <row r="152" spans="1:23">
      <c r="A152" s="1" t="str">
        <f ca="1">IFERROR(__xludf.DUMMYFUNCTION("""COMPUTED_VALUE"""),"Rémi")</f>
        <v>Rémi</v>
      </c>
      <c r="B152" s="1" t="str">
        <f ca="1">IFERROR(__xludf.DUMMYFUNCTION("""COMPUTED_VALUE"""),"Cabral")</f>
        <v>Cabral</v>
      </c>
      <c r="C152" s="1" t="str">
        <f ca="1">IFERROR(__xludf.DUMMYFUNCTION("""COMPUTED_VALUE"""),"Colorado Rapids")</f>
        <v>Colorado Rapids</v>
      </c>
      <c r="D152" s="1" t="str">
        <f ca="1">IFERROR(__xludf.DUMMYFUNCTION("""COMPUTED_VALUE"""),"Attacking Midfield")</f>
        <v>Attacking Midfield</v>
      </c>
      <c r="E152" s="2">
        <f ca="1">IFERROR(__xludf.DUMMYFUNCTION("""COMPUTED_VALUE"""),89716)</f>
        <v>89716</v>
      </c>
      <c r="F152" s="2">
        <f ca="1">IFERROR(__xludf.DUMMYFUNCTION("""COMPUTED_VALUE"""),89716)</f>
        <v>89716</v>
      </c>
      <c r="H152" s="1" t="str">
        <f t="shared" ca="1" si="0"/>
        <v>Attacking Midfield</v>
      </c>
      <c r="I152" s="3" t="str">
        <f t="shared" ca="1" si="1"/>
        <v>Attacking Midfield</v>
      </c>
      <c r="J152" s="1" t="str">
        <f t="shared" ca="1" si="2"/>
        <v>Attacking Midfield</v>
      </c>
      <c r="K152" s="1" t="str">
        <f t="shared" ca="1" si="15"/>
        <v>Attacking Midfield</v>
      </c>
      <c r="L152" s="1" t="str">
        <f t="shared" ca="1" si="3"/>
        <v>Attacking Midfield</v>
      </c>
      <c r="M152" s="1" t="str">
        <f t="shared" ca="1" si="4"/>
        <v>M</v>
      </c>
      <c r="N152" s="1" t="str">
        <f t="shared" ca="1" si="5"/>
        <v>M</v>
      </c>
      <c r="O152" s="1" t="str">
        <f t="shared" ca="1" si="6"/>
        <v>M</v>
      </c>
      <c r="P152" s="1" t="str">
        <f t="shared" ca="1" si="7"/>
        <v>M</v>
      </c>
      <c r="Q152" s="1" t="str">
        <f t="shared" ca="1" si="8"/>
        <v>M</v>
      </c>
      <c r="R152" s="1" t="str">
        <f t="shared" ca="1" si="9"/>
        <v>M</v>
      </c>
      <c r="S152" s="1" t="str">
        <f t="shared" ca="1" si="10"/>
        <v>M</v>
      </c>
      <c r="T152" s="1" t="str">
        <f t="shared" ca="1" si="11"/>
        <v>M</v>
      </c>
      <c r="U152" s="1" t="str">
        <f t="shared" ca="1" si="12"/>
        <v>M</v>
      </c>
      <c r="V152" s="1" t="str">
        <f t="shared" ca="1" si="13"/>
        <v>M</v>
      </c>
      <c r="W152" s="1" t="str">
        <f t="shared" ca="1" si="14"/>
        <v>Rémi Cabral</v>
      </c>
    </row>
    <row r="153" spans="1:23">
      <c r="A153" s="1" t="str">
        <f ca="1">IFERROR(__xludf.DUMMYFUNCTION("""COMPUTED_VALUE"""),"Deiber")</f>
        <v>Deiber</v>
      </c>
      <c r="B153" s="1" t="str">
        <f ca="1">IFERROR(__xludf.DUMMYFUNCTION("""COMPUTED_VALUE"""),"Caicedo")</f>
        <v>Caicedo</v>
      </c>
      <c r="C153" s="1" t="str">
        <f ca="1">IFERROR(__xludf.DUMMYFUNCTION("""COMPUTED_VALUE"""),"Vancouver Whitecaps")</f>
        <v>Vancouver Whitecaps</v>
      </c>
      <c r="D153" s="1" t="str">
        <f ca="1">IFERROR(__xludf.DUMMYFUNCTION("""COMPUTED_VALUE"""),"Left Wing")</f>
        <v>Left Wing</v>
      </c>
      <c r="E153" s="2">
        <f ca="1">IFERROR(__xludf.DUMMYFUNCTION("""COMPUTED_VALUE"""),350000)</f>
        <v>350000</v>
      </c>
      <c r="F153" s="2">
        <f ca="1">IFERROR(__xludf.DUMMYFUNCTION("""COMPUTED_VALUE"""),381125)</f>
        <v>381125</v>
      </c>
      <c r="H153" s="1" t="str">
        <f t="shared" ca="1" si="0"/>
        <v>Left Wing</v>
      </c>
      <c r="I153" s="3" t="str">
        <f t="shared" ca="1" si="1"/>
        <v>Left Wing</v>
      </c>
      <c r="J153" s="1" t="str">
        <f t="shared" ca="1" si="2"/>
        <v>Left Wing</v>
      </c>
      <c r="K153" s="1" t="str">
        <f t="shared" ca="1" si="15"/>
        <v>Left Wing</v>
      </c>
      <c r="L153" s="1" t="str">
        <f t="shared" ca="1" si="3"/>
        <v>Left Wing</v>
      </c>
      <c r="M153" s="1" t="str">
        <f t="shared" ca="1" si="4"/>
        <v>Left Wing</v>
      </c>
      <c r="N153" s="1" t="str">
        <f t="shared" ca="1" si="5"/>
        <v>Left Wing</v>
      </c>
      <c r="O153" s="1" t="str">
        <f t="shared" ca="1" si="6"/>
        <v>Left Wing</v>
      </c>
      <c r="P153" s="1" t="str">
        <f t="shared" ca="1" si="7"/>
        <v>F</v>
      </c>
      <c r="Q153" s="1" t="str">
        <f t="shared" ca="1" si="8"/>
        <v>F</v>
      </c>
      <c r="R153" s="1" t="str">
        <f t="shared" ca="1" si="9"/>
        <v>F</v>
      </c>
      <c r="S153" s="1" t="str">
        <f t="shared" ca="1" si="10"/>
        <v>F</v>
      </c>
      <c r="T153" s="1" t="str">
        <f t="shared" ca="1" si="11"/>
        <v>F</v>
      </c>
      <c r="U153" s="1" t="str">
        <f t="shared" ca="1" si="12"/>
        <v>F</v>
      </c>
      <c r="V153" s="1" t="str">
        <f t="shared" ca="1" si="13"/>
        <v>F</v>
      </c>
      <c r="W153" s="1" t="str">
        <f t="shared" ca="1" si="14"/>
        <v>Deiber Caicedo</v>
      </c>
    </row>
    <row r="154" spans="1:23">
      <c r="A154" s="1" t="str">
        <f ca="1">IFERROR(__xludf.DUMMYFUNCTION("""COMPUTED_VALUE"""),"Drake")</f>
        <v>Drake</v>
      </c>
      <c r="B154" s="1" t="str">
        <f ca="1">IFERROR(__xludf.DUMMYFUNCTION("""COMPUTED_VALUE"""),"Callender")</f>
        <v>Callender</v>
      </c>
      <c r="C154" s="1" t="str">
        <f ca="1">IFERROR(__xludf.DUMMYFUNCTION("""COMPUTED_VALUE"""),"Inter Miami")</f>
        <v>Inter Miami</v>
      </c>
      <c r="D154" s="1" t="str">
        <f ca="1">IFERROR(__xludf.DUMMYFUNCTION("""COMPUTED_VALUE"""),"Goalkeeper")</f>
        <v>Goalkeeper</v>
      </c>
      <c r="E154" s="2">
        <f ca="1">IFERROR(__xludf.DUMMYFUNCTION("""COMPUTED_VALUE"""),349992)</f>
        <v>349992</v>
      </c>
      <c r="F154" s="2">
        <f ca="1">IFERROR(__xludf.DUMMYFUNCTION("""COMPUTED_VALUE"""),405909)</f>
        <v>405909</v>
      </c>
      <c r="H154" s="1" t="str">
        <f t="shared" ca="1" si="0"/>
        <v>Goalkeeper</v>
      </c>
      <c r="I154" s="3" t="str">
        <f t="shared" ca="1" si="1"/>
        <v>Goalkeeper</v>
      </c>
      <c r="J154" s="1" t="str">
        <f t="shared" ca="1" si="2"/>
        <v>Goalkeeper</v>
      </c>
      <c r="K154" s="1" t="str">
        <f t="shared" ca="1" si="15"/>
        <v>Goalkeeper</v>
      </c>
      <c r="L154" s="1" t="str">
        <f t="shared" ca="1" si="3"/>
        <v>Goalkeeper</v>
      </c>
      <c r="M154" s="1" t="str">
        <f t="shared" ca="1" si="4"/>
        <v>Goalkeeper</v>
      </c>
      <c r="N154" s="1" t="str">
        <f t="shared" ca="1" si="5"/>
        <v>Goalkeeper</v>
      </c>
      <c r="O154" s="1" t="str">
        <f t="shared" ca="1" si="6"/>
        <v>Goalkeeper</v>
      </c>
      <c r="P154" s="1" t="str">
        <f t="shared" ca="1" si="7"/>
        <v>Goalkeeper</v>
      </c>
      <c r="Q154" s="1" t="str">
        <f t="shared" ca="1" si="8"/>
        <v>Goalkeeper</v>
      </c>
      <c r="R154" s="1" t="str">
        <f t="shared" ca="1" si="9"/>
        <v>GK</v>
      </c>
      <c r="S154" s="1" t="str">
        <f t="shared" ca="1" si="10"/>
        <v>GK</v>
      </c>
      <c r="T154" s="1" t="str">
        <f t="shared" ca="1" si="11"/>
        <v>GK</v>
      </c>
      <c r="U154" s="1" t="str">
        <f t="shared" ca="1" si="12"/>
        <v>GK</v>
      </c>
      <c r="V154" s="1" t="str">
        <f t="shared" ca="1" si="13"/>
        <v>GK</v>
      </c>
      <c r="W154" s="1" t="str">
        <f t="shared" ca="1" si="14"/>
        <v>Drake Callender</v>
      </c>
    </row>
    <row r="155" spans="1:23">
      <c r="A155" s="1" t="str">
        <f ca="1">IFERROR(__xludf.DUMMYFUNCTION("""COMPUTED_VALUE"""),"Rudy")</f>
        <v>Rudy</v>
      </c>
      <c r="B155" s="1" t="str">
        <f ca="1">IFERROR(__xludf.DUMMYFUNCTION("""COMPUTED_VALUE"""),"Camacho")</f>
        <v>Camacho</v>
      </c>
      <c r="C155" s="1" t="str">
        <f ca="1">IFERROR(__xludf.DUMMYFUNCTION("""COMPUTED_VALUE"""),"Columbus Crew")</f>
        <v>Columbus Crew</v>
      </c>
      <c r="D155" s="1" t="str">
        <f ca="1">IFERROR(__xludf.DUMMYFUNCTION("""COMPUTED_VALUE"""),"Center-back")</f>
        <v>Center-back</v>
      </c>
      <c r="E155" s="2">
        <f ca="1">IFERROR(__xludf.DUMMYFUNCTION("""COMPUTED_VALUE"""),475000)</f>
        <v>475000</v>
      </c>
      <c r="F155" s="2">
        <f ca="1">IFERROR(__xludf.DUMMYFUNCTION("""COMPUTED_VALUE"""),551000)</f>
        <v>551000</v>
      </c>
      <c r="H155" s="1" t="str">
        <f t="shared" ca="1" si="0"/>
        <v>D</v>
      </c>
      <c r="I155" s="3" t="str">
        <f t="shared" ca="1" si="1"/>
        <v>D</v>
      </c>
      <c r="J155" s="1" t="str">
        <f t="shared" ca="1" si="2"/>
        <v>D</v>
      </c>
      <c r="K155" s="1" t="str">
        <f t="shared" ca="1" si="15"/>
        <v>D</v>
      </c>
      <c r="L155" s="1" t="str">
        <f t="shared" ca="1" si="3"/>
        <v>D</v>
      </c>
      <c r="M155" s="1" t="str">
        <f t="shared" ca="1" si="4"/>
        <v>D</v>
      </c>
      <c r="N155" s="1" t="str">
        <f t="shared" ca="1" si="5"/>
        <v>D</v>
      </c>
      <c r="O155" s="1" t="str">
        <f t="shared" ca="1" si="6"/>
        <v>D</v>
      </c>
      <c r="P155" s="1" t="str">
        <f t="shared" ca="1" si="7"/>
        <v>D</v>
      </c>
      <c r="Q155" s="1" t="str">
        <f t="shared" ca="1" si="8"/>
        <v>D</v>
      </c>
      <c r="R155" s="1" t="str">
        <f t="shared" ca="1" si="9"/>
        <v>D</v>
      </c>
      <c r="S155" s="1" t="str">
        <f t="shared" ca="1" si="10"/>
        <v>D</v>
      </c>
      <c r="T155" s="1" t="str">
        <f t="shared" ca="1" si="11"/>
        <v>D</v>
      </c>
      <c r="U155" s="1" t="str">
        <f t="shared" ca="1" si="12"/>
        <v>D</v>
      </c>
      <c r="V155" s="1" t="str">
        <f t="shared" ca="1" si="13"/>
        <v>D</v>
      </c>
      <c r="W155" s="1" t="str">
        <f t="shared" ca="1" si="14"/>
        <v>Rudy Camacho</v>
      </c>
    </row>
    <row r="156" spans="1:23">
      <c r="A156" s="1" t="str">
        <f ca="1">IFERROR(__xludf.DUMMYFUNCTION("""COMPUTED_VALUE"""),"Brandon")</f>
        <v>Brandon</v>
      </c>
      <c r="B156" s="1" t="str">
        <f ca="1">IFERROR(__xludf.DUMMYFUNCTION("""COMPUTED_VALUE"""),"Cambridge")</f>
        <v>Cambridge</v>
      </c>
      <c r="C156" s="1" t="str">
        <f ca="1">IFERROR(__xludf.DUMMYFUNCTION("""COMPUTED_VALUE"""),"Charlotte FC")</f>
        <v>Charlotte FC</v>
      </c>
      <c r="D156" s="1" t="str">
        <f ca="1">IFERROR(__xludf.DUMMYFUNCTION("""COMPUTED_VALUE"""),"Right Wing")</f>
        <v>Right Wing</v>
      </c>
      <c r="E156" s="2">
        <f ca="1">IFERROR(__xludf.DUMMYFUNCTION("""COMPUTED_VALUE"""),89716)</f>
        <v>89716</v>
      </c>
      <c r="F156" s="2">
        <f ca="1">IFERROR(__xludf.DUMMYFUNCTION("""COMPUTED_VALUE"""),97742)</f>
        <v>97742</v>
      </c>
      <c r="H156" s="1" t="str">
        <f t="shared" ca="1" si="0"/>
        <v>Right Wing</v>
      </c>
      <c r="I156" s="3" t="str">
        <f t="shared" ca="1" si="1"/>
        <v>Right Wing</v>
      </c>
      <c r="J156" s="1" t="str">
        <f t="shared" ca="1" si="2"/>
        <v>Right Wing</v>
      </c>
      <c r="K156" s="1" t="str">
        <f t="shared" ca="1" si="15"/>
        <v>Right Wing</v>
      </c>
      <c r="L156" s="1" t="str">
        <f t="shared" ca="1" si="3"/>
        <v>Right Wing</v>
      </c>
      <c r="M156" s="1" t="str">
        <f t="shared" ca="1" si="4"/>
        <v>Right Wing</v>
      </c>
      <c r="N156" s="1" t="str">
        <f t="shared" ca="1" si="5"/>
        <v>F</v>
      </c>
      <c r="O156" s="1" t="str">
        <f t="shared" ca="1" si="6"/>
        <v>F</v>
      </c>
      <c r="P156" s="1" t="str">
        <f t="shared" ca="1" si="7"/>
        <v>F</v>
      </c>
      <c r="Q156" s="1" t="str">
        <f t="shared" ca="1" si="8"/>
        <v>F</v>
      </c>
      <c r="R156" s="1" t="str">
        <f t="shared" ca="1" si="9"/>
        <v>F</v>
      </c>
      <c r="S156" s="1" t="str">
        <f t="shared" ca="1" si="10"/>
        <v>F</v>
      </c>
      <c r="T156" s="1" t="str">
        <f t="shared" ca="1" si="11"/>
        <v>F</v>
      </c>
      <c r="U156" s="1" t="str">
        <f t="shared" ca="1" si="12"/>
        <v>F</v>
      </c>
      <c r="V156" s="1" t="str">
        <f t="shared" ca="1" si="13"/>
        <v>F</v>
      </c>
      <c r="W156" s="1" t="str">
        <f t="shared" ca="1" si="14"/>
        <v>Brandon Cambridge</v>
      </c>
    </row>
    <row r="157" spans="1:23">
      <c r="A157" s="1" t="str">
        <f ca="1">IFERROR(__xludf.DUMMYFUNCTION("""COMPUTED_VALUE"""),"Leonardo")</f>
        <v>Leonardo</v>
      </c>
      <c r="B157" s="1" t="str">
        <f ca="1">IFERROR(__xludf.DUMMYFUNCTION("""COMPUTED_VALUE"""),"Campana")</f>
        <v>Campana</v>
      </c>
      <c r="C157" s="1" t="str">
        <f ca="1">IFERROR(__xludf.DUMMYFUNCTION("""COMPUTED_VALUE"""),"Inter Miami")</f>
        <v>Inter Miami</v>
      </c>
      <c r="D157" s="1" t="str">
        <f ca="1">IFERROR(__xludf.DUMMYFUNCTION("""COMPUTED_VALUE"""),"Center Forward")</f>
        <v>Center Forward</v>
      </c>
      <c r="E157" s="2">
        <f ca="1">IFERROR(__xludf.DUMMYFUNCTION("""COMPUTED_VALUE"""),600000)</f>
        <v>600000</v>
      </c>
      <c r="F157" s="2">
        <f ca="1">IFERROR(__xludf.DUMMYFUNCTION("""COMPUTED_VALUE"""),722333)</f>
        <v>722333</v>
      </c>
      <c r="H157" s="1" t="str">
        <f t="shared" ca="1" si="0"/>
        <v>Center Forward</v>
      </c>
      <c r="I157" s="3" t="str">
        <f t="shared" ca="1" si="1"/>
        <v>Center Forward</v>
      </c>
      <c r="J157" s="1" t="str">
        <f t="shared" ca="1" si="2"/>
        <v>Center Forward</v>
      </c>
      <c r="K157" s="1" t="str">
        <f t="shared" ca="1" si="15"/>
        <v>Center Forward</v>
      </c>
      <c r="L157" s="1" t="str">
        <f t="shared" ca="1" si="3"/>
        <v>Center Forward</v>
      </c>
      <c r="M157" s="1" t="str">
        <f t="shared" ca="1" si="4"/>
        <v>Center Forward</v>
      </c>
      <c r="N157" s="1" t="str">
        <f t="shared" ca="1" si="5"/>
        <v>Center Forward</v>
      </c>
      <c r="O157" s="1" t="str">
        <f t="shared" ca="1" si="6"/>
        <v>F</v>
      </c>
      <c r="P157" s="1" t="str">
        <f t="shared" ca="1" si="7"/>
        <v>F</v>
      </c>
      <c r="Q157" s="1" t="str">
        <f t="shared" ca="1" si="8"/>
        <v>F</v>
      </c>
      <c r="R157" s="1" t="str">
        <f t="shared" ca="1" si="9"/>
        <v>F</v>
      </c>
      <c r="S157" s="1" t="str">
        <f t="shared" ca="1" si="10"/>
        <v>F</v>
      </c>
      <c r="T157" s="1" t="str">
        <f t="shared" ca="1" si="11"/>
        <v>F</v>
      </c>
      <c r="U157" s="1" t="str">
        <f t="shared" ca="1" si="12"/>
        <v>F</v>
      </c>
      <c r="V157" s="1" t="str">
        <f t="shared" ca="1" si="13"/>
        <v>F</v>
      </c>
      <c r="W157" s="1" t="str">
        <f t="shared" ca="1" si="14"/>
        <v>Leonardo Campana</v>
      </c>
    </row>
    <row r="158" spans="1:23">
      <c r="A158" s="1" t="str">
        <f ca="1">IFERROR(__xludf.DUMMYFUNCTION("""COMPUTED_VALUE"""),"George")</f>
        <v>George</v>
      </c>
      <c r="B158" s="1" t="str">
        <f ca="1">IFERROR(__xludf.DUMMYFUNCTION("""COMPUTED_VALUE"""),"Campbell")</f>
        <v>Campbell</v>
      </c>
      <c r="C158" s="1" t="str">
        <f ca="1">IFERROR(__xludf.DUMMYFUNCTION("""COMPUTED_VALUE"""),"CF Montreal")</f>
        <v>CF Montreal</v>
      </c>
      <c r="D158" s="1" t="str">
        <f ca="1">IFERROR(__xludf.DUMMYFUNCTION("""COMPUTED_VALUE"""),"Center-back")</f>
        <v>Center-back</v>
      </c>
      <c r="E158" s="2">
        <f ca="1">IFERROR(__xludf.DUMMYFUNCTION("""COMPUTED_VALUE"""),400000)</f>
        <v>400000</v>
      </c>
      <c r="F158" s="2">
        <f ca="1">IFERROR(__xludf.DUMMYFUNCTION("""COMPUTED_VALUE"""),441250)</f>
        <v>441250</v>
      </c>
      <c r="H158" s="1" t="str">
        <f t="shared" ca="1" si="0"/>
        <v>D</v>
      </c>
      <c r="I158" s="3" t="str">
        <f t="shared" ca="1" si="1"/>
        <v>D</v>
      </c>
      <c r="J158" s="1" t="str">
        <f t="shared" ca="1" si="2"/>
        <v>D</v>
      </c>
      <c r="K158" s="1" t="str">
        <f t="shared" ca="1" si="15"/>
        <v>D</v>
      </c>
      <c r="L158" s="1" t="str">
        <f t="shared" ca="1" si="3"/>
        <v>D</v>
      </c>
      <c r="M158" s="1" t="str">
        <f t="shared" ca="1" si="4"/>
        <v>D</v>
      </c>
      <c r="N158" s="1" t="str">
        <f t="shared" ca="1" si="5"/>
        <v>D</v>
      </c>
      <c r="O158" s="1" t="str">
        <f t="shared" ca="1" si="6"/>
        <v>D</v>
      </c>
      <c r="P158" s="1" t="str">
        <f t="shared" ca="1" si="7"/>
        <v>D</v>
      </c>
      <c r="Q158" s="1" t="str">
        <f t="shared" ca="1" si="8"/>
        <v>D</v>
      </c>
      <c r="R158" s="1" t="str">
        <f t="shared" ca="1" si="9"/>
        <v>D</v>
      </c>
      <c r="S158" s="1" t="str">
        <f t="shared" ca="1" si="10"/>
        <v>D</v>
      </c>
      <c r="T158" s="1" t="str">
        <f t="shared" ca="1" si="11"/>
        <v>D</v>
      </c>
      <c r="U158" s="1" t="str">
        <f t="shared" ca="1" si="12"/>
        <v>D</v>
      </c>
      <c r="V158" s="1" t="str">
        <f t="shared" ca="1" si="13"/>
        <v>D</v>
      </c>
      <c r="W158" s="1" t="str">
        <f t="shared" ca="1" si="14"/>
        <v>George Campbell</v>
      </c>
    </row>
    <row r="159" spans="1:23">
      <c r="A159" s="1" t="str">
        <f ca="1">IFERROR(__xludf.DUMMYFUNCTION("""COMPUTED_VALUE"""),"Omar")</f>
        <v>Omar</v>
      </c>
      <c r="B159" s="1" t="str">
        <f ca="1">IFERROR(__xludf.DUMMYFUNCTION("""COMPUTED_VALUE"""),"Campos")</f>
        <v>Campos</v>
      </c>
      <c r="C159" s="1" t="str">
        <f ca="1">IFERROR(__xludf.DUMMYFUNCTION("""COMPUTED_VALUE"""),"LAFC")</f>
        <v>LAFC</v>
      </c>
      <c r="D159" s="1" t="str">
        <f ca="1">IFERROR(__xludf.DUMMYFUNCTION("""COMPUTED_VALUE"""),"Left-back")</f>
        <v>Left-back</v>
      </c>
      <c r="E159" s="2">
        <f ca="1">IFERROR(__xludf.DUMMYFUNCTION("""COMPUTED_VALUE"""),675000)</f>
        <v>675000</v>
      </c>
      <c r="F159" s="2">
        <f ca="1">IFERROR(__xludf.DUMMYFUNCTION("""COMPUTED_VALUE"""),675000)</f>
        <v>675000</v>
      </c>
      <c r="H159" s="1" t="str">
        <f t="shared" ca="1" si="0"/>
        <v>Left-back</v>
      </c>
      <c r="I159" s="3" t="str">
        <f t="shared" ca="1" si="1"/>
        <v>D</v>
      </c>
      <c r="J159" s="1" t="str">
        <f t="shared" ca="1" si="2"/>
        <v>D</v>
      </c>
      <c r="K159" s="1" t="str">
        <f t="shared" ca="1" si="15"/>
        <v>D</v>
      </c>
      <c r="L159" s="1" t="str">
        <f t="shared" ca="1" si="3"/>
        <v>D</v>
      </c>
      <c r="M159" s="1" t="str">
        <f t="shared" ca="1" si="4"/>
        <v>D</v>
      </c>
      <c r="N159" s="1" t="str">
        <f t="shared" ca="1" si="5"/>
        <v>D</v>
      </c>
      <c r="O159" s="1" t="str">
        <f t="shared" ca="1" si="6"/>
        <v>D</v>
      </c>
      <c r="P159" s="1" t="str">
        <f t="shared" ca="1" si="7"/>
        <v>D</v>
      </c>
      <c r="Q159" s="1" t="str">
        <f t="shared" ca="1" si="8"/>
        <v>D</v>
      </c>
      <c r="R159" s="1" t="str">
        <f t="shared" ca="1" si="9"/>
        <v>D</v>
      </c>
      <c r="S159" s="1" t="str">
        <f t="shared" ca="1" si="10"/>
        <v>D</v>
      </c>
      <c r="T159" s="1" t="str">
        <f t="shared" ca="1" si="11"/>
        <v>D</v>
      </c>
      <c r="U159" s="1" t="str">
        <f t="shared" ca="1" si="12"/>
        <v>D</v>
      </c>
      <c r="V159" s="1" t="str">
        <f t="shared" ca="1" si="13"/>
        <v>D</v>
      </c>
      <c r="W159" s="1" t="str">
        <f t="shared" ca="1" si="14"/>
        <v>Omar Campos</v>
      </c>
    </row>
    <row r="160" spans="1:23">
      <c r="A160" s="1" t="str">
        <f ca="1">IFERROR(__xludf.DUMMYFUNCTION("""COMPUTED_VALUE"""),"Russell")</f>
        <v>Russell</v>
      </c>
      <c r="B160" s="1" t="str">
        <f ca="1">IFERROR(__xludf.DUMMYFUNCTION("""COMPUTED_VALUE"""),"Canouse")</f>
        <v>Canouse</v>
      </c>
      <c r="C160" s="1" t="str">
        <f ca="1">IFERROR(__xludf.DUMMYFUNCTION("""COMPUTED_VALUE"""),"DC United")</f>
        <v>DC United</v>
      </c>
      <c r="D160" s="1" t="str">
        <f ca="1">IFERROR(__xludf.DUMMYFUNCTION("""COMPUTED_VALUE"""),"Central Midfield")</f>
        <v>Central Midfield</v>
      </c>
      <c r="E160" s="2">
        <f ca="1">IFERROR(__xludf.DUMMYFUNCTION("""COMPUTED_VALUE"""),650000)</f>
        <v>650000</v>
      </c>
      <c r="F160" s="2">
        <f ca="1">IFERROR(__xludf.DUMMYFUNCTION("""COMPUTED_VALUE"""),650000)</f>
        <v>650000</v>
      </c>
      <c r="H160" s="1" t="str">
        <f t="shared" ca="1" si="0"/>
        <v>Central Midfield</v>
      </c>
      <c r="I160" s="3" t="str">
        <f t="shared" ca="1" si="1"/>
        <v>Central Midfield</v>
      </c>
      <c r="J160" s="1" t="str">
        <f t="shared" ca="1" si="2"/>
        <v>Central Midfield</v>
      </c>
      <c r="K160" s="1" t="str">
        <f t="shared" ca="1" si="15"/>
        <v>Central Midfield</v>
      </c>
      <c r="L160" s="1" t="str">
        <f t="shared" ca="1" si="3"/>
        <v>M</v>
      </c>
      <c r="M160" s="1" t="str">
        <f t="shared" ca="1" si="4"/>
        <v>M</v>
      </c>
      <c r="N160" s="1" t="str">
        <f t="shared" ca="1" si="5"/>
        <v>M</v>
      </c>
      <c r="O160" s="1" t="str">
        <f t="shared" ca="1" si="6"/>
        <v>M</v>
      </c>
      <c r="P160" s="1" t="str">
        <f t="shared" ca="1" si="7"/>
        <v>M</v>
      </c>
      <c r="Q160" s="1" t="str">
        <f t="shared" ca="1" si="8"/>
        <v>M</v>
      </c>
      <c r="R160" s="1" t="str">
        <f t="shared" ca="1" si="9"/>
        <v>M</v>
      </c>
      <c r="S160" s="1" t="str">
        <f t="shared" ca="1" si="10"/>
        <v>M</v>
      </c>
      <c r="T160" s="1" t="str">
        <f t="shared" ca="1" si="11"/>
        <v>M</v>
      </c>
      <c r="U160" s="1" t="str">
        <f t="shared" ca="1" si="12"/>
        <v>M</v>
      </c>
      <c r="V160" s="1" t="str">
        <f t="shared" ca="1" si="13"/>
        <v>M</v>
      </c>
      <c r="W160" s="1" t="str">
        <f t="shared" ca="1" si="14"/>
        <v>Russell Canouse</v>
      </c>
    </row>
    <row r="161" spans="1:23">
      <c r="A161" s="1" t="str">
        <f ca="1">IFERROR(__xludf.DUMMYFUNCTION("""COMPUTED_VALUE"""),"Wikelman")</f>
        <v>Wikelman</v>
      </c>
      <c r="B161" s="1" t="str">
        <f ca="1">IFERROR(__xludf.DUMMYFUNCTION("""COMPUTED_VALUE"""),"Carmona")</f>
        <v>Carmona</v>
      </c>
      <c r="C161" s="1" t="str">
        <f ca="1">IFERROR(__xludf.DUMMYFUNCTION("""COMPUTED_VALUE"""),"New York Red Bulls")</f>
        <v>New York Red Bulls</v>
      </c>
      <c r="D161" s="1" t="str">
        <f ca="1">IFERROR(__xludf.DUMMYFUNCTION("""COMPUTED_VALUE"""),"Attacking Midfield")</f>
        <v>Attacking Midfield</v>
      </c>
      <c r="E161" s="2">
        <f ca="1">IFERROR(__xludf.DUMMYFUNCTION("""COMPUTED_VALUE"""),110000)</f>
        <v>110000</v>
      </c>
      <c r="F161" s="2">
        <f ca="1">IFERROR(__xludf.DUMMYFUNCTION("""COMPUTED_VALUE"""),112750)</f>
        <v>112750</v>
      </c>
      <c r="H161" s="1" t="str">
        <f t="shared" ca="1" si="0"/>
        <v>Attacking Midfield</v>
      </c>
      <c r="I161" s="3" t="str">
        <f t="shared" ca="1" si="1"/>
        <v>Attacking Midfield</v>
      </c>
      <c r="J161" s="1" t="str">
        <f t="shared" ca="1" si="2"/>
        <v>Attacking Midfield</v>
      </c>
      <c r="K161" s="1" t="str">
        <f t="shared" ca="1" si="15"/>
        <v>Attacking Midfield</v>
      </c>
      <c r="L161" s="1" t="str">
        <f t="shared" ca="1" si="3"/>
        <v>Attacking Midfield</v>
      </c>
      <c r="M161" s="1" t="str">
        <f t="shared" ca="1" si="4"/>
        <v>M</v>
      </c>
      <c r="N161" s="1" t="str">
        <f t="shared" ca="1" si="5"/>
        <v>M</v>
      </c>
      <c r="O161" s="1" t="str">
        <f t="shared" ca="1" si="6"/>
        <v>M</v>
      </c>
      <c r="P161" s="1" t="str">
        <f t="shared" ca="1" si="7"/>
        <v>M</v>
      </c>
      <c r="Q161" s="1" t="str">
        <f t="shared" ca="1" si="8"/>
        <v>M</v>
      </c>
      <c r="R161" s="1" t="str">
        <f t="shared" ca="1" si="9"/>
        <v>M</v>
      </c>
      <c r="S161" s="1" t="str">
        <f t="shared" ca="1" si="10"/>
        <v>M</v>
      </c>
      <c r="T161" s="1" t="str">
        <f t="shared" ca="1" si="11"/>
        <v>M</v>
      </c>
      <c r="U161" s="1" t="str">
        <f t="shared" ca="1" si="12"/>
        <v>M</v>
      </c>
      <c r="V161" s="1" t="str">
        <f t="shared" ca="1" si="13"/>
        <v>M</v>
      </c>
      <c r="W161" s="1" t="str">
        <f t="shared" ca="1" si="14"/>
        <v>Wikelman Carmona</v>
      </c>
    </row>
    <row r="162" spans="1:23">
      <c r="A162" s="1" t="str">
        <f ca="1">IFERROR(__xludf.DUMMYFUNCTION("""COMPUTED_VALUE"""),"Julián")</f>
        <v>Julián</v>
      </c>
      <c r="B162" s="1" t="str">
        <f ca="1">IFERROR(__xludf.DUMMYFUNCTION("""COMPUTED_VALUE"""),"Carranza")</f>
        <v>Carranza</v>
      </c>
      <c r="C162" s="1" t="str">
        <f ca="1">IFERROR(__xludf.DUMMYFUNCTION("""COMPUTED_VALUE"""),"Philadelphia Union")</f>
        <v>Philadelphia Union</v>
      </c>
      <c r="D162" s="1" t="str">
        <f ca="1">IFERROR(__xludf.DUMMYFUNCTION("""COMPUTED_VALUE"""),"Center Forward")</f>
        <v>Center Forward</v>
      </c>
      <c r="E162" s="2">
        <f ca="1">IFERROR(__xludf.DUMMYFUNCTION("""COMPUTED_VALUE"""),1000000)</f>
        <v>1000000</v>
      </c>
      <c r="F162" s="2">
        <f ca="1">IFERROR(__xludf.DUMMYFUNCTION("""COMPUTED_VALUE"""),1000000)</f>
        <v>1000000</v>
      </c>
      <c r="H162" s="1" t="str">
        <f t="shared" ca="1" si="0"/>
        <v>Center Forward</v>
      </c>
      <c r="I162" s="3" t="str">
        <f t="shared" ca="1" si="1"/>
        <v>Center Forward</v>
      </c>
      <c r="J162" s="1" t="str">
        <f t="shared" ca="1" si="2"/>
        <v>Center Forward</v>
      </c>
      <c r="K162" s="1" t="str">
        <f t="shared" ca="1" si="15"/>
        <v>Center Forward</v>
      </c>
      <c r="L162" s="1" t="str">
        <f t="shared" ca="1" si="3"/>
        <v>Center Forward</v>
      </c>
      <c r="M162" s="1" t="str">
        <f t="shared" ca="1" si="4"/>
        <v>Center Forward</v>
      </c>
      <c r="N162" s="1" t="str">
        <f t="shared" ca="1" si="5"/>
        <v>Center Forward</v>
      </c>
      <c r="O162" s="1" t="str">
        <f t="shared" ca="1" si="6"/>
        <v>F</v>
      </c>
      <c r="P162" s="1" t="str">
        <f t="shared" ca="1" si="7"/>
        <v>F</v>
      </c>
      <c r="Q162" s="1" t="str">
        <f t="shared" ca="1" si="8"/>
        <v>F</v>
      </c>
      <c r="R162" s="1" t="str">
        <f t="shared" ca="1" si="9"/>
        <v>F</v>
      </c>
      <c r="S162" s="1" t="str">
        <f t="shared" ca="1" si="10"/>
        <v>F</v>
      </c>
      <c r="T162" s="1" t="str">
        <f t="shared" ca="1" si="11"/>
        <v>F</v>
      </c>
      <c r="U162" s="1" t="str">
        <f t="shared" ca="1" si="12"/>
        <v>F</v>
      </c>
      <c r="V162" s="1" t="str">
        <f t="shared" ca="1" si="13"/>
        <v>F</v>
      </c>
      <c r="W162" s="1" t="str">
        <f t="shared" ca="1" si="14"/>
        <v>Julián Carranza</v>
      </c>
    </row>
    <row r="163" spans="1:23">
      <c r="A163" s="1" t="str">
        <f ca="1">IFERROR(__xludf.DUMMYFUNCTION("""COMPUTED_VALUE"""),"Adalberto")</f>
        <v>Adalberto</v>
      </c>
      <c r="B163" s="1" t="str">
        <f ca="1">IFERROR(__xludf.DUMMYFUNCTION("""COMPUTED_VALUE"""),"Carrasquilla")</f>
        <v>Carrasquilla</v>
      </c>
      <c r="C163" s="1" t="str">
        <f ca="1">IFERROR(__xludf.DUMMYFUNCTION("""COMPUTED_VALUE"""),"Houston Dynamo")</f>
        <v>Houston Dynamo</v>
      </c>
      <c r="D163" s="1" t="str">
        <f ca="1">IFERROR(__xludf.DUMMYFUNCTION("""COMPUTED_VALUE"""),"Central Midfield")</f>
        <v>Central Midfield</v>
      </c>
      <c r="E163" s="2">
        <f ca="1">IFERROR(__xludf.DUMMYFUNCTION("""COMPUTED_VALUE"""),550000)</f>
        <v>550000</v>
      </c>
      <c r="F163" s="2">
        <f ca="1">IFERROR(__xludf.DUMMYFUNCTION("""COMPUTED_VALUE"""),658750)</f>
        <v>658750</v>
      </c>
      <c r="H163" s="1" t="str">
        <f t="shared" ca="1" si="0"/>
        <v>Central Midfield</v>
      </c>
      <c r="I163" s="3" t="str">
        <f t="shared" ca="1" si="1"/>
        <v>Central Midfield</v>
      </c>
      <c r="J163" s="1" t="str">
        <f t="shared" ca="1" si="2"/>
        <v>Central Midfield</v>
      </c>
      <c r="K163" s="1" t="str">
        <f t="shared" ca="1" si="15"/>
        <v>Central Midfield</v>
      </c>
      <c r="L163" s="1" t="str">
        <f t="shared" ca="1" si="3"/>
        <v>M</v>
      </c>
      <c r="M163" s="1" t="str">
        <f t="shared" ca="1" si="4"/>
        <v>M</v>
      </c>
      <c r="N163" s="1" t="str">
        <f t="shared" ca="1" si="5"/>
        <v>M</v>
      </c>
      <c r="O163" s="1" t="str">
        <f t="shared" ca="1" si="6"/>
        <v>M</v>
      </c>
      <c r="P163" s="1" t="str">
        <f t="shared" ca="1" si="7"/>
        <v>M</v>
      </c>
      <c r="Q163" s="1" t="str">
        <f t="shared" ca="1" si="8"/>
        <v>M</v>
      </c>
      <c r="R163" s="1" t="str">
        <f t="shared" ca="1" si="9"/>
        <v>M</v>
      </c>
      <c r="S163" s="1" t="str">
        <f t="shared" ca="1" si="10"/>
        <v>M</v>
      </c>
      <c r="T163" s="1" t="str">
        <f t="shared" ca="1" si="11"/>
        <v>M</v>
      </c>
      <c r="U163" s="1" t="str">
        <f t="shared" ca="1" si="12"/>
        <v>M</v>
      </c>
      <c r="V163" s="1" t="str">
        <f t="shared" ca="1" si="13"/>
        <v>M</v>
      </c>
      <c r="W163" s="1" t="str">
        <f t="shared" ca="1" si="14"/>
        <v>Adalberto Carrasquilla</v>
      </c>
    </row>
    <row r="164" spans="1:23">
      <c r="A164" s="1" t="str">
        <f ca="1">IFERROR(__xludf.DUMMYFUNCTION("""COMPUTED_VALUE"""),"Antonio")</f>
        <v>Antonio</v>
      </c>
      <c r="B164" s="1" t="str">
        <f ca="1">IFERROR(__xludf.DUMMYFUNCTION("""COMPUTED_VALUE"""),"Carrera")</f>
        <v>Carrera</v>
      </c>
      <c r="C164" s="1" t="str">
        <f ca="1">IFERROR(__xludf.DUMMYFUNCTION("""COMPUTED_VALUE"""),"FC Dallas")</f>
        <v>FC Dallas</v>
      </c>
      <c r="D164" s="1" t="str">
        <f ca="1">IFERROR(__xludf.DUMMYFUNCTION("""COMPUTED_VALUE"""),"Goalkeeper")</f>
        <v>Goalkeeper</v>
      </c>
      <c r="E164" s="2">
        <f ca="1">IFERROR(__xludf.DUMMYFUNCTION("""COMPUTED_VALUE"""),125000)</f>
        <v>125000</v>
      </c>
      <c r="F164" s="2">
        <f ca="1">IFERROR(__xludf.DUMMYFUNCTION("""COMPUTED_VALUE"""),144519)</f>
        <v>144519</v>
      </c>
      <c r="H164" s="1" t="str">
        <f t="shared" ca="1" si="0"/>
        <v>Goalkeeper</v>
      </c>
      <c r="I164" s="3" t="str">
        <f t="shared" ca="1" si="1"/>
        <v>Goalkeeper</v>
      </c>
      <c r="J164" s="1" t="str">
        <f t="shared" ca="1" si="2"/>
        <v>Goalkeeper</v>
      </c>
      <c r="K164" s="1" t="str">
        <f t="shared" ca="1" si="15"/>
        <v>Goalkeeper</v>
      </c>
      <c r="L164" s="1" t="str">
        <f t="shared" ca="1" si="3"/>
        <v>Goalkeeper</v>
      </c>
      <c r="M164" s="1" t="str">
        <f t="shared" ca="1" si="4"/>
        <v>Goalkeeper</v>
      </c>
      <c r="N164" s="1" t="str">
        <f t="shared" ca="1" si="5"/>
        <v>Goalkeeper</v>
      </c>
      <c r="O164" s="1" t="str">
        <f t="shared" ca="1" si="6"/>
        <v>Goalkeeper</v>
      </c>
      <c r="P164" s="1" t="str">
        <f t="shared" ca="1" si="7"/>
        <v>Goalkeeper</v>
      </c>
      <c r="Q164" s="1" t="str">
        <f t="shared" ca="1" si="8"/>
        <v>Goalkeeper</v>
      </c>
      <c r="R164" s="1" t="str">
        <f t="shared" ca="1" si="9"/>
        <v>GK</v>
      </c>
      <c r="S164" s="1" t="str">
        <f t="shared" ca="1" si="10"/>
        <v>GK</v>
      </c>
      <c r="T164" s="1" t="str">
        <f t="shared" ca="1" si="11"/>
        <v>GK</v>
      </c>
      <c r="U164" s="1" t="str">
        <f t="shared" ca="1" si="12"/>
        <v>GK</v>
      </c>
      <c r="V164" s="1" t="str">
        <f t="shared" ca="1" si="13"/>
        <v>GK</v>
      </c>
      <c r="W164" s="1" t="str">
        <f t="shared" ca="1" si="14"/>
        <v>Antonio Carrera</v>
      </c>
    </row>
    <row r="165" spans="1:23">
      <c r="A165" s="1" t="str">
        <f ca="1">IFERROR(__xludf.DUMMYFUNCTION("""COMPUTED_VALUE"""),"Máximo")</f>
        <v>Máximo</v>
      </c>
      <c r="B165" s="1" t="str">
        <f ca="1">IFERROR(__xludf.DUMMYFUNCTION("""COMPUTED_VALUE"""),"Carrizo")</f>
        <v>Carrizo</v>
      </c>
      <c r="C165" s="1" t="str">
        <f ca="1">IFERROR(__xludf.DUMMYFUNCTION("""COMPUTED_VALUE"""),"New York City FC")</f>
        <v>New York City FC</v>
      </c>
      <c r="D165" s="1" t="str">
        <f ca="1">IFERROR(__xludf.DUMMYFUNCTION("""COMPUTED_VALUE"""),"Central Midfield")</f>
        <v>Central Midfield</v>
      </c>
      <c r="E165" s="2">
        <f ca="1">IFERROR(__xludf.DUMMYFUNCTION("""COMPUTED_VALUE"""),89716)</f>
        <v>89716</v>
      </c>
      <c r="F165" s="2">
        <f ca="1">IFERROR(__xludf.DUMMYFUNCTION("""COMPUTED_VALUE"""),123239)</f>
        <v>123239</v>
      </c>
      <c r="H165" s="1" t="str">
        <f t="shared" ca="1" si="0"/>
        <v>Central Midfield</v>
      </c>
      <c r="I165" s="3" t="str">
        <f t="shared" ca="1" si="1"/>
        <v>Central Midfield</v>
      </c>
      <c r="J165" s="1" t="str">
        <f t="shared" ca="1" si="2"/>
        <v>Central Midfield</v>
      </c>
      <c r="K165" s="1" t="str">
        <f t="shared" ca="1" si="15"/>
        <v>Central Midfield</v>
      </c>
      <c r="L165" s="1" t="str">
        <f t="shared" ca="1" si="3"/>
        <v>M</v>
      </c>
      <c r="M165" s="1" t="str">
        <f t="shared" ca="1" si="4"/>
        <v>M</v>
      </c>
      <c r="N165" s="1" t="str">
        <f t="shared" ca="1" si="5"/>
        <v>M</v>
      </c>
      <c r="O165" s="1" t="str">
        <f t="shared" ca="1" si="6"/>
        <v>M</v>
      </c>
      <c r="P165" s="1" t="str">
        <f t="shared" ca="1" si="7"/>
        <v>M</v>
      </c>
      <c r="Q165" s="1" t="str">
        <f t="shared" ca="1" si="8"/>
        <v>M</v>
      </c>
      <c r="R165" s="1" t="str">
        <f t="shared" ca="1" si="9"/>
        <v>M</v>
      </c>
      <c r="S165" s="1" t="str">
        <f t="shared" ca="1" si="10"/>
        <v>M</v>
      </c>
      <c r="T165" s="1" t="str">
        <f t="shared" ca="1" si="11"/>
        <v>M</v>
      </c>
      <c r="U165" s="1" t="str">
        <f t="shared" ca="1" si="12"/>
        <v>M</v>
      </c>
      <c r="V165" s="1" t="str">
        <f t="shared" ca="1" si="13"/>
        <v>M</v>
      </c>
      <c r="W165" s="1" t="str">
        <f t="shared" ca="1" si="14"/>
        <v>Máximo Carrizo</v>
      </c>
    </row>
    <row r="166" spans="1:23">
      <c r="A166" s="1" t="str">
        <f ca="1">IFERROR(__xludf.DUMMYFUNCTION("""COMPUTED_VALUE"""),"Javier")</f>
        <v>Javier</v>
      </c>
      <c r="B166" s="1" t="str">
        <f ca="1">IFERROR(__xludf.DUMMYFUNCTION("""COMPUTED_VALUE"""),"Casas")</f>
        <v>Casas</v>
      </c>
      <c r="C166" s="1" t="str">
        <f ca="1">IFERROR(__xludf.DUMMYFUNCTION("""COMPUTED_VALUE"""),"Chicago Fire")</f>
        <v>Chicago Fire</v>
      </c>
      <c r="D166" s="1" t="str">
        <f ca="1">IFERROR(__xludf.DUMMYFUNCTION("""COMPUTED_VALUE"""),"Central Midfield")</f>
        <v>Central Midfield</v>
      </c>
      <c r="E166" s="2">
        <f ca="1">IFERROR(__xludf.DUMMYFUNCTION("""COMPUTED_VALUE"""),89716)</f>
        <v>89716</v>
      </c>
      <c r="F166" s="2">
        <f ca="1">IFERROR(__xludf.DUMMYFUNCTION("""COMPUTED_VALUE"""),94383)</f>
        <v>94383</v>
      </c>
      <c r="H166" s="1" t="str">
        <f t="shared" ca="1" si="0"/>
        <v>Central Midfield</v>
      </c>
      <c r="I166" s="3" t="str">
        <f t="shared" ca="1" si="1"/>
        <v>Central Midfield</v>
      </c>
      <c r="J166" s="1" t="str">
        <f t="shared" ca="1" si="2"/>
        <v>Central Midfield</v>
      </c>
      <c r="K166" s="1" t="str">
        <f t="shared" ca="1" si="15"/>
        <v>Central Midfield</v>
      </c>
      <c r="L166" s="1" t="str">
        <f t="shared" ca="1" si="3"/>
        <v>M</v>
      </c>
      <c r="M166" s="1" t="str">
        <f t="shared" ca="1" si="4"/>
        <v>M</v>
      </c>
      <c r="N166" s="1" t="str">
        <f t="shared" ca="1" si="5"/>
        <v>M</v>
      </c>
      <c r="O166" s="1" t="str">
        <f t="shared" ca="1" si="6"/>
        <v>M</v>
      </c>
      <c r="P166" s="1" t="str">
        <f t="shared" ca="1" si="7"/>
        <v>M</v>
      </c>
      <c r="Q166" s="1" t="str">
        <f t="shared" ca="1" si="8"/>
        <v>M</v>
      </c>
      <c r="R166" s="1" t="str">
        <f t="shared" ca="1" si="9"/>
        <v>M</v>
      </c>
      <c r="S166" s="1" t="str">
        <f t="shared" ca="1" si="10"/>
        <v>M</v>
      </c>
      <c r="T166" s="1" t="str">
        <f t="shared" ca="1" si="11"/>
        <v>M</v>
      </c>
      <c r="U166" s="1" t="str">
        <f t="shared" ca="1" si="12"/>
        <v>M</v>
      </c>
      <c r="V166" s="1" t="str">
        <f t="shared" ca="1" si="13"/>
        <v>M</v>
      </c>
      <c r="W166" s="1" t="str">
        <f t="shared" ca="1" si="14"/>
        <v>Javier Casas</v>
      </c>
    </row>
    <row r="167" spans="1:23">
      <c r="A167" s="1" t="str">
        <f ca="1">IFERROR(__xludf.DUMMYFUNCTION("""COMPUTED_VALUE"""),"Julio")</f>
        <v>Julio</v>
      </c>
      <c r="B167" s="1" t="str">
        <f ca="1">IFERROR(__xludf.DUMMYFUNCTION("""COMPUTED_VALUE"""),"Cascante")</f>
        <v>Cascante</v>
      </c>
      <c r="C167" s="1" t="str">
        <f ca="1">IFERROR(__xludf.DUMMYFUNCTION("""COMPUTED_VALUE"""),"Austin FC")</f>
        <v>Austin FC</v>
      </c>
      <c r="D167" s="1" t="str">
        <f ca="1">IFERROR(__xludf.DUMMYFUNCTION("""COMPUTED_VALUE"""),"Center-back")</f>
        <v>Center-back</v>
      </c>
      <c r="E167" s="2">
        <f ca="1">IFERROR(__xludf.DUMMYFUNCTION("""COMPUTED_VALUE"""),700000)</f>
        <v>700000</v>
      </c>
      <c r="F167" s="2">
        <f ca="1">IFERROR(__xludf.DUMMYFUNCTION("""COMPUTED_VALUE"""),773750)</f>
        <v>773750</v>
      </c>
      <c r="H167" s="1" t="str">
        <f t="shared" ca="1" si="0"/>
        <v>D</v>
      </c>
      <c r="I167" s="3" t="str">
        <f t="shared" ca="1" si="1"/>
        <v>D</v>
      </c>
      <c r="J167" s="1" t="str">
        <f t="shared" ca="1" si="2"/>
        <v>D</v>
      </c>
      <c r="K167" s="1" t="str">
        <f t="shared" ca="1" si="15"/>
        <v>D</v>
      </c>
      <c r="L167" s="1" t="str">
        <f t="shared" ca="1" si="3"/>
        <v>D</v>
      </c>
      <c r="M167" s="1" t="str">
        <f t="shared" ca="1" si="4"/>
        <v>D</v>
      </c>
      <c r="N167" s="1" t="str">
        <f t="shared" ca="1" si="5"/>
        <v>D</v>
      </c>
      <c r="O167" s="1" t="str">
        <f t="shared" ca="1" si="6"/>
        <v>D</v>
      </c>
      <c r="P167" s="1" t="str">
        <f t="shared" ca="1" si="7"/>
        <v>D</v>
      </c>
      <c r="Q167" s="1" t="str">
        <f t="shared" ca="1" si="8"/>
        <v>D</v>
      </c>
      <c r="R167" s="1" t="str">
        <f t="shared" ca="1" si="9"/>
        <v>D</v>
      </c>
      <c r="S167" s="1" t="str">
        <f t="shared" ca="1" si="10"/>
        <v>D</v>
      </c>
      <c r="T167" s="1" t="str">
        <f t="shared" ca="1" si="11"/>
        <v>D</v>
      </c>
      <c r="U167" s="1" t="str">
        <f t="shared" ca="1" si="12"/>
        <v>D</v>
      </c>
      <c r="V167" s="1" t="str">
        <f t="shared" ca="1" si="13"/>
        <v>D</v>
      </c>
      <c r="W167" s="1" t="str">
        <f t="shared" ca="1" si="14"/>
        <v>Julio Cascante</v>
      </c>
    </row>
    <row r="168" spans="1:23">
      <c r="A168" s="1" t="str">
        <f ca="1">IFERROR(__xludf.DUMMYFUNCTION("""COMPUTED_VALUE"""),"Robert")</f>
        <v>Robert</v>
      </c>
      <c r="B168" s="1" t="str">
        <f ca="1">IFERROR(__xludf.DUMMYFUNCTION("""COMPUTED_VALUE"""),"Castellanos")</f>
        <v>Castellanos</v>
      </c>
      <c r="C168" s="1" t="str">
        <f ca="1">IFERROR(__xludf.DUMMYFUNCTION("""COMPUTED_VALUE"""),"Sporting Kansas City")</f>
        <v>Sporting Kansas City</v>
      </c>
      <c r="D168" s="1" t="str">
        <f ca="1">IFERROR(__xludf.DUMMYFUNCTION("""COMPUTED_VALUE"""),"Center-back")</f>
        <v>Center-back</v>
      </c>
      <c r="E168" s="2">
        <f ca="1">IFERROR(__xludf.DUMMYFUNCTION("""COMPUTED_VALUE"""),115000)</f>
        <v>115000</v>
      </c>
      <c r="F168" s="2">
        <f ca="1">IFERROR(__xludf.DUMMYFUNCTION("""COMPUTED_VALUE"""),115000)</f>
        <v>115000</v>
      </c>
      <c r="H168" s="1" t="str">
        <f t="shared" ca="1" si="0"/>
        <v>D</v>
      </c>
      <c r="I168" s="3" t="str">
        <f t="shared" ca="1" si="1"/>
        <v>D</v>
      </c>
      <c r="J168" s="1" t="str">
        <f t="shared" ca="1" si="2"/>
        <v>D</v>
      </c>
      <c r="K168" s="1" t="str">
        <f t="shared" ca="1" si="15"/>
        <v>D</v>
      </c>
      <c r="L168" s="1" t="str">
        <f t="shared" ca="1" si="3"/>
        <v>D</v>
      </c>
      <c r="M168" s="1" t="str">
        <f t="shared" ca="1" si="4"/>
        <v>D</v>
      </c>
      <c r="N168" s="1" t="str">
        <f t="shared" ca="1" si="5"/>
        <v>D</v>
      </c>
      <c r="O168" s="1" t="str">
        <f t="shared" ca="1" si="6"/>
        <v>D</v>
      </c>
      <c r="P168" s="1" t="str">
        <f t="shared" ca="1" si="7"/>
        <v>D</v>
      </c>
      <c r="Q168" s="1" t="str">
        <f t="shared" ca="1" si="8"/>
        <v>D</v>
      </c>
      <c r="R168" s="1" t="str">
        <f t="shared" ca="1" si="9"/>
        <v>D</v>
      </c>
      <c r="S168" s="1" t="str">
        <f t="shared" ca="1" si="10"/>
        <v>D</v>
      </c>
      <c r="T168" s="1" t="str">
        <f t="shared" ca="1" si="11"/>
        <v>D</v>
      </c>
      <c r="U168" s="1" t="str">
        <f t="shared" ca="1" si="12"/>
        <v>D</v>
      </c>
      <c r="V168" s="1" t="str">
        <f t="shared" ca="1" si="13"/>
        <v>D</v>
      </c>
      <c r="W168" s="1" t="str">
        <f t="shared" ca="1" si="14"/>
        <v>Robert Castellanos</v>
      </c>
    </row>
    <row r="169" spans="1:23">
      <c r="A169" s="1" t="str">
        <f ca="1">IFERROR(__xludf.DUMMYFUNCTION("""COMPUTED_VALUE"""),"Jacob")</f>
        <v>Jacob</v>
      </c>
      <c r="B169" s="1" t="str">
        <f ca="1">IFERROR(__xludf.DUMMYFUNCTION("""COMPUTED_VALUE"""),"Castro")</f>
        <v>Castro</v>
      </c>
      <c r="C169" s="1" t="str">
        <f ca="1">IFERROR(__xludf.DUMMYFUNCTION("""COMPUTED_VALUE"""),"Seattle Sounders FC")</f>
        <v>Seattle Sounders FC</v>
      </c>
      <c r="D169" s="1" t="str">
        <f ca="1">IFERROR(__xludf.DUMMYFUNCTION("""COMPUTED_VALUE"""),"Goalkeeper")</f>
        <v>Goalkeeper</v>
      </c>
      <c r="E169" s="2">
        <f ca="1">IFERROR(__xludf.DUMMYFUNCTION("""COMPUTED_VALUE"""),89716)</f>
        <v>89716</v>
      </c>
      <c r="F169" s="2">
        <f ca="1">IFERROR(__xludf.DUMMYFUNCTION("""COMPUTED_VALUE"""),89716)</f>
        <v>89716</v>
      </c>
      <c r="H169" s="1" t="str">
        <f t="shared" ca="1" si="0"/>
        <v>Goalkeeper</v>
      </c>
      <c r="I169" s="3" t="str">
        <f t="shared" ca="1" si="1"/>
        <v>Goalkeeper</v>
      </c>
      <c r="J169" s="1" t="str">
        <f t="shared" ca="1" si="2"/>
        <v>Goalkeeper</v>
      </c>
      <c r="K169" s="1" t="str">
        <f t="shared" ca="1" si="15"/>
        <v>Goalkeeper</v>
      </c>
      <c r="L169" s="1" t="str">
        <f t="shared" ca="1" si="3"/>
        <v>Goalkeeper</v>
      </c>
      <c r="M169" s="1" t="str">
        <f t="shared" ca="1" si="4"/>
        <v>Goalkeeper</v>
      </c>
      <c r="N169" s="1" t="str">
        <f t="shared" ca="1" si="5"/>
        <v>Goalkeeper</v>
      </c>
      <c r="O169" s="1" t="str">
        <f t="shared" ca="1" si="6"/>
        <v>Goalkeeper</v>
      </c>
      <c r="P169" s="1" t="str">
        <f t="shared" ca="1" si="7"/>
        <v>Goalkeeper</v>
      </c>
      <c r="Q169" s="1" t="str">
        <f t="shared" ca="1" si="8"/>
        <v>Goalkeeper</v>
      </c>
      <c r="R169" s="1" t="str">
        <f t="shared" ca="1" si="9"/>
        <v>GK</v>
      </c>
      <c r="S169" s="1" t="str">
        <f t="shared" ca="1" si="10"/>
        <v>GK</v>
      </c>
      <c r="T169" s="1" t="str">
        <f t="shared" ca="1" si="11"/>
        <v>GK</v>
      </c>
      <c r="U169" s="1" t="str">
        <f t="shared" ca="1" si="12"/>
        <v>GK</v>
      </c>
      <c r="V169" s="1" t="str">
        <f t="shared" ca="1" si="13"/>
        <v>GK</v>
      </c>
      <c r="W169" s="1" t="str">
        <f t="shared" ca="1" si="14"/>
        <v>Jacob Castro</v>
      </c>
    </row>
    <row r="170" spans="1:23">
      <c r="A170" s="1" t="str">
        <f ca="1">IFERROR(__xludf.DUMMYFUNCTION("""COMPUTED_VALUE"""),"Roman")</f>
        <v>Roman</v>
      </c>
      <c r="B170" s="1" t="str">
        <f ca="1">IFERROR(__xludf.DUMMYFUNCTION("""COMPUTED_VALUE"""),"Celentano")</f>
        <v>Celentano</v>
      </c>
      <c r="C170" s="1" t="str">
        <f ca="1">IFERROR(__xludf.DUMMYFUNCTION("""COMPUTED_VALUE"""),"FC Cincinnati")</f>
        <v>FC Cincinnati</v>
      </c>
      <c r="D170" s="1" t="str">
        <f ca="1">IFERROR(__xludf.DUMMYFUNCTION("""COMPUTED_VALUE"""),"Goalkeeper")</f>
        <v>Goalkeeper</v>
      </c>
      <c r="E170" s="2">
        <f ca="1">IFERROR(__xludf.DUMMYFUNCTION("""COMPUTED_VALUE"""),425000)</f>
        <v>425000</v>
      </c>
      <c r="F170" s="2">
        <f ca="1">IFERROR(__xludf.DUMMYFUNCTION("""COMPUTED_VALUE"""),474000)</f>
        <v>474000</v>
      </c>
      <c r="H170" s="1" t="str">
        <f t="shared" ca="1" si="0"/>
        <v>Goalkeeper</v>
      </c>
      <c r="I170" s="3" t="str">
        <f t="shared" ca="1" si="1"/>
        <v>Goalkeeper</v>
      </c>
      <c r="J170" s="1" t="str">
        <f t="shared" ca="1" si="2"/>
        <v>Goalkeeper</v>
      </c>
      <c r="K170" s="1" t="str">
        <f t="shared" ca="1" si="15"/>
        <v>Goalkeeper</v>
      </c>
      <c r="L170" s="1" t="str">
        <f t="shared" ca="1" si="3"/>
        <v>Goalkeeper</v>
      </c>
      <c r="M170" s="1" t="str">
        <f t="shared" ca="1" si="4"/>
        <v>Goalkeeper</v>
      </c>
      <c r="N170" s="1" t="str">
        <f t="shared" ca="1" si="5"/>
        <v>Goalkeeper</v>
      </c>
      <c r="O170" s="1" t="str">
        <f t="shared" ca="1" si="6"/>
        <v>Goalkeeper</v>
      </c>
      <c r="P170" s="1" t="str">
        <f t="shared" ca="1" si="7"/>
        <v>Goalkeeper</v>
      </c>
      <c r="Q170" s="1" t="str">
        <f t="shared" ca="1" si="8"/>
        <v>Goalkeeper</v>
      </c>
      <c r="R170" s="1" t="str">
        <f t="shared" ca="1" si="9"/>
        <v>GK</v>
      </c>
      <c r="S170" s="1" t="str">
        <f t="shared" ca="1" si="10"/>
        <v>GK</v>
      </c>
      <c r="T170" s="1" t="str">
        <f t="shared" ca="1" si="11"/>
        <v>GK</v>
      </c>
      <c r="U170" s="1" t="str">
        <f t="shared" ca="1" si="12"/>
        <v>GK</v>
      </c>
      <c r="V170" s="1" t="str">
        <f t="shared" ca="1" si="13"/>
        <v>GK</v>
      </c>
      <c r="W170" s="1" t="str">
        <f t="shared" ca="1" si="14"/>
        <v>Roman Celentano</v>
      </c>
    </row>
    <row r="171" spans="1:23">
      <c r="A171" s="1" t="str">
        <f ca="1">IFERROR(__xludf.DUMMYFUNCTION("""COMPUTED_VALUE"""),"Erik")</f>
        <v>Erik</v>
      </c>
      <c r="B171" s="1" t="str">
        <f ca="1">IFERROR(__xludf.DUMMYFUNCTION("""COMPUTED_VALUE"""),"Centeno")</f>
        <v>Centeno</v>
      </c>
      <c r="C171" s="1" t="str">
        <f ca="1">IFERROR(__xludf.DUMMYFUNCTION("""COMPUTED_VALUE"""),"Atlanta United")</f>
        <v>Atlanta United</v>
      </c>
      <c r="D171" s="1" t="str">
        <f ca="1">IFERROR(__xludf.DUMMYFUNCTION("""COMPUTED_VALUE"""),"Right-back")</f>
        <v>Right-back</v>
      </c>
      <c r="E171" s="2">
        <f ca="1">IFERROR(__xludf.DUMMYFUNCTION("""COMPUTED_VALUE"""),89716)</f>
        <v>89716</v>
      </c>
      <c r="F171" s="2">
        <f ca="1">IFERROR(__xludf.DUMMYFUNCTION("""COMPUTED_VALUE"""),96492)</f>
        <v>96492</v>
      </c>
      <c r="H171" s="1" t="str">
        <f t="shared" ca="1" si="0"/>
        <v>Right-back</v>
      </c>
      <c r="I171" s="3" t="str">
        <f t="shared" ca="1" si="1"/>
        <v>Right-back</v>
      </c>
      <c r="J171" s="1" t="str">
        <f t="shared" ca="1" si="2"/>
        <v>D</v>
      </c>
      <c r="K171" s="1" t="str">
        <f t="shared" ca="1" si="15"/>
        <v>D</v>
      </c>
      <c r="L171" s="1" t="str">
        <f t="shared" ca="1" si="3"/>
        <v>D</v>
      </c>
      <c r="M171" s="1" t="str">
        <f t="shared" ca="1" si="4"/>
        <v>D</v>
      </c>
      <c r="N171" s="1" t="str">
        <f t="shared" ca="1" si="5"/>
        <v>D</v>
      </c>
      <c r="O171" s="1" t="str">
        <f t="shared" ca="1" si="6"/>
        <v>D</v>
      </c>
      <c r="P171" s="1" t="str">
        <f t="shared" ca="1" si="7"/>
        <v>D</v>
      </c>
      <c r="Q171" s="1" t="str">
        <f t="shared" ca="1" si="8"/>
        <v>D</v>
      </c>
      <c r="R171" s="1" t="str">
        <f t="shared" ca="1" si="9"/>
        <v>D</v>
      </c>
      <c r="S171" s="1" t="str">
        <f t="shared" ca="1" si="10"/>
        <v>D</v>
      </c>
      <c r="T171" s="1" t="str">
        <f t="shared" ca="1" si="11"/>
        <v>D</v>
      </c>
      <c r="U171" s="1" t="str">
        <f t="shared" ca="1" si="12"/>
        <v>D</v>
      </c>
      <c r="V171" s="1" t="str">
        <f t="shared" ca="1" si="13"/>
        <v>D</v>
      </c>
      <c r="W171" s="1" t="str">
        <f t="shared" ca="1" si="14"/>
        <v>Erik Centeno</v>
      </c>
    </row>
    <row r="172" spans="1:23">
      <c r="A172" s="1" t="str">
        <f ca="1">IFERROR(__xludf.DUMMYFUNCTION("""COMPUTED_VALUE"""),"Edwin")</f>
        <v>Edwin</v>
      </c>
      <c r="B172" s="1" t="str">
        <f ca="1">IFERROR(__xludf.DUMMYFUNCTION("""COMPUTED_VALUE"""),"Cerrillo")</f>
        <v>Cerrillo</v>
      </c>
      <c r="C172" s="1" t="str">
        <f ca="1">IFERROR(__xludf.DUMMYFUNCTION("""COMPUTED_VALUE"""),"LA Galaxy")</f>
        <v>LA Galaxy</v>
      </c>
      <c r="D172" s="1" t="str">
        <f ca="1">IFERROR(__xludf.DUMMYFUNCTION("""COMPUTED_VALUE"""),"Defensive Midfield")</f>
        <v>Defensive Midfield</v>
      </c>
      <c r="E172" s="2">
        <f ca="1">IFERROR(__xludf.DUMMYFUNCTION("""COMPUTED_VALUE"""),400000)</f>
        <v>400000</v>
      </c>
      <c r="F172" s="2">
        <f ca="1">IFERROR(__xludf.DUMMYFUNCTION("""COMPUTED_VALUE"""),412500)</f>
        <v>412500</v>
      </c>
      <c r="H172" s="1" t="str">
        <f t="shared" ca="1" si="0"/>
        <v>Defensive Midfield</v>
      </c>
      <c r="I172" s="3" t="str">
        <f t="shared" ca="1" si="1"/>
        <v>Defensive Midfield</v>
      </c>
      <c r="J172" s="1" t="str">
        <f t="shared" ca="1" si="2"/>
        <v>Defensive Midfield</v>
      </c>
      <c r="K172" s="1" t="str">
        <f t="shared" ca="1" si="15"/>
        <v>M</v>
      </c>
      <c r="L172" s="1" t="str">
        <f t="shared" ca="1" si="3"/>
        <v>M</v>
      </c>
      <c r="M172" s="1" t="str">
        <f t="shared" ca="1" si="4"/>
        <v>M</v>
      </c>
      <c r="N172" s="1" t="str">
        <f t="shared" ca="1" si="5"/>
        <v>M</v>
      </c>
      <c r="O172" s="1" t="str">
        <f t="shared" ca="1" si="6"/>
        <v>M</v>
      </c>
      <c r="P172" s="1" t="str">
        <f t="shared" ca="1" si="7"/>
        <v>M</v>
      </c>
      <c r="Q172" s="1" t="str">
        <f t="shared" ca="1" si="8"/>
        <v>M</v>
      </c>
      <c r="R172" s="1" t="str">
        <f t="shared" ca="1" si="9"/>
        <v>M</v>
      </c>
      <c r="S172" s="1" t="str">
        <f t="shared" ca="1" si="10"/>
        <v>M</v>
      </c>
      <c r="T172" s="1" t="str">
        <f t="shared" ca="1" si="11"/>
        <v>M</v>
      </c>
      <c r="U172" s="1" t="str">
        <f t="shared" ca="1" si="12"/>
        <v>M</v>
      </c>
      <c r="V172" s="1" t="str">
        <f t="shared" ca="1" si="13"/>
        <v>M</v>
      </c>
      <c r="W172" s="1" t="str">
        <f t="shared" ca="1" si="14"/>
        <v>Edwin Cerrillo</v>
      </c>
    </row>
    <row r="173" spans="1:23">
      <c r="A173" s="1" t="str">
        <f ca="1">IFERROR(__xludf.DUMMYFUNCTION("""COMPUTED_VALUE"""),"Daniel")</f>
        <v>Daniel</v>
      </c>
      <c r="B173" s="1" t="str">
        <f ca="1">IFERROR(__xludf.DUMMYFUNCTION("""COMPUTED_VALUE"""),"Chacón")</f>
        <v>Chacón</v>
      </c>
      <c r="C173" s="1" t="str">
        <f ca="1">IFERROR(__xludf.DUMMYFUNCTION("""COMPUTED_VALUE"""),"Colorado Rapids")</f>
        <v>Colorado Rapids</v>
      </c>
      <c r="D173" s="1" t="str">
        <f ca="1">IFERROR(__xludf.DUMMYFUNCTION("""COMPUTED_VALUE"""),"Center-back")</f>
        <v>Center-back</v>
      </c>
      <c r="E173" s="2">
        <f ca="1">IFERROR(__xludf.DUMMYFUNCTION("""COMPUTED_VALUE"""),90000)</f>
        <v>90000</v>
      </c>
      <c r="F173" s="2">
        <f ca="1">IFERROR(__xludf.DUMMYFUNCTION("""COMPUTED_VALUE"""),97750)</f>
        <v>97750</v>
      </c>
      <c r="H173" s="1" t="str">
        <f t="shared" ca="1" si="0"/>
        <v>D</v>
      </c>
      <c r="I173" s="3" t="str">
        <f t="shared" ca="1" si="1"/>
        <v>D</v>
      </c>
      <c r="J173" s="1" t="str">
        <f t="shared" ca="1" si="2"/>
        <v>D</v>
      </c>
      <c r="K173" s="1" t="str">
        <f t="shared" ca="1" si="15"/>
        <v>D</v>
      </c>
      <c r="L173" s="1" t="str">
        <f t="shared" ca="1" si="3"/>
        <v>D</v>
      </c>
      <c r="M173" s="1" t="str">
        <f t="shared" ca="1" si="4"/>
        <v>D</v>
      </c>
      <c r="N173" s="1" t="str">
        <f t="shared" ca="1" si="5"/>
        <v>D</v>
      </c>
      <c r="O173" s="1" t="str">
        <f t="shared" ca="1" si="6"/>
        <v>D</v>
      </c>
      <c r="P173" s="1" t="str">
        <f t="shared" ca="1" si="7"/>
        <v>D</v>
      </c>
      <c r="Q173" s="1" t="str">
        <f t="shared" ca="1" si="8"/>
        <v>D</v>
      </c>
      <c r="R173" s="1" t="str">
        <f t="shared" ca="1" si="9"/>
        <v>D</v>
      </c>
      <c r="S173" s="1" t="str">
        <f t="shared" ca="1" si="10"/>
        <v>D</v>
      </c>
      <c r="T173" s="1" t="str">
        <f t="shared" ca="1" si="11"/>
        <v>D</v>
      </c>
      <c r="U173" s="1" t="str">
        <f t="shared" ca="1" si="12"/>
        <v>D</v>
      </c>
      <c r="V173" s="1" t="str">
        <f t="shared" ca="1" si="13"/>
        <v>D</v>
      </c>
      <c r="W173" s="1" t="str">
        <f t="shared" ca="1" si="14"/>
        <v>Daniel Chacón</v>
      </c>
    </row>
    <row r="174" spans="1:23">
      <c r="A174" s="1" t="str">
        <f ca="1">IFERROR(__xludf.DUMMYFUNCTION("""COMPUTED_VALUE"""),"Tomás")</f>
        <v>Tomás</v>
      </c>
      <c r="B174" s="1" t="str">
        <f ca="1">IFERROR(__xludf.DUMMYFUNCTION("""COMPUTED_VALUE"""),"Chancalay")</f>
        <v>Chancalay</v>
      </c>
      <c r="C174" s="1" t="str">
        <f ca="1">IFERROR(__xludf.DUMMYFUNCTION("""COMPUTED_VALUE"""),"New England Revolution")</f>
        <v>New England Revolution</v>
      </c>
      <c r="D174" s="1" t="str">
        <f ca="1">IFERROR(__xludf.DUMMYFUNCTION("""COMPUTED_VALUE"""),"Left Wing")</f>
        <v>Left Wing</v>
      </c>
      <c r="E174" s="2">
        <f ca="1">IFERROR(__xludf.DUMMYFUNCTION("""COMPUTED_VALUE"""),950000)</f>
        <v>950000</v>
      </c>
      <c r="F174" s="2">
        <f ca="1">IFERROR(__xludf.DUMMYFUNCTION("""COMPUTED_VALUE"""),1010000)</f>
        <v>1010000</v>
      </c>
      <c r="H174" s="1" t="str">
        <f t="shared" ca="1" si="0"/>
        <v>Left Wing</v>
      </c>
      <c r="I174" s="3" t="str">
        <f t="shared" ca="1" si="1"/>
        <v>Left Wing</v>
      </c>
      <c r="J174" s="1" t="str">
        <f t="shared" ca="1" si="2"/>
        <v>Left Wing</v>
      </c>
      <c r="K174" s="1" t="str">
        <f t="shared" ca="1" si="15"/>
        <v>Left Wing</v>
      </c>
      <c r="L174" s="1" t="str">
        <f t="shared" ca="1" si="3"/>
        <v>Left Wing</v>
      </c>
      <c r="M174" s="1" t="str">
        <f t="shared" ca="1" si="4"/>
        <v>Left Wing</v>
      </c>
      <c r="N174" s="1" t="str">
        <f t="shared" ca="1" si="5"/>
        <v>Left Wing</v>
      </c>
      <c r="O174" s="1" t="str">
        <f t="shared" ca="1" si="6"/>
        <v>Left Wing</v>
      </c>
      <c r="P174" s="1" t="str">
        <f t="shared" ca="1" si="7"/>
        <v>F</v>
      </c>
      <c r="Q174" s="1" t="str">
        <f t="shared" ca="1" si="8"/>
        <v>F</v>
      </c>
      <c r="R174" s="1" t="str">
        <f t="shared" ca="1" si="9"/>
        <v>F</v>
      </c>
      <c r="S174" s="1" t="str">
        <f t="shared" ca="1" si="10"/>
        <v>F</v>
      </c>
      <c r="T174" s="1" t="str">
        <f t="shared" ca="1" si="11"/>
        <v>F</v>
      </c>
      <c r="U174" s="1" t="str">
        <f t="shared" ca="1" si="12"/>
        <v>F</v>
      </c>
      <c r="V174" s="1" t="str">
        <f t="shared" ca="1" si="13"/>
        <v>F</v>
      </c>
      <c r="W174" s="1" t="str">
        <f t="shared" ca="1" si="14"/>
        <v>Tomás Chancalay</v>
      </c>
    </row>
    <row r="175" spans="1:23">
      <c r="A175" s="1" t="str">
        <f ca="1">IFERROR(__xludf.DUMMYFUNCTION("""COMPUTED_VALUE"""),"Maikel")</f>
        <v>Maikel</v>
      </c>
      <c r="B175" s="1" t="str">
        <f ca="1">IFERROR(__xludf.DUMMYFUNCTION("""COMPUTED_VALUE"""),"Chang")</f>
        <v>Chang</v>
      </c>
      <c r="C175" s="1" t="str">
        <f ca="1">IFERROR(__xludf.DUMMYFUNCTION("""COMPUTED_VALUE"""),"Real Salt Lake")</f>
        <v>Real Salt Lake</v>
      </c>
      <c r="D175" s="1" t="str">
        <f ca="1">IFERROR(__xludf.DUMMYFUNCTION("""COMPUTED_VALUE"""),"Right Wing")</f>
        <v>Right Wing</v>
      </c>
      <c r="E175" s="2">
        <f ca="1">IFERROR(__xludf.DUMMYFUNCTION("""COMPUTED_VALUE"""),195000)</f>
        <v>195000</v>
      </c>
      <c r="F175" s="2">
        <f ca="1">IFERROR(__xludf.DUMMYFUNCTION("""COMPUTED_VALUE"""),218750)</f>
        <v>218750</v>
      </c>
      <c r="H175" s="1" t="str">
        <f t="shared" ca="1" si="0"/>
        <v>Right Wing</v>
      </c>
      <c r="I175" s="3" t="str">
        <f t="shared" ca="1" si="1"/>
        <v>Right Wing</v>
      </c>
      <c r="J175" s="1" t="str">
        <f t="shared" ca="1" si="2"/>
        <v>Right Wing</v>
      </c>
      <c r="K175" s="1" t="str">
        <f t="shared" ca="1" si="15"/>
        <v>Right Wing</v>
      </c>
      <c r="L175" s="1" t="str">
        <f t="shared" ca="1" si="3"/>
        <v>Right Wing</v>
      </c>
      <c r="M175" s="1" t="str">
        <f t="shared" ca="1" si="4"/>
        <v>Right Wing</v>
      </c>
      <c r="N175" s="1" t="str">
        <f t="shared" ca="1" si="5"/>
        <v>F</v>
      </c>
      <c r="O175" s="1" t="str">
        <f t="shared" ca="1" si="6"/>
        <v>F</v>
      </c>
      <c r="P175" s="1" t="str">
        <f t="shared" ca="1" si="7"/>
        <v>F</v>
      </c>
      <c r="Q175" s="1" t="str">
        <f t="shared" ca="1" si="8"/>
        <v>F</v>
      </c>
      <c r="R175" s="1" t="str">
        <f t="shared" ca="1" si="9"/>
        <v>F</v>
      </c>
      <c r="S175" s="1" t="str">
        <f t="shared" ca="1" si="10"/>
        <v>F</v>
      </c>
      <c r="T175" s="1" t="str">
        <f t="shared" ca="1" si="11"/>
        <v>F</v>
      </c>
      <c r="U175" s="1" t="str">
        <f t="shared" ca="1" si="12"/>
        <v>F</v>
      </c>
      <c r="V175" s="1" t="str">
        <f t="shared" ca="1" si="13"/>
        <v>F</v>
      </c>
      <c r="W175" s="1" t="str">
        <f t="shared" ca="1" si="14"/>
        <v>Maikel Chang</v>
      </c>
    </row>
    <row r="176" spans="1:23">
      <c r="A176" s="1" t="str">
        <f ca="1">IFERROR(__xludf.DUMMYFUNCTION("""COMPUTED_VALUE"""),"Maxime")</f>
        <v>Maxime</v>
      </c>
      <c r="B176" s="1" t="str">
        <f ca="1">IFERROR(__xludf.DUMMYFUNCTION("""COMPUTED_VALUE"""),"Chanot")</f>
        <v>Chanot</v>
      </c>
      <c r="C176" s="1" t="str">
        <f ca="1">IFERROR(__xludf.DUMMYFUNCTION("""COMPUTED_VALUE"""),"LAFC")</f>
        <v>LAFC</v>
      </c>
      <c r="D176" s="1" t="str">
        <f ca="1">IFERROR(__xludf.DUMMYFUNCTION("""COMPUTED_VALUE"""),"Center-back")</f>
        <v>Center-back</v>
      </c>
      <c r="E176" s="2">
        <f ca="1">IFERROR(__xludf.DUMMYFUNCTION("""COMPUTED_VALUE"""),220000)</f>
        <v>220000</v>
      </c>
      <c r="F176" s="2">
        <f ca="1">IFERROR(__xludf.DUMMYFUNCTION("""COMPUTED_VALUE"""),220000)</f>
        <v>220000</v>
      </c>
      <c r="H176" s="1" t="str">
        <f t="shared" ca="1" si="0"/>
        <v>D</v>
      </c>
      <c r="I176" s="3" t="str">
        <f t="shared" ca="1" si="1"/>
        <v>D</v>
      </c>
      <c r="J176" s="1" t="str">
        <f t="shared" ca="1" si="2"/>
        <v>D</v>
      </c>
      <c r="K176" s="1" t="str">
        <f t="shared" ca="1" si="15"/>
        <v>D</v>
      </c>
      <c r="L176" s="1" t="str">
        <f t="shared" ca="1" si="3"/>
        <v>D</v>
      </c>
      <c r="M176" s="1" t="str">
        <f t="shared" ca="1" si="4"/>
        <v>D</v>
      </c>
      <c r="N176" s="1" t="str">
        <f t="shared" ca="1" si="5"/>
        <v>D</v>
      </c>
      <c r="O176" s="1" t="str">
        <f t="shared" ca="1" si="6"/>
        <v>D</v>
      </c>
      <c r="P176" s="1" t="str">
        <f t="shared" ca="1" si="7"/>
        <v>D</v>
      </c>
      <c r="Q176" s="1" t="str">
        <f t="shared" ca="1" si="8"/>
        <v>D</v>
      </c>
      <c r="R176" s="1" t="str">
        <f t="shared" ca="1" si="9"/>
        <v>D</v>
      </c>
      <c r="S176" s="1" t="str">
        <f t="shared" ca="1" si="10"/>
        <v>D</v>
      </c>
      <c r="T176" s="1" t="str">
        <f t="shared" ca="1" si="11"/>
        <v>D</v>
      </c>
      <c r="U176" s="1" t="str">
        <f t="shared" ca="1" si="12"/>
        <v>D</v>
      </c>
      <c r="V176" s="1" t="str">
        <f t="shared" ca="1" si="13"/>
        <v>D</v>
      </c>
      <c r="W176" s="1" t="str">
        <f t="shared" ca="1" si="14"/>
        <v>Maxime Chanot</v>
      </c>
    </row>
    <row r="177" spans="1:23">
      <c r="A177" s="1" t="str">
        <f ca="1">IFERROR(__xludf.DUMMYFUNCTION("""COMPUTED_VALUE"""),"Diego")</f>
        <v>Diego</v>
      </c>
      <c r="B177" s="1" t="str">
        <f ca="1">IFERROR(__xludf.DUMMYFUNCTION("""COMPUTED_VALUE"""),"Chará")</f>
        <v>Chará</v>
      </c>
      <c r="C177" s="1" t="str">
        <f ca="1">IFERROR(__xludf.DUMMYFUNCTION("""COMPUTED_VALUE"""),"Portland Timbers")</f>
        <v>Portland Timbers</v>
      </c>
      <c r="D177" s="1" t="str">
        <f ca="1">IFERROR(__xludf.DUMMYFUNCTION("""COMPUTED_VALUE"""),"Central Midfield")</f>
        <v>Central Midfield</v>
      </c>
      <c r="E177" s="2">
        <f ca="1">IFERROR(__xludf.DUMMYFUNCTION("""COMPUTED_VALUE"""),500000)</f>
        <v>500000</v>
      </c>
      <c r="F177" s="2">
        <f ca="1">IFERROR(__xludf.DUMMYFUNCTION("""COMPUTED_VALUE"""),508333)</f>
        <v>508333</v>
      </c>
      <c r="H177" s="1" t="str">
        <f t="shared" ca="1" si="0"/>
        <v>Central Midfield</v>
      </c>
      <c r="I177" s="3" t="str">
        <f t="shared" ca="1" si="1"/>
        <v>Central Midfield</v>
      </c>
      <c r="J177" s="1" t="str">
        <f t="shared" ca="1" si="2"/>
        <v>Central Midfield</v>
      </c>
      <c r="K177" s="1" t="str">
        <f t="shared" ca="1" si="15"/>
        <v>Central Midfield</v>
      </c>
      <c r="L177" s="1" t="str">
        <f t="shared" ca="1" si="3"/>
        <v>M</v>
      </c>
      <c r="M177" s="1" t="str">
        <f t="shared" ca="1" si="4"/>
        <v>M</v>
      </c>
      <c r="N177" s="1" t="str">
        <f t="shared" ca="1" si="5"/>
        <v>M</v>
      </c>
      <c r="O177" s="1" t="str">
        <f t="shared" ca="1" si="6"/>
        <v>M</v>
      </c>
      <c r="P177" s="1" t="str">
        <f t="shared" ca="1" si="7"/>
        <v>M</v>
      </c>
      <c r="Q177" s="1" t="str">
        <f t="shared" ca="1" si="8"/>
        <v>M</v>
      </c>
      <c r="R177" s="1" t="str">
        <f t="shared" ca="1" si="9"/>
        <v>M</v>
      </c>
      <c r="S177" s="1" t="str">
        <f t="shared" ca="1" si="10"/>
        <v>M</v>
      </c>
      <c r="T177" s="1" t="str">
        <f t="shared" ca="1" si="11"/>
        <v>M</v>
      </c>
      <c r="U177" s="1" t="str">
        <f t="shared" ca="1" si="12"/>
        <v>M</v>
      </c>
      <c r="V177" s="1" t="str">
        <f t="shared" ca="1" si="13"/>
        <v>M</v>
      </c>
      <c r="W177" s="1" t="str">
        <f t="shared" ca="1" si="14"/>
        <v>Diego Chará</v>
      </c>
    </row>
    <row r="178" spans="1:23">
      <c r="A178" s="1" t="str">
        <f ca="1">IFERROR(__xludf.DUMMYFUNCTION("""COMPUTED_VALUE"""),"Yevgen")</f>
        <v>Yevgen</v>
      </c>
      <c r="B178" s="1" t="str">
        <f ca="1">IFERROR(__xludf.DUMMYFUNCTION("""COMPUTED_VALUE"""),"Cheberko")</f>
        <v>Cheberko</v>
      </c>
      <c r="C178" s="1" t="str">
        <f ca="1">IFERROR(__xludf.DUMMYFUNCTION("""COMPUTED_VALUE"""),"Columbus Crew")</f>
        <v>Columbus Crew</v>
      </c>
      <c r="D178" s="1" t="str">
        <f ca="1">IFERROR(__xludf.DUMMYFUNCTION("""COMPUTED_VALUE"""),"Center-back")</f>
        <v>Center-back</v>
      </c>
      <c r="E178" s="2">
        <f ca="1">IFERROR(__xludf.DUMMYFUNCTION("""COMPUTED_VALUE"""),505000)</f>
        <v>505000</v>
      </c>
      <c r="F178" s="2">
        <f ca="1">IFERROR(__xludf.DUMMYFUNCTION("""COMPUTED_VALUE"""),553250)</f>
        <v>553250</v>
      </c>
      <c r="H178" s="1" t="str">
        <f t="shared" ca="1" si="0"/>
        <v>D</v>
      </c>
      <c r="I178" s="3" t="str">
        <f t="shared" ca="1" si="1"/>
        <v>D</v>
      </c>
      <c r="J178" s="1" t="str">
        <f t="shared" ca="1" si="2"/>
        <v>D</v>
      </c>
      <c r="K178" s="1" t="str">
        <f t="shared" ca="1" si="15"/>
        <v>D</v>
      </c>
      <c r="L178" s="1" t="str">
        <f t="shared" ca="1" si="3"/>
        <v>D</v>
      </c>
      <c r="M178" s="1" t="str">
        <f t="shared" ca="1" si="4"/>
        <v>D</v>
      </c>
      <c r="N178" s="1" t="str">
        <f t="shared" ca="1" si="5"/>
        <v>D</v>
      </c>
      <c r="O178" s="1" t="str">
        <f t="shared" ca="1" si="6"/>
        <v>D</v>
      </c>
      <c r="P178" s="1" t="str">
        <f t="shared" ca="1" si="7"/>
        <v>D</v>
      </c>
      <c r="Q178" s="1" t="str">
        <f t="shared" ca="1" si="8"/>
        <v>D</v>
      </c>
      <c r="R178" s="1" t="str">
        <f t="shared" ca="1" si="9"/>
        <v>D</v>
      </c>
      <c r="S178" s="1" t="str">
        <f t="shared" ca="1" si="10"/>
        <v>D</v>
      </c>
      <c r="T178" s="1" t="str">
        <f t="shared" ca="1" si="11"/>
        <v>D</v>
      </c>
      <c r="U178" s="1" t="str">
        <f t="shared" ca="1" si="12"/>
        <v>D</v>
      </c>
      <c r="V178" s="1" t="str">
        <f t="shared" ca="1" si="13"/>
        <v>D</v>
      </c>
      <c r="W178" s="1" t="str">
        <f t="shared" ca="1" si="14"/>
        <v>Yevgen Cheberko</v>
      </c>
    </row>
    <row r="179" spans="1:23">
      <c r="A179" s="1" t="str">
        <f ca="1">IFERROR(__xludf.DUMMYFUNCTION("""COMPUTED_VALUE"""),"Mathieu")</f>
        <v>Mathieu</v>
      </c>
      <c r="B179" s="1" t="str">
        <f ca="1">IFERROR(__xludf.DUMMYFUNCTION("""COMPUTED_VALUE"""),"Choinière")</f>
        <v>Choinière</v>
      </c>
      <c r="C179" s="1" t="str">
        <f ca="1">IFERROR(__xludf.DUMMYFUNCTION("""COMPUTED_VALUE"""),"CF Montreal")</f>
        <v>CF Montreal</v>
      </c>
      <c r="D179" s="1" t="str">
        <f ca="1">IFERROR(__xludf.DUMMYFUNCTION("""COMPUTED_VALUE"""),"Central Midfield")</f>
        <v>Central Midfield</v>
      </c>
      <c r="E179" s="2">
        <f ca="1">IFERROR(__xludf.DUMMYFUNCTION("""COMPUTED_VALUE"""),275000)</f>
        <v>275000</v>
      </c>
      <c r="F179" s="2">
        <f ca="1">IFERROR(__xludf.DUMMYFUNCTION("""COMPUTED_VALUE"""),302500)</f>
        <v>302500</v>
      </c>
      <c r="H179" s="1" t="str">
        <f t="shared" ca="1" si="0"/>
        <v>Central Midfield</v>
      </c>
      <c r="I179" s="3" t="str">
        <f t="shared" ca="1" si="1"/>
        <v>Central Midfield</v>
      </c>
      <c r="J179" s="1" t="str">
        <f t="shared" ca="1" si="2"/>
        <v>Central Midfield</v>
      </c>
      <c r="K179" s="1" t="str">
        <f t="shared" ca="1" si="15"/>
        <v>Central Midfield</v>
      </c>
      <c r="L179" s="1" t="str">
        <f t="shared" ca="1" si="3"/>
        <v>M</v>
      </c>
      <c r="M179" s="1" t="str">
        <f t="shared" ca="1" si="4"/>
        <v>M</v>
      </c>
      <c r="N179" s="1" t="str">
        <f t="shared" ca="1" si="5"/>
        <v>M</v>
      </c>
      <c r="O179" s="1" t="str">
        <f t="shared" ca="1" si="6"/>
        <v>M</v>
      </c>
      <c r="P179" s="1" t="str">
        <f t="shared" ca="1" si="7"/>
        <v>M</v>
      </c>
      <c r="Q179" s="1" t="str">
        <f t="shared" ca="1" si="8"/>
        <v>M</v>
      </c>
      <c r="R179" s="1" t="str">
        <f t="shared" ca="1" si="9"/>
        <v>M</v>
      </c>
      <c r="S179" s="1" t="str">
        <f t="shared" ca="1" si="10"/>
        <v>M</v>
      </c>
      <c r="T179" s="1" t="str">
        <f t="shared" ca="1" si="11"/>
        <v>M</v>
      </c>
      <c r="U179" s="1" t="str">
        <f t="shared" ca="1" si="12"/>
        <v>M</v>
      </c>
      <c r="V179" s="1" t="str">
        <f t="shared" ca="1" si="13"/>
        <v>M</v>
      </c>
      <c r="W179" s="1" t="str">
        <f t="shared" ca="1" si="14"/>
        <v>Mathieu Choinière</v>
      </c>
    </row>
    <row r="180" spans="1:23">
      <c r="A180" s="1" t="str">
        <f ca="1">IFERROR(__xludf.DUMMYFUNCTION("""COMPUTED_VALUE"""),"Ozzie")</f>
        <v>Ozzie</v>
      </c>
      <c r="B180" s="1" t="str">
        <f ca="1">IFERROR(__xludf.DUMMYFUNCTION("""COMPUTED_VALUE"""),"Cisneros")</f>
        <v>Cisneros</v>
      </c>
      <c r="C180" s="1" t="str">
        <f ca="1">IFERROR(__xludf.DUMMYFUNCTION("""COMPUTED_VALUE"""),"Sporting Kansas City")</f>
        <v>Sporting Kansas City</v>
      </c>
      <c r="D180" s="1" t="str">
        <f ca="1">IFERROR(__xludf.DUMMYFUNCTION("""COMPUTED_VALUE"""),"Central Midfield")</f>
        <v>Central Midfield</v>
      </c>
      <c r="E180" s="2">
        <f ca="1">IFERROR(__xludf.DUMMYFUNCTION("""COMPUTED_VALUE"""),89716)</f>
        <v>89716</v>
      </c>
      <c r="F180" s="2">
        <f ca="1">IFERROR(__xludf.DUMMYFUNCTION("""COMPUTED_VALUE"""),92716)</f>
        <v>92716</v>
      </c>
      <c r="H180" s="1" t="str">
        <f t="shared" ca="1" si="0"/>
        <v>Central Midfield</v>
      </c>
      <c r="I180" s="3" t="str">
        <f t="shared" ca="1" si="1"/>
        <v>Central Midfield</v>
      </c>
      <c r="J180" s="1" t="str">
        <f t="shared" ca="1" si="2"/>
        <v>Central Midfield</v>
      </c>
      <c r="K180" s="1" t="str">
        <f t="shared" ca="1" si="15"/>
        <v>Central Midfield</v>
      </c>
      <c r="L180" s="1" t="str">
        <f t="shared" ca="1" si="3"/>
        <v>M</v>
      </c>
      <c r="M180" s="1" t="str">
        <f t="shared" ca="1" si="4"/>
        <v>M</v>
      </c>
      <c r="N180" s="1" t="str">
        <f t="shared" ca="1" si="5"/>
        <v>M</v>
      </c>
      <c r="O180" s="1" t="str">
        <f t="shared" ca="1" si="6"/>
        <v>M</v>
      </c>
      <c r="P180" s="1" t="str">
        <f t="shared" ca="1" si="7"/>
        <v>M</v>
      </c>
      <c r="Q180" s="1" t="str">
        <f t="shared" ca="1" si="8"/>
        <v>M</v>
      </c>
      <c r="R180" s="1" t="str">
        <f t="shared" ca="1" si="9"/>
        <v>M</v>
      </c>
      <c r="S180" s="1" t="str">
        <f t="shared" ca="1" si="10"/>
        <v>M</v>
      </c>
      <c r="T180" s="1" t="str">
        <f t="shared" ca="1" si="11"/>
        <v>M</v>
      </c>
      <c r="U180" s="1" t="str">
        <f t="shared" ca="1" si="12"/>
        <v>M</v>
      </c>
      <c r="V180" s="1" t="str">
        <f t="shared" ca="1" si="13"/>
        <v>M</v>
      </c>
      <c r="W180" s="1" t="str">
        <f t="shared" ca="1" si="14"/>
        <v>Ozzie Cisneros</v>
      </c>
    </row>
    <row r="181" spans="1:23">
      <c r="A181" s="1" t="str">
        <f ca="1">IFERROR(__xludf.DUMMYFUNCTION("""COMPUTED_VALUE"""),"Caden")</f>
        <v>Caden</v>
      </c>
      <c r="B181" s="1" t="str">
        <f ca="1">IFERROR(__xludf.DUMMYFUNCTION("""COMPUTED_VALUE"""),"Clark")</f>
        <v>Clark</v>
      </c>
      <c r="C181" s="1" t="str">
        <f ca="1">IFERROR(__xludf.DUMMYFUNCTION("""COMPUTED_VALUE"""),"Minnesota United")</f>
        <v>Minnesota United</v>
      </c>
      <c r="D181" s="1" t="str">
        <f ca="1">IFERROR(__xludf.DUMMYFUNCTION("""COMPUTED_VALUE"""),"Attacking Midfield")</f>
        <v>Attacking Midfield</v>
      </c>
      <c r="E181" s="2">
        <f ca="1">IFERROR(__xludf.DUMMYFUNCTION("""COMPUTED_VALUE"""),350000)</f>
        <v>350000</v>
      </c>
      <c r="F181" s="2">
        <f ca="1">IFERROR(__xludf.DUMMYFUNCTION("""COMPUTED_VALUE"""),382000)</f>
        <v>382000</v>
      </c>
      <c r="H181" s="1" t="str">
        <f t="shared" ca="1" si="0"/>
        <v>Attacking Midfield</v>
      </c>
      <c r="I181" s="3" t="str">
        <f t="shared" ca="1" si="1"/>
        <v>Attacking Midfield</v>
      </c>
      <c r="J181" s="1" t="str">
        <f t="shared" ca="1" si="2"/>
        <v>Attacking Midfield</v>
      </c>
      <c r="K181" s="1" t="str">
        <f t="shared" ca="1" si="15"/>
        <v>Attacking Midfield</v>
      </c>
      <c r="L181" s="1" t="str">
        <f t="shared" ca="1" si="3"/>
        <v>Attacking Midfield</v>
      </c>
      <c r="M181" s="1" t="str">
        <f t="shared" ca="1" si="4"/>
        <v>M</v>
      </c>
      <c r="N181" s="1" t="str">
        <f t="shared" ca="1" si="5"/>
        <v>M</v>
      </c>
      <c r="O181" s="1" t="str">
        <f t="shared" ca="1" si="6"/>
        <v>M</v>
      </c>
      <c r="P181" s="1" t="str">
        <f t="shared" ca="1" si="7"/>
        <v>M</v>
      </c>
      <c r="Q181" s="1" t="str">
        <f t="shared" ca="1" si="8"/>
        <v>M</v>
      </c>
      <c r="R181" s="1" t="str">
        <f t="shared" ca="1" si="9"/>
        <v>M</v>
      </c>
      <c r="S181" s="1" t="str">
        <f t="shared" ca="1" si="10"/>
        <v>M</v>
      </c>
      <c r="T181" s="1" t="str">
        <f t="shared" ca="1" si="11"/>
        <v>M</v>
      </c>
      <c r="U181" s="1" t="str">
        <f t="shared" ca="1" si="12"/>
        <v>M</v>
      </c>
      <c r="V181" s="1" t="str">
        <f t="shared" ca="1" si="13"/>
        <v>M</v>
      </c>
      <c r="W181" s="1" t="str">
        <f t="shared" ca="1" si="14"/>
        <v>Caden Clark</v>
      </c>
    </row>
    <row r="182" spans="1:23">
      <c r="A182" s="1" t="str">
        <f ca="1">IFERROR(__xludf.DUMMYFUNCTION("""COMPUTED_VALUE"""),"Steve")</f>
        <v>Steve</v>
      </c>
      <c r="B182" s="1" t="str">
        <f ca="1">IFERROR(__xludf.DUMMYFUNCTION("""COMPUTED_VALUE"""),"Clark")</f>
        <v>Clark</v>
      </c>
      <c r="C182" s="1" t="str">
        <f ca="1">IFERROR(__xludf.DUMMYFUNCTION("""COMPUTED_VALUE"""),"Houston Dynamo")</f>
        <v>Houston Dynamo</v>
      </c>
      <c r="D182" s="1" t="str">
        <f ca="1">IFERROR(__xludf.DUMMYFUNCTION("""COMPUTED_VALUE"""),"Goalkeeper")</f>
        <v>Goalkeeper</v>
      </c>
      <c r="E182" s="2">
        <f ca="1">IFERROR(__xludf.DUMMYFUNCTION("""COMPUTED_VALUE"""),625000)</f>
        <v>625000</v>
      </c>
      <c r="F182" s="2">
        <f ca="1">IFERROR(__xludf.DUMMYFUNCTION("""COMPUTED_VALUE"""),684281)</f>
        <v>684281</v>
      </c>
      <c r="H182" s="1" t="str">
        <f t="shared" ca="1" si="0"/>
        <v>Goalkeeper</v>
      </c>
      <c r="I182" s="3" t="str">
        <f t="shared" ca="1" si="1"/>
        <v>Goalkeeper</v>
      </c>
      <c r="J182" s="1" t="str">
        <f t="shared" ca="1" si="2"/>
        <v>Goalkeeper</v>
      </c>
      <c r="K182" s="1" t="str">
        <f t="shared" ca="1" si="15"/>
        <v>Goalkeeper</v>
      </c>
      <c r="L182" s="1" t="str">
        <f t="shared" ca="1" si="3"/>
        <v>Goalkeeper</v>
      </c>
      <c r="M182" s="1" t="str">
        <f t="shared" ca="1" si="4"/>
        <v>Goalkeeper</v>
      </c>
      <c r="N182" s="1" t="str">
        <f t="shared" ca="1" si="5"/>
        <v>Goalkeeper</v>
      </c>
      <c r="O182" s="1" t="str">
        <f t="shared" ca="1" si="6"/>
        <v>Goalkeeper</v>
      </c>
      <c r="P182" s="1" t="str">
        <f t="shared" ca="1" si="7"/>
        <v>Goalkeeper</v>
      </c>
      <c r="Q182" s="1" t="str">
        <f t="shared" ca="1" si="8"/>
        <v>Goalkeeper</v>
      </c>
      <c r="R182" s="1" t="str">
        <f t="shared" ca="1" si="9"/>
        <v>GK</v>
      </c>
      <c r="S182" s="1" t="str">
        <f t="shared" ca="1" si="10"/>
        <v>GK</v>
      </c>
      <c r="T182" s="1" t="str">
        <f t="shared" ca="1" si="11"/>
        <v>GK</v>
      </c>
      <c r="U182" s="1" t="str">
        <f t="shared" ca="1" si="12"/>
        <v>GK</v>
      </c>
      <c r="V182" s="1" t="str">
        <f t="shared" ca="1" si="13"/>
        <v>GK</v>
      </c>
      <c r="W182" s="1" t="str">
        <f t="shared" ca="1" si="14"/>
        <v>Steve Clark</v>
      </c>
    </row>
    <row r="183" spans="1:23">
      <c r="A183" s="1" t="str">
        <f ca="1">IFERROR(__xludf.DUMMYFUNCTION("""COMPUTED_VALUE"""),"Stefan")</f>
        <v>Stefan</v>
      </c>
      <c r="B183" s="1" t="str">
        <f ca="1">IFERROR(__xludf.DUMMYFUNCTION("""COMPUTED_VALUE"""),"Cleveland")</f>
        <v>Cleveland</v>
      </c>
      <c r="C183" s="1" t="str">
        <f ca="1">IFERROR(__xludf.DUMMYFUNCTION("""COMPUTED_VALUE"""),"Austin FC")</f>
        <v>Austin FC</v>
      </c>
      <c r="D183" s="1" t="str">
        <f ca="1">IFERROR(__xludf.DUMMYFUNCTION("""COMPUTED_VALUE"""),"Goalkeeper")</f>
        <v>Goalkeeper</v>
      </c>
      <c r="E183" s="2">
        <f ca="1">IFERROR(__xludf.DUMMYFUNCTION("""COMPUTED_VALUE"""),200000)</f>
        <v>200000</v>
      </c>
      <c r="F183" s="2">
        <f ca="1">IFERROR(__xludf.DUMMYFUNCTION("""COMPUTED_VALUE"""),224167)</f>
        <v>224167</v>
      </c>
      <c r="H183" s="1" t="str">
        <f t="shared" ca="1" si="0"/>
        <v>Goalkeeper</v>
      </c>
      <c r="I183" s="3" t="str">
        <f t="shared" ca="1" si="1"/>
        <v>Goalkeeper</v>
      </c>
      <c r="J183" s="1" t="str">
        <f t="shared" ca="1" si="2"/>
        <v>Goalkeeper</v>
      </c>
      <c r="K183" s="1" t="str">
        <f t="shared" ca="1" si="15"/>
        <v>Goalkeeper</v>
      </c>
      <c r="L183" s="1" t="str">
        <f t="shared" ca="1" si="3"/>
        <v>Goalkeeper</v>
      </c>
      <c r="M183" s="1" t="str">
        <f t="shared" ca="1" si="4"/>
        <v>Goalkeeper</v>
      </c>
      <c r="N183" s="1" t="str">
        <f t="shared" ca="1" si="5"/>
        <v>Goalkeeper</v>
      </c>
      <c r="O183" s="1" t="str">
        <f t="shared" ca="1" si="6"/>
        <v>Goalkeeper</v>
      </c>
      <c r="P183" s="1" t="str">
        <f t="shared" ca="1" si="7"/>
        <v>Goalkeeper</v>
      </c>
      <c r="Q183" s="1" t="str">
        <f t="shared" ca="1" si="8"/>
        <v>Goalkeeper</v>
      </c>
      <c r="R183" s="1" t="str">
        <f t="shared" ca="1" si="9"/>
        <v>GK</v>
      </c>
      <c r="S183" s="1" t="str">
        <f t="shared" ca="1" si="10"/>
        <v>GK</v>
      </c>
      <c r="T183" s="1" t="str">
        <f t="shared" ca="1" si="11"/>
        <v>GK</v>
      </c>
      <c r="U183" s="1" t="str">
        <f t="shared" ca="1" si="12"/>
        <v>GK</v>
      </c>
      <c r="V183" s="1" t="str">
        <f t="shared" ca="1" si="13"/>
        <v>GK</v>
      </c>
      <c r="W183" s="1" t="str">
        <f t="shared" ca="1" si="14"/>
        <v>Stefan Cleveland</v>
      </c>
    </row>
    <row r="184" spans="1:23">
      <c r="A184" s="1" t="str">
        <f ca="1">IFERROR(__xludf.DUMMYFUNCTION("""COMPUTED_VALUE"""),"Noah")</f>
        <v>Noah</v>
      </c>
      <c r="B184" s="1" t="str">
        <f ca="1">IFERROR(__xludf.DUMMYFUNCTION("""COMPUTED_VALUE"""),"Cobb")</f>
        <v>Cobb</v>
      </c>
      <c r="C184" s="1" t="str">
        <f ca="1">IFERROR(__xludf.DUMMYFUNCTION("""COMPUTED_VALUE"""),"Atlanta United")</f>
        <v>Atlanta United</v>
      </c>
      <c r="D184" s="1" t="str">
        <f ca="1">IFERROR(__xludf.DUMMYFUNCTION("""COMPUTED_VALUE"""),"Center-back")</f>
        <v>Center-back</v>
      </c>
      <c r="E184" s="2">
        <f ca="1">IFERROR(__xludf.DUMMYFUNCTION("""COMPUTED_VALUE"""),89716)</f>
        <v>89716</v>
      </c>
      <c r="F184" s="2">
        <f ca="1">IFERROR(__xludf.DUMMYFUNCTION("""COMPUTED_VALUE"""),89716)</f>
        <v>89716</v>
      </c>
      <c r="H184" s="1" t="str">
        <f t="shared" ca="1" si="0"/>
        <v>D</v>
      </c>
      <c r="I184" s="3" t="str">
        <f t="shared" ca="1" si="1"/>
        <v>D</v>
      </c>
      <c r="J184" s="1" t="str">
        <f t="shared" ca="1" si="2"/>
        <v>D</v>
      </c>
      <c r="K184" s="1" t="str">
        <f t="shared" ca="1" si="15"/>
        <v>D</v>
      </c>
      <c r="L184" s="1" t="str">
        <f t="shared" ca="1" si="3"/>
        <v>D</v>
      </c>
      <c r="M184" s="1" t="str">
        <f t="shared" ca="1" si="4"/>
        <v>D</v>
      </c>
      <c r="N184" s="1" t="str">
        <f t="shared" ca="1" si="5"/>
        <v>D</v>
      </c>
      <c r="O184" s="1" t="str">
        <f t="shared" ca="1" si="6"/>
        <v>D</v>
      </c>
      <c r="P184" s="1" t="str">
        <f t="shared" ca="1" si="7"/>
        <v>D</v>
      </c>
      <c r="Q184" s="1" t="str">
        <f t="shared" ca="1" si="8"/>
        <v>D</v>
      </c>
      <c r="R184" s="1" t="str">
        <f t="shared" ca="1" si="9"/>
        <v>D</v>
      </c>
      <c r="S184" s="1" t="str">
        <f t="shared" ca="1" si="10"/>
        <v>D</v>
      </c>
      <c r="T184" s="1" t="str">
        <f t="shared" ca="1" si="11"/>
        <v>D</v>
      </c>
      <c r="U184" s="1" t="str">
        <f t="shared" ca="1" si="12"/>
        <v>D</v>
      </c>
      <c r="V184" s="1" t="str">
        <f t="shared" ca="1" si="13"/>
        <v>D</v>
      </c>
      <c r="W184" s="1" t="str">
        <f t="shared" ca="1" si="14"/>
        <v>Noah Cobb</v>
      </c>
    </row>
    <row r="185" spans="1:23">
      <c r="A185" s="1" t="str">
        <f ca="1">IFERROR(__xludf.DUMMYFUNCTION("""COMPUTED_VALUE"""),"Alonso")</f>
        <v>Alonso</v>
      </c>
      <c r="B185" s="1" t="str">
        <f ca="1">IFERROR(__xludf.DUMMYFUNCTION("""COMPUTED_VALUE"""),"Coello")</f>
        <v>Coello</v>
      </c>
      <c r="C185" s="1" t="str">
        <f ca="1">IFERROR(__xludf.DUMMYFUNCTION("""COMPUTED_VALUE"""),"Toronto FC")</f>
        <v>Toronto FC</v>
      </c>
      <c r="D185" s="1" t="str">
        <f ca="1">IFERROR(__xludf.DUMMYFUNCTION("""COMPUTED_VALUE"""),"Defensive Midfield")</f>
        <v>Defensive Midfield</v>
      </c>
      <c r="E185" s="2">
        <f ca="1">IFERROR(__xludf.DUMMYFUNCTION("""COMPUTED_VALUE"""),89716)</f>
        <v>89716</v>
      </c>
      <c r="F185" s="2">
        <f ca="1">IFERROR(__xludf.DUMMYFUNCTION("""COMPUTED_VALUE"""),94049)</f>
        <v>94049</v>
      </c>
      <c r="H185" s="1" t="str">
        <f t="shared" ca="1" si="0"/>
        <v>Defensive Midfield</v>
      </c>
      <c r="I185" s="3" t="str">
        <f t="shared" ca="1" si="1"/>
        <v>Defensive Midfield</v>
      </c>
      <c r="J185" s="1" t="str">
        <f t="shared" ca="1" si="2"/>
        <v>Defensive Midfield</v>
      </c>
      <c r="K185" s="1" t="str">
        <f t="shared" ca="1" si="15"/>
        <v>M</v>
      </c>
      <c r="L185" s="1" t="str">
        <f t="shared" ca="1" si="3"/>
        <v>M</v>
      </c>
      <c r="M185" s="1" t="str">
        <f t="shared" ca="1" si="4"/>
        <v>M</v>
      </c>
      <c r="N185" s="1" t="str">
        <f t="shared" ca="1" si="5"/>
        <v>M</v>
      </c>
      <c r="O185" s="1" t="str">
        <f t="shared" ca="1" si="6"/>
        <v>M</v>
      </c>
      <c r="P185" s="1" t="str">
        <f t="shared" ca="1" si="7"/>
        <v>M</v>
      </c>
      <c r="Q185" s="1" t="str">
        <f t="shared" ca="1" si="8"/>
        <v>M</v>
      </c>
      <c r="R185" s="1" t="str">
        <f t="shared" ca="1" si="9"/>
        <v>M</v>
      </c>
      <c r="S185" s="1" t="str">
        <f t="shared" ca="1" si="10"/>
        <v>M</v>
      </c>
      <c r="T185" s="1" t="str">
        <f t="shared" ca="1" si="11"/>
        <v>M</v>
      </c>
      <c r="U185" s="1" t="str">
        <f t="shared" ca="1" si="12"/>
        <v>M</v>
      </c>
      <c r="V185" s="1" t="str">
        <f t="shared" ca="1" si="13"/>
        <v>M</v>
      </c>
      <c r="W185" s="1" t="str">
        <f t="shared" ca="1" si="14"/>
        <v>Alonso Coello</v>
      </c>
    </row>
    <row r="186" spans="1:23">
      <c r="A186" s="1" t="str">
        <f ca="1">IFERROR(__xludf.DUMMYFUNCTION("""COMPUTED_VALUE"""),"Josh")</f>
        <v>Josh</v>
      </c>
      <c r="B186" s="1" t="str">
        <f ca="1">IFERROR(__xludf.DUMMYFUNCTION("""COMPUTED_VALUE"""),"Cohen")</f>
        <v>Cohen</v>
      </c>
      <c r="C186" s="1" t="str">
        <f ca="1">IFERROR(__xludf.DUMMYFUNCTION("""COMPUTED_VALUE"""),"Atlanta United")</f>
        <v>Atlanta United</v>
      </c>
      <c r="D186" s="1" t="str">
        <f ca="1">IFERROR(__xludf.DUMMYFUNCTION("""COMPUTED_VALUE"""),"Goalkeeper")</f>
        <v>Goalkeeper</v>
      </c>
      <c r="E186" s="2">
        <f ca="1">IFERROR(__xludf.DUMMYFUNCTION("""COMPUTED_VALUE"""),265000)</f>
        <v>265000</v>
      </c>
      <c r="F186" s="2">
        <f ca="1">IFERROR(__xludf.DUMMYFUNCTION("""COMPUTED_VALUE"""),303500)</f>
        <v>303500</v>
      </c>
      <c r="H186" s="1" t="str">
        <f t="shared" ca="1" si="0"/>
        <v>Goalkeeper</v>
      </c>
      <c r="I186" s="3" t="str">
        <f t="shared" ca="1" si="1"/>
        <v>Goalkeeper</v>
      </c>
      <c r="J186" s="1" t="str">
        <f t="shared" ca="1" si="2"/>
        <v>Goalkeeper</v>
      </c>
      <c r="K186" s="1" t="str">
        <f t="shared" ca="1" si="15"/>
        <v>Goalkeeper</v>
      </c>
      <c r="L186" s="1" t="str">
        <f t="shared" ca="1" si="3"/>
        <v>Goalkeeper</v>
      </c>
      <c r="M186" s="1" t="str">
        <f t="shared" ca="1" si="4"/>
        <v>Goalkeeper</v>
      </c>
      <c r="N186" s="1" t="str">
        <f t="shared" ca="1" si="5"/>
        <v>Goalkeeper</v>
      </c>
      <c r="O186" s="1" t="str">
        <f t="shared" ca="1" si="6"/>
        <v>Goalkeeper</v>
      </c>
      <c r="P186" s="1" t="str">
        <f t="shared" ca="1" si="7"/>
        <v>Goalkeeper</v>
      </c>
      <c r="Q186" s="1" t="str">
        <f t="shared" ca="1" si="8"/>
        <v>Goalkeeper</v>
      </c>
      <c r="R186" s="1" t="str">
        <f t="shared" ca="1" si="9"/>
        <v>GK</v>
      </c>
      <c r="S186" s="1" t="str">
        <f t="shared" ca="1" si="10"/>
        <v>GK</v>
      </c>
      <c r="T186" s="1" t="str">
        <f t="shared" ca="1" si="11"/>
        <v>GK</v>
      </c>
      <c r="U186" s="1" t="str">
        <f t="shared" ca="1" si="12"/>
        <v>GK</v>
      </c>
      <c r="V186" s="1" t="str">
        <f t="shared" ca="1" si="13"/>
        <v>GK</v>
      </c>
      <c r="W186" s="1" t="str">
        <f t="shared" ca="1" si="14"/>
        <v>Josh Cohen</v>
      </c>
    </row>
    <row r="187" spans="1:23">
      <c r="A187" s="1" t="str">
        <f ca="1">IFERROR(__xludf.DUMMYFUNCTION("""COMPUTED_VALUE"""),"Enzo")</f>
        <v>Enzo</v>
      </c>
      <c r="B187" s="1" t="str">
        <f ca="1">IFERROR(__xludf.DUMMYFUNCTION("""COMPUTED_VALUE"""),"Copetti")</f>
        <v>Copetti</v>
      </c>
      <c r="C187" s="1" t="str">
        <f ca="1">IFERROR(__xludf.DUMMYFUNCTION("""COMPUTED_VALUE"""),"Charlotte FC")</f>
        <v>Charlotte FC</v>
      </c>
      <c r="D187" s="1" t="str">
        <f ca="1">IFERROR(__xludf.DUMMYFUNCTION("""COMPUTED_VALUE"""),"Center Forward")</f>
        <v>Center Forward</v>
      </c>
      <c r="E187" s="2">
        <f ca="1">IFERROR(__xludf.DUMMYFUNCTION("""COMPUTED_VALUE"""),1000000)</f>
        <v>1000000</v>
      </c>
      <c r="F187" s="2">
        <f ca="1">IFERROR(__xludf.DUMMYFUNCTION("""COMPUTED_VALUE"""),1142250)</f>
        <v>1142250</v>
      </c>
      <c r="H187" s="1" t="str">
        <f t="shared" ca="1" si="0"/>
        <v>Center Forward</v>
      </c>
      <c r="I187" s="3" t="str">
        <f t="shared" ca="1" si="1"/>
        <v>Center Forward</v>
      </c>
      <c r="J187" s="1" t="str">
        <f t="shared" ca="1" si="2"/>
        <v>Center Forward</v>
      </c>
      <c r="K187" s="1" t="str">
        <f t="shared" ca="1" si="15"/>
        <v>Center Forward</v>
      </c>
      <c r="L187" s="1" t="str">
        <f t="shared" ca="1" si="3"/>
        <v>Center Forward</v>
      </c>
      <c r="M187" s="1" t="str">
        <f t="shared" ca="1" si="4"/>
        <v>Center Forward</v>
      </c>
      <c r="N187" s="1" t="str">
        <f t="shared" ca="1" si="5"/>
        <v>Center Forward</v>
      </c>
      <c r="O187" s="1" t="str">
        <f t="shared" ca="1" si="6"/>
        <v>F</v>
      </c>
      <c r="P187" s="1" t="str">
        <f t="shared" ca="1" si="7"/>
        <v>F</v>
      </c>
      <c r="Q187" s="1" t="str">
        <f t="shared" ca="1" si="8"/>
        <v>F</v>
      </c>
      <c r="R187" s="1" t="str">
        <f t="shared" ca="1" si="9"/>
        <v>F</v>
      </c>
      <c r="S187" s="1" t="str">
        <f t="shared" ca="1" si="10"/>
        <v>F</v>
      </c>
      <c r="T187" s="1" t="str">
        <f t="shared" ca="1" si="11"/>
        <v>F</v>
      </c>
      <c r="U187" s="1" t="str">
        <f t="shared" ca="1" si="12"/>
        <v>F</v>
      </c>
      <c r="V187" s="1" t="str">
        <f t="shared" ca="1" si="13"/>
        <v>F</v>
      </c>
      <c r="W187" s="1" t="str">
        <f t="shared" ca="1" si="14"/>
        <v>Enzo Copetti</v>
      </c>
    </row>
    <row r="188" spans="1:23">
      <c r="A188" s="1" t="str">
        <f ca="1">IFERROR(__xludf.DUMMYFUNCTION("""COMPUTED_VALUE"""),"Gabriele")</f>
        <v>Gabriele</v>
      </c>
      <c r="B188" s="1" t="str">
        <f ca="1">IFERROR(__xludf.DUMMYFUNCTION("""COMPUTED_VALUE"""),"Corbo")</f>
        <v>Corbo</v>
      </c>
      <c r="C188" s="1" t="str">
        <f ca="1">IFERROR(__xludf.DUMMYFUNCTION("""COMPUTED_VALUE"""),"CF Montreal")</f>
        <v>CF Montreal</v>
      </c>
      <c r="D188" s="1" t="str">
        <f ca="1">IFERROR(__xludf.DUMMYFUNCTION("""COMPUTED_VALUE"""),"Center-back")</f>
        <v>Center-back</v>
      </c>
      <c r="E188" s="2">
        <f ca="1">IFERROR(__xludf.DUMMYFUNCTION("""COMPUTED_VALUE"""),216350)</f>
        <v>216350</v>
      </c>
      <c r="F188" s="2">
        <f ca="1">IFERROR(__xludf.DUMMYFUNCTION("""COMPUTED_VALUE"""),216350)</f>
        <v>216350</v>
      </c>
      <c r="H188" s="1" t="str">
        <f t="shared" ca="1" si="0"/>
        <v>D</v>
      </c>
      <c r="I188" s="3" t="str">
        <f t="shared" ca="1" si="1"/>
        <v>D</v>
      </c>
      <c r="J188" s="1" t="str">
        <f t="shared" ca="1" si="2"/>
        <v>D</v>
      </c>
      <c r="K188" s="1" t="str">
        <f t="shared" ca="1" si="15"/>
        <v>D</v>
      </c>
      <c r="L188" s="1" t="str">
        <f t="shared" ca="1" si="3"/>
        <v>D</v>
      </c>
      <c r="M188" s="1" t="str">
        <f t="shared" ca="1" si="4"/>
        <v>D</v>
      </c>
      <c r="N188" s="1" t="str">
        <f t="shared" ca="1" si="5"/>
        <v>D</v>
      </c>
      <c r="O188" s="1" t="str">
        <f t="shared" ca="1" si="6"/>
        <v>D</v>
      </c>
      <c r="P188" s="1" t="str">
        <f t="shared" ca="1" si="7"/>
        <v>D</v>
      </c>
      <c r="Q188" s="1" t="str">
        <f t="shared" ca="1" si="8"/>
        <v>D</v>
      </c>
      <c r="R188" s="1" t="str">
        <f t="shared" ca="1" si="9"/>
        <v>D</v>
      </c>
      <c r="S188" s="1" t="str">
        <f t="shared" ca="1" si="10"/>
        <v>D</v>
      </c>
      <c r="T188" s="1" t="str">
        <f t="shared" ca="1" si="11"/>
        <v>D</v>
      </c>
      <c r="U188" s="1" t="str">
        <f t="shared" ca="1" si="12"/>
        <v>D</v>
      </c>
      <c r="V188" s="1" t="str">
        <f t="shared" ca="1" si="13"/>
        <v>D</v>
      </c>
      <c r="W188" s="1" t="str">
        <f t="shared" ca="1" si="14"/>
        <v>Gabriele Corbo</v>
      </c>
    </row>
    <row r="189" spans="1:23">
      <c r="A189" s="1" t="str">
        <f ca="1">IFERROR(__xludf.DUMMYFUNCTION("""COMPUTED_VALUE"""),"Gabriel")</f>
        <v>Gabriel</v>
      </c>
      <c r="B189" s="1" t="str">
        <f ca="1">IFERROR(__xludf.DUMMYFUNCTION("""COMPUTED_VALUE"""),"Cordeiro Pirani")</f>
        <v>Cordeiro Pirani</v>
      </c>
      <c r="C189" s="1" t="str">
        <f ca="1">IFERROR(__xludf.DUMMYFUNCTION("""COMPUTED_VALUE"""),"DC United")</f>
        <v>DC United</v>
      </c>
      <c r="D189" s="1" t="str">
        <f ca="1">IFERROR(__xludf.DUMMYFUNCTION("""COMPUTED_VALUE"""),"Attacking Midfield")</f>
        <v>Attacking Midfield</v>
      </c>
      <c r="E189" s="2">
        <f ca="1">IFERROR(__xludf.DUMMYFUNCTION("""COMPUTED_VALUE"""),665000)</f>
        <v>665000</v>
      </c>
      <c r="F189" s="2">
        <f ca="1">IFERROR(__xludf.DUMMYFUNCTION("""COMPUTED_VALUE"""),731700)</f>
        <v>731700</v>
      </c>
      <c r="H189" s="1" t="str">
        <f t="shared" ca="1" si="0"/>
        <v>Attacking Midfield</v>
      </c>
      <c r="I189" s="3" t="str">
        <f t="shared" ca="1" si="1"/>
        <v>Attacking Midfield</v>
      </c>
      <c r="J189" s="1" t="str">
        <f t="shared" ca="1" si="2"/>
        <v>Attacking Midfield</v>
      </c>
      <c r="K189" s="1" t="str">
        <f t="shared" ca="1" si="15"/>
        <v>Attacking Midfield</v>
      </c>
      <c r="L189" s="1" t="str">
        <f t="shared" ca="1" si="3"/>
        <v>Attacking Midfield</v>
      </c>
      <c r="M189" s="1" t="str">
        <f t="shared" ca="1" si="4"/>
        <v>M</v>
      </c>
      <c r="N189" s="1" t="str">
        <f t="shared" ca="1" si="5"/>
        <v>M</v>
      </c>
      <c r="O189" s="1" t="str">
        <f t="shared" ca="1" si="6"/>
        <v>M</v>
      </c>
      <c r="P189" s="1" t="str">
        <f t="shared" ca="1" si="7"/>
        <v>M</v>
      </c>
      <c r="Q189" s="1" t="str">
        <f t="shared" ca="1" si="8"/>
        <v>M</v>
      </c>
      <c r="R189" s="1" t="str">
        <f t="shared" ca="1" si="9"/>
        <v>M</v>
      </c>
      <c r="S189" s="1" t="str">
        <f t="shared" ca="1" si="10"/>
        <v>M</v>
      </c>
      <c r="T189" s="1" t="str">
        <f t="shared" ca="1" si="11"/>
        <v>M</v>
      </c>
      <c r="U189" s="1" t="str">
        <f t="shared" ca="1" si="12"/>
        <v>M</v>
      </c>
      <c r="V189" s="1" t="str">
        <f t="shared" ca="1" si="13"/>
        <v>M</v>
      </c>
      <c r="W189" s="1" t="str">
        <f t="shared" ca="1" si="14"/>
        <v>Gabriel Cordeiro Pirani</v>
      </c>
    </row>
    <row r="190" spans="1:23">
      <c r="A190" s="1" t="str">
        <f ca="1">IFERROR(__xludf.DUMMYFUNCTION("""COMPUTED_VALUE"""),"Carlos")</f>
        <v>Carlos</v>
      </c>
      <c r="B190" s="1" t="str">
        <f ca="1">IFERROR(__xludf.DUMMYFUNCTION("""COMPUTED_VALUE"""),"Coronel")</f>
        <v>Coronel</v>
      </c>
      <c r="C190" s="1" t="str">
        <f ca="1">IFERROR(__xludf.DUMMYFUNCTION("""COMPUTED_VALUE"""),"New York Red Bulls")</f>
        <v>New York Red Bulls</v>
      </c>
      <c r="D190" s="1" t="str">
        <f ca="1">IFERROR(__xludf.DUMMYFUNCTION("""COMPUTED_VALUE"""),"Goalkeeper")</f>
        <v>Goalkeeper</v>
      </c>
      <c r="E190" s="2">
        <f ca="1">IFERROR(__xludf.DUMMYFUNCTION("""COMPUTED_VALUE"""),500000)</f>
        <v>500000</v>
      </c>
      <c r="F190" s="2">
        <f ca="1">IFERROR(__xludf.DUMMYFUNCTION("""COMPUTED_VALUE"""),549649)</f>
        <v>549649</v>
      </c>
      <c r="H190" s="1" t="str">
        <f t="shared" ca="1" si="0"/>
        <v>Goalkeeper</v>
      </c>
      <c r="I190" s="3" t="str">
        <f t="shared" ca="1" si="1"/>
        <v>Goalkeeper</v>
      </c>
      <c r="J190" s="1" t="str">
        <f t="shared" ca="1" si="2"/>
        <v>Goalkeeper</v>
      </c>
      <c r="K190" s="1" t="str">
        <f t="shared" ca="1" si="15"/>
        <v>Goalkeeper</v>
      </c>
      <c r="L190" s="1" t="str">
        <f t="shared" ca="1" si="3"/>
        <v>Goalkeeper</v>
      </c>
      <c r="M190" s="1" t="str">
        <f t="shared" ca="1" si="4"/>
        <v>Goalkeeper</v>
      </c>
      <c r="N190" s="1" t="str">
        <f t="shared" ca="1" si="5"/>
        <v>Goalkeeper</v>
      </c>
      <c r="O190" s="1" t="str">
        <f t="shared" ca="1" si="6"/>
        <v>Goalkeeper</v>
      </c>
      <c r="P190" s="1" t="str">
        <f t="shared" ca="1" si="7"/>
        <v>Goalkeeper</v>
      </c>
      <c r="Q190" s="1" t="str">
        <f t="shared" ca="1" si="8"/>
        <v>Goalkeeper</v>
      </c>
      <c r="R190" s="1" t="str">
        <f t="shared" ca="1" si="9"/>
        <v>GK</v>
      </c>
      <c r="S190" s="1" t="str">
        <f t="shared" ca="1" si="10"/>
        <v>GK</v>
      </c>
      <c r="T190" s="1" t="str">
        <f t="shared" ca="1" si="11"/>
        <v>GK</v>
      </c>
      <c r="U190" s="1" t="str">
        <f t="shared" ca="1" si="12"/>
        <v>GK</v>
      </c>
      <c r="V190" s="1" t="str">
        <f t="shared" ca="1" si="13"/>
        <v>GK</v>
      </c>
      <c r="W190" s="1" t="str">
        <f t="shared" ca="1" si="14"/>
        <v>Carlos Coronel</v>
      </c>
    </row>
    <row r="191" spans="1:23">
      <c r="A191" s="1" t="str">
        <f ca="1">IFERROR(__xludf.DUMMYFUNCTION("""COMPUTED_VALUE"""),"Vítor")</f>
        <v>Vítor</v>
      </c>
      <c r="B191" s="1" t="str">
        <f ca="1">IFERROR(__xludf.DUMMYFUNCTION("""COMPUTED_VALUE"""),"Costa")</f>
        <v>Costa</v>
      </c>
      <c r="C191" s="1" t="str">
        <f ca="1">IFERROR(__xludf.DUMMYFUNCTION("""COMPUTED_VALUE"""),"San Jose Earthquakes")</f>
        <v>San Jose Earthquakes</v>
      </c>
      <c r="D191" s="1" t="str">
        <f ca="1">IFERROR(__xludf.DUMMYFUNCTION("""COMPUTED_VALUE"""),"Left-back")</f>
        <v>Left-back</v>
      </c>
      <c r="E191" s="2">
        <f ca="1">IFERROR(__xludf.DUMMYFUNCTION("""COMPUTED_VALUE"""),350000)</f>
        <v>350000</v>
      </c>
      <c r="F191" s="2">
        <f ca="1">IFERROR(__xludf.DUMMYFUNCTION("""COMPUTED_VALUE"""),388333)</f>
        <v>388333</v>
      </c>
      <c r="H191" s="1" t="str">
        <f t="shared" ca="1" si="0"/>
        <v>Left-back</v>
      </c>
      <c r="I191" s="3" t="str">
        <f t="shared" ca="1" si="1"/>
        <v>D</v>
      </c>
      <c r="J191" s="1" t="str">
        <f t="shared" ca="1" si="2"/>
        <v>D</v>
      </c>
      <c r="K191" s="1" t="str">
        <f t="shared" ca="1" si="15"/>
        <v>D</v>
      </c>
      <c r="L191" s="1" t="str">
        <f t="shared" ca="1" si="3"/>
        <v>D</v>
      </c>
      <c r="M191" s="1" t="str">
        <f t="shared" ca="1" si="4"/>
        <v>D</v>
      </c>
      <c r="N191" s="1" t="str">
        <f t="shared" ca="1" si="5"/>
        <v>D</v>
      </c>
      <c r="O191" s="1" t="str">
        <f t="shared" ca="1" si="6"/>
        <v>D</v>
      </c>
      <c r="P191" s="1" t="str">
        <f t="shared" ca="1" si="7"/>
        <v>D</v>
      </c>
      <c r="Q191" s="1" t="str">
        <f t="shared" ca="1" si="8"/>
        <v>D</v>
      </c>
      <c r="R191" s="1" t="str">
        <f t="shared" ca="1" si="9"/>
        <v>D</v>
      </c>
      <c r="S191" s="1" t="str">
        <f t="shared" ca="1" si="10"/>
        <v>D</v>
      </c>
      <c r="T191" s="1" t="str">
        <f t="shared" ca="1" si="11"/>
        <v>D</v>
      </c>
      <c r="U191" s="1" t="str">
        <f t="shared" ca="1" si="12"/>
        <v>D</v>
      </c>
      <c r="V191" s="1" t="str">
        <f t="shared" ca="1" si="13"/>
        <v>D</v>
      </c>
      <c r="W191" s="1" t="str">
        <f t="shared" ca="1" si="14"/>
        <v>Vítor Costa</v>
      </c>
    </row>
    <row r="192" spans="1:23">
      <c r="A192" s="1" t="str">
        <f ca="1">IFERROR(__xludf.DUMMYFUNCTION("""COMPUTED_VALUE"""),"Chance")</f>
        <v>Chance</v>
      </c>
      <c r="B192" s="1" t="str">
        <f ca="1">IFERROR(__xludf.DUMMYFUNCTION("""COMPUTED_VALUE"""),"Cowell")</f>
        <v>Cowell</v>
      </c>
      <c r="C192" s="1" t="str">
        <f ca="1">IFERROR(__xludf.DUMMYFUNCTION("""COMPUTED_VALUE"""),"San Jose Earthquakes")</f>
        <v>San Jose Earthquakes</v>
      </c>
      <c r="D192" s="1" t="str">
        <f ca="1">IFERROR(__xludf.DUMMYFUNCTION("""COMPUTED_VALUE"""),"Left Wing")</f>
        <v>Left Wing</v>
      </c>
      <c r="E192" s="2">
        <f ca="1">IFERROR(__xludf.DUMMYFUNCTION("""COMPUTED_VALUE"""),71401)</f>
        <v>71401</v>
      </c>
      <c r="F192" s="2">
        <f ca="1">IFERROR(__xludf.DUMMYFUNCTION("""COMPUTED_VALUE"""),71401)</f>
        <v>71401</v>
      </c>
      <c r="H192" s="1" t="str">
        <f t="shared" ca="1" si="0"/>
        <v>Left Wing</v>
      </c>
      <c r="I192" s="3" t="str">
        <f t="shared" ca="1" si="1"/>
        <v>Left Wing</v>
      </c>
      <c r="J192" s="1" t="str">
        <f t="shared" ca="1" si="2"/>
        <v>Left Wing</v>
      </c>
      <c r="K192" s="1" t="str">
        <f t="shared" ca="1" si="15"/>
        <v>Left Wing</v>
      </c>
      <c r="L192" s="1" t="str">
        <f t="shared" ca="1" si="3"/>
        <v>Left Wing</v>
      </c>
      <c r="M192" s="1" t="str">
        <f t="shared" ca="1" si="4"/>
        <v>Left Wing</v>
      </c>
      <c r="N192" s="1" t="str">
        <f t="shared" ca="1" si="5"/>
        <v>Left Wing</v>
      </c>
      <c r="O192" s="1" t="str">
        <f t="shared" ca="1" si="6"/>
        <v>Left Wing</v>
      </c>
      <c r="P192" s="1" t="str">
        <f t="shared" ca="1" si="7"/>
        <v>F</v>
      </c>
      <c r="Q192" s="1" t="str">
        <f t="shared" ca="1" si="8"/>
        <v>F</v>
      </c>
      <c r="R192" s="1" t="str">
        <f t="shared" ca="1" si="9"/>
        <v>F</v>
      </c>
      <c r="S192" s="1" t="str">
        <f t="shared" ca="1" si="10"/>
        <v>F</v>
      </c>
      <c r="T192" s="1" t="str">
        <f t="shared" ca="1" si="11"/>
        <v>F</v>
      </c>
      <c r="U192" s="1" t="str">
        <f t="shared" ca="1" si="12"/>
        <v>F</v>
      </c>
      <c r="V192" s="1" t="str">
        <f t="shared" ca="1" si="13"/>
        <v>F</v>
      </c>
      <c r="W192" s="1" t="str">
        <f t="shared" ca="1" si="14"/>
        <v>Chance Cowell</v>
      </c>
    </row>
    <row r="193" spans="1:23">
      <c r="A193" s="1" t="str">
        <f ca="1">IFERROR(__xludf.DUMMYFUNCTION("""COMPUTED_VALUE"""),"Maxime")</f>
        <v>Maxime</v>
      </c>
      <c r="B193" s="1" t="str">
        <f ca="1">IFERROR(__xludf.DUMMYFUNCTION("""COMPUTED_VALUE"""),"Crépeau")</f>
        <v>Crépeau</v>
      </c>
      <c r="C193" s="1" t="str">
        <f ca="1">IFERROR(__xludf.DUMMYFUNCTION("""COMPUTED_VALUE"""),"Portland Timbers")</f>
        <v>Portland Timbers</v>
      </c>
      <c r="D193" s="1" t="str">
        <f ca="1">IFERROR(__xludf.DUMMYFUNCTION("""COMPUTED_VALUE"""),"Goalkeeper")</f>
        <v>Goalkeeper</v>
      </c>
      <c r="E193" s="2">
        <f ca="1">IFERROR(__xludf.DUMMYFUNCTION("""COMPUTED_VALUE"""),555000)</f>
        <v>555000</v>
      </c>
      <c r="F193" s="2">
        <f ca="1">IFERROR(__xludf.DUMMYFUNCTION("""COMPUTED_VALUE"""),618333)</f>
        <v>618333</v>
      </c>
      <c r="H193" s="1" t="str">
        <f t="shared" ca="1" si="0"/>
        <v>Goalkeeper</v>
      </c>
      <c r="I193" s="3" t="str">
        <f t="shared" ca="1" si="1"/>
        <v>Goalkeeper</v>
      </c>
      <c r="J193" s="1" t="str">
        <f t="shared" ca="1" si="2"/>
        <v>Goalkeeper</v>
      </c>
      <c r="K193" s="1" t="str">
        <f t="shared" ca="1" si="15"/>
        <v>Goalkeeper</v>
      </c>
      <c r="L193" s="1" t="str">
        <f t="shared" ca="1" si="3"/>
        <v>Goalkeeper</v>
      </c>
      <c r="M193" s="1" t="str">
        <f t="shared" ca="1" si="4"/>
        <v>Goalkeeper</v>
      </c>
      <c r="N193" s="1" t="str">
        <f t="shared" ca="1" si="5"/>
        <v>Goalkeeper</v>
      </c>
      <c r="O193" s="1" t="str">
        <f t="shared" ca="1" si="6"/>
        <v>Goalkeeper</v>
      </c>
      <c r="P193" s="1" t="str">
        <f t="shared" ca="1" si="7"/>
        <v>Goalkeeper</v>
      </c>
      <c r="Q193" s="1" t="str">
        <f t="shared" ca="1" si="8"/>
        <v>Goalkeeper</v>
      </c>
      <c r="R193" s="1" t="str">
        <f t="shared" ca="1" si="9"/>
        <v>GK</v>
      </c>
      <c r="S193" s="1" t="str">
        <f t="shared" ca="1" si="10"/>
        <v>GK</v>
      </c>
      <c r="T193" s="1" t="str">
        <f t="shared" ca="1" si="11"/>
        <v>GK</v>
      </c>
      <c r="U193" s="1" t="str">
        <f t="shared" ca="1" si="12"/>
        <v>GK</v>
      </c>
      <c r="V193" s="1" t="str">
        <f t="shared" ca="1" si="13"/>
        <v>GK</v>
      </c>
      <c r="W193" s="1" t="str">
        <f t="shared" ca="1" si="14"/>
        <v>Maxime Crépeau</v>
      </c>
    </row>
    <row r="194" spans="1:23">
      <c r="A194" s="1" t="str">
        <f ca="1">IFERROR(__xludf.DUMMYFUNCTION("""COMPUTED_VALUE"""),"Brandan")</f>
        <v>Brandan</v>
      </c>
      <c r="B194" s="1" t="str">
        <f ca="1">IFERROR(__xludf.DUMMYFUNCTION("""COMPUTED_VALUE"""),"Craig")</f>
        <v>Craig</v>
      </c>
      <c r="C194" s="1" t="str">
        <f ca="1">IFERROR(__xludf.DUMMYFUNCTION("""COMPUTED_VALUE"""),"Philadelphia Union")</f>
        <v>Philadelphia Union</v>
      </c>
      <c r="D194" s="1" t="str">
        <f ca="1">IFERROR(__xludf.DUMMYFUNCTION("""COMPUTED_VALUE"""),"Center-back")</f>
        <v>Center-back</v>
      </c>
      <c r="E194" s="2">
        <f ca="1">IFERROR(__xludf.DUMMYFUNCTION("""COMPUTED_VALUE"""),160000)</f>
        <v>160000</v>
      </c>
      <c r="F194" s="2">
        <f ca="1">IFERROR(__xludf.DUMMYFUNCTION("""COMPUTED_VALUE"""),172825)</f>
        <v>172825</v>
      </c>
      <c r="H194" s="1" t="str">
        <f t="shared" ca="1" si="0"/>
        <v>D</v>
      </c>
      <c r="I194" s="3" t="str">
        <f t="shared" ca="1" si="1"/>
        <v>D</v>
      </c>
      <c r="J194" s="1" t="str">
        <f t="shared" ca="1" si="2"/>
        <v>D</v>
      </c>
      <c r="K194" s="1" t="str">
        <f t="shared" ca="1" si="15"/>
        <v>D</v>
      </c>
      <c r="L194" s="1" t="str">
        <f t="shared" ca="1" si="3"/>
        <v>D</v>
      </c>
      <c r="M194" s="1" t="str">
        <f t="shared" ca="1" si="4"/>
        <v>D</v>
      </c>
      <c r="N194" s="1" t="str">
        <f t="shared" ca="1" si="5"/>
        <v>D</v>
      </c>
      <c r="O194" s="1" t="str">
        <f t="shared" ca="1" si="6"/>
        <v>D</v>
      </c>
      <c r="P194" s="1" t="str">
        <f t="shared" ca="1" si="7"/>
        <v>D</v>
      </c>
      <c r="Q194" s="1" t="str">
        <f t="shared" ca="1" si="8"/>
        <v>D</v>
      </c>
      <c r="R194" s="1" t="str">
        <f t="shared" ca="1" si="9"/>
        <v>D</v>
      </c>
      <c r="S194" s="1" t="str">
        <f t="shared" ca="1" si="10"/>
        <v>D</v>
      </c>
      <c r="T194" s="1" t="str">
        <f t="shared" ca="1" si="11"/>
        <v>D</v>
      </c>
      <c r="U194" s="1" t="str">
        <f t="shared" ca="1" si="12"/>
        <v>D</v>
      </c>
      <c r="V194" s="1" t="str">
        <f t="shared" ca="1" si="13"/>
        <v>D</v>
      </c>
      <c r="W194" s="1" t="str">
        <f t="shared" ca="1" si="14"/>
        <v>Brandan Craig</v>
      </c>
    </row>
    <row r="195" spans="1:23">
      <c r="A195" s="1" t="str">
        <f ca="1">IFERROR(__xludf.DUMMYFUNCTION("""COMPUTED_VALUE"""),"Benja")</f>
        <v>Benja</v>
      </c>
      <c r="B195" s="1" t="str">
        <f ca="1">IFERROR(__xludf.DUMMYFUNCTION("""COMPUTED_VALUE"""),"Cremaschi")</f>
        <v>Cremaschi</v>
      </c>
      <c r="C195" s="1" t="str">
        <f ca="1">IFERROR(__xludf.DUMMYFUNCTION("""COMPUTED_VALUE"""),"Inter Miami")</f>
        <v>Inter Miami</v>
      </c>
      <c r="D195" s="1" t="str">
        <f ca="1">IFERROR(__xludf.DUMMYFUNCTION("""COMPUTED_VALUE"""),"Central Midfield")</f>
        <v>Central Midfield</v>
      </c>
      <c r="E195" s="2">
        <f ca="1">IFERROR(__xludf.DUMMYFUNCTION("""COMPUTED_VALUE"""),104716)</f>
        <v>104716</v>
      </c>
      <c r="F195" s="2">
        <f ca="1">IFERROR(__xludf.DUMMYFUNCTION("""COMPUTED_VALUE"""),106716)</f>
        <v>106716</v>
      </c>
      <c r="H195" s="1" t="str">
        <f t="shared" ca="1" si="0"/>
        <v>Central Midfield</v>
      </c>
      <c r="I195" s="3" t="str">
        <f t="shared" ca="1" si="1"/>
        <v>Central Midfield</v>
      </c>
      <c r="J195" s="1" t="str">
        <f t="shared" ca="1" si="2"/>
        <v>Central Midfield</v>
      </c>
      <c r="K195" s="1" t="str">
        <f t="shared" ca="1" si="15"/>
        <v>Central Midfield</v>
      </c>
      <c r="L195" s="1" t="str">
        <f t="shared" ca="1" si="3"/>
        <v>M</v>
      </c>
      <c r="M195" s="1" t="str">
        <f t="shared" ca="1" si="4"/>
        <v>M</v>
      </c>
      <c r="N195" s="1" t="str">
        <f t="shared" ca="1" si="5"/>
        <v>M</v>
      </c>
      <c r="O195" s="1" t="str">
        <f t="shared" ca="1" si="6"/>
        <v>M</v>
      </c>
      <c r="P195" s="1" t="str">
        <f t="shared" ca="1" si="7"/>
        <v>M</v>
      </c>
      <c r="Q195" s="1" t="str">
        <f t="shared" ca="1" si="8"/>
        <v>M</v>
      </c>
      <c r="R195" s="1" t="str">
        <f t="shared" ca="1" si="9"/>
        <v>M</v>
      </c>
      <c r="S195" s="1" t="str">
        <f t="shared" ca="1" si="10"/>
        <v>M</v>
      </c>
      <c r="T195" s="1" t="str">
        <f t="shared" ca="1" si="11"/>
        <v>M</v>
      </c>
      <c r="U195" s="1" t="str">
        <f t="shared" ca="1" si="12"/>
        <v>M</v>
      </c>
      <c r="V195" s="1" t="str">
        <f t="shared" ca="1" si="13"/>
        <v>M</v>
      </c>
      <c r="W195" s="1" t="str">
        <f t="shared" ca="1" si="14"/>
        <v>Benja Cremaschi</v>
      </c>
    </row>
    <row r="196" spans="1:23">
      <c r="A196" s="1" t="str">
        <f ca="1">IFERROR(__xludf.DUMMYFUNCTION("""COMPUTED_VALUE"""),"Nate")</f>
        <v>Nate</v>
      </c>
      <c r="B196" s="1" t="str">
        <f ca="1">IFERROR(__xludf.DUMMYFUNCTION("""COMPUTED_VALUE"""),"Crockford")</f>
        <v>Crockford</v>
      </c>
      <c r="C196" s="1" t="str">
        <f ca="1">IFERROR(__xludf.DUMMYFUNCTION("""COMPUTED_VALUE"""),"DC United")</f>
        <v>DC United</v>
      </c>
      <c r="D196" s="1" t="str">
        <f ca="1">IFERROR(__xludf.DUMMYFUNCTION("""COMPUTED_VALUE"""),"Goalkeeper")</f>
        <v>Goalkeeper</v>
      </c>
      <c r="E196" s="2">
        <f ca="1">IFERROR(__xludf.DUMMYFUNCTION("""COMPUTED_VALUE"""),71401)</f>
        <v>71401</v>
      </c>
      <c r="F196" s="2">
        <f ca="1">IFERROR(__xludf.DUMMYFUNCTION("""COMPUTED_VALUE"""),71401)</f>
        <v>71401</v>
      </c>
      <c r="H196" s="1" t="str">
        <f t="shared" ca="1" si="0"/>
        <v>Goalkeeper</v>
      </c>
      <c r="I196" s="3" t="str">
        <f t="shared" ca="1" si="1"/>
        <v>Goalkeeper</v>
      </c>
      <c r="J196" s="1" t="str">
        <f t="shared" ca="1" si="2"/>
        <v>Goalkeeper</v>
      </c>
      <c r="K196" s="1" t="str">
        <f t="shared" ca="1" si="15"/>
        <v>Goalkeeper</v>
      </c>
      <c r="L196" s="1" t="str">
        <f t="shared" ca="1" si="3"/>
        <v>Goalkeeper</v>
      </c>
      <c r="M196" s="1" t="str">
        <f t="shared" ca="1" si="4"/>
        <v>Goalkeeper</v>
      </c>
      <c r="N196" s="1" t="str">
        <f t="shared" ca="1" si="5"/>
        <v>Goalkeeper</v>
      </c>
      <c r="O196" s="1" t="str">
        <f t="shared" ca="1" si="6"/>
        <v>Goalkeeper</v>
      </c>
      <c r="P196" s="1" t="str">
        <f t="shared" ca="1" si="7"/>
        <v>Goalkeeper</v>
      </c>
      <c r="Q196" s="1" t="str">
        <f t="shared" ca="1" si="8"/>
        <v>Goalkeeper</v>
      </c>
      <c r="R196" s="1" t="str">
        <f t="shared" ca="1" si="9"/>
        <v>GK</v>
      </c>
      <c r="S196" s="1" t="str">
        <f t="shared" ca="1" si="10"/>
        <v>GK</v>
      </c>
      <c r="T196" s="1" t="str">
        <f t="shared" ca="1" si="11"/>
        <v>GK</v>
      </c>
      <c r="U196" s="1" t="str">
        <f t="shared" ca="1" si="12"/>
        <v>GK</v>
      </c>
      <c r="V196" s="1" t="str">
        <f t="shared" ca="1" si="13"/>
        <v>GK</v>
      </c>
      <c r="W196" s="1" t="str">
        <f t="shared" ca="1" si="14"/>
        <v>Nate Crockford</v>
      </c>
    </row>
    <row r="197" spans="1:23">
      <c r="A197" s="1" t="str">
        <f ca="1">IFERROR(__xludf.DUMMYFUNCTION("""COMPUTED_VALUE"""),"Matt")</f>
        <v>Matt</v>
      </c>
      <c r="B197" s="1" t="str">
        <f ca="1">IFERROR(__xludf.DUMMYFUNCTION("""COMPUTED_VALUE"""),"Crooks")</f>
        <v>Crooks</v>
      </c>
      <c r="C197" s="1" t="str">
        <f ca="1">IFERROR(__xludf.DUMMYFUNCTION("""COMPUTED_VALUE"""),"Real Salt Lake")</f>
        <v>Real Salt Lake</v>
      </c>
      <c r="D197" s="1" t="str">
        <f ca="1">IFERROR(__xludf.DUMMYFUNCTION("""COMPUTED_VALUE"""),"Attacking Midfield")</f>
        <v>Attacking Midfield</v>
      </c>
      <c r="E197" s="2">
        <f ca="1">IFERROR(__xludf.DUMMYFUNCTION("""COMPUTED_VALUE"""),1000000)</f>
        <v>1000000</v>
      </c>
      <c r="F197" s="2">
        <f ca="1">IFERROR(__xludf.DUMMYFUNCTION("""COMPUTED_VALUE"""),1000000)</f>
        <v>1000000</v>
      </c>
      <c r="H197" s="1" t="str">
        <f t="shared" ca="1" si="0"/>
        <v>Attacking Midfield</v>
      </c>
      <c r="I197" s="3" t="str">
        <f t="shared" ca="1" si="1"/>
        <v>Attacking Midfield</v>
      </c>
      <c r="J197" s="1" t="str">
        <f t="shared" ca="1" si="2"/>
        <v>Attacking Midfield</v>
      </c>
      <c r="K197" s="1" t="str">
        <f t="shared" ca="1" si="15"/>
        <v>Attacking Midfield</v>
      </c>
      <c r="L197" s="1" t="str">
        <f t="shared" ca="1" si="3"/>
        <v>Attacking Midfield</v>
      </c>
      <c r="M197" s="1" t="str">
        <f t="shared" ca="1" si="4"/>
        <v>M</v>
      </c>
      <c r="N197" s="1" t="str">
        <f t="shared" ca="1" si="5"/>
        <v>M</v>
      </c>
      <c r="O197" s="1" t="str">
        <f t="shared" ca="1" si="6"/>
        <v>M</v>
      </c>
      <c r="P197" s="1" t="str">
        <f t="shared" ca="1" si="7"/>
        <v>M</v>
      </c>
      <c r="Q197" s="1" t="str">
        <f t="shared" ca="1" si="8"/>
        <v>M</v>
      </c>
      <c r="R197" s="1" t="str">
        <f t="shared" ca="1" si="9"/>
        <v>M</v>
      </c>
      <c r="S197" s="1" t="str">
        <f t="shared" ca="1" si="10"/>
        <v>M</v>
      </c>
      <c r="T197" s="1" t="str">
        <f t="shared" ca="1" si="11"/>
        <v>M</v>
      </c>
      <c r="U197" s="1" t="str">
        <f t="shared" ca="1" si="12"/>
        <v>M</v>
      </c>
      <c r="V197" s="1" t="str">
        <f t="shared" ca="1" si="13"/>
        <v>M</v>
      </c>
      <c r="W197" s="1" t="str">
        <f t="shared" ca="1" si="14"/>
        <v>Matt Crooks</v>
      </c>
    </row>
    <row r="198" spans="1:23">
      <c r="A198" s="1" t="str">
        <f ca="1">IFERROR(__xludf.DUMMYFUNCTION("""COMPUTED_VALUE"""),"Andrés")</f>
        <v>Andrés</v>
      </c>
      <c r="B198" s="1" t="str">
        <f ca="1">IFERROR(__xludf.DUMMYFUNCTION("""COMPUTED_VALUE"""),"Cubas")</f>
        <v>Cubas</v>
      </c>
      <c r="C198" s="1" t="str">
        <f ca="1">IFERROR(__xludf.DUMMYFUNCTION("""COMPUTED_VALUE"""),"Vancouver Whitecaps")</f>
        <v>Vancouver Whitecaps</v>
      </c>
      <c r="D198" s="1" t="str">
        <f ca="1">IFERROR(__xludf.DUMMYFUNCTION("""COMPUTED_VALUE"""),"Defensive Midfield")</f>
        <v>Defensive Midfield</v>
      </c>
      <c r="E198" s="2">
        <f ca="1">IFERROR(__xludf.DUMMYFUNCTION("""COMPUTED_VALUE"""),1050000)</f>
        <v>1050000</v>
      </c>
      <c r="F198" s="2">
        <f ca="1">IFERROR(__xludf.DUMMYFUNCTION("""COMPUTED_VALUE"""),1146375)</f>
        <v>1146375</v>
      </c>
      <c r="H198" s="1" t="str">
        <f t="shared" ca="1" si="0"/>
        <v>Defensive Midfield</v>
      </c>
      <c r="I198" s="3" t="str">
        <f t="shared" ca="1" si="1"/>
        <v>Defensive Midfield</v>
      </c>
      <c r="J198" s="1" t="str">
        <f t="shared" ca="1" si="2"/>
        <v>Defensive Midfield</v>
      </c>
      <c r="K198" s="1" t="str">
        <f t="shared" ca="1" si="15"/>
        <v>M</v>
      </c>
      <c r="L198" s="1" t="str">
        <f t="shared" ca="1" si="3"/>
        <v>M</v>
      </c>
      <c r="M198" s="1" t="str">
        <f t="shared" ca="1" si="4"/>
        <v>M</v>
      </c>
      <c r="N198" s="1" t="str">
        <f t="shared" ca="1" si="5"/>
        <v>M</v>
      </c>
      <c r="O198" s="1" t="str">
        <f t="shared" ca="1" si="6"/>
        <v>M</v>
      </c>
      <c r="P198" s="1" t="str">
        <f t="shared" ca="1" si="7"/>
        <v>M</v>
      </c>
      <c r="Q198" s="1" t="str">
        <f t="shared" ca="1" si="8"/>
        <v>M</v>
      </c>
      <c r="R198" s="1" t="str">
        <f t="shared" ca="1" si="9"/>
        <v>M</v>
      </c>
      <c r="S198" s="1" t="str">
        <f t="shared" ca="1" si="10"/>
        <v>M</v>
      </c>
      <c r="T198" s="1" t="str">
        <f t="shared" ca="1" si="11"/>
        <v>M</v>
      </c>
      <c r="U198" s="1" t="str">
        <f t="shared" ca="1" si="12"/>
        <v>M</v>
      </c>
      <c r="V198" s="1" t="str">
        <f t="shared" ca="1" si="13"/>
        <v>M</v>
      </c>
      <c r="W198" s="1" t="str">
        <f t="shared" ca="1" si="14"/>
        <v>Andrés Cubas</v>
      </c>
    </row>
    <row r="199" spans="1:23">
      <c r="A199" s="1" t="str">
        <f ca="1">IFERROR(__xludf.DUMMYFUNCTION("""COMPUTED_VALUE"""),"Mauricio")</f>
        <v>Mauricio</v>
      </c>
      <c r="B199" s="1" t="str">
        <f ca="1">IFERROR(__xludf.DUMMYFUNCTION("""COMPUTED_VALUE"""),"Cuevas")</f>
        <v>Cuevas</v>
      </c>
      <c r="C199" s="1" t="str">
        <f ca="1">IFERROR(__xludf.DUMMYFUNCTION("""COMPUTED_VALUE"""),"LA Galaxy")</f>
        <v>LA Galaxy</v>
      </c>
      <c r="D199" s="1" t="str">
        <f ca="1">IFERROR(__xludf.DUMMYFUNCTION("""COMPUTED_VALUE"""),"Right-back")</f>
        <v>Right-back</v>
      </c>
      <c r="E199" s="2">
        <f ca="1">IFERROR(__xludf.DUMMYFUNCTION("""COMPUTED_VALUE"""),125000)</f>
        <v>125000</v>
      </c>
      <c r="F199" s="2">
        <f ca="1">IFERROR(__xludf.DUMMYFUNCTION("""COMPUTED_VALUE"""),143500)</f>
        <v>143500</v>
      </c>
      <c r="H199" s="1" t="str">
        <f t="shared" ca="1" si="0"/>
        <v>Right-back</v>
      </c>
      <c r="I199" s="3" t="str">
        <f t="shared" ca="1" si="1"/>
        <v>Right-back</v>
      </c>
      <c r="J199" s="1" t="str">
        <f t="shared" ca="1" si="2"/>
        <v>D</v>
      </c>
      <c r="K199" s="1" t="str">
        <f t="shared" ca="1" si="15"/>
        <v>D</v>
      </c>
      <c r="L199" s="1" t="str">
        <f t="shared" ca="1" si="3"/>
        <v>D</v>
      </c>
      <c r="M199" s="1" t="str">
        <f t="shared" ca="1" si="4"/>
        <v>D</v>
      </c>
      <c r="N199" s="1" t="str">
        <f t="shared" ca="1" si="5"/>
        <v>D</v>
      </c>
      <c r="O199" s="1" t="str">
        <f t="shared" ca="1" si="6"/>
        <v>D</v>
      </c>
      <c r="P199" s="1" t="str">
        <f t="shared" ca="1" si="7"/>
        <v>D</v>
      </c>
      <c r="Q199" s="1" t="str">
        <f t="shared" ca="1" si="8"/>
        <v>D</v>
      </c>
      <c r="R199" s="1" t="str">
        <f t="shared" ca="1" si="9"/>
        <v>D</v>
      </c>
      <c r="S199" s="1" t="str">
        <f t="shared" ca="1" si="10"/>
        <v>D</v>
      </c>
      <c r="T199" s="1" t="str">
        <f t="shared" ca="1" si="11"/>
        <v>D</v>
      </c>
      <c r="U199" s="1" t="str">
        <f t="shared" ca="1" si="12"/>
        <v>D</v>
      </c>
      <c r="V199" s="1" t="str">
        <f t="shared" ca="1" si="13"/>
        <v>D</v>
      </c>
      <c r="W199" s="1" t="str">
        <f t="shared" ca="1" si="14"/>
        <v>Mauricio Cuevas</v>
      </c>
    </row>
    <row r="200" spans="1:23">
      <c r="A200" s="1" t="str">
        <f ca="1">IFERROR(__xludf.DUMMYFUNCTION("""COMPUTED_VALUE"""),"Hugo")</f>
        <v>Hugo</v>
      </c>
      <c r="B200" s="1" t="str">
        <f ca="1">IFERROR(__xludf.DUMMYFUNCTION("""COMPUTED_VALUE"""),"Cuypers")</f>
        <v>Cuypers</v>
      </c>
      <c r="C200" s="1" t="str">
        <f ca="1">IFERROR(__xludf.DUMMYFUNCTION("""COMPUTED_VALUE"""),"Chicago Fire")</f>
        <v>Chicago Fire</v>
      </c>
      <c r="D200" s="1" t="str">
        <f ca="1">IFERROR(__xludf.DUMMYFUNCTION("""COMPUTED_VALUE"""),"Center Forward")</f>
        <v>Center Forward</v>
      </c>
      <c r="E200" s="2">
        <f ca="1">IFERROR(__xludf.DUMMYFUNCTION("""COMPUTED_VALUE"""),3238000)</f>
        <v>3238000</v>
      </c>
      <c r="F200" s="2">
        <f ca="1">IFERROR(__xludf.DUMMYFUNCTION("""COMPUTED_VALUE"""),3528044)</f>
        <v>3528044</v>
      </c>
      <c r="H200" s="1" t="str">
        <f t="shared" ca="1" si="0"/>
        <v>Center Forward</v>
      </c>
      <c r="I200" s="3" t="str">
        <f t="shared" ca="1" si="1"/>
        <v>Center Forward</v>
      </c>
      <c r="J200" s="1" t="str">
        <f t="shared" ca="1" si="2"/>
        <v>Center Forward</v>
      </c>
      <c r="K200" s="1" t="str">
        <f t="shared" ca="1" si="15"/>
        <v>Center Forward</v>
      </c>
      <c r="L200" s="1" t="str">
        <f t="shared" ca="1" si="3"/>
        <v>Center Forward</v>
      </c>
      <c r="M200" s="1" t="str">
        <f t="shared" ca="1" si="4"/>
        <v>Center Forward</v>
      </c>
      <c r="N200" s="1" t="str">
        <f t="shared" ca="1" si="5"/>
        <v>Center Forward</v>
      </c>
      <c r="O200" s="1" t="str">
        <f t="shared" ca="1" si="6"/>
        <v>F</v>
      </c>
      <c r="P200" s="1" t="str">
        <f t="shared" ca="1" si="7"/>
        <v>F</v>
      </c>
      <c r="Q200" s="1" t="str">
        <f t="shared" ca="1" si="8"/>
        <v>F</v>
      </c>
      <c r="R200" s="1" t="str">
        <f t="shared" ca="1" si="9"/>
        <v>F</v>
      </c>
      <c r="S200" s="1" t="str">
        <f t="shared" ca="1" si="10"/>
        <v>F</v>
      </c>
      <c r="T200" s="1" t="str">
        <f t="shared" ca="1" si="11"/>
        <v>F</v>
      </c>
      <c r="U200" s="1" t="str">
        <f t="shared" ca="1" si="12"/>
        <v>F</v>
      </c>
      <c r="V200" s="1" t="str">
        <f t="shared" ca="1" si="13"/>
        <v>F</v>
      </c>
      <c r="W200" s="1" t="str">
        <f t="shared" ca="1" si="14"/>
        <v>Hugo Cuypers</v>
      </c>
    </row>
    <row r="201" spans="1:23">
      <c r="A201" s="1" t="str">
        <f ca="1">IFERROR(__xludf.DUMMYFUNCTION("""COMPUTED_VALUE"""),"Rafael")</f>
        <v>Rafael</v>
      </c>
      <c r="B201" s="1" t="str">
        <f ca="1">IFERROR(__xludf.DUMMYFUNCTION("""COMPUTED_VALUE"""),"Czichos")</f>
        <v>Czichos</v>
      </c>
      <c r="C201" s="1" t="str">
        <f ca="1">IFERROR(__xludf.DUMMYFUNCTION("""COMPUTED_VALUE"""),"Chicago Fire")</f>
        <v>Chicago Fire</v>
      </c>
      <c r="D201" s="1" t="str">
        <f ca="1">IFERROR(__xludf.DUMMYFUNCTION("""COMPUTED_VALUE"""),"Center-back")</f>
        <v>Center-back</v>
      </c>
      <c r="E201" s="2">
        <f ca="1">IFERROR(__xludf.DUMMYFUNCTION("""COMPUTED_VALUE"""),1300000)</f>
        <v>1300000</v>
      </c>
      <c r="F201" s="2">
        <f ca="1">IFERROR(__xludf.DUMMYFUNCTION("""COMPUTED_VALUE"""),1336667)</f>
        <v>1336667</v>
      </c>
      <c r="H201" s="1" t="str">
        <f t="shared" ca="1" si="0"/>
        <v>D</v>
      </c>
      <c r="I201" s="3" t="str">
        <f t="shared" ca="1" si="1"/>
        <v>D</v>
      </c>
      <c r="J201" s="1" t="str">
        <f t="shared" ca="1" si="2"/>
        <v>D</v>
      </c>
      <c r="K201" s="1" t="str">
        <f t="shared" ca="1" si="15"/>
        <v>D</v>
      </c>
      <c r="L201" s="1" t="str">
        <f t="shared" ca="1" si="3"/>
        <v>D</v>
      </c>
      <c r="M201" s="1" t="str">
        <f t="shared" ca="1" si="4"/>
        <v>D</v>
      </c>
      <c r="N201" s="1" t="str">
        <f t="shared" ca="1" si="5"/>
        <v>D</v>
      </c>
      <c r="O201" s="1" t="str">
        <f t="shared" ca="1" si="6"/>
        <v>D</v>
      </c>
      <c r="P201" s="1" t="str">
        <f t="shared" ca="1" si="7"/>
        <v>D</v>
      </c>
      <c r="Q201" s="1" t="str">
        <f t="shared" ca="1" si="8"/>
        <v>D</v>
      </c>
      <c r="R201" s="1" t="str">
        <f t="shared" ca="1" si="9"/>
        <v>D</v>
      </c>
      <c r="S201" s="1" t="str">
        <f t="shared" ca="1" si="10"/>
        <v>D</v>
      </c>
      <c r="T201" s="1" t="str">
        <f t="shared" ca="1" si="11"/>
        <v>D</v>
      </c>
      <c r="U201" s="1" t="str">
        <f t="shared" ca="1" si="12"/>
        <v>D</v>
      </c>
      <c r="V201" s="1" t="str">
        <f t="shared" ca="1" si="13"/>
        <v>D</v>
      </c>
      <c r="W201" s="1" t="str">
        <f t="shared" ca="1" si="14"/>
        <v>Rafael Czichos</v>
      </c>
    </row>
    <row r="202" spans="1:23">
      <c r="A202" s="1" t="str">
        <f ca="1">IFERROR(__xludf.DUMMYFUNCTION("""COMPUTED_VALUE"""),"Evander")</f>
        <v>Evander</v>
      </c>
      <c r="B202" s="1" t="str">
        <f ca="1">IFERROR(__xludf.DUMMYFUNCTION("""COMPUTED_VALUE"""),"da Silva Ferreira")</f>
        <v>da Silva Ferreira</v>
      </c>
      <c r="C202" s="1" t="str">
        <f ca="1">IFERROR(__xludf.DUMMYFUNCTION("""COMPUTED_VALUE"""),"Portland Timbers")</f>
        <v>Portland Timbers</v>
      </c>
      <c r="D202" s="1" t="str">
        <f ca="1">IFERROR(__xludf.DUMMYFUNCTION("""COMPUTED_VALUE"""),"Central Midfield")</f>
        <v>Central Midfield</v>
      </c>
      <c r="E202" s="2">
        <f ca="1">IFERROR(__xludf.DUMMYFUNCTION("""COMPUTED_VALUE"""),1930000)</f>
        <v>1930000</v>
      </c>
      <c r="F202" s="2">
        <f ca="1">IFERROR(__xludf.DUMMYFUNCTION("""COMPUTED_VALUE"""),2355000)</f>
        <v>2355000</v>
      </c>
      <c r="H202" s="1" t="str">
        <f t="shared" ca="1" si="0"/>
        <v>Central Midfield</v>
      </c>
      <c r="I202" s="3" t="str">
        <f t="shared" ca="1" si="1"/>
        <v>Central Midfield</v>
      </c>
      <c r="J202" s="1" t="str">
        <f t="shared" ca="1" si="2"/>
        <v>Central Midfield</v>
      </c>
      <c r="K202" s="1" t="str">
        <f t="shared" ca="1" si="15"/>
        <v>Central Midfield</v>
      </c>
      <c r="L202" s="1" t="str">
        <f t="shared" ca="1" si="3"/>
        <v>M</v>
      </c>
      <c r="M202" s="1" t="str">
        <f t="shared" ca="1" si="4"/>
        <v>M</v>
      </c>
      <c r="N202" s="1" t="str">
        <f t="shared" ca="1" si="5"/>
        <v>M</v>
      </c>
      <c r="O202" s="1" t="str">
        <f t="shared" ca="1" si="6"/>
        <v>M</v>
      </c>
      <c r="P202" s="1" t="str">
        <f t="shared" ca="1" si="7"/>
        <v>M</v>
      </c>
      <c r="Q202" s="1" t="str">
        <f t="shared" ca="1" si="8"/>
        <v>M</v>
      </c>
      <c r="R202" s="1" t="str">
        <f t="shared" ca="1" si="9"/>
        <v>M</v>
      </c>
      <c r="S202" s="1" t="str">
        <f t="shared" ca="1" si="10"/>
        <v>M</v>
      </c>
      <c r="T202" s="1" t="str">
        <f t="shared" ca="1" si="11"/>
        <v>M</v>
      </c>
      <c r="U202" s="1" t="str">
        <f t="shared" ca="1" si="12"/>
        <v>M</v>
      </c>
      <c r="V202" s="1" t="str">
        <f t="shared" ca="1" si="13"/>
        <v>M</v>
      </c>
      <c r="W202" s="1" t="str">
        <f t="shared" ca="1" si="14"/>
        <v>Evander da Silva Ferreira</v>
      </c>
    </row>
    <row r="203" spans="1:23">
      <c r="A203" s="1" t="str">
        <f ca="1">IFERROR(__xludf.DUMMYFUNCTION("""COMPUTED_VALUE"""),"Guilherme")</f>
        <v>Guilherme</v>
      </c>
      <c r="B203" s="1" t="str">
        <f ca="1">IFERROR(__xludf.DUMMYFUNCTION("""COMPUTED_VALUE"""),"da Trindade Dubas")</f>
        <v>da Trindade Dubas</v>
      </c>
      <c r="C203" s="1" t="str">
        <f ca="1">IFERROR(__xludf.DUMMYFUNCTION("""COMPUTED_VALUE"""),"Austin FC")</f>
        <v>Austin FC</v>
      </c>
      <c r="D203" s="1" t="str">
        <f ca="1">IFERROR(__xludf.DUMMYFUNCTION("""COMPUTED_VALUE"""),"Left-back")</f>
        <v>Left-back</v>
      </c>
      <c r="E203" s="2">
        <f ca="1">IFERROR(__xludf.DUMMYFUNCTION("""COMPUTED_VALUE"""),200000)</f>
        <v>200000</v>
      </c>
      <c r="F203" s="2">
        <f ca="1">IFERROR(__xludf.DUMMYFUNCTION("""COMPUTED_VALUE"""),200000)</f>
        <v>200000</v>
      </c>
      <c r="H203" s="1" t="str">
        <f t="shared" ca="1" si="0"/>
        <v>Left-back</v>
      </c>
      <c r="I203" s="3" t="str">
        <f t="shared" ca="1" si="1"/>
        <v>D</v>
      </c>
      <c r="J203" s="1" t="str">
        <f t="shared" ca="1" si="2"/>
        <v>D</v>
      </c>
      <c r="K203" s="1" t="str">
        <f t="shared" ca="1" si="15"/>
        <v>D</v>
      </c>
      <c r="L203" s="1" t="str">
        <f t="shared" ca="1" si="3"/>
        <v>D</v>
      </c>
      <c r="M203" s="1" t="str">
        <f t="shared" ca="1" si="4"/>
        <v>D</v>
      </c>
      <c r="N203" s="1" t="str">
        <f t="shared" ca="1" si="5"/>
        <v>D</v>
      </c>
      <c r="O203" s="1" t="str">
        <f t="shared" ca="1" si="6"/>
        <v>D</v>
      </c>
      <c r="P203" s="1" t="str">
        <f t="shared" ca="1" si="7"/>
        <v>D</v>
      </c>
      <c r="Q203" s="1" t="str">
        <f t="shared" ca="1" si="8"/>
        <v>D</v>
      </c>
      <c r="R203" s="1" t="str">
        <f t="shared" ca="1" si="9"/>
        <v>D</v>
      </c>
      <c r="S203" s="1" t="str">
        <f t="shared" ca="1" si="10"/>
        <v>D</v>
      </c>
      <c r="T203" s="1" t="str">
        <f t="shared" ca="1" si="11"/>
        <v>D</v>
      </c>
      <c r="U203" s="1" t="str">
        <f t="shared" ca="1" si="12"/>
        <v>D</v>
      </c>
      <c r="V203" s="1" t="str">
        <f t="shared" ca="1" si="13"/>
        <v>D</v>
      </c>
      <c r="W203" s="1" t="str">
        <f t="shared" ca="1" si="14"/>
        <v>Guilherme da Trindade Dubas</v>
      </c>
    </row>
    <row r="204" spans="1:23">
      <c r="A204" s="1" t="str">
        <f ca="1">IFERROR(__xludf.DUMMYFUNCTION("""COMPUTED_VALUE"""),"Cristian")</f>
        <v>Cristian</v>
      </c>
      <c r="B204" s="1" t="str">
        <f ca="1">IFERROR(__xludf.DUMMYFUNCTION("""COMPUTED_VALUE"""),"Dájome")</f>
        <v>Dájome</v>
      </c>
      <c r="C204" s="1" t="str">
        <f ca="1">IFERROR(__xludf.DUMMYFUNCTION("""COMPUTED_VALUE"""),"DC United")</f>
        <v>DC United</v>
      </c>
      <c r="D204" s="1" t="str">
        <f ca="1">IFERROR(__xludf.DUMMYFUNCTION("""COMPUTED_VALUE"""),"Left Wing")</f>
        <v>Left Wing</v>
      </c>
      <c r="E204" s="2">
        <f ca="1">IFERROR(__xludf.DUMMYFUNCTION("""COMPUTED_VALUE"""),900000)</f>
        <v>900000</v>
      </c>
      <c r="F204" s="2">
        <f ca="1">IFERROR(__xludf.DUMMYFUNCTION("""COMPUTED_VALUE"""),965625)</f>
        <v>965625</v>
      </c>
      <c r="H204" s="1" t="str">
        <f t="shared" ca="1" si="0"/>
        <v>Left Wing</v>
      </c>
      <c r="I204" s="3" t="str">
        <f t="shared" ca="1" si="1"/>
        <v>Left Wing</v>
      </c>
      <c r="J204" s="1" t="str">
        <f t="shared" ca="1" si="2"/>
        <v>Left Wing</v>
      </c>
      <c r="K204" s="1" t="str">
        <f t="shared" ca="1" si="15"/>
        <v>Left Wing</v>
      </c>
      <c r="L204" s="1" t="str">
        <f t="shared" ca="1" si="3"/>
        <v>Left Wing</v>
      </c>
      <c r="M204" s="1" t="str">
        <f t="shared" ca="1" si="4"/>
        <v>Left Wing</v>
      </c>
      <c r="N204" s="1" t="str">
        <f t="shared" ca="1" si="5"/>
        <v>Left Wing</v>
      </c>
      <c r="O204" s="1" t="str">
        <f t="shared" ca="1" si="6"/>
        <v>Left Wing</v>
      </c>
      <c r="P204" s="1" t="str">
        <f t="shared" ca="1" si="7"/>
        <v>F</v>
      </c>
      <c r="Q204" s="1" t="str">
        <f t="shared" ca="1" si="8"/>
        <v>F</v>
      </c>
      <c r="R204" s="1" t="str">
        <f t="shared" ca="1" si="9"/>
        <v>F</v>
      </c>
      <c r="S204" s="1" t="str">
        <f t="shared" ca="1" si="10"/>
        <v>F</v>
      </c>
      <c r="T204" s="1" t="str">
        <f t="shared" ca="1" si="11"/>
        <v>F</v>
      </c>
      <c r="U204" s="1" t="str">
        <f t="shared" ca="1" si="12"/>
        <v>F</v>
      </c>
      <c r="V204" s="1" t="str">
        <f t="shared" ca="1" si="13"/>
        <v>F</v>
      </c>
      <c r="W204" s="1" t="str">
        <f t="shared" ca="1" si="14"/>
        <v>Cristian Dájome</v>
      </c>
    </row>
    <row r="205" spans="1:23">
      <c r="A205" s="1" t="str">
        <f ca="1">IFERROR(__xludf.DUMMYFUNCTION("""COMPUTED_VALUE"""),"Bajung")</f>
        <v>Bajung</v>
      </c>
      <c r="B205" s="1" t="str">
        <f ca="1">IFERROR(__xludf.DUMMYFUNCTION("""COMPUTED_VALUE"""),"Darboe")</f>
        <v>Darboe</v>
      </c>
      <c r="C205" s="1" t="str">
        <f ca="1">IFERROR(__xludf.DUMMYFUNCTION("""COMPUTED_VALUE"""),"LAFC")</f>
        <v>LAFC</v>
      </c>
      <c r="D205" s="1" t="str">
        <f ca="1">IFERROR(__xludf.DUMMYFUNCTION("""COMPUTED_VALUE"""),"Left Wing")</f>
        <v>Left Wing</v>
      </c>
      <c r="E205" s="2">
        <f ca="1">IFERROR(__xludf.DUMMYFUNCTION("""COMPUTED_VALUE"""),71401)</f>
        <v>71401</v>
      </c>
      <c r="F205" s="2">
        <f ca="1">IFERROR(__xludf.DUMMYFUNCTION("""COMPUTED_VALUE"""),83781)</f>
        <v>83781</v>
      </c>
      <c r="H205" s="1" t="str">
        <f t="shared" ca="1" si="0"/>
        <v>Left Wing</v>
      </c>
      <c r="I205" s="3" t="str">
        <f t="shared" ca="1" si="1"/>
        <v>Left Wing</v>
      </c>
      <c r="J205" s="1" t="str">
        <f t="shared" ca="1" si="2"/>
        <v>Left Wing</v>
      </c>
      <c r="K205" s="1" t="str">
        <f t="shared" ca="1" si="15"/>
        <v>Left Wing</v>
      </c>
      <c r="L205" s="1" t="str">
        <f t="shared" ca="1" si="3"/>
        <v>Left Wing</v>
      </c>
      <c r="M205" s="1" t="str">
        <f t="shared" ca="1" si="4"/>
        <v>Left Wing</v>
      </c>
      <c r="N205" s="1" t="str">
        <f t="shared" ca="1" si="5"/>
        <v>Left Wing</v>
      </c>
      <c r="O205" s="1" t="str">
        <f t="shared" ca="1" si="6"/>
        <v>Left Wing</v>
      </c>
      <c r="P205" s="1" t="str">
        <f t="shared" ca="1" si="7"/>
        <v>F</v>
      </c>
      <c r="Q205" s="1" t="str">
        <f t="shared" ca="1" si="8"/>
        <v>F</v>
      </c>
      <c r="R205" s="1" t="str">
        <f t="shared" ca="1" si="9"/>
        <v>F</v>
      </c>
      <c r="S205" s="1" t="str">
        <f t="shared" ca="1" si="10"/>
        <v>F</v>
      </c>
      <c r="T205" s="1" t="str">
        <f t="shared" ca="1" si="11"/>
        <v>F</v>
      </c>
      <c r="U205" s="1" t="str">
        <f t="shared" ca="1" si="12"/>
        <v>F</v>
      </c>
      <c r="V205" s="1" t="str">
        <f t="shared" ca="1" si="13"/>
        <v>F</v>
      </c>
      <c r="W205" s="1" t="str">
        <f t="shared" ca="1" si="14"/>
        <v>Bajung Darboe</v>
      </c>
    </row>
    <row r="206" spans="1:23">
      <c r="A206" s="1" t="str">
        <f ca="1">IFERROR(__xludf.DUMMYFUNCTION("""COMPUTED_VALUE"""),"Sean")</f>
        <v>Sean</v>
      </c>
      <c r="B206" s="1" t="str">
        <f ca="1">IFERROR(__xludf.DUMMYFUNCTION("""COMPUTED_VALUE"""),"Davis")</f>
        <v>Davis</v>
      </c>
      <c r="C206" s="1" t="str">
        <f ca="1">IFERROR(__xludf.DUMMYFUNCTION("""COMPUTED_VALUE"""),"Nashville SC")</f>
        <v>Nashville SC</v>
      </c>
      <c r="D206" s="1" t="str">
        <f ca="1">IFERROR(__xludf.DUMMYFUNCTION("""COMPUTED_VALUE"""),"Central Midfield")</f>
        <v>Central Midfield</v>
      </c>
      <c r="E206" s="2">
        <f ca="1">IFERROR(__xludf.DUMMYFUNCTION("""COMPUTED_VALUE"""),910000)</f>
        <v>910000</v>
      </c>
      <c r="F206" s="2">
        <f ca="1">IFERROR(__xludf.DUMMYFUNCTION("""COMPUTED_VALUE"""),1024000)</f>
        <v>1024000</v>
      </c>
      <c r="H206" s="1" t="str">
        <f t="shared" ca="1" si="0"/>
        <v>Central Midfield</v>
      </c>
      <c r="I206" s="3" t="str">
        <f t="shared" ca="1" si="1"/>
        <v>Central Midfield</v>
      </c>
      <c r="J206" s="1" t="str">
        <f t="shared" ca="1" si="2"/>
        <v>Central Midfield</v>
      </c>
      <c r="K206" s="1" t="str">
        <f t="shared" ca="1" si="15"/>
        <v>Central Midfield</v>
      </c>
      <c r="L206" s="1" t="str">
        <f t="shared" ca="1" si="3"/>
        <v>M</v>
      </c>
      <c r="M206" s="1" t="str">
        <f t="shared" ca="1" si="4"/>
        <v>M</v>
      </c>
      <c r="N206" s="1" t="str">
        <f t="shared" ca="1" si="5"/>
        <v>M</v>
      </c>
      <c r="O206" s="1" t="str">
        <f t="shared" ca="1" si="6"/>
        <v>M</v>
      </c>
      <c r="P206" s="1" t="str">
        <f t="shared" ca="1" si="7"/>
        <v>M</v>
      </c>
      <c r="Q206" s="1" t="str">
        <f t="shared" ca="1" si="8"/>
        <v>M</v>
      </c>
      <c r="R206" s="1" t="str">
        <f t="shared" ca="1" si="9"/>
        <v>M</v>
      </c>
      <c r="S206" s="1" t="str">
        <f t="shared" ca="1" si="10"/>
        <v>M</v>
      </c>
      <c r="T206" s="1" t="str">
        <f t="shared" ca="1" si="11"/>
        <v>M</v>
      </c>
      <c r="U206" s="1" t="str">
        <f t="shared" ca="1" si="12"/>
        <v>M</v>
      </c>
      <c r="V206" s="1" t="str">
        <f t="shared" ca="1" si="13"/>
        <v>M</v>
      </c>
      <c r="W206" s="1" t="str">
        <f t="shared" ca="1" si="14"/>
        <v>Sean Davis</v>
      </c>
    </row>
    <row r="207" spans="1:23">
      <c r="A207" s="1" t="str">
        <f ca="1">IFERROR(__xludf.DUMMYFUNCTION("""COMPUTED_VALUE"""),"Jake")</f>
        <v>Jake</v>
      </c>
      <c r="B207" s="1" t="str">
        <f ca="1">IFERROR(__xludf.DUMMYFUNCTION("""COMPUTED_VALUE"""),"Davis")</f>
        <v>Davis</v>
      </c>
      <c r="C207" s="1" t="str">
        <f ca="1">IFERROR(__xludf.DUMMYFUNCTION("""COMPUTED_VALUE"""),"Sporting Kansas City")</f>
        <v>Sporting Kansas City</v>
      </c>
      <c r="D207" s="1" t="str">
        <f ca="1">IFERROR(__xludf.DUMMYFUNCTION("""COMPUTED_VALUE"""),"Right-back")</f>
        <v>Right-back</v>
      </c>
      <c r="E207" s="2">
        <f ca="1">IFERROR(__xludf.DUMMYFUNCTION("""COMPUTED_VALUE"""),120000)</f>
        <v>120000</v>
      </c>
      <c r="F207" s="2">
        <f ca="1">IFERROR(__xludf.DUMMYFUNCTION("""COMPUTED_VALUE"""),120000)</f>
        <v>120000</v>
      </c>
      <c r="H207" s="1" t="str">
        <f t="shared" ca="1" si="0"/>
        <v>Right-back</v>
      </c>
      <c r="I207" s="3" t="str">
        <f t="shared" ca="1" si="1"/>
        <v>Right-back</v>
      </c>
      <c r="J207" s="1" t="str">
        <f t="shared" ca="1" si="2"/>
        <v>D</v>
      </c>
      <c r="K207" s="1" t="str">
        <f t="shared" ca="1" si="15"/>
        <v>D</v>
      </c>
      <c r="L207" s="1" t="str">
        <f t="shared" ca="1" si="3"/>
        <v>D</v>
      </c>
      <c r="M207" s="1" t="str">
        <f t="shared" ca="1" si="4"/>
        <v>D</v>
      </c>
      <c r="N207" s="1" t="str">
        <f t="shared" ca="1" si="5"/>
        <v>D</v>
      </c>
      <c r="O207" s="1" t="str">
        <f t="shared" ca="1" si="6"/>
        <v>D</v>
      </c>
      <c r="P207" s="1" t="str">
        <f t="shared" ca="1" si="7"/>
        <v>D</v>
      </c>
      <c r="Q207" s="1" t="str">
        <f t="shared" ca="1" si="8"/>
        <v>D</v>
      </c>
      <c r="R207" s="1" t="str">
        <f t="shared" ca="1" si="9"/>
        <v>D</v>
      </c>
      <c r="S207" s="1" t="str">
        <f t="shared" ca="1" si="10"/>
        <v>D</v>
      </c>
      <c r="T207" s="1" t="str">
        <f t="shared" ca="1" si="11"/>
        <v>D</v>
      </c>
      <c r="U207" s="1" t="str">
        <f t="shared" ca="1" si="12"/>
        <v>D</v>
      </c>
      <c r="V207" s="1" t="str">
        <f t="shared" ca="1" si="13"/>
        <v>D</v>
      </c>
      <c r="W207" s="1" t="str">
        <f t="shared" ca="1" si="14"/>
        <v>Jake Davis</v>
      </c>
    </row>
    <row r="208" spans="1:23">
      <c r="A208" s="1" t="str">
        <f ca="1">IFERROR(__xludf.DUMMYFUNCTION("""COMPUTED_VALUE"""),"Ocimar")</f>
        <v>Ocimar</v>
      </c>
      <c r="B208" s="1" t="str">
        <f ca="1">IFERROR(__xludf.DUMMYFUNCTION("""COMPUTED_VALUE"""),"de Almeida Júnior")</f>
        <v>de Almeida Júnior</v>
      </c>
      <c r="C208" s="1" t="str">
        <f ca="1">IFERROR(__xludf.DUMMYFUNCTION("""COMPUTED_VALUE"""),"Charlotte FC")</f>
        <v>Charlotte FC</v>
      </c>
      <c r="D208" s="1" t="str">
        <f ca="1">IFERROR(__xludf.DUMMYFUNCTION("""COMPUTED_VALUE"""),"Central Midfield")</f>
        <v>Central Midfield</v>
      </c>
      <c r="E208" s="2">
        <f ca="1">IFERROR(__xludf.DUMMYFUNCTION("""COMPUTED_VALUE"""),250000)</f>
        <v>250000</v>
      </c>
      <c r="F208" s="2">
        <f ca="1">IFERROR(__xludf.DUMMYFUNCTION("""COMPUTED_VALUE"""),292500)</f>
        <v>292500</v>
      </c>
      <c r="H208" s="1" t="str">
        <f t="shared" ca="1" si="0"/>
        <v>Central Midfield</v>
      </c>
      <c r="I208" s="3" t="str">
        <f t="shared" ca="1" si="1"/>
        <v>Central Midfield</v>
      </c>
      <c r="J208" s="1" t="str">
        <f t="shared" ca="1" si="2"/>
        <v>Central Midfield</v>
      </c>
      <c r="K208" s="1" t="str">
        <f t="shared" ca="1" si="15"/>
        <v>Central Midfield</v>
      </c>
      <c r="L208" s="1" t="str">
        <f t="shared" ca="1" si="3"/>
        <v>M</v>
      </c>
      <c r="M208" s="1" t="str">
        <f t="shared" ca="1" si="4"/>
        <v>M</v>
      </c>
      <c r="N208" s="1" t="str">
        <f t="shared" ca="1" si="5"/>
        <v>M</v>
      </c>
      <c r="O208" s="1" t="str">
        <f t="shared" ca="1" si="6"/>
        <v>M</v>
      </c>
      <c r="P208" s="1" t="str">
        <f t="shared" ca="1" si="7"/>
        <v>M</v>
      </c>
      <c r="Q208" s="1" t="str">
        <f t="shared" ca="1" si="8"/>
        <v>M</v>
      </c>
      <c r="R208" s="1" t="str">
        <f t="shared" ca="1" si="9"/>
        <v>M</v>
      </c>
      <c r="S208" s="1" t="str">
        <f t="shared" ca="1" si="10"/>
        <v>M</v>
      </c>
      <c r="T208" s="1" t="str">
        <f t="shared" ca="1" si="11"/>
        <v>M</v>
      </c>
      <c r="U208" s="1" t="str">
        <f t="shared" ca="1" si="12"/>
        <v>M</v>
      </c>
      <c r="V208" s="1" t="str">
        <f t="shared" ca="1" si="13"/>
        <v>M</v>
      </c>
      <c r="W208" s="1" t="str">
        <f t="shared" ca="1" si="14"/>
        <v>Ocimar de Almeida Júnior</v>
      </c>
    </row>
    <row r="209" spans="1:23">
      <c r="A209" s="1" t="str">
        <f ca="1">IFERROR(__xludf.DUMMYFUNCTION("""COMPUTED_VALUE"""),"Thiago Eduardo")</f>
        <v>Thiago Eduardo</v>
      </c>
      <c r="B209" s="1" t="str">
        <f ca="1">IFERROR(__xludf.DUMMYFUNCTION("""COMPUTED_VALUE"""),"de Andrade")</f>
        <v>de Andrade</v>
      </c>
      <c r="C209" s="1" t="str">
        <f ca="1">IFERROR(__xludf.DUMMYFUNCTION("""COMPUTED_VALUE"""),"New York City FC")</f>
        <v>New York City FC</v>
      </c>
      <c r="D209" s="1" t="str">
        <f ca="1">IFERROR(__xludf.DUMMYFUNCTION("""COMPUTED_VALUE"""),"Left Wing")</f>
        <v>Left Wing</v>
      </c>
      <c r="E209" s="2">
        <f ca="1">IFERROR(__xludf.DUMMYFUNCTION("""COMPUTED_VALUE"""),200000)</f>
        <v>200000</v>
      </c>
      <c r="F209" s="2">
        <f ca="1">IFERROR(__xludf.DUMMYFUNCTION("""COMPUTED_VALUE"""),219600)</f>
        <v>219600</v>
      </c>
      <c r="H209" s="1" t="str">
        <f t="shared" ca="1" si="0"/>
        <v>Left Wing</v>
      </c>
      <c r="I209" s="3" t="str">
        <f t="shared" ca="1" si="1"/>
        <v>Left Wing</v>
      </c>
      <c r="J209" s="1" t="str">
        <f t="shared" ca="1" si="2"/>
        <v>Left Wing</v>
      </c>
      <c r="K209" s="1" t="str">
        <f t="shared" ca="1" si="15"/>
        <v>Left Wing</v>
      </c>
      <c r="L209" s="1" t="str">
        <f t="shared" ca="1" si="3"/>
        <v>Left Wing</v>
      </c>
      <c r="M209" s="1" t="str">
        <f t="shared" ca="1" si="4"/>
        <v>Left Wing</v>
      </c>
      <c r="N209" s="1" t="str">
        <f t="shared" ca="1" si="5"/>
        <v>Left Wing</v>
      </c>
      <c r="O209" s="1" t="str">
        <f t="shared" ca="1" si="6"/>
        <v>Left Wing</v>
      </c>
      <c r="P209" s="1" t="str">
        <f t="shared" ca="1" si="7"/>
        <v>F</v>
      </c>
      <c r="Q209" s="1" t="str">
        <f t="shared" ca="1" si="8"/>
        <v>F</v>
      </c>
      <c r="R209" s="1" t="str">
        <f t="shared" ca="1" si="9"/>
        <v>F</v>
      </c>
      <c r="S209" s="1" t="str">
        <f t="shared" ca="1" si="10"/>
        <v>F</v>
      </c>
      <c r="T209" s="1" t="str">
        <f t="shared" ca="1" si="11"/>
        <v>F</v>
      </c>
      <c r="U209" s="1" t="str">
        <f t="shared" ca="1" si="12"/>
        <v>F</v>
      </c>
      <c r="V209" s="1" t="str">
        <f t="shared" ca="1" si="13"/>
        <v>F</v>
      </c>
      <c r="W209" s="1" t="str">
        <f t="shared" ca="1" si="14"/>
        <v>Thiago Eduardo de Andrade</v>
      </c>
    </row>
    <row r="210" spans="1:23">
      <c r="A210" s="1" t="str">
        <f ca="1">IFERROR(__xludf.DUMMYFUNCTION("""COMPUTED_VALUE"""),"Geovane")</f>
        <v>Geovane</v>
      </c>
      <c r="B210" s="1" t="str">
        <f ca="1">IFERROR(__xludf.DUMMYFUNCTION("""COMPUTED_VALUE"""),"de Jesus Rocha")</f>
        <v>de Jesus Rocha</v>
      </c>
      <c r="C210" s="1" t="str">
        <f ca="1">IFERROR(__xludf.DUMMYFUNCTION("""COMPUTED_VALUE"""),"FC Dallas")</f>
        <v>FC Dallas</v>
      </c>
      <c r="D210" s="1" t="str">
        <f ca="1">IFERROR(__xludf.DUMMYFUNCTION("""COMPUTED_VALUE"""),"Right-back")</f>
        <v>Right-back</v>
      </c>
      <c r="E210" s="2">
        <f ca="1">IFERROR(__xludf.DUMMYFUNCTION("""COMPUTED_VALUE"""),300000)</f>
        <v>300000</v>
      </c>
      <c r="F210" s="2">
        <f ca="1">IFERROR(__xludf.DUMMYFUNCTION("""COMPUTED_VALUE"""),347000)</f>
        <v>347000</v>
      </c>
      <c r="H210" s="1" t="str">
        <f t="shared" ca="1" si="0"/>
        <v>Right-back</v>
      </c>
      <c r="I210" s="3" t="str">
        <f t="shared" ca="1" si="1"/>
        <v>Right-back</v>
      </c>
      <c r="J210" s="1" t="str">
        <f t="shared" ca="1" si="2"/>
        <v>D</v>
      </c>
      <c r="K210" s="1" t="str">
        <f t="shared" ca="1" si="15"/>
        <v>D</v>
      </c>
      <c r="L210" s="1" t="str">
        <f t="shared" ca="1" si="3"/>
        <v>D</v>
      </c>
      <c r="M210" s="1" t="str">
        <f t="shared" ca="1" si="4"/>
        <v>D</v>
      </c>
      <c r="N210" s="1" t="str">
        <f t="shared" ca="1" si="5"/>
        <v>D</v>
      </c>
      <c r="O210" s="1" t="str">
        <f t="shared" ca="1" si="6"/>
        <v>D</v>
      </c>
      <c r="P210" s="1" t="str">
        <f t="shared" ca="1" si="7"/>
        <v>D</v>
      </c>
      <c r="Q210" s="1" t="str">
        <f t="shared" ca="1" si="8"/>
        <v>D</v>
      </c>
      <c r="R210" s="1" t="str">
        <f t="shared" ca="1" si="9"/>
        <v>D</v>
      </c>
      <c r="S210" s="1" t="str">
        <f t="shared" ca="1" si="10"/>
        <v>D</v>
      </c>
      <c r="T210" s="1" t="str">
        <f t="shared" ca="1" si="11"/>
        <v>D</v>
      </c>
      <c r="U210" s="1" t="str">
        <f t="shared" ca="1" si="12"/>
        <v>D</v>
      </c>
      <c r="V210" s="1" t="str">
        <f t="shared" ca="1" si="13"/>
        <v>D</v>
      </c>
      <c r="W210" s="1" t="str">
        <f t="shared" ca="1" si="14"/>
        <v>Geovane de Jesus Rocha</v>
      </c>
    </row>
    <row r="211" spans="1:23">
      <c r="A211" s="1" t="str">
        <f ca="1">IFERROR(__xludf.DUMMYFUNCTION("""COMPUTED_VALUE"""),"Pedro")</f>
        <v>Pedro</v>
      </c>
      <c r="B211" s="1" t="str">
        <f ca="1">IFERROR(__xludf.DUMMYFUNCTION("""COMPUTED_VALUE"""),"de la Vega")</f>
        <v>de la Vega</v>
      </c>
      <c r="C211" s="1" t="str">
        <f ca="1">IFERROR(__xludf.DUMMYFUNCTION("""COMPUTED_VALUE"""),"Seattle Sounders FC")</f>
        <v>Seattle Sounders FC</v>
      </c>
      <c r="D211" s="1" t="str">
        <f ca="1">IFERROR(__xludf.DUMMYFUNCTION("""COMPUTED_VALUE"""),"Right Wing")</f>
        <v>Right Wing</v>
      </c>
      <c r="E211" s="2">
        <f ca="1">IFERROR(__xludf.DUMMYFUNCTION("""COMPUTED_VALUE"""),785000)</f>
        <v>785000</v>
      </c>
      <c r="F211" s="2">
        <f ca="1">IFERROR(__xludf.DUMMYFUNCTION("""COMPUTED_VALUE"""),1164000)</f>
        <v>1164000</v>
      </c>
      <c r="H211" s="1" t="str">
        <f t="shared" ca="1" si="0"/>
        <v>Right Wing</v>
      </c>
      <c r="I211" s="3" t="str">
        <f t="shared" ca="1" si="1"/>
        <v>Right Wing</v>
      </c>
      <c r="J211" s="1" t="str">
        <f t="shared" ca="1" si="2"/>
        <v>Right Wing</v>
      </c>
      <c r="K211" s="1" t="str">
        <f t="shared" ca="1" si="15"/>
        <v>Right Wing</v>
      </c>
      <c r="L211" s="1" t="str">
        <f t="shared" ca="1" si="3"/>
        <v>Right Wing</v>
      </c>
      <c r="M211" s="1" t="str">
        <f t="shared" ca="1" si="4"/>
        <v>Right Wing</v>
      </c>
      <c r="N211" s="1" t="str">
        <f t="shared" ca="1" si="5"/>
        <v>F</v>
      </c>
      <c r="O211" s="1" t="str">
        <f t="shared" ca="1" si="6"/>
        <v>F</v>
      </c>
      <c r="P211" s="1" t="str">
        <f t="shared" ca="1" si="7"/>
        <v>F</v>
      </c>
      <c r="Q211" s="1" t="str">
        <f t="shared" ca="1" si="8"/>
        <v>F</v>
      </c>
      <c r="R211" s="1" t="str">
        <f t="shared" ca="1" si="9"/>
        <v>F</v>
      </c>
      <c r="S211" s="1" t="str">
        <f t="shared" ca="1" si="10"/>
        <v>F</v>
      </c>
      <c r="T211" s="1" t="str">
        <f t="shared" ca="1" si="11"/>
        <v>F</v>
      </c>
      <c r="U211" s="1" t="str">
        <f t="shared" ca="1" si="12"/>
        <v>F</v>
      </c>
      <c r="V211" s="1" t="str">
        <f t="shared" ca="1" si="13"/>
        <v>F</v>
      </c>
      <c r="W211" s="1" t="str">
        <f t="shared" ca="1" si="14"/>
        <v>Pedro de la Vega</v>
      </c>
    </row>
    <row r="212" spans="1:23">
      <c r="A212" s="1" t="str">
        <f ca="1">IFERROR(__xludf.DUMMYFUNCTION("""COMPUTED_VALUE"""),"José Artur")</f>
        <v>José Artur</v>
      </c>
      <c r="B212" s="1" t="str">
        <f ca="1">IFERROR(__xludf.DUMMYFUNCTION("""COMPUTED_VALUE"""),"de Lima Júnior")</f>
        <v>de Lima Júnior</v>
      </c>
      <c r="C212" s="1" t="str">
        <f ca="1">IFERROR(__xludf.DUMMYFUNCTION("""COMPUTED_VALUE"""),"Houston Dynamo")</f>
        <v>Houston Dynamo</v>
      </c>
      <c r="D212" s="1" t="str">
        <f ca="1">IFERROR(__xludf.DUMMYFUNCTION("""COMPUTED_VALUE"""),"Defensive Midfield")</f>
        <v>Defensive Midfield</v>
      </c>
      <c r="E212" s="2">
        <f ca="1">IFERROR(__xludf.DUMMYFUNCTION("""COMPUTED_VALUE"""),700000)</f>
        <v>700000</v>
      </c>
      <c r="F212" s="2">
        <f ca="1">IFERROR(__xludf.DUMMYFUNCTION("""COMPUTED_VALUE"""),783375)</f>
        <v>783375</v>
      </c>
      <c r="H212" s="1" t="str">
        <f t="shared" ca="1" si="0"/>
        <v>Defensive Midfield</v>
      </c>
      <c r="I212" s="3" t="str">
        <f t="shared" ca="1" si="1"/>
        <v>Defensive Midfield</v>
      </c>
      <c r="J212" s="1" t="str">
        <f t="shared" ca="1" si="2"/>
        <v>Defensive Midfield</v>
      </c>
      <c r="K212" s="1" t="str">
        <f t="shared" ca="1" si="15"/>
        <v>M</v>
      </c>
      <c r="L212" s="1" t="str">
        <f t="shared" ca="1" si="3"/>
        <v>M</v>
      </c>
      <c r="M212" s="1" t="str">
        <f t="shared" ca="1" si="4"/>
        <v>M</v>
      </c>
      <c r="N212" s="1" t="str">
        <f t="shared" ca="1" si="5"/>
        <v>M</v>
      </c>
      <c r="O212" s="1" t="str">
        <f t="shared" ca="1" si="6"/>
        <v>M</v>
      </c>
      <c r="P212" s="1" t="str">
        <f t="shared" ca="1" si="7"/>
        <v>M</v>
      </c>
      <c r="Q212" s="1" t="str">
        <f t="shared" ca="1" si="8"/>
        <v>M</v>
      </c>
      <c r="R212" s="1" t="str">
        <f t="shared" ca="1" si="9"/>
        <v>M</v>
      </c>
      <c r="S212" s="1" t="str">
        <f t="shared" ca="1" si="10"/>
        <v>M</v>
      </c>
      <c r="T212" s="1" t="str">
        <f t="shared" ca="1" si="11"/>
        <v>M</v>
      </c>
      <c r="U212" s="1" t="str">
        <f t="shared" ca="1" si="12"/>
        <v>M</v>
      </c>
      <c r="V212" s="1" t="str">
        <f t="shared" ca="1" si="13"/>
        <v>M</v>
      </c>
      <c r="W212" s="1" t="str">
        <f t="shared" ca="1" si="14"/>
        <v>José Artur de Lima Júnior</v>
      </c>
    </row>
    <row r="213" spans="1:23">
      <c r="A213" s="1" t="str">
        <f ca="1">IFERROR(__xludf.DUMMYFUNCTION("""COMPUTED_VALUE"""),"Daniel")</f>
        <v>Daniel</v>
      </c>
      <c r="B213" s="1" t="str">
        <f ca="1">IFERROR(__xludf.DUMMYFUNCTION("""COMPUTED_VALUE"""),"de Sousa Britto")</f>
        <v>de Sousa Britto</v>
      </c>
      <c r="C213" s="1" t="str">
        <f ca="1">IFERROR(__xludf.DUMMYFUNCTION("""COMPUTED_VALUE"""),"San Jose Earthquakes")</f>
        <v>San Jose Earthquakes</v>
      </c>
      <c r="D213" s="1" t="str">
        <f ca="1">IFERROR(__xludf.DUMMYFUNCTION("""COMPUTED_VALUE"""),"Goalkeeper")</f>
        <v>Goalkeeper</v>
      </c>
      <c r="E213" s="2">
        <f ca="1">IFERROR(__xludf.DUMMYFUNCTION("""COMPUTED_VALUE"""),425000)</f>
        <v>425000</v>
      </c>
      <c r="F213" s="2">
        <f ca="1">IFERROR(__xludf.DUMMYFUNCTION("""COMPUTED_VALUE"""),425000)</f>
        <v>425000</v>
      </c>
      <c r="H213" s="1" t="str">
        <f t="shared" ca="1" si="0"/>
        <v>Goalkeeper</v>
      </c>
      <c r="I213" s="3" t="str">
        <f t="shared" ca="1" si="1"/>
        <v>Goalkeeper</v>
      </c>
      <c r="J213" s="1" t="str">
        <f t="shared" ca="1" si="2"/>
        <v>Goalkeeper</v>
      </c>
      <c r="K213" s="1" t="str">
        <f t="shared" ca="1" si="15"/>
        <v>Goalkeeper</v>
      </c>
      <c r="L213" s="1" t="str">
        <f t="shared" ca="1" si="3"/>
        <v>Goalkeeper</v>
      </c>
      <c r="M213" s="1" t="str">
        <f t="shared" ca="1" si="4"/>
        <v>Goalkeeper</v>
      </c>
      <c r="N213" s="1" t="str">
        <f t="shared" ca="1" si="5"/>
        <v>Goalkeeper</v>
      </c>
      <c r="O213" s="1" t="str">
        <f t="shared" ca="1" si="6"/>
        <v>Goalkeeper</v>
      </c>
      <c r="P213" s="1" t="str">
        <f t="shared" ca="1" si="7"/>
        <v>Goalkeeper</v>
      </c>
      <c r="Q213" s="1" t="str">
        <f t="shared" ca="1" si="8"/>
        <v>Goalkeeper</v>
      </c>
      <c r="R213" s="1" t="str">
        <f t="shared" ca="1" si="9"/>
        <v>GK</v>
      </c>
      <c r="S213" s="1" t="str">
        <f t="shared" ca="1" si="10"/>
        <v>GK</v>
      </c>
      <c r="T213" s="1" t="str">
        <f t="shared" ca="1" si="11"/>
        <v>GK</v>
      </c>
      <c r="U213" s="1" t="str">
        <f t="shared" ca="1" si="12"/>
        <v>GK</v>
      </c>
      <c r="V213" s="1" t="str">
        <f t="shared" ca="1" si="13"/>
        <v>GK</v>
      </c>
      <c r="W213" s="1" t="str">
        <f t="shared" ca="1" si="14"/>
        <v>Daniel de Sousa Britto</v>
      </c>
    </row>
    <row r="214" spans="1:23">
      <c r="A214" s="1" t="str">
        <f ca="1">IFERROR(__xludf.DUMMYFUNCTION("""COMPUTED_VALUE"""),"Jonathan")</f>
        <v>Jonathan</v>
      </c>
      <c r="B214" s="1" t="str">
        <f ca="1">IFERROR(__xludf.DUMMYFUNCTION("""COMPUTED_VALUE"""),"Dean")</f>
        <v>Dean</v>
      </c>
      <c r="C214" s="1" t="str">
        <f ca="1">IFERROR(__xludf.DUMMYFUNCTION("""COMPUTED_VALUE"""),"Chicago Fire")</f>
        <v>Chicago Fire</v>
      </c>
      <c r="D214" s="1" t="str">
        <f ca="1">IFERROR(__xludf.DUMMYFUNCTION("""COMPUTED_VALUE"""),"Right-back")</f>
        <v>Right-back</v>
      </c>
      <c r="E214" s="2">
        <f ca="1">IFERROR(__xludf.DUMMYFUNCTION("""COMPUTED_VALUE"""),115000)</f>
        <v>115000</v>
      </c>
      <c r="F214" s="2">
        <f ca="1">IFERROR(__xludf.DUMMYFUNCTION("""COMPUTED_VALUE"""),123167)</f>
        <v>123167</v>
      </c>
      <c r="H214" s="1" t="str">
        <f t="shared" ca="1" si="0"/>
        <v>Right-back</v>
      </c>
      <c r="I214" s="3" t="str">
        <f t="shared" ca="1" si="1"/>
        <v>Right-back</v>
      </c>
      <c r="J214" s="1" t="str">
        <f t="shared" ca="1" si="2"/>
        <v>D</v>
      </c>
      <c r="K214" s="1" t="str">
        <f t="shared" ca="1" si="15"/>
        <v>D</v>
      </c>
      <c r="L214" s="1" t="str">
        <f t="shared" ca="1" si="3"/>
        <v>D</v>
      </c>
      <c r="M214" s="1" t="str">
        <f t="shared" ca="1" si="4"/>
        <v>D</v>
      </c>
      <c r="N214" s="1" t="str">
        <f t="shared" ca="1" si="5"/>
        <v>D</v>
      </c>
      <c r="O214" s="1" t="str">
        <f t="shared" ca="1" si="6"/>
        <v>D</v>
      </c>
      <c r="P214" s="1" t="str">
        <f t="shared" ca="1" si="7"/>
        <v>D</v>
      </c>
      <c r="Q214" s="1" t="str">
        <f t="shared" ca="1" si="8"/>
        <v>D</v>
      </c>
      <c r="R214" s="1" t="str">
        <f t="shared" ca="1" si="9"/>
        <v>D</v>
      </c>
      <c r="S214" s="1" t="str">
        <f t="shared" ca="1" si="10"/>
        <v>D</v>
      </c>
      <c r="T214" s="1" t="str">
        <f t="shared" ca="1" si="11"/>
        <v>D</v>
      </c>
      <c r="U214" s="1" t="str">
        <f t="shared" ca="1" si="12"/>
        <v>D</v>
      </c>
      <c r="V214" s="1" t="str">
        <f t="shared" ca="1" si="13"/>
        <v>D</v>
      </c>
      <c r="W214" s="1" t="str">
        <f t="shared" ca="1" si="14"/>
        <v>Jonathan Dean</v>
      </c>
    </row>
    <row r="215" spans="1:23">
      <c r="A215" s="1" t="str">
        <f ca="1">IFERROR(__xludf.DUMMYFUNCTION("""COMPUTED_VALUE"""),"Brecht")</f>
        <v>Brecht</v>
      </c>
      <c r="B215" s="1" t="str">
        <f ca="1">IFERROR(__xludf.DUMMYFUNCTION("""COMPUTED_VALUE"""),"Dejaegere")</f>
        <v>Dejaegere</v>
      </c>
      <c r="C215" s="1" t="str">
        <f ca="1">IFERROR(__xludf.DUMMYFUNCTION("""COMPUTED_VALUE"""),"Charlotte FC")</f>
        <v>Charlotte FC</v>
      </c>
      <c r="D215" s="1" t="str">
        <f ca="1">IFERROR(__xludf.DUMMYFUNCTION("""COMPUTED_VALUE"""),"Central Midfield")</f>
        <v>Central Midfield</v>
      </c>
      <c r="E215" s="2">
        <f ca="1">IFERROR(__xludf.DUMMYFUNCTION("""COMPUTED_VALUE"""),1000000)</f>
        <v>1000000</v>
      </c>
      <c r="F215" s="2">
        <f ca="1">IFERROR(__xludf.DUMMYFUNCTION("""COMPUTED_VALUE"""),1179375)</f>
        <v>1179375</v>
      </c>
      <c r="H215" s="1" t="str">
        <f t="shared" ca="1" si="0"/>
        <v>Central Midfield</v>
      </c>
      <c r="I215" s="3" t="str">
        <f t="shared" ca="1" si="1"/>
        <v>Central Midfield</v>
      </c>
      <c r="J215" s="1" t="str">
        <f t="shared" ca="1" si="2"/>
        <v>Central Midfield</v>
      </c>
      <c r="K215" s="1" t="str">
        <f t="shared" ca="1" si="15"/>
        <v>Central Midfield</v>
      </c>
      <c r="L215" s="1" t="str">
        <f t="shared" ca="1" si="3"/>
        <v>M</v>
      </c>
      <c r="M215" s="1" t="str">
        <f t="shared" ca="1" si="4"/>
        <v>M</v>
      </c>
      <c r="N215" s="1" t="str">
        <f t="shared" ca="1" si="5"/>
        <v>M</v>
      </c>
      <c r="O215" s="1" t="str">
        <f t="shared" ca="1" si="6"/>
        <v>M</v>
      </c>
      <c r="P215" s="1" t="str">
        <f t="shared" ca="1" si="7"/>
        <v>M</v>
      </c>
      <c r="Q215" s="1" t="str">
        <f t="shared" ca="1" si="8"/>
        <v>M</v>
      </c>
      <c r="R215" s="1" t="str">
        <f t="shared" ca="1" si="9"/>
        <v>M</v>
      </c>
      <c r="S215" s="1" t="str">
        <f t="shared" ca="1" si="10"/>
        <v>M</v>
      </c>
      <c r="T215" s="1" t="str">
        <f t="shared" ca="1" si="11"/>
        <v>M</v>
      </c>
      <c r="U215" s="1" t="str">
        <f t="shared" ca="1" si="12"/>
        <v>M</v>
      </c>
      <c r="V215" s="1" t="str">
        <f t="shared" ca="1" si="13"/>
        <v>M</v>
      </c>
      <c r="W215" s="1" t="str">
        <f t="shared" ca="1" si="14"/>
        <v>Brecht Dejaegere</v>
      </c>
    </row>
    <row r="216" spans="1:23">
      <c r="A216" s="1" t="str">
        <f ca="1">IFERROR(__xludf.DUMMYFUNCTION("""COMPUTED_VALUE"""),"Patrickson")</f>
        <v>Patrickson</v>
      </c>
      <c r="B216" s="1" t="str">
        <f ca="1">IFERROR(__xludf.DUMMYFUNCTION("""COMPUTED_VALUE"""),"Delgado")</f>
        <v>Delgado</v>
      </c>
      <c r="C216" s="1" t="str">
        <f ca="1">IFERROR(__xludf.DUMMYFUNCTION("""COMPUTED_VALUE"""),"FC Dallas")</f>
        <v>FC Dallas</v>
      </c>
      <c r="D216" s="1" t="str">
        <f ca="1">IFERROR(__xludf.DUMMYFUNCTION("""COMPUTED_VALUE"""),"Defensive Midfield")</f>
        <v>Defensive Midfield</v>
      </c>
      <c r="E216" s="2">
        <f ca="1">IFERROR(__xludf.DUMMYFUNCTION("""COMPUTED_VALUE"""),150000)</f>
        <v>150000</v>
      </c>
      <c r="F216" s="2">
        <f ca="1">IFERROR(__xludf.DUMMYFUNCTION("""COMPUTED_VALUE"""),176280)</f>
        <v>176280</v>
      </c>
      <c r="H216" s="1" t="str">
        <f t="shared" ca="1" si="0"/>
        <v>Defensive Midfield</v>
      </c>
      <c r="I216" s="3" t="str">
        <f t="shared" ca="1" si="1"/>
        <v>Defensive Midfield</v>
      </c>
      <c r="J216" s="1" t="str">
        <f t="shared" ca="1" si="2"/>
        <v>Defensive Midfield</v>
      </c>
      <c r="K216" s="1" t="str">
        <f t="shared" ca="1" si="15"/>
        <v>M</v>
      </c>
      <c r="L216" s="1" t="str">
        <f t="shared" ca="1" si="3"/>
        <v>M</v>
      </c>
      <c r="M216" s="1" t="str">
        <f t="shared" ca="1" si="4"/>
        <v>M</v>
      </c>
      <c r="N216" s="1" t="str">
        <f t="shared" ca="1" si="5"/>
        <v>M</v>
      </c>
      <c r="O216" s="1" t="str">
        <f t="shared" ca="1" si="6"/>
        <v>M</v>
      </c>
      <c r="P216" s="1" t="str">
        <f t="shared" ca="1" si="7"/>
        <v>M</v>
      </c>
      <c r="Q216" s="1" t="str">
        <f t="shared" ca="1" si="8"/>
        <v>M</v>
      </c>
      <c r="R216" s="1" t="str">
        <f t="shared" ca="1" si="9"/>
        <v>M</v>
      </c>
      <c r="S216" s="1" t="str">
        <f t="shared" ca="1" si="10"/>
        <v>M</v>
      </c>
      <c r="T216" s="1" t="str">
        <f t="shared" ca="1" si="11"/>
        <v>M</v>
      </c>
      <c r="U216" s="1" t="str">
        <f t="shared" ca="1" si="12"/>
        <v>M</v>
      </c>
      <c r="V216" s="1" t="str">
        <f t="shared" ca="1" si="13"/>
        <v>M</v>
      </c>
      <c r="W216" s="1" t="str">
        <f t="shared" ca="1" si="14"/>
        <v>Patrickson Delgado</v>
      </c>
    </row>
    <row r="217" spans="1:23">
      <c r="A217" s="1" t="str">
        <f ca="1">IFERROR(__xludf.DUMMYFUNCTION("""COMPUTED_VALUE"""),"Mark")</f>
        <v>Mark</v>
      </c>
      <c r="B217" s="1" t="str">
        <f ca="1">IFERROR(__xludf.DUMMYFUNCTION("""COMPUTED_VALUE"""),"Delgado")</f>
        <v>Delgado</v>
      </c>
      <c r="C217" s="1" t="str">
        <f ca="1">IFERROR(__xludf.DUMMYFUNCTION("""COMPUTED_VALUE"""),"LA Galaxy")</f>
        <v>LA Galaxy</v>
      </c>
      <c r="D217" s="1" t="str">
        <f ca="1">IFERROR(__xludf.DUMMYFUNCTION("""COMPUTED_VALUE"""),"Central Midfield")</f>
        <v>Central Midfield</v>
      </c>
      <c r="E217" s="2">
        <f ca="1">IFERROR(__xludf.DUMMYFUNCTION("""COMPUTED_VALUE"""),800000)</f>
        <v>800000</v>
      </c>
      <c r="F217" s="2">
        <f ca="1">IFERROR(__xludf.DUMMYFUNCTION("""COMPUTED_VALUE"""),876250)</f>
        <v>876250</v>
      </c>
      <c r="H217" s="1" t="str">
        <f t="shared" ca="1" si="0"/>
        <v>Central Midfield</v>
      </c>
      <c r="I217" s="3" t="str">
        <f t="shared" ca="1" si="1"/>
        <v>Central Midfield</v>
      </c>
      <c r="J217" s="1" t="str">
        <f t="shared" ca="1" si="2"/>
        <v>Central Midfield</v>
      </c>
      <c r="K217" s="1" t="str">
        <f t="shared" ca="1" si="15"/>
        <v>Central Midfield</v>
      </c>
      <c r="L217" s="1" t="str">
        <f t="shared" ca="1" si="3"/>
        <v>M</v>
      </c>
      <c r="M217" s="1" t="str">
        <f t="shared" ca="1" si="4"/>
        <v>M</v>
      </c>
      <c r="N217" s="1" t="str">
        <f t="shared" ca="1" si="5"/>
        <v>M</v>
      </c>
      <c r="O217" s="1" t="str">
        <f t="shared" ca="1" si="6"/>
        <v>M</v>
      </c>
      <c r="P217" s="1" t="str">
        <f t="shared" ca="1" si="7"/>
        <v>M</v>
      </c>
      <c r="Q217" s="1" t="str">
        <f t="shared" ca="1" si="8"/>
        <v>M</v>
      </c>
      <c r="R217" s="1" t="str">
        <f t="shared" ca="1" si="9"/>
        <v>M</v>
      </c>
      <c r="S217" s="1" t="str">
        <f t="shared" ca="1" si="10"/>
        <v>M</v>
      </c>
      <c r="T217" s="1" t="str">
        <f t="shared" ca="1" si="11"/>
        <v>M</v>
      </c>
      <c r="U217" s="1" t="str">
        <f t="shared" ca="1" si="12"/>
        <v>M</v>
      </c>
      <c r="V217" s="1" t="str">
        <f t="shared" ca="1" si="13"/>
        <v>M</v>
      </c>
      <c r="W217" s="1" t="str">
        <f t="shared" ca="1" si="14"/>
        <v>Mark Delgado</v>
      </c>
    </row>
    <row r="218" spans="1:23">
      <c r="A218" s="1" t="str">
        <f ca="1">IFERROR(__xludf.DUMMYFUNCTION("""COMPUTED_VALUE"""),"Lorenzo")</f>
        <v>Lorenzo</v>
      </c>
      <c r="B218" s="1" t="str">
        <f ca="1">IFERROR(__xludf.DUMMYFUNCTION("""COMPUTED_VALUE"""),"Dellavalle")</f>
        <v>Dellavalle</v>
      </c>
      <c r="C218" s="1" t="str">
        <f ca="1">IFERROR(__xludf.DUMMYFUNCTION("""COMPUTED_VALUE"""),"LAFC")</f>
        <v>LAFC</v>
      </c>
      <c r="D218" s="1" t="str">
        <f ca="1">IFERROR(__xludf.DUMMYFUNCTION("""COMPUTED_VALUE"""),"Center-back")</f>
        <v>Center-back</v>
      </c>
      <c r="E218" s="2">
        <f ca="1">IFERROR(__xludf.DUMMYFUNCTION("""COMPUTED_VALUE"""),71401)</f>
        <v>71401</v>
      </c>
      <c r="F218" s="2">
        <f ca="1">IFERROR(__xludf.DUMMYFUNCTION("""COMPUTED_VALUE"""),75151)</f>
        <v>75151</v>
      </c>
      <c r="H218" s="1" t="str">
        <f t="shared" ca="1" si="0"/>
        <v>D</v>
      </c>
      <c r="I218" s="3" t="str">
        <f t="shared" ca="1" si="1"/>
        <v>D</v>
      </c>
      <c r="J218" s="1" t="str">
        <f t="shared" ca="1" si="2"/>
        <v>D</v>
      </c>
      <c r="K218" s="1" t="str">
        <f t="shared" ca="1" si="15"/>
        <v>D</v>
      </c>
      <c r="L218" s="1" t="str">
        <f t="shared" ca="1" si="3"/>
        <v>D</v>
      </c>
      <c r="M218" s="1" t="str">
        <f t="shared" ca="1" si="4"/>
        <v>D</v>
      </c>
      <c r="N218" s="1" t="str">
        <f t="shared" ca="1" si="5"/>
        <v>D</v>
      </c>
      <c r="O218" s="1" t="str">
        <f t="shared" ca="1" si="6"/>
        <v>D</v>
      </c>
      <c r="P218" s="1" t="str">
        <f t="shared" ca="1" si="7"/>
        <v>D</v>
      </c>
      <c r="Q218" s="1" t="str">
        <f t="shared" ca="1" si="8"/>
        <v>D</v>
      </c>
      <c r="R218" s="1" t="str">
        <f t="shared" ca="1" si="9"/>
        <v>D</v>
      </c>
      <c r="S218" s="1" t="str">
        <f t="shared" ca="1" si="10"/>
        <v>D</v>
      </c>
      <c r="T218" s="1" t="str">
        <f t="shared" ca="1" si="11"/>
        <v>D</v>
      </c>
      <c r="U218" s="1" t="str">
        <f t="shared" ca="1" si="12"/>
        <v>D</v>
      </c>
      <c r="V218" s="1" t="str">
        <f t="shared" ca="1" si="13"/>
        <v>D</v>
      </c>
      <c r="W218" s="1" t="str">
        <f t="shared" ca="1" si="14"/>
        <v>Lorenzo Dellavalle</v>
      </c>
    </row>
    <row r="219" spans="1:23">
      <c r="A219" s="1" t="str">
        <f ca="1">IFERROR(__xludf.DUMMYFUNCTION("""COMPUTED_VALUE"""),"Lamine")</f>
        <v>Lamine</v>
      </c>
      <c r="B219" s="1" t="str">
        <f ca="1">IFERROR(__xludf.DUMMYFUNCTION("""COMPUTED_VALUE"""),"Diack")</f>
        <v>Diack</v>
      </c>
      <c r="C219" s="1" t="str">
        <f ca="1">IFERROR(__xludf.DUMMYFUNCTION("""COMPUTED_VALUE"""),"Colorado Rapids")</f>
        <v>Colorado Rapids</v>
      </c>
      <c r="D219" s="1" t="str">
        <f ca="1">IFERROR(__xludf.DUMMYFUNCTION("""COMPUTED_VALUE"""),"Defensive Midfield")</f>
        <v>Defensive Midfield</v>
      </c>
      <c r="E219" s="2">
        <f ca="1">IFERROR(__xludf.DUMMYFUNCTION("""COMPUTED_VALUE"""),750000)</f>
        <v>750000</v>
      </c>
      <c r="F219" s="2">
        <f ca="1">IFERROR(__xludf.DUMMYFUNCTION("""COMPUTED_VALUE"""),864150)</f>
        <v>864150</v>
      </c>
      <c r="H219" s="1" t="str">
        <f t="shared" ca="1" si="0"/>
        <v>Defensive Midfield</v>
      </c>
      <c r="I219" s="3" t="str">
        <f t="shared" ca="1" si="1"/>
        <v>Defensive Midfield</v>
      </c>
      <c r="J219" s="1" t="str">
        <f t="shared" ca="1" si="2"/>
        <v>Defensive Midfield</v>
      </c>
      <c r="K219" s="1" t="str">
        <f t="shared" ca="1" si="15"/>
        <v>M</v>
      </c>
      <c r="L219" s="1" t="str">
        <f t="shared" ca="1" si="3"/>
        <v>M</v>
      </c>
      <c r="M219" s="1" t="str">
        <f t="shared" ca="1" si="4"/>
        <v>M</v>
      </c>
      <c r="N219" s="1" t="str">
        <f t="shared" ca="1" si="5"/>
        <v>M</v>
      </c>
      <c r="O219" s="1" t="str">
        <f t="shared" ca="1" si="6"/>
        <v>M</v>
      </c>
      <c r="P219" s="1" t="str">
        <f t="shared" ca="1" si="7"/>
        <v>M</v>
      </c>
      <c r="Q219" s="1" t="str">
        <f t="shared" ca="1" si="8"/>
        <v>M</v>
      </c>
      <c r="R219" s="1" t="str">
        <f t="shared" ca="1" si="9"/>
        <v>M</v>
      </c>
      <c r="S219" s="1" t="str">
        <f t="shared" ca="1" si="10"/>
        <v>M</v>
      </c>
      <c r="T219" s="1" t="str">
        <f t="shared" ca="1" si="11"/>
        <v>M</v>
      </c>
      <c r="U219" s="1" t="str">
        <f t="shared" ca="1" si="12"/>
        <v>M</v>
      </c>
      <c r="V219" s="1" t="str">
        <f t="shared" ca="1" si="13"/>
        <v>M</v>
      </c>
      <c r="W219" s="1" t="str">
        <f t="shared" ca="1" si="14"/>
        <v>Lamine Diack</v>
      </c>
    </row>
    <row r="220" spans="1:23">
      <c r="A220" s="1" t="str">
        <f ca="1">IFERROR(__xludf.DUMMYFUNCTION("""COMPUTED_VALUE"""),"Djibril")</f>
        <v>Djibril</v>
      </c>
      <c r="B220" s="1" t="str">
        <f ca="1">IFERROR(__xludf.DUMMYFUNCTION("""COMPUTED_VALUE"""),"Diani")</f>
        <v>Diani</v>
      </c>
      <c r="C220" s="1" t="str">
        <f ca="1">IFERROR(__xludf.DUMMYFUNCTION("""COMPUTED_VALUE"""),"Charlotte FC")</f>
        <v>Charlotte FC</v>
      </c>
      <c r="D220" s="1" t="str">
        <f ca="1">IFERROR(__xludf.DUMMYFUNCTION("""COMPUTED_VALUE"""),"Defensive Midfield")</f>
        <v>Defensive Midfield</v>
      </c>
      <c r="E220" s="2">
        <f ca="1">IFERROR(__xludf.DUMMYFUNCTION("""COMPUTED_VALUE"""),260000)</f>
        <v>260000</v>
      </c>
      <c r="F220" s="2">
        <f ca="1">IFERROR(__xludf.DUMMYFUNCTION("""COMPUTED_VALUE"""),297944)</f>
        <v>297944</v>
      </c>
      <c r="H220" s="1" t="str">
        <f t="shared" ca="1" si="0"/>
        <v>Defensive Midfield</v>
      </c>
      <c r="I220" s="3" t="str">
        <f t="shared" ca="1" si="1"/>
        <v>Defensive Midfield</v>
      </c>
      <c r="J220" s="1" t="str">
        <f t="shared" ca="1" si="2"/>
        <v>Defensive Midfield</v>
      </c>
      <c r="K220" s="1" t="str">
        <f t="shared" ca="1" si="15"/>
        <v>M</v>
      </c>
      <c r="L220" s="1" t="str">
        <f t="shared" ca="1" si="3"/>
        <v>M</v>
      </c>
      <c r="M220" s="1" t="str">
        <f t="shared" ca="1" si="4"/>
        <v>M</v>
      </c>
      <c r="N220" s="1" t="str">
        <f t="shared" ca="1" si="5"/>
        <v>M</v>
      </c>
      <c r="O220" s="1" t="str">
        <f t="shared" ca="1" si="6"/>
        <v>M</v>
      </c>
      <c r="P220" s="1" t="str">
        <f t="shared" ca="1" si="7"/>
        <v>M</v>
      </c>
      <c r="Q220" s="1" t="str">
        <f t="shared" ca="1" si="8"/>
        <v>M</v>
      </c>
      <c r="R220" s="1" t="str">
        <f t="shared" ca="1" si="9"/>
        <v>M</v>
      </c>
      <c r="S220" s="1" t="str">
        <f t="shared" ca="1" si="10"/>
        <v>M</v>
      </c>
      <c r="T220" s="1" t="str">
        <f t="shared" ca="1" si="11"/>
        <v>M</v>
      </c>
      <c r="U220" s="1" t="str">
        <f t="shared" ca="1" si="12"/>
        <v>M</v>
      </c>
      <c r="V220" s="1" t="str">
        <f t="shared" ca="1" si="13"/>
        <v>M</v>
      </c>
      <c r="W220" s="1" t="str">
        <f t="shared" ca="1" si="14"/>
        <v>Djibril Diani</v>
      </c>
    </row>
    <row r="221" spans="1:23">
      <c r="A221" s="1" t="str">
        <f ca="1">IFERROR(__xludf.DUMMYFUNCTION("""COMPUTED_VALUE"""),"Adama")</f>
        <v>Adama</v>
      </c>
      <c r="B221" s="1" t="str">
        <f ca="1">IFERROR(__xludf.DUMMYFUNCTION("""COMPUTED_VALUE"""),"Diomande")</f>
        <v>Diomande</v>
      </c>
      <c r="C221" s="1" t="str">
        <f ca="1">IFERROR(__xludf.DUMMYFUNCTION("""COMPUTED_VALUE"""),"MLS Pool")</f>
        <v>MLS Pool</v>
      </c>
      <c r="D221" s="1" t="str">
        <f ca="1">IFERROR(__xludf.DUMMYFUNCTION("""COMPUTED_VALUE"""),"Center Forward")</f>
        <v>Center Forward</v>
      </c>
      <c r="E221" s="2">
        <f ca="1">IFERROR(__xludf.DUMMYFUNCTION("""COMPUTED_VALUE"""),600000)</f>
        <v>600000</v>
      </c>
      <c r="F221" s="2">
        <f ca="1">IFERROR(__xludf.DUMMYFUNCTION("""COMPUTED_VALUE"""),660000)</f>
        <v>660000</v>
      </c>
      <c r="H221" s="1" t="str">
        <f t="shared" ca="1" si="0"/>
        <v>Center Forward</v>
      </c>
      <c r="I221" s="3" t="str">
        <f t="shared" ca="1" si="1"/>
        <v>Center Forward</v>
      </c>
      <c r="J221" s="1" t="str">
        <f t="shared" ca="1" si="2"/>
        <v>Center Forward</v>
      </c>
      <c r="K221" s="1" t="str">
        <f t="shared" ca="1" si="15"/>
        <v>Center Forward</v>
      </c>
      <c r="L221" s="1" t="str">
        <f t="shared" ca="1" si="3"/>
        <v>Center Forward</v>
      </c>
      <c r="M221" s="1" t="str">
        <f t="shared" ca="1" si="4"/>
        <v>Center Forward</v>
      </c>
      <c r="N221" s="1" t="str">
        <f t="shared" ca="1" si="5"/>
        <v>Center Forward</v>
      </c>
      <c r="O221" s="1" t="str">
        <f t="shared" ca="1" si="6"/>
        <v>F</v>
      </c>
      <c r="P221" s="1" t="str">
        <f t="shared" ca="1" si="7"/>
        <v>F</v>
      </c>
      <c r="Q221" s="1" t="str">
        <f t="shared" ca="1" si="8"/>
        <v>F</v>
      </c>
      <c r="R221" s="1" t="str">
        <f t="shared" ca="1" si="9"/>
        <v>F</v>
      </c>
      <c r="S221" s="1" t="str">
        <f t="shared" ca="1" si="10"/>
        <v>F</v>
      </c>
      <c r="T221" s="1" t="str">
        <f t="shared" ca="1" si="11"/>
        <v>F</v>
      </c>
      <c r="U221" s="1" t="str">
        <f t="shared" ca="1" si="12"/>
        <v>F</v>
      </c>
      <c r="V221" s="1" t="str">
        <f t="shared" ca="1" si="13"/>
        <v>F</v>
      </c>
      <c r="W221" s="1" t="str">
        <f t="shared" ca="1" si="14"/>
        <v>Adama Diomande</v>
      </c>
    </row>
    <row r="222" spans="1:23">
      <c r="A222" s="1" t="str">
        <f ca="1">IFERROR(__xludf.DUMMYFUNCTION("""COMPUTED_VALUE"""),"Hamady")</f>
        <v>Hamady</v>
      </c>
      <c r="B222" s="1" t="str">
        <f ca="1">IFERROR(__xludf.DUMMYFUNCTION("""COMPUTED_VALUE"""),"Diop")</f>
        <v>Diop</v>
      </c>
      <c r="C222" s="1" t="str">
        <f ca="1">IFERROR(__xludf.DUMMYFUNCTION("""COMPUTED_VALUE"""),"Charlotte FC")</f>
        <v>Charlotte FC</v>
      </c>
      <c r="D222" s="1" t="str">
        <f ca="1">IFERROR(__xludf.DUMMYFUNCTION("""COMPUTED_VALUE"""),"Left-back")</f>
        <v>Left-back</v>
      </c>
      <c r="E222" s="2">
        <f ca="1">IFERROR(__xludf.DUMMYFUNCTION("""COMPUTED_VALUE"""),89716)</f>
        <v>89716</v>
      </c>
      <c r="F222" s="2">
        <f ca="1">IFERROR(__xludf.DUMMYFUNCTION("""COMPUTED_VALUE"""),97216)</f>
        <v>97216</v>
      </c>
      <c r="H222" s="1" t="str">
        <f t="shared" ca="1" si="0"/>
        <v>Left-back</v>
      </c>
      <c r="I222" s="3" t="str">
        <f t="shared" ca="1" si="1"/>
        <v>D</v>
      </c>
      <c r="J222" s="1" t="str">
        <f t="shared" ca="1" si="2"/>
        <v>D</v>
      </c>
      <c r="K222" s="1" t="str">
        <f t="shared" ca="1" si="15"/>
        <v>D</v>
      </c>
      <c r="L222" s="1" t="str">
        <f t="shared" ca="1" si="3"/>
        <v>D</v>
      </c>
      <c r="M222" s="1" t="str">
        <f t="shared" ca="1" si="4"/>
        <v>D</v>
      </c>
      <c r="N222" s="1" t="str">
        <f t="shared" ca="1" si="5"/>
        <v>D</v>
      </c>
      <c r="O222" s="1" t="str">
        <f t="shared" ca="1" si="6"/>
        <v>D</v>
      </c>
      <c r="P222" s="1" t="str">
        <f t="shared" ca="1" si="7"/>
        <v>D</v>
      </c>
      <c r="Q222" s="1" t="str">
        <f t="shared" ca="1" si="8"/>
        <v>D</v>
      </c>
      <c r="R222" s="1" t="str">
        <f t="shared" ca="1" si="9"/>
        <v>D</v>
      </c>
      <c r="S222" s="1" t="str">
        <f t="shared" ca="1" si="10"/>
        <v>D</v>
      </c>
      <c r="T222" s="1" t="str">
        <f t="shared" ca="1" si="11"/>
        <v>D</v>
      </c>
      <c r="U222" s="1" t="str">
        <f t="shared" ca="1" si="12"/>
        <v>D</v>
      </c>
      <c r="V222" s="1" t="str">
        <f t="shared" ca="1" si="13"/>
        <v>D</v>
      </c>
      <c r="W222" s="1" t="str">
        <f t="shared" ca="1" si="14"/>
        <v>Hamady Diop</v>
      </c>
    </row>
    <row r="223" spans="1:23">
      <c r="A223" s="1" t="str">
        <f ca="1">IFERROR(__xludf.DUMMYFUNCTION("""COMPUTED_VALUE"""),"Moussa")</f>
        <v>Moussa</v>
      </c>
      <c r="B223" s="1" t="str">
        <f ca="1">IFERROR(__xludf.DUMMYFUNCTION("""COMPUTED_VALUE"""),"Djitté")</f>
        <v>Djitté</v>
      </c>
      <c r="C223" s="1" t="str">
        <f ca="1">IFERROR(__xludf.DUMMYFUNCTION("""COMPUTED_VALUE"""),"Austin FC")</f>
        <v>Austin FC</v>
      </c>
      <c r="D223" s="1" t="str">
        <f ca="1">IFERROR(__xludf.DUMMYFUNCTION("""COMPUTED_VALUE"""),"Center Forward")</f>
        <v>Center Forward</v>
      </c>
      <c r="E223" s="2">
        <f ca="1">IFERROR(__xludf.DUMMYFUNCTION("""COMPUTED_VALUE"""),650000)</f>
        <v>650000</v>
      </c>
      <c r="F223" s="2">
        <f ca="1">IFERROR(__xludf.DUMMYFUNCTION("""COMPUTED_VALUE"""),650000)</f>
        <v>650000</v>
      </c>
      <c r="H223" s="1" t="str">
        <f t="shared" ca="1" si="0"/>
        <v>Center Forward</v>
      </c>
      <c r="I223" s="3" t="str">
        <f t="shared" ca="1" si="1"/>
        <v>Center Forward</v>
      </c>
      <c r="J223" s="1" t="str">
        <f t="shared" ca="1" si="2"/>
        <v>Center Forward</v>
      </c>
      <c r="K223" s="1" t="str">
        <f t="shared" ca="1" si="15"/>
        <v>Center Forward</v>
      </c>
      <c r="L223" s="1" t="str">
        <f t="shared" ca="1" si="3"/>
        <v>Center Forward</v>
      </c>
      <c r="M223" s="1" t="str">
        <f t="shared" ca="1" si="4"/>
        <v>Center Forward</v>
      </c>
      <c r="N223" s="1" t="str">
        <f t="shared" ca="1" si="5"/>
        <v>Center Forward</v>
      </c>
      <c r="O223" s="1" t="str">
        <f t="shared" ca="1" si="6"/>
        <v>F</v>
      </c>
      <c r="P223" s="1" t="str">
        <f t="shared" ca="1" si="7"/>
        <v>F</v>
      </c>
      <c r="Q223" s="1" t="str">
        <f t="shared" ca="1" si="8"/>
        <v>F</v>
      </c>
      <c r="R223" s="1" t="str">
        <f t="shared" ca="1" si="9"/>
        <v>F</v>
      </c>
      <c r="S223" s="1" t="str">
        <f t="shared" ca="1" si="10"/>
        <v>F</v>
      </c>
      <c r="T223" s="1" t="str">
        <f t="shared" ca="1" si="11"/>
        <v>F</v>
      </c>
      <c r="U223" s="1" t="str">
        <f t="shared" ca="1" si="12"/>
        <v>F</v>
      </c>
      <c r="V223" s="1" t="str">
        <f t="shared" ca="1" si="13"/>
        <v>F</v>
      </c>
      <c r="W223" s="1" t="str">
        <f t="shared" ca="1" si="14"/>
        <v>Moussa Djitté</v>
      </c>
    </row>
    <row r="224" spans="1:23">
      <c r="A224" s="1" t="str">
        <f ca="1">IFERROR(__xludf.DUMMYFUNCTION("""COMPUTED_VALUE"""),"Derek")</f>
        <v>Derek</v>
      </c>
      <c r="B224" s="1" t="str">
        <f ca="1">IFERROR(__xludf.DUMMYFUNCTION("""COMPUTED_VALUE"""),"Dodson")</f>
        <v>Dodson</v>
      </c>
      <c r="C224" s="1" t="str">
        <f ca="1">IFERROR(__xludf.DUMMYFUNCTION("""COMPUTED_VALUE"""),"Minnesota United")</f>
        <v>Minnesota United</v>
      </c>
      <c r="D224" s="1" t="str">
        <f ca="1">IFERROR(__xludf.DUMMYFUNCTION("""COMPUTED_VALUE"""),"Right-back")</f>
        <v>Right-back</v>
      </c>
      <c r="E224" s="2">
        <f ca="1">IFERROR(__xludf.DUMMYFUNCTION("""COMPUTED_VALUE"""),89716)</f>
        <v>89716</v>
      </c>
      <c r="F224" s="2">
        <f ca="1">IFERROR(__xludf.DUMMYFUNCTION("""COMPUTED_VALUE"""),89716)</f>
        <v>89716</v>
      </c>
      <c r="H224" s="1" t="str">
        <f t="shared" ca="1" si="0"/>
        <v>Right-back</v>
      </c>
      <c r="I224" s="3" t="str">
        <f t="shared" ca="1" si="1"/>
        <v>Right-back</v>
      </c>
      <c r="J224" s="1" t="str">
        <f t="shared" ca="1" si="2"/>
        <v>D</v>
      </c>
      <c r="K224" s="1" t="str">
        <f t="shared" ca="1" si="15"/>
        <v>D</v>
      </c>
      <c r="L224" s="1" t="str">
        <f t="shared" ca="1" si="3"/>
        <v>D</v>
      </c>
      <c r="M224" s="1" t="str">
        <f t="shared" ca="1" si="4"/>
        <v>D</v>
      </c>
      <c r="N224" s="1" t="str">
        <f t="shared" ca="1" si="5"/>
        <v>D</v>
      </c>
      <c r="O224" s="1" t="str">
        <f t="shared" ca="1" si="6"/>
        <v>D</v>
      </c>
      <c r="P224" s="1" t="str">
        <f t="shared" ca="1" si="7"/>
        <v>D</v>
      </c>
      <c r="Q224" s="1" t="str">
        <f t="shared" ca="1" si="8"/>
        <v>D</v>
      </c>
      <c r="R224" s="1" t="str">
        <f t="shared" ca="1" si="9"/>
        <v>D</v>
      </c>
      <c r="S224" s="1" t="str">
        <f t="shared" ca="1" si="10"/>
        <v>D</v>
      </c>
      <c r="T224" s="1" t="str">
        <f t="shared" ca="1" si="11"/>
        <v>D</v>
      </c>
      <c r="U224" s="1" t="str">
        <f t="shared" ca="1" si="12"/>
        <v>D</v>
      </c>
      <c r="V224" s="1" t="str">
        <f t="shared" ca="1" si="13"/>
        <v>D</v>
      </c>
      <c r="W224" s="1" t="str">
        <f t="shared" ca="1" si="14"/>
        <v>Derek Dodson</v>
      </c>
    </row>
    <row r="225" spans="1:23">
      <c r="A225" s="1" t="str">
        <f ca="1">IFERROR(__xludf.DUMMYFUNCTION("""COMPUTED_VALUE"""),"Ronald")</f>
        <v>Ronald</v>
      </c>
      <c r="B225" s="1" t="str">
        <f ca="1">IFERROR(__xludf.DUMMYFUNCTION("""COMPUTED_VALUE"""),"Donkor")</f>
        <v>Donkor</v>
      </c>
      <c r="C225" s="1" t="str">
        <f ca="1">IFERROR(__xludf.DUMMYFUNCTION("""COMPUTED_VALUE"""),"New York Red Bulls")</f>
        <v>New York Red Bulls</v>
      </c>
      <c r="D225" s="1" t="str">
        <f ca="1">IFERROR(__xludf.DUMMYFUNCTION("""COMPUTED_VALUE"""),"Left Midfield")</f>
        <v>Left Midfield</v>
      </c>
      <c r="E225" s="2">
        <f ca="1">IFERROR(__xludf.DUMMYFUNCTION("""COMPUTED_VALUE"""),130000)</f>
        <v>130000</v>
      </c>
      <c r="F225" s="2">
        <f ca="1">IFERROR(__xludf.DUMMYFUNCTION("""COMPUTED_VALUE"""),155400)</f>
        <v>155400</v>
      </c>
      <c r="H225" s="1" t="str">
        <f t="shared" ca="1" si="0"/>
        <v>Left Midfield</v>
      </c>
      <c r="I225" s="3" t="str">
        <f t="shared" ca="1" si="1"/>
        <v>Left Midfield</v>
      </c>
      <c r="J225" s="1" t="str">
        <f t="shared" ca="1" si="2"/>
        <v>Left Midfield</v>
      </c>
      <c r="K225" s="1" t="str">
        <f t="shared" ca="1" si="15"/>
        <v>Left Midfield</v>
      </c>
      <c r="L225" s="1" t="str">
        <f t="shared" ca="1" si="3"/>
        <v>Left Midfield</v>
      </c>
      <c r="M225" s="1" t="str">
        <f t="shared" ca="1" si="4"/>
        <v>Left Midfield</v>
      </c>
      <c r="N225" s="1" t="str">
        <f t="shared" ca="1" si="5"/>
        <v>Left Midfield</v>
      </c>
      <c r="O225" s="1" t="str">
        <f t="shared" ca="1" si="6"/>
        <v>Left Midfield</v>
      </c>
      <c r="P225" s="1" t="str">
        <f t="shared" ca="1" si="7"/>
        <v>Left Midfield</v>
      </c>
      <c r="Q225" s="1" t="str">
        <f t="shared" ca="1" si="8"/>
        <v>Left Midfield</v>
      </c>
      <c r="R225" s="1" t="str">
        <f t="shared" ca="1" si="9"/>
        <v>Left Midfield</v>
      </c>
      <c r="S225" s="1" t="str">
        <f t="shared" ca="1" si="10"/>
        <v>M</v>
      </c>
      <c r="T225" s="1" t="str">
        <f t="shared" ca="1" si="11"/>
        <v>M</v>
      </c>
      <c r="U225" s="1" t="str">
        <f t="shared" ca="1" si="12"/>
        <v>M</v>
      </c>
      <c r="V225" s="1" t="str">
        <f t="shared" ca="1" si="13"/>
        <v>M</v>
      </c>
      <c r="W225" s="1" t="str">
        <f t="shared" ca="1" si="14"/>
        <v>Ronald Donkor</v>
      </c>
    </row>
    <row r="226" spans="1:23">
      <c r="A226" s="1" t="str">
        <f ca="1">IFERROR(__xludf.DUMMYFUNCTION("""COMPUTED_VALUE"""),"Chris")</f>
        <v>Chris</v>
      </c>
      <c r="B226" s="1" t="str">
        <f ca="1">IFERROR(__xludf.DUMMYFUNCTION("""COMPUTED_VALUE"""),"Donovan")</f>
        <v>Donovan</v>
      </c>
      <c r="C226" s="1" t="str">
        <f ca="1">IFERROR(__xludf.DUMMYFUNCTION("""COMPUTED_VALUE"""),"Philadelphia Union")</f>
        <v>Philadelphia Union</v>
      </c>
      <c r="D226" s="1" t="str">
        <f ca="1">IFERROR(__xludf.DUMMYFUNCTION("""COMPUTED_VALUE"""),"Center Forward")</f>
        <v>Center Forward</v>
      </c>
      <c r="E226" s="2">
        <f ca="1">IFERROR(__xludf.DUMMYFUNCTION("""COMPUTED_VALUE"""),89716)</f>
        <v>89716</v>
      </c>
      <c r="F226" s="2">
        <f ca="1">IFERROR(__xludf.DUMMYFUNCTION("""COMPUTED_VALUE"""),109872)</f>
        <v>109872</v>
      </c>
      <c r="H226" s="1" t="str">
        <f t="shared" ca="1" si="0"/>
        <v>Center Forward</v>
      </c>
      <c r="I226" s="3" t="str">
        <f t="shared" ca="1" si="1"/>
        <v>Center Forward</v>
      </c>
      <c r="J226" s="1" t="str">
        <f t="shared" ca="1" si="2"/>
        <v>Center Forward</v>
      </c>
      <c r="K226" s="1" t="str">
        <f t="shared" ca="1" si="15"/>
        <v>Center Forward</v>
      </c>
      <c r="L226" s="1" t="str">
        <f t="shared" ca="1" si="3"/>
        <v>Center Forward</v>
      </c>
      <c r="M226" s="1" t="str">
        <f t="shared" ca="1" si="4"/>
        <v>Center Forward</v>
      </c>
      <c r="N226" s="1" t="str">
        <f t="shared" ca="1" si="5"/>
        <v>Center Forward</v>
      </c>
      <c r="O226" s="1" t="str">
        <f t="shared" ca="1" si="6"/>
        <v>F</v>
      </c>
      <c r="P226" s="1" t="str">
        <f t="shared" ca="1" si="7"/>
        <v>F</v>
      </c>
      <c r="Q226" s="1" t="str">
        <f t="shared" ca="1" si="8"/>
        <v>F</v>
      </c>
      <c r="R226" s="1" t="str">
        <f t="shared" ca="1" si="9"/>
        <v>F</v>
      </c>
      <c r="S226" s="1" t="str">
        <f t="shared" ca="1" si="10"/>
        <v>F</v>
      </c>
      <c r="T226" s="1" t="str">
        <f t="shared" ca="1" si="11"/>
        <v>F</v>
      </c>
      <c r="U226" s="1" t="str">
        <f t="shared" ca="1" si="12"/>
        <v>F</v>
      </c>
      <c r="V226" s="1" t="str">
        <f t="shared" ca="1" si="13"/>
        <v>F</v>
      </c>
      <c r="W226" s="1" t="str">
        <f t="shared" ca="1" si="14"/>
        <v>Chris Donovan</v>
      </c>
    </row>
    <row r="227" spans="1:23">
      <c r="A227" s="1" t="str">
        <f ca="1">IFERROR(__xludf.DUMMYFUNCTION("""COMPUTED_VALUE"""),"Grayson")</f>
        <v>Grayson</v>
      </c>
      <c r="B227" s="1" t="str">
        <f ca="1">IFERROR(__xludf.DUMMYFUNCTION("""COMPUTED_VALUE"""),"Doody")</f>
        <v>Doody</v>
      </c>
      <c r="C227" s="1" t="str">
        <f ca="1">IFERROR(__xludf.DUMMYFUNCTION("""COMPUTED_VALUE"""),"CF Montreal")</f>
        <v>CF Montreal</v>
      </c>
      <c r="D227" s="1" t="str">
        <f ca="1">IFERROR(__xludf.DUMMYFUNCTION("""COMPUTED_VALUE"""),"Right-back")</f>
        <v>Right-back</v>
      </c>
      <c r="E227" s="2">
        <f ca="1">IFERROR(__xludf.DUMMYFUNCTION("""COMPUTED_VALUE"""),71401)</f>
        <v>71401</v>
      </c>
      <c r="F227" s="2">
        <f ca="1">IFERROR(__xludf.DUMMYFUNCTION("""COMPUTED_VALUE"""),73682)</f>
        <v>73682</v>
      </c>
      <c r="H227" s="1" t="str">
        <f t="shared" ca="1" si="0"/>
        <v>Right-back</v>
      </c>
      <c r="I227" s="3" t="str">
        <f t="shared" ca="1" si="1"/>
        <v>Right-back</v>
      </c>
      <c r="J227" s="1" t="str">
        <f t="shared" ca="1" si="2"/>
        <v>D</v>
      </c>
      <c r="K227" s="1" t="str">
        <f t="shared" ca="1" si="15"/>
        <v>D</v>
      </c>
      <c r="L227" s="1" t="str">
        <f t="shared" ca="1" si="3"/>
        <v>D</v>
      </c>
      <c r="M227" s="1" t="str">
        <f t="shared" ca="1" si="4"/>
        <v>D</v>
      </c>
      <c r="N227" s="1" t="str">
        <f t="shared" ca="1" si="5"/>
        <v>D</v>
      </c>
      <c r="O227" s="1" t="str">
        <f t="shared" ca="1" si="6"/>
        <v>D</v>
      </c>
      <c r="P227" s="1" t="str">
        <f t="shared" ca="1" si="7"/>
        <v>D</v>
      </c>
      <c r="Q227" s="1" t="str">
        <f t="shared" ca="1" si="8"/>
        <v>D</v>
      </c>
      <c r="R227" s="1" t="str">
        <f t="shared" ca="1" si="9"/>
        <v>D</v>
      </c>
      <c r="S227" s="1" t="str">
        <f t="shared" ca="1" si="10"/>
        <v>D</v>
      </c>
      <c r="T227" s="1" t="str">
        <f t="shared" ca="1" si="11"/>
        <v>D</v>
      </c>
      <c r="U227" s="1" t="str">
        <f t="shared" ca="1" si="12"/>
        <v>D</v>
      </c>
      <c r="V227" s="1" t="str">
        <f t="shared" ca="1" si="13"/>
        <v>D</v>
      </c>
      <c r="W227" s="1" t="str">
        <f t="shared" ca="1" si="14"/>
        <v>Grayson Doody</v>
      </c>
    </row>
    <row r="228" spans="1:23">
      <c r="A228" s="1" t="str">
        <f ca="1">IFERROR(__xludf.DUMMYFUNCTION("""COMPUTED_VALUE"""),"Griffin")</f>
        <v>Griffin</v>
      </c>
      <c r="B228" s="1" t="str">
        <f ca="1">IFERROR(__xludf.DUMMYFUNCTION("""COMPUTED_VALUE"""),"Dorsey")</f>
        <v>Dorsey</v>
      </c>
      <c r="C228" s="1" t="str">
        <f ca="1">IFERROR(__xludf.DUMMYFUNCTION("""COMPUTED_VALUE"""),"Houston Dynamo")</f>
        <v>Houston Dynamo</v>
      </c>
      <c r="D228" s="1" t="str">
        <f ca="1">IFERROR(__xludf.DUMMYFUNCTION("""COMPUTED_VALUE"""),"Right-back")</f>
        <v>Right-back</v>
      </c>
      <c r="E228" s="2">
        <f ca="1">IFERROR(__xludf.DUMMYFUNCTION("""COMPUTED_VALUE"""),475000)</f>
        <v>475000</v>
      </c>
      <c r="F228" s="2">
        <f ca="1">IFERROR(__xludf.DUMMYFUNCTION("""COMPUTED_VALUE"""),529667)</f>
        <v>529667</v>
      </c>
      <c r="H228" s="1" t="str">
        <f t="shared" ca="1" si="0"/>
        <v>Right-back</v>
      </c>
      <c r="I228" s="3" t="str">
        <f t="shared" ca="1" si="1"/>
        <v>Right-back</v>
      </c>
      <c r="J228" s="1" t="str">
        <f t="shared" ca="1" si="2"/>
        <v>D</v>
      </c>
      <c r="K228" s="1" t="str">
        <f t="shared" ca="1" si="15"/>
        <v>D</v>
      </c>
      <c r="L228" s="1" t="str">
        <f t="shared" ca="1" si="3"/>
        <v>D</v>
      </c>
      <c r="M228" s="1" t="str">
        <f t="shared" ca="1" si="4"/>
        <v>D</v>
      </c>
      <c r="N228" s="1" t="str">
        <f t="shared" ca="1" si="5"/>
        <v>D</v>
      </c>
      <c r="O228" s="1" t="str">
        <f t="shared" ca="1" si="6"/>
        <v>D</v>
      </c>
      <c r="P228" s="1" t="str">
        <f t="shared" ca="1" si="7"/>
        <v>D</v>
      </c>
      <c r="Q228" s="1" t="str">
        <f t="shared" ca="1" si="8"/>
        <v>D</v>
      </c>
      <c r="R228" s="1" t="str">
        <f t="shared" ca="1" si="9"/>
        <v>D</v>
      </c>
      <c r="S228" s="1" t="str">
        <f t="shared" ca="1" si="10"/>
        <v>D</v>
      </c>
      <c r="T228" s="1" t="str">
        <f t="shared" ca="1" si="11"/>
        <v>D</v>
      </c>
      <c r="U228" s="1" t="str">
        <f t="shared" ca="1" si="12"/>
        <v>D</v>
      </c>
      <c r="V228" s="1" t="str">
        <f t="shared" ca="1" si="13"/>
        <v>D</v>
      </c>
      <c r="W228" s="1" t="str">
        <f t="shared" ca="1" si="14"/>
        <v>Griffin Dorsey</v>
      </c>
    </row>
    <row r="229" spans="1:23">
      <c r="A229" s="1" t="str">
        <f ca="1">IFERROR(__xludf.DUMMYFUNCTION("""COMPUTED_VALUE"""),"CJ")</f>
        <v>CJ</v>
      </c>
      <c r="B229" s="1" t="str">
        <f ca="1">IFERROR(__xludf.DUMMYFUNCTION("""COMPUTED_VALUE"""),"dos Santos")</f>
        <v>dos Santos</v>
      </c>
      <c r="C229" s="1" t="str">
        <f ca="1">IFERROR(__xludf.DUMMYFUNCTION("""COMPUTED_VALUE"""),"Inter Miami")</f>
        <v>Inter Miami</v>
      </c>
      <c r="D229" s="1" t="str">
        <f ca="1">IFERROR(__xludf.DUMMYFUNCTION("""COMPUTED_VALUE"""),"Goalkeeper")</f>
        <v>Goalkeeper</v>
      </c>
      <c r="E229" s="2">
        <f ca="1">IFERROR(__xludf.DUMMYFUNCTION("""COMPUTED_VALUE"""),89716)</f>
        <v>89716</v>
      </c>
      <c r="F229" s="2">
        <f ca="1">IFERROR(__xludf.DUMMYFUNCTION("""COMPUTED_VALUE"""),95016)</f>
        <v>95016</v>
      </c>
      <c r="H229" s="1" t="str">
        <f t="shared" ca="1" si="0"/>
        <v>Goalkeeper</v>
      </c>
      <c r="I229" s="3" t="str">
        <f t="shared" ca="1" si="1"/>
        <v>Goalkeeper</v>
      </c>
      <c r="J229" s="1" t="str">
        <f t="shared" ca="1" si="2"/>
        <v>Goalkeeper</v>
      </c>
      <c r="K229" s="1" t="str">
        <f t="shared" ca="1" si="15"/>
        <v>Goalkeeper</v>
      </c>
      <c r="L229" s="1" t="str">
        <f t="shared" ca="1" si="3"/>
        <v>Goalkeeper</v>
      </c>
      <c r="M229" s="1" t="str">
        <f t="shared" ca="1" si="4"/>
        <v>Goalkeeper</v>
      </c>
      <c r="N229" s="1" t="str">
        <f t="shared" ca="1" si="5"/>
        <v>Goalkeeper</v>
      </c>
      <c r="O229" s="1" t="str">
        <f t="shared" ca="1" si="6"/>
        <v>Goalkeeper</v>
      </c>
      <c r="P229" s="1" t="str">
        <f t="shared" ca="1" si="7"/>
        <v>Goalkeeper</v>
      </c>
      <c r="Q229" s="1" t="str">
        <f t="shared" ca="1" si="8"/>
        <v>Goalkeeper</v>
      </c>
      <c r="R229" s="1" t="str">
        <f t="shared" ca="1" si="9"/>
        <v>GK</v>
      </c>
      <c r="S229" s="1" t="str">
        <f t="shared" ca="1" si="10"/>
        <v>GK</v>
      </c>
      <c r="T229" s="1" t="str">
        <f t="shared" ca="1" si="11"/>
        <v>GK</v>
      </c>
      <c r="U229" s="1" t="str">
        <f t="shared" ca="1" si="12"/>
        <v>GK</v>
      </c>
      <c r="V229" s="1" t="str">
        <f t="shared" ca="1" si="13"/>
        <v>GK</v>
      </c>
      <c r="W229" s="1" t="str">
        <f t="shared" ca="1" si="14"/>
        <v>CJ dos Santos</v>
      </c>
    </row>
    <row r="230" spans="1:23">
      <c r="A230" s="1" t="str">
        <f ca="1">IFERROR(__xludf.DUMMYFUNCTION("""COMPUTED_VALUE"""),"Micael")</f>
        <v>Micael</v>
      </c>
      <c r="B230" s="1" t="str">
        <f ca="1">IFERROR(__xludf.DUMMYFUNCTION("""COMPUTED_VALUE"""),"dos Santos Silva")</f>
        <v>dos Santos Silva</v>
      </c>
      <c r="C230" s="1" t="str">
        <f ca="1">IFERROR(__xludf.DUMMYFUNCTION("""COMPUTED_VALUE"""),"Houston Dynamo")</f>
        <v>Houston Dynamo</v>
      </c>
      <c r="D230" s="1" t="str">
        <f ca="1">IFERROR(__xludf.DUMMYFUNCTION("""COMPUTED_VALUE"""),"Center-back")</f>
        <v>Center-back</v>
      </c>
      <c r="E230" s="2">
        <f ca="1">IFERROR(__xludf.DUMMYFUNCTION("""COMPUTED_VALUE"""),135000)</f>
        <v>135000</v>
      </c>
      <c r="F230" s="2">
        <f ca="1">IFERROR(__xludf.DUMMYFUNCTION("""COMPUTED_VALUE"""),149250)</f>
        <v>149250</v>
      </c>
      <c r="H230" s="1" t="str">
        <f t="shared" ca="1" si="0"/>
        <v>D</v>
      </c>
      <c r="I230" s="3" t="str">
        <f t="shared" ca="1" si="1"/>
        <v>D</v>
      </c>
      <c r="J230" s="1" t="str">
        <f t="shared" ca="1" si="2"/>
        <v>D</v>
      </c>
      <c r="K230" s="1" t="str">
        <f t="shared" ca="1" si="15"/>
        <v>D</v>
      </c>
      <c r="L230" s="1" t="str">
        <f t="shared" ca="1" si="3"/>
        <v>D</v>
      </c>
      <c r="M230" s="1" t="str">
        <f t="shared" ca="1" si="4"/>
        <v>D</v>
      </c>
      <c r="N230" s="1" t="str">
        <f t="shared" ca="1" si="5"/>
        <v>D</v>
      </c>
      <c r="O230" s="1" t="str">
        <f t="shared" ca="1" si="6"/>
        <v>D</v>
      </c>
      <c r="P230" s="1" t="str">
        <f t="shared" ca="1" si="7"/>
        <v>D</v>
      </c>
      <c r="Q230" s="1" t="str">
        <f t="shared" ca="1" si="8"/>
        <v>D</v>
      </c>
      <c r="R230" s="1" t="str">
        <f t="shared" ca="1" si="9"/>
        <v>D</v>
      </c>
      <c r="S230" s="1" t="str">
        <f t="shared" ca="1" si="10"/>
        <v>D</v>
      </c>
      <c r="T230" s="1" t="str">
        <f t="shared" ca="1" si="11"/>
        <v>D</v>
      </c>
      <c r="U230" s="1" t="str">
        <f t="shared" ca="1" si="12"/>
        <v>D</v>
      </c>
      <c r="V230" s="1" t="str">
        <f t="shared" ca="1" si="13"/>
        <v>D</v>
      </c>
      <c r="W230" s="1" t="str">
        <f t="shared" ca="1" si="14"/>
        <v>Micael dos Santos Silva</v>
      </c>
    </row>
    <row r="231" spans="1:23">
      <c r="A231" s="1" t="str">
        <f ca="1">IFERROR(__xludf.DUMMYFUNCTION("""COMPUTED_VALUE"""),"Hassani")</f>
        <v>Hassani</v>
      </c>
      <c r="B231" s="1" t="str">
        <f ca="1">IFERROR(__xludf.DUMMYFUNCTION("""COMPUTED_VALUE"""),"Dotson")</f>
        <v>Dotson</v>
      </c>
      <c r="C231" s="1" t="str">
        <f ca="1">IFERROR(__xludf.DUMMYFUNCTION("""COMPUTED_VALUE"""),"Minnesota United")</f>
        <v>Minnesota United</v>
      </c>
      <c r="D231" s="1" t="str">
        <f ca="1">IFERROR(__xludf.DUMMYFUNCTION("""COMPUTED_VALUE"""),"Central Midfield")</f>
        <v>Central Midfield</v>
      </c>
      <c r="E231" s="2">
        <f ca="1">IFERROR(__xludf.DUMMYFUNCTION("""COMPUTED_VALUE"""),500000)</f>
        <v>500000</v>
      </c>
      <c r="F231" s="2">
        <f ca="1">IFERROR(__xludf.DUMMYFUNCTION("""COMPUTED_VALUE"""),557500)</f>
        <v>557500</v>
      </c>
      <c r="H231" s="1" t="str">
        <f t="shared" ca="1" si="0"/>
        <v>Central Midfield</v>
      </c>
      <c r="I231" s="3" t="str">
        <f t="shared" ca="1" si="1"/>
        <v>Central Midfield</v>
      </c>
      <c r="J231" s="1" t="str">
        <f t="shared" ca="1" si="2"/>
        <v>Central Midfield</v>
      </c>
      <c r="K231" s="1" t="str">
        <f t="shared" ca="1" si="15"/>
        <v>Central Midfield</v>
      </c>
      <c r="L231" s="1" t="str">
        <f t="shared" ca="1" si="3"/>
        <v>M</v>
      </c>
      <c r="M231" s="1" t="str">
        <f t="shared" ca="1" si="4"/>
        <v>M</v>
      </c>
      <c r="N231" s="1" t="str">
        <f t="shared" ca="1" si="5"/>
        <v>M</v>
      </c>
      <c r="O231" s="1" t="str">
        <f t="shared" ca="1" si="6"/>
        <v>M</v>
      </c>
      <c r="P231" s="1" t="str">
        <f t="shared" ca="1" si="7"/>
        <v>M</v>
      </c>
      <c r="Q231" s="1" t="str">
        <f t="shared" ca="1" si="8"/>
        <v>M</v>
      </c>
      <c r="R231" s="1" t="str">
        <f t="shared" ca="1" si="9"/>
        <v>M</v>
      </c>
      <c r="S231" s="1" t="str">
        <f t="shared" ca="1" si="10"/>
        <v>M</v>
      </c>
      <c r="T231" s="1" t="str">
        <f t="shared" ca="1" si="11"/>
        <v>M</v>
      </c>
      <c r="U231" s="1" t="str">
        <f t="shared" ca="1" si="12"/>
        <v>M</v>
      </c>
      <c r="V231" s="1" t="str">
        <f t="shared" ca="1" si="13"/>
        <v>M</v>
      </c>
      <c r="W231" s="1" t="str">
        <f t="shared" ca="1" si="14"/>
        <v>Hassani Dotson</v>
      </c>
    </row>
    <row r="232" spans="1:23">
      <c r="A232" s="1" t="str">
        <f ca="1">IFERROR(__xludf.DUMMYFUNCTION("""COMPUTED_VALUE"""),"Bryan")</f>
        <v>Bryan</v>
      </c>
      <c r="B232" s="1" t="str">
        <f ca="1">IFERROR(__xludf.DUMMYFUNCTION("""COMPUTED_VALUE"""),"Dowd")</f>
        <v>Dowd</v>
      </c>
      <c r="C232" s="1" t="str">
        <f ca="1">IFERROR(__xludf.DUMMYFUNCTION("""COMPUTED_VALUE"""),"Chicago Fire")</f>
        <v>Chicago Fire</v>
      </c>
      <c r="D232" s="1" t="str">
        <f ca="1">IFERROR(__xludf.DUMMYFUNCTION("""COMPUTED_VALUE"""),"Goalkeeper")</f>
        <v>Goalkeeper</v>
      </c>
      <c r="E232" s="2">
        <f ca="1">IFERROR(__xludf.DUMMYFUNCTION("""COMPUTED_VALUE"""),71401)</f>
        <v>71401</v>
      </c>
      <c r="F232" s="2">
        <f ca="1">IFERROR(__xludf.DUMMYFUNCTION("""COMPUTED_VALUE"""),71401)</f>
        <v>71401</v>
      </c>
      <c r="H232" s="1" t="str">
        <f t="shared" ca="1" si="0"/>
        <v>Goalkeeper</v>
      </c>
      <c r="I232" s="3" t="str">
        <f t="shared" ca="1" si="1"/>
        <v>Goalkeeper</v>
      </c>
      <c r="J232" s="1" t="str">
        <f t="shared" ca="1" si="2"/>
        <v>Goalkeeper</v>
      </c>
      <c r="K232" s="1" t="str">
        <f t="shared" ca="1" si="15"/>
        <v>Goalkeeper</v>
      </c>
      <c r="L232" s="1" t="str">
        <f t="shared" ca="1" si="3"/>
        <v>Goalkeeper</v>
      </c>
      <c r="M232" s="1" t="str">
        <f t="shared" ca="1" si="4"/>
        <v>Goalkeeper</v>
      </c>
      <c r="N232" s="1" t="str">
        <f t="shared" ca="1" si="5"/>
        <v>Goalkeeper</v>
      </c>
      <c r="O232" s="1" t="str">
        <f t="shared" ca="1" si="6"/>
        <v>Goalkeeper</v>
      </c>
      <c r="P232" s="1" t="str">
        <f t="shared" ca="1" si="7"/>
        <v>Goalkeeper</v>
      </c>
      <c r="Q232" s="1" t="str">
        <f t="shared" ca="1" si="8"/>
        <v>Goalkeeper</v>
      </c>
      <c r="R232" s="1" t="str">
        <f t="shared" ca="1" si="9"/>
        <v>GK</v>
      </c>
      <c r="S232" s="1" t="str">
        <f t="shared" ca="1" si="10"/>
        <v>GK</v>
      </c>
      <c r="T232" s="1" t="str">
        <f t="shared" ca="1" si="11"/>
        <v>GK</v>
      </c>
      <c r="U232" s="1" t="str">
        <f t="shared" ca="1" si="12"/>
        <v>GK</v>
      </c>
      <c r="V232" s="1" t="str">
        <f t="shared" ca="1" si="13"/>
        <v>GK</v>
      </c>
      <c r="W232" s="1" t="str">
        <f t="shared" ca="1" si="14"/>
        <v>Bryan Dowd</v>
      </c>
    </row>
    <row r="233" spans="1:23">
      <c r="A233" s="1" t="str">
        <f ca="1">IFERROR(__xludf.DUMMYFUNCTION("""COMPUTED_VALUE"""),"Sebastián")</f>
        <v>Sebastián</v>
      </c>
      <c r="B233" s="1" t="str">
        <f ca="1">IFERROR(__xludf.DUMMYFUNCTION("""COMPUTED_VALUE"""),"Driussi")</f>
        <v>Driussi</v>
      </c>
      <c r="C233" s="1" t="str">
        <f ca="1">IFERROR(__xludf.DUMMYFUNCTION("""COMPUTED_VALUE"""),"Austin FC")</f>
        <v>Austin FC</v>
      </c>
      <c r="D233" s="1" t="str">
        <f ca="1">IFERROR(__xludf.DUMMYFUNCTION("""COMPUTED_VALUE"""),"Attacking Midfield")</f>
        <v>Attacking Midfield</v>
      </c>
      <c r="E233" s="2">
        <f ca="1">IFERROR(__xludf.DUMMYFUNCTION("""COMPUTED_VALUE"""),4500000)</f>
        <v>4500000</v>
      </c>
      <c r="F233" s="2">
        <f ca="1">IFERROR(__xludf.DUMMYFUNCTION("""COMPUTED_VALUE"""),6722500)</f>
        <v>6722500</v>
      </c>
      <c r="H233" s="1" t="str">
        <f t="shared" ca="1" si="0"/>
        <v>Attacking Midfield</v>
      </c>
      <c r="I233" s="3" t="str">
        <f t="shared" ca="1" si="1"/>
        <v>Attacking Midfield</v>
      </c>
      <c r="J233" s="1" t="str">
        <f t="shared" ca="1" si="2"/>
        <v>Attacking Midfield</v>
      </c>
      <c r="K233" s="1" t="str">
        <f t="shared" ca="1" si="15"/>
        <v>Attacking Midfield</v>
      </c>
      <c r="L233" s="1" t="str">
        <f t="shared" ca="1" si="3"/>
        <v>Attacking Midfield</v>
      </c>
      <c r="M233" s="1" t="str">
        <f t="shared" ca="1" si="4"/>
        <v>M</v>
      </c>
      <c r="N233" s="1" t="str">
        <f t="shared" ca="1" si="5"/>
        <v>M</v>
      </c>
      <c r="O233" s="1" t="str">
        <f t="shared" ca="1" si="6"/>
        <v>M</v>
      </c>
      <c r="P233" s="1" t="str">
        <f t="shared" ca="1" si="7"/>
        <v>M</v>
      </c>
      <c r="Q233" s="1" t="str">
        <f t="shared" ca="1" si="8"/>
        <v>M</v>
      </c>
      <c r="R233" s="1" t="str">
        <f t="shared" ca="1" si="9"/>
        <v>M</v>
      </c>
      <c r="S233" s="1" t="str">
        <f t="shared" ca="1" si="10"/>
        <v>M</v>
      </c>
      <c r="T233" s="1" t="str">
        <f t="shared" ca="1" si="11"/>
        <v>M</v>
      </c>
      <c r="U233" s="1" t="str">
        <f t="shared" ca="1" si="12"/>
        <v>M</v>
      </c>
      <c r="V233" s="1" t="str">
        <f t="shared" ca="1" si="13"/>
        <v>M</v>
      </c>
      <c r="W233" s="1" t="str">
        <f t="shared" ca="1" si="14"/>
        <v>Sebastián Driussi</v>
      </c>
    </row>
    <row r="234" spans="1:23">
      <c r="A234" s="1" t="str">
        <f ca="1">IFERROR(__xludf.DUMMYFUNCTION("""COMPUTED_VALUE"""),"Érik")</f>
        <v>Érik</v>
      </c>
      <c r="B234" s="1" t="str">
        <f ca="1">IFERROR(__xludf.DUMMYFUNCTION("""COMPUTED_VALUE"""),"Dueñas")</f>
        <v>Dueñas</v>
      </c>
      <c r="C234" s="1" t="str">
        <f ca="1">IFERROR(__xludf.DUMMYFUNCTION("""COMPUTED_VALUE"""),"LAFC")</f>
        <v>LAFC</v>
      </c>
      <c r="D234" s="1" t="str">
        <f ca="1">IFERROR(__xludf.DUMMYFUNCTION("""COMPUTED_VALUE"""),"Central Midfield")</f>
        <v>Central Midfield</v>
      </c>
      <c r="E234" s="2">
        <f ca="1">IFERROR(__xludf.DUMMYFUNCTION("""COMPUTED_VALUE"""),185500)</f>
        <v>185500</v>
      </c>
      <c r="F234" s="2">
        <f ca="1">IFERROR(__xludf.DUMMYFUNCTION("""COMPUTED_VALUE"""),187500)</f>
        <v>187500</v>
      </c>
      <c r="H234" s="1" t="str">
        <f t="shared" ca="1" si="0"/>
        <v>Central Midfield</v>
      </c>
      <c r="I234" s="3" t="str">
        <f t="shared" ca="1" si="1"/>
        <v>Central Midfield</v>
      </c>
      <c r="J234" s="1" t="str">
        <f t="shared" ca="1" si="2"/>
        <v>Central Midfield</v>
      </c>
      <c r="K234" s="1" t="str">
        <f t="shared" ca="1" si="15"/>
        <v>Central Midfield</v>
      </c>
      <c r="L234" s="1" t="str">
        <f t="shared" ca="1" si="3"/>
        <v>M</v>
      </c>
      <c r="M234" s="1" t="str">
        <f t="shared" ca="1" si="4"/>
        <v>M</v>
      </c>
      <c r="N234" s="1" t="str">
        <f t="shared" ca="1" si="5"/>
        <v>M</v>
      </c>
      <c r="O234" s="1" t="str">
        <f t="shared" ca="1" si="6"/>
        <v>M</v>
      </c>
      <c r="P234" s="1" t="str">
        <f t="shared" ca="1" si="7"/>
        <v>M</v>
      </c>
      <c r="Q234" s="1" t="str">
        <f t="shared" ca="1" si="8"/>
        <v>M</v>
      </c>
      <c r="R234" s="1" t="str">
        <f t="shared" ca="1" si="9"/>
        <v>M</v>
      </c>
      <c r="S234" s="1" t="str">
        <f t="shared" ca="1" si="10"/>
        <v>M</v>
      </c>
      <c r="T234" s="1" t="str">
        <f t="shared" ca="1" si="11"/>
        <v>M</v>
      </c>
      <c r="U234" s="1" t="str">
        <f t="shared" ca="1" si="12"/>
        <v>M</v>
      </c>
      <c r="V234" s="1" t="str">
        <f t="shared" ca="1" si="13"/>
        <v>M</v>
      </c>
      <c r="W234" s="1" t="str">
        <f t="shared" ca="1" si="14"/>
        <v>Érik Dueñas</v>
      </c>
    </row>
    <row r="235" spans="1:23">
      <c r="A235" s="1" t="str">
        <f ca="1">IFERROR(__xludf.DUMMYFUNCTION("""COMPUTED_VALUE"""),"Morris")</f>
        <v>Morris</v>
      </c>
      <c r="B235" s="1" t="str">
        <f ca="1">IFERROR(__xludf.DUMMYFUNCTION("""COMPUTED_VALUE"""),"Duggan")</f>
        <v>Duggan</v>
      </c>
      <c r="C235" s="1" t="str">
        <f ca="1">IFERROR(__xludf.DUMMYFUNCTION("""COMPUTED_VALUE"""),"Minnesota United")</f>
        <v>Minnesota United</v>
      </c>
      <c r="D235" s="1" t="str">
        <f ca="1">IFERROR(__xludf.DUMMYFUNCTION("""COMPUTED_VALUE"""),"Center-back")</f>
        <v>Center-back</v>
      </c>
      <c r="E235" s="2">
        <f ca="1">IFERROR(__xludf.DUMMYFUNCTION("""COMPUTED_VALUE"""),71401)</f>
        <v>71401</v>
      </c>
      <c r="F235" s="2">
        <f ca="1">IFERROR(__xludf.DUMMYFUNCTION("""COMPUTED_VALUE"""),71401)</f>
        <v>71401</v>
      </c>
      <c r="H235" s="1" t="str">
        <f t="shared" ca="1" si="0"/>
        <v>D</v>
      </c>
      <c r="I235" s="3" t="str">
        <f t="shared" ca="1" si="1"/>
        <v>D</v>
      </c>
      <c r="J235" s="1" t="str">
        <f t="shared" ca="1" si="2"/>
        <v>D</v>
      </c>
      <c r="K235" s="1" t="str">
        <f t="shared" ca="1" si="15"/>
        <v>D</v>
      </c>
      <c r="L235" s="1" t="str">
        <f t="shared" ca="1" si="3"/>
        <v>D</v>
      </c>
      <c r="M235" s="1" t="str">
        <f t="shared" ca="1" si="4"/>
        <v>D</v>
      </c>
      <c r="N235" s="1" t="str">
        <f t="shared" ca="1" si="5"/>
        <v>D</v>
      </c>
      <c r="O235" s="1" t="str">
        <f t="shared" ca="1" si="6"/>
        <v>D</v>
      </c>
      <c r="P235" s="1" t="str">
        <f t="shared" ca="1" si="7"/>
        <v>D</v>
      </c>
      <c r="Q235" s="1" t="str">
        <f t="shared" ca="1" si="8"/>
        <v>D</v>
      </c>
      <c r="R235" s="1" t="str">
        <f t="shared" ca="1" si="9"/>
        <v>D</v>
      </c>
      <c r="S235" s="1" t="str">
        <f t="shared" ca="1" si="10"/>
        <v>D</v>
      </c>
      <c r="T235" s="1" t="str">
        <f t="shared" ca="1" si="11"/>
        <v>D</v>
      </c>
      <c r="U235" s="1" t="str">
        <f t="shared" ca="1" si="12"/>
        <v>D</v>
      </c>
      <c r="V235" s="1" t="str">
        <f t="shared" ca="1" si="13"/>
        <v>D</v>
      </c>
      <c r="W235" s="1" t="str">
        <f t="shared" ca="1" si="14"/>
        <v>Morris Duggan</v>
      </c>
    </row>
    <row r="236" spans="1:23">
      <c r="A236" s="1" t="str">
        <f ca="1">IFERROR(__xludf.DUMMYFUNCTION("""COMPUTED_VALUE"""),"Bryce")</f>
        <v>Bryce</v>
      </c>
      <c r="B236" s="1" t="str">
        <f ca="1">IFERROR(__xludf.DUMMYFUNCTION("""COMPUTED_VALUE"""),"Duke")</f>
        <v>Duke</v>
      </c>
      <c r="C236" s="1" t="str">
        <f ca="1">IFERROR(__xludf.DUMMYFUNCTION("""COMPUTED_VALUE"""),"CF Montreal")</f>
        <v>CF Montreal</v>
      </c>
      <c r="D236" s="1" t="str">
        <f ca="1">IFERROR(__xludf.DUMMYFUNCTION("""COMPUTED_VALUE"""),"Attacking Midfield")</f>
        <v>Attacking Midfield</v>
      </c>
      <c r="E236" s="2">
        <f ca="1">IFERROR(__xludf.DUMMYFUNCTION("""COMPUTED_VALUE"""),325000)</f>
        <v>325000</v>
      </c>
      <c r="F236" s="2">
        <f ca="1">IFERROR(__xludf.DUMMYFUNCTION("""COMPUTED_VALUE"""),406875)</f>
        <v>406875</v>
      </c>
      <c r="H236" s="1" t="str">
        <f t="shared" ca="1" si="0"/>
        <v>Attacking Midfield</v>
      </c>
      <c r="I236" s="3" t="str">
        <f t="shared" ca="1" si="1"/>
        <v>Attacking Midfield</v>
      </c>
      <c r="J236" s="1" t="str">
        <f t="shared" ca="1" si="2"/>
        <v>Attacking Midfield</v>
      </c>
      <c r="K236" s="1" t="str">
        <f t="shared" ca="1" si="15"/>
        <v>Attacking Midfield</v>
      </c>
      <c r="L236" s="1" t="str">
        <f t="shared" ca="1" si="3"/>
        <v>Attacking Midfield</v>
      </c>
      <c r="M236" s="1" t="str">
        <f t="shared" ca="1" si="4"/>
        <v>M</v>
      </c>
      <c r="N236" s="1" t="str">
        <f t="shared" ca="1" si="5"/>
        <v>M</v>
      </c>
      <c r="O236" s="1" t="str">
        <f t="shared" ca="1" si="6"/>
        <v>M</v>
      </c>
      <c r="P236" s="1" t="str">
        <f t="shared" ca="1" si="7"/>
        <v>M</v>
      </c>
      <c r="Q236" s="1" t="str">
        <f t="shared" ca="1" si="8"/>
        <v>M</v>
      </c>
      <c r="R236" s="1" t="str">
        <f t="shared" ca="1" si="9"/>
        <v>M</v>
      </c>
      <c r="S236" s="1" t="str">
        <f t="shared" ca="1" si="10"/>
        <v>M</v>
      </c>
      <c r="T236" s="1" t="str">
        <f t="shared" ca="1" si="11"/>
        <v>M</v>
      </c>
      <c r="U236" s="1" t="str">
        <f t="shared" ca="1" si="12"/>
        <v>M</v>
      </c>
      <c r="V236" s="1" t="str">
        <f t="shared" ca="1" si="13"/>
        <v>M</v>
      </c>
      <c r="W236" s="1" t="str">
        <f t="shared" ca="1" si="14"/>
        <v>Bryce Duke</v>
      </c>
    </row>
    <row r="237" spans="1:23">
      <c r="A237" s="1" t="str">
        <f ca="1">IFERROR(__xludf.DUMMYFUNCTION("""COMPUTED_VALUE"""),"Kyle")</f>
        <v>Kyle</v>
      </c>
      <c r="B237" s="1" t="str">
        <f ca="1">IFERROR(__xludf.DUMMYFUNCTION("""COMPUTED_VALUE"""),"Duncan")</f>
        <v>Duncan</v>
      </c>
      <c r="C237" s="1" t="str">
        <f ca="1">IFERROR(__xludf.DUMMYFUNCTION("""COMPUTED_VALUE"""),"New York Red Bulls")</f>
        <v>New York Red Bulls</v>
      </c>
      <c r="D237" s="1" t="str">
        <f ca="1">IFERROR(__xludf.DUMMYFUNCTION("""COMPUTED_VALUE"""),"Right-back")</f>
        <v>Right-back</v>
      </c>
      <c r="E237" s="2">
        <f ca="1">IFERROR(__xludf.DUMMYFUNCTION("""COMPUTED_VALUE"""),500000)</f>
        <v>500000</v>
      </c>
      <c r="F237" s="2">
        <f ca="1">IFERROR(__xludf.DUMMYFUNCTION("""COMPUTED_VALUE"""),555750)</f>
        <v>555750</v>
      </c>
      <c r="H237" s="1" t="str">
        <f t="shared" ca="1" si="0"/>
        <v>Right-back</v>
      </c>
      <c r="I237" s="3" t="str">
        <f t="shared" ca="1" si="1"/>
        <v>Right-back</v>
      </c>
      <c r="J237" s="1" t="str">
        <f t="shared" ca="1" si="2"/>
        <v>D</v>
      </c>
      <c r="K237" s="1" t="str">
        <f t="shared" ca="1" si="15"/>
        <v>D</v>
      </c>
      <c r="L237" s="1" t="str">
        <f t="shared" ca="1" si="3"/>
        <v>D</v>
      </c>
      <c r="M237" s="1" t="str">
        <f t="shared" ca="1" si="4"/>
        <v>D</v>
      </c>
      <c r="N237" s="1" t="str">
        <f t="shared" ca="1" si="5"/>
        <v>D</v>
      </c>
      <c r="O237" s="1" t="str">
        <f t="shared" ca="1" si="6"/>
        <v>D</v>
      </c>
      <c r="P237" s="1" t="str">
        <f t="shared" ca="1" si="7"/>
        <v>D</v>
      </c>
      <c r="Q237" s="1" t="str">
        <f t="shared" ca="1" si="8"/>
        <v>D</v>
      </c>
      <c r="R237" s="1" t="str">
        <f t="shared" ca="1" si="9"/>
        <v>D</v>
      </c>
      <c r="S237" s="1" t="str">
        <f t="shared" ca="1" si="10"/>
        <v>D</v>
      </c>
      <c r="T237" s="1" t="str">
        <f t="shared" ca="1" si="11"/>
        <v>D</v>
      </c>
      <c r="U237" s="1" t="str">
        <f t="shared" ca="1" si="12"/>
        <v>D</v>
      </c>
      <c r="V237" s="1" t="str">
        <f t="shared" ca="1" si="13"/>
        <v>D</v>
      </c>
      <c r="W237" s="1" t="str">
        <f t="shared" ca="1" si="14"/>
        <v>Kyle Duncan</v>
      </c>
    </row>
    <row r="238" spans="1:23">
      <c r="A238" s="1" t="str">
        <f ca="1">IFERROR(__xludf.DUMMYFUNCTION("""COMPUTED_VALUE"""),"Chris")</f>
        <v>Chris</v>
      </c>
      <c r="B238" s="1" t="str">
        <f ca="1">IFERROR(__xludf.DUMMYFUNCTION("""COMPUTED_VALUE"""),"Durkin")</f>
        <v>Durkin</v>
      </c>
      <c r="C238" s="1" t="str">
        <f ca="1">IFERROR(__xludf.DUMMYFUNCTION("""COMPUTED_VALUE"""),"St. Louis City SC")</f>
        <v>St. Louis City SC</v>
      </c>
      <c r="D238" s="1" t="str">
        <f ca="1">IFERROR(__xludf.DUMMYFUNCTION("""COMPUTED_VALUE"""),"Defensive Midfield")</f>
        <v>Defensive Midfield</v>
      </c>
      <c r="E238" s="2">
        <f ca="1">IFERROR(__xludf.DUMMYFUNCTION("""COMPUTED_VALUE"""),450000)</f>
        <v>450000</v>
      </c>
      <c r="F238" s="2">
        <f ca="1">IFERROR(__xludf.DUMMYFUNCTION("""COMPUTED_VALUE"""),495000)</f>
        <v>495000</v>
      </c>
      <c r="H238" s="1" t="str">
        <f t="shared" ca="1" si="0"/>
        <v>Defensive Midfield</v>
      </c>
      <c r="I238" s="3" t="str">
        <f t="shared" ca="1" si="1"/>
        <v>Defensive Midfield</v>
      </c>
      <c r="J238" s="1" t="str">
        <f t="shared" ca="1" si="2"/>
        <v>Defensive Midfield</v>
      </c>
      <c r="K238" s="1" t="str">
        <f t="shared" ca="1" si="15"/>
        <v>M</v>
      </c>
      <c r="L238" s="1" t="str">
        <f t="shared" ca="1" si="3"/>
        <v>M</v>
      </c>
      <c r="M238" s="1" t="str">
        <f t="shared" ca="1" si="4"/>
        <v>M</v>
      </c>
      <c r="N238" s="1" t="str">
        <f t="shared" ca="1" si="5"/>
        <v>M</v>
      </c>
      <c r="O238" s="1" t="str">
        <f t="shared" ca="1" si="6"/>
        <v>M</v>
      </c>
      <c r="P238" s="1" t="str">
        <f t="shared" ca="1" si="7"/>
        <v>M</v>
      </c>
      <c r="Q238" s="1" t="str">
        <f t="shared" ca="1" si="8"/>
        <v>M</v>
      </c>
      <c r="R238" s="1" t="str">
        <f t="shared" ca="1" si="9"/>
        <v>M</v>
      </c>
      <c r="S238" s="1" t="str">
        <f t="shared" ca="1" si="10"/>
        <v>M</v>
      </c>
      <c r="T238" s="1" t="str">
        <f t="shared" ca="1" si="11"/>
        <v>M</v>
      </c>
      <c r="U238" s="1" t="str">
        <f t="shared" ca="1" si="12"/>
        <v>M</v>
      </c>
      <c r="V238" s="1" t="str">
        <f t="shared" ca="1" si="13"/>
        <v>M</v>
      </c>
      <c r="W238" s="1" t="str">
        <f t="shared" ca="1" si="14"/>
        <v>Chris Durkin</v>
      </c>
    </row>
    <row r="239" spans="1:23">
      <c r="A239" s="1" t="str">
        <f ca="1">IFERROR(__xludf.DUMMYFUNCTION("""COMPUTED_VALUE"""),"Nikolas")</f>
        <v>Nikolas</v>
      </c>
      <c r="B239" s="1" t="str">
        <f ca="1">IFERROR(__xludf.DUMMYFUNCTION("""COMPUTED_VALUE"""),"Dyhr")</f>
        <v>Dyhr</v>
      </c>
      <c r="C239" s="1" t="str">
        <f ca="1">IFERROR(__xludf.DUMMYFUNCTION("""COMPUTED_VALUE"""),"St. Louis City SC")</f>
        <v>St. Louis City SC</v>
      </c>
      <c r="D239" s="1" t="str">
        <f ca="1">IFERROR(__xludf.DUMMYFUNCTION("""COMPUTED_VALUE"""),"Left-back")</f>
        <v>Left-back</v>
      </c>
      <c r="E239" s="2">
        <f ca="1">IFERROR(__xludf.DUMMYFUNCTION("""COMPUTED_VALUE"""),273000)</f>
        <v>273000</v>
      </c>
      <c r="F239" s="2">
        <f ca="1">IFERROR(__xludf.DUMMYFUNCTION("""COMPUTED_VALUE"""),309200)</f>
        <v>309200</v>
      </c>
      <c r="H239" s="1" t="str">
        <f t="shared" ca="1" si="0"/>
        <v>Left-back</v>
      </c>
      <c r="I239" s="3" t="str">
        <f t="shared" ca="1" si="1"/>
        <v>D</v>
      </c>
      <c r="J239" s="1" t="str">
        <f t="shared" ca="1" si="2"/>
        <v>D</v>
      </c>
      <c r="K239" s="1" t="str">
        <f t="shared" ca="1" si="15"/>
        <v>D</v>
      </c>
      <c r="L239" s="1" t="str">
        <f t="shared" ca="1" si="3"/>
        <v>D</v>
      </c>
      <c r="M239" s="1" t="str">
        <f t="shared" ca="1" si="4"/>
        <v>D</v>
      </c>
      <c r="N239" s="1" t="str">
        <f t="shared" ca="1" si="5"/>
        <v>D</v>
      </c>
      <c r="O239" s="1" t="str">
        <f t="shared" ca="1" si="6"/>
        <v>D</v>
      </c>
      <c r="P239" s="1" t="str">
        <f t="shared" ca="1" si="7"/>
        <v>D</v>
      </c>
      <c r="Q239" s="1" t="str">
        <f t="shared" ca="1" si="8"/>
        <v>D</v>
      </c>
      <c r="R239" s="1" t="str">
        <f t="shared" ca="1" si="9"/>
        <v>D</v>
      </c>
      <c r="S239" s="1" t="str">
        <f t="shared" ca="1" si="10"/>
        <v>D</v>
      </c>
      <c r="T239" s="1" t="str">
        <f t="shared" ca="1" si="11"/>
        <v>D</v>
      </c>
      <c r="U239" s="1" t="str">
        <f t="shared" ca="1" si="12"/>
        <v>D</v>
      </c>
      <c r="V239" s="1" t="str">
        <f t="shared" ca="1" si="13"/>
        <v>D</v>
      </c>
      <c r="W239" s="1" t="str">
        <f t="shared" ca="1" si="14"/>
        <v>Nikolas Dyhr</v>
      </c>
    </row>
    <row r="240" spans="1:23">
      <c r="A240" s="1" t="str">
        <f ca="1">IFERROR(__xludf.DUMMYFUNCTION("""COMPUTED_VALUE"""),"Jeremy")</f>
        <v>Jeremy</v>
      </c>
      <c r="B240" s="1" t="str">
        <f ca="1">IFERROR(__xludf.DUMMYFUNCTION("""COMPUTED_VALUE"""),"Ebobisse")</f>
        <v>Ebobisse</v>
      </c>
      <c r="C240" s="1" t="str">
        <f ca="1">IFERROR(__xludf.DUMMYFUNCTION("""COMPUTED_VALUE"""),"San Jose Earthquakes")</f>
        <v>San Jose Earthquakes</v>
      </c>
      <c r="D240" s="1" t="str">
        <f ca="1">IFERROR(__xludf.DUMMYFUNCTION("""COMPUTED_VALUE"""),"Center Forward")</f>
        <v>Center Forward</v>
      </c>
      <c r="E240" s="2">
        <f ca="1">IFERROR(__xludf.DUMMYFUNCTION("""COMPUTED_VALUE"""),859478)</f>
        <v>859478</v>
      </c>
      <c r="F240" s="2">
        <f ca="1">IFERROR(__xludf.DUMMYFUNCTION("""COMPUTED_VALUE"""),1005361)</f>
        <v>1005361</v>
      </c>
      <c r="H240" s="1" t="str">
        <f t="shared" ca="1" si="0"/>
        <v>Center Forward</v>
      </c>
      <c r="I240" s="3" t="str">
        <f t="shared" ca="1" si="1"/>
        <v>Center Forward</v>
      </c>
      <c r="J240" s="1" t="str">
        <f t="shared" ca="1" si="2"/>
        <v>Center Forward</v>
      </c>
      <c r="K240" s="1" t="str">
        <f t="shared" ca="1" si="15"/>
        <v>Center Forward</v>
      </c>
      <c r="L240" s="1" t="str">
        <f t="shared" ca="1" si="3"/>
        <v>Center Forward</v>
      </c>
      <c r="M240" s="1" t="str">
        <f t="shared" ca="1" si="4"/>
        <v>Center Forward</v>
      </c>
      <c r="N240" s="1" t="str">
        <f t="shared" ca="1" si="5"/>
        <v>Center Forward</v>
      </c>
      <c r="O240" s="1" t="str">
        <f t="shared" ca="1" si="6"/>
        <v>F</v>
      </c>
      <c r="P240" s="1" t="str">
        <f t="shared" ca="1" si="7"/>
        <v>F</v>
      </c>
      <c r="Q240" s="1" t="str">
        <f t="shared" ca="1" si="8"/>
        <v>F</v>
      </c>
      <c r="R240" s="1" t="str">
        <f t="shared" ca="1" si="9"/>
        <v>F</v>
      </c>
      <c r="S240" s="1" t="str">
        <f t="shared" ca="1" si="10"/>
        <v>F</v>
      </c>
      <c r="T240" s="1" t="str">
        <f t="shared" ca="1" si="11"/>
        <v>F</v>
      </c>
      <c r="U240" s="1" t="str">
        <f t="shared" ca="1" si="12"/>
        <v>F</v>
      </c>
      <c r="V240" s="1" t="str">
        <f t="shared" ca="1" si="13"/>
        <v>F</v>
      </c>
      <c r="W240" s="1" t="str">
        <f t="shared" ca="1" si="14"/>
        <v>Jeremy Ebobisse</v>
      </c>
    </row>
    <row r="241" spans="1:23">
      <c r="A241" s="1" t="str">
        <f ca="1">IFERROR(__xludf.DUMMYFUNCTION("""COMPUTED_VALUE"""),"Daniel")</f>
        <v>Daniel</v>
      </c>
      <c r="B241" s="1" t="str">
        <f ca="1">IFERROR(__xludf.DUMMYFUNCTION("""COMPUTED_VALUE"""),"Edelman")</f>
        <v>Edelman</v>
      </c>
      <c r="C241" s="1" t="str">
        <f ca="1">IFERROR(__xludf.DUMMYFUNCTION("""COMPUTED_VALUE"""),"New York Red Bulls")</f>
        <v>New York Red Bulls</v>
      </c>
      <c r="D241" s="1" t="str">
        <f ca="1">IFERROR(__xludf.DUMMYFUNCTION("""COMPUTED_VALUE"""),"Defensive Midfield")</f>
        <v>Defensive Midfield</v>
      </c>
      <c r="E241" s="2">
        <f ca="1">IFERROR(__xludf.DUMMYFUNCTION("""COMPUTED_VALUE"""),385000)</f>
        <v>385000</v>
      </c>
      <c r="F241" s="2">
        <f ca="1">IFERROR(__xludf.DUMMYFUNCTION("""COMPUTED_VALUE"""),385000)</f>
        <v>385000</v>
      </c>
      <c r="H241" s="1" t="str">
        <f t="shared" ca="1" si="0"/>
        <v>Defensive Midfield</v>
      </c>
      <c r="I241" s="3" t="str">
        <f t="shared" ca="1" si="1"/>
        <v>Defensive Midfield</v>
      </c>
      <c r="J241" s="1" t="str">
        <f t="shared" ca="1" si="2"/>
        <v>Defensive Midfield</v>
      </c>
      <c r="K241" s="1" t="str">
        <f t="shared" ca="1" si="15"/>
        <v>M</v>
      </c>
      <c r="L241" s="1" t="str">
        <f t="shared" ca="1" si="3"/>
        <v>M</v>
      </c>
      <c r="M241" s="1" t="str">
        <f t="shared" ca="1" si="4"/>
        <v>M</v>
      </c>
      <c r="N241" s="1" t="str">
        <f t="shared" ca="1" si="5"/>
        <v>M</v>
      </c>
      <c r="O241" s="1" t="str">
        <f t="shared" ca="1" si="6"/>
        <v>M</v>
      </c>
      <c r="P241" s="1" t="str">
        <f t="shared" ca="1" si="7"/>
        <v>M</v>
      </c>
      <c r="Q241" s="1" t="str">
        <f t="shared" ca="1" si="8"/>
        <v>M</v>
      </c>
      <c r="R241" s="1" t="str">
        <f t="shared" ca="1" si="9"/>
        <v>M</v>
      </c>
      <c r="S241" s="1" t="str">
        <f t="shared" ca="1" si="10"/>
        <v>M</v>
      </c>
      <c r="T241" s="1" t="str">
        <f t="shared" ca="1" si="11"/>
        <v>M</v>
      </c>
      <c r="U241" s="1" t="str">
        <f t="shared" ca="1" si="12"/>
        <v>M</v>
      </c>
      <c r="V241" s="1" t="str">
        <f t="shared" ca="1" si="13"/>
        <v>M</v>
      </c>
      <c r="W241" s="1" t="str">
        <f t="shared" ca="1" si="14"/>
        <v>Daniel Edelman</v>
      </c>
    </row>
    <row r="242" spans="1:23">
      <c r="A242" s="1" t="str">
        <f ca="1">IFERROR(__xludf.DUMMYFUNCTION("""COMPUTED_VALUE"""),"Michael")</f>
        <v>Michael</v>
      </c>
      <c r="B242" s="1" t="str">
        <f ca="1">IFERROR(__xludf.DUMMYFUNCTION("""COMPUTED_VALUE"""),"Edwards")</f>
        <v>Edwards</v>
      </c>
      <c r="C242" s="1" t="str">
        <f ca="1">IFERROR(__xludf.DUMMYFUNCTION("""COMPUTED_VALUE"""),"Colorado Rapids")</f>
        <v>Colorado Rapids</v>
      </c>
      <c r="D242" s="1" t="str">
        <f ca="1">IFERROR(__xludf.DUMMYFUNCTION("""COMPUTED_VALUE"""),"Center-back")</f>
        <v>Center-back</v>
      </c>
      <c r="E242" s="2">
        <f ca="1">IFERROR(__xludf.DUMMYFUNCTION("""COMPUTED_VALUE"""),130000)</f>
        <v>130000</v>
      </c>
      <c r="F242" s="2">
        <f ca="1">IFERROR(__xludf.DUMMYFUNCTION("""COMPUTED_VALUE"""),130000)</f>
        <v>130000</v>
      </c>
      <c r="H242" s="1" t="str">
        <f t="shared" ca="1" si="0"/>
        <v>D</v>
      </c>
      <c r="I242" s="3" t="str">
        <f t="shared" ca="1" si="1"/>
        <v>D</v>
      </c>
      <c r="J242" s="1" t="str">
        <f t="shared" ca="1" si="2"/>
        <v>D</v>
      </c>
      <c r="K242" s="1" t="str">
        <f t="shared" ca="1" si="15"/>
        <v>D</v>
      </c>
      <c r="L242" s="1" t="str">
        <f t="shared" ca="1" si="3"/>
        <v>D</v>
      </c>
      <c r="M242" s="1" t="str">
        <f t="shared" ca="1" si="4"/>
        <v>D</v>
      </c>
      <c r="N242" s="1" t="str">
        <f t="shared" ca="1" si="5"/>
        <v>D</v>
      </c>
      <c r="O242" s="1" t="str">
        <f t="shared" ca="1" si="6"/>
        <v>D</v>
      </c>
      <c r="P242" s="1" t="str">
        <f t="shared" ca="1" si="7"/>
        <v>D</v>
      </c>
      <c r="Q242" s="1" t="str">
        <f t="shared" ca="1" si="8"/>
        <v>D</v>
      </c>
      <c r="R242" s="1" t="str">
        <f t="shared" ca="1" si="9"/>
        <v>D</v>
      </c>
      <c r="S242" s="1" t="str">
        <f t="shared" ca="1" si="10"/>
        <v>D</v>
      </c>
      <c r="T242" s="1" t="str">
        <f t="shared" ca="1" si="11"/>
        <v>D</v>
      </c>
      <c r="U242" s="1" t="str">
        <f t="shared" ca="1" si="12"/>
        <v>D</v>
      </c>
      <c r="V242" s="1" t="str">
        <f t="shared" ca="1" si="13"/>
        <v>D</v>
      </c>
      <c r="W242" s="1" t="str">
        <f t="shared" ca="1" si="14"/>
        <v>Michael Edwards</v>
      </c>
    </row>
    <row r="243" spans="1:23">
      <c r="A243" s="1" t="str">
        <f ca="1">IFERROR(__xludf.DUMMYFUNCTION("""COMPUTED_VALUE"""),"Raheem")</f>
        <v>Raheem</v>
      </c>
      <c r="B243" s="1" t="str">
        <f ca="1">IFERROR(__xludf.DUMMYFUNCTION("""COMPUTED_VALUE"""),"Edwards")</f>
        <v>Edwards</v>
      </c>
      <c r="C243" s="1" t="str">
        <f ca="1">IFERROR(__xludf.DUMMYFUNCTION("""COMPUTED_VALUE"""),"CF Montreal")</f>
        <v>CF Montreal</v>
      </c>
      <c r="D243" s="1" t="str">
        <f ca="1">IFERROR(__xludf.DUMMYFUNCTION("""COMPUTED_VALUE"""),"Left-back")</f>
        <v>Left-back</v>
      </c>
      <c r="E243" s="2">
        <f ca="1">IFERROR(__xludf.DUMMYFUNCTION("""COMPUTED_VALUE"""),335000)</f>
        <v>335000</v>
      </c>
      <c r="F243" s="2">
        <f ca="1">IFERROR(__xludf.DUMMYFUNCTION("""COMPUTED_VALUE"""),367500)</f>
        <v>367500</v>
      </c>
      <c r="H243" s="1" t="str">
        <f t="shared" ca="1" si="0"/>
        <v>Left-back</v>
      </c>
      <c r="I243" s="3" t="str">
        <f t="shared" ca="1" si="1"/>
        <v>D</v>
      </c>
      <c r="J243" s="1" t="str">
        <f t="shared" ca="1" si="2"/>
        <v>D</v>
      </c>
      <c r="K243" s="1" t="str">
        <f t="shared" ca="1" si="15"/>
        <v>D</v>
      </c>
      <c r="L243" s="1" t="str">
        <f t="shared" ca="1" si="3"/>
        <v>D</v>
      </c>
      <c r="M243" s="1" t="str">
        <f t="shared" ca="1" si="4"/>
        <v>D</v>
      </c>
      <c r="N243" s="1" t="str">
        <f t="shared" ca="1" si="5"/>
        <v>D</v>
      </c>
      <c r="O243" s="1" t="str">
        <f t="shared" ca="1" si="6"/>
        <v>D</v>
      </c>
      <c r="P243" s="1" t="str">
        <f t="shared" ca="1" si="7"/>
        <v>D</v>
      </c>
      <c r="Q243" s="1" t="str">
        <f t="shared" ca="1" si="8"/>
        <v>D</v>
      </c>
      <c r="R243" s="1" t="str">
        <f t="shared" ca="1" si="9"/>
        <v>D</v>
      </c>
      <c r="S243" s="1" t="str">
        <f t="shared" ca="1" si="10"/>
        <v>D</v>
      </c>
      <c r="T243" s="1" t="str">
        <f t="shared" ca="1" si="11"/>
        <v>D</v>
      </c>
      <c r="U243" s="1" t="str">
        <f t="shared" ca="1" si="12"/>
        <v>D</v>
      </c>
      <c r="V243" s="1" t="str">
        <f t="shared" ca="1" si="13"/>
        <v>D</v>
      </c>
      <c r="W243" s="1" t="str">
        <f t="shared" ca="1" si="14"/>
        <v>Raheem Edwards</v>
      </c>
    </row>
    <row r="244" spans="1:23">
      <c r="A244" s="1" t="str">
        <f ca="1">IFERROR(__xludf.DUMMYFUNCTION("""COMPUTED_VALUE"""),"Earl")</f>
        <v>Earl</v>
      </c>
      <c r="B244" s="1" t="str">
        <f ca="1">IFERROR(__xludf.DUMMYFUNCTION("""COMPUTED_VALUE"""),"Edwards Jr.")</f>
        <v>Edwards Jr.</v>
      </c>
      <c r="C244" s="1" t="str">
        <f ca="1">IFERROR(__xludf.DUMMYFUNCTION("""COMPUTED_VALUE"""),"New England Revolution")</f>
        <v>New England Revolution</v>
      </c>
      <c r="D244" s="1" t="str">
        <f ca="1">IFERROR(__xludf.DUMMYFUNCTION("""COMPUTED_VALUE"""),"Goalkeeper")</f>
        <v>Goalkeeper</v>
      </c>
      <c r="E244" s="2">
        <f ca="1">IFERROR(__xludf.DUMMYFUNCTION("""COMPUTED_VALUE"""),155000)</f>
        <v>155000</v>
      </c>
      <c r="F244" s="2">
        <f ca="1">IFERROR(__xludf.DUMMYFUNCTION("""COMPUTED_VALUE"""),155000)</f>
        <v>155000</v>
      </c>
      <c r="H244" s="1" t="str">
        <f t="shared" ca="1" si="0"/>
        <v>Goalkeeper</v>
      </c>
      <c r="I244" s="3" t="str">
        <f t="shared" ca="1" si="1"/>
        <v>Goalkeeper</v>
      </c>
      <c r="J244" s="1" t="str">
        <f t="shared" ca="1" si="2"/>
        <v>Goalkeeper</v>
      </c>
      <c r="K244" s="1" t="str">
        <f t="shared" ca="1" si="15"/>
        <v>Goalkeeper</v>
      </c>
      <c r="L244" s="1" t="str">
        <f t="shared" ca="1" si="3"/>
        <v>Goalkeeper</v>
      </c>
      <c r="M244" s="1" t="str">
        <f t="shared" ca="1" si="4"/>
        <v>Goalkeeper</v>
      </c>
      <c r="N244" s="1" t="str">
        <f t="shared" ca="1" si="5"/>
        <v>Goalkeeper</v>
      </c>
      <c r="O244" s="1" t="str">
        <f t="shared" ca="1" si="6"/>
        <v>Goalkeeper</v>
      </c>
      <c r="P244" s="1" t="str">
        <f t="shared" ca="1" si="7"/>
        <v>Goalkeeper</v>
      </c>
      <c r="Q244" s="1" t="str">
        <f t="shared" ca="1" si="8"/>
        <v>Goalkeeper</v>
      </c>
      <c r="R244" s="1" t="str">
        <f t="shared" ca="1" si="9"/>
        <v>GK</v>
      </c>
      <c r="S244" s="1" t="str">
        <f t="shared" ca="1" si="10"/>
        <v>GK</v>
      </c>
      <c r="T244" s="1" t="str">
        <f t="shared" ca="1" si="11"/>
        <v>GK</v>
      </c>
      <c r="U244" s="1" t="str">
        <f t="shared" ca="1" si="12"/>
        <v>GK</v>
      </c>
      <c r="V244" s="1" t="str">
        <f t="shared" ca="1" si="13"/>
        <v>GK</v>
      </c>
      <c r="W244" s="1" t="str">
        <f t="shared" ca="1" si="14"/>
        <v>Earl Edwards Jr.</v>
      </c>
    </row>
    <row r="245" spans="1:23">
      <c r="A245" s="1" t="str">
        <f ca="1">IFERROR(__xludf.DUMMYFUNCTION("""COMPUTED_VALUE"""),"Noah")</f>
        <v>Noah</v>
      </c>
      <c r="B245" s="1" t="str">
        <f ca="1">IFERROR(__xludf.DUMMYFUNCTION("""COMPUTED_VALUE"""),"Eile")</f>
        <v>Eile</v>
      </c>
      <c r="C245" s="1" t="str">
        <f ca="1">IFERROR(__xludf.DUMMYFUNCTION("""COMPUTED_VALUE"""),"New York Red Bulls")</f>
        <v>New York Red Bulls</v>
      </c>
      <c r="D245" s="1" t="str">
        <f ca="1">IFERROR(__xludf.DUMMYFUNCTION("""COMPUTED_VALUE"""),"Center-back")</f>
        <v>Center-back</v>
      </c>
      <c r="E245" s="2">
        <f ca="1">IFERROR(__xludf.DUMMYFUNCTION("""COMPUTED_VALUE"""),420000)</f>
        <v>420000</v>
      </c>
      <c r="F245" s="2">
        <f ca="1">IFERROR(__xludf.DUMMYFUNCTION("""COMPUTED_VALUE"""),473200)</f>
        <v>473200</v>
      </c>
      <c r="H245" s="1" t="str">
        <f t="shared" ca="1" si="0"/>
        <v>D</v>
      </c>
      <c r="I245" s="3" t="str">
        <f t="shared" ca="1" si="1"/>
        <v>D</v>
      </c>
      <c r="J245" s="1" t="str">
        <f t="shared" ca="1" si="2"/>
        <v>D</v>
      </c>
      <c r="K245" s="1" t="str">
        <f t="shared" ca="1" si="15"/>
        <v>D</v>
      </c>
      <c r="L245" s="1" t="str">
        <f t="shared" ca="1" si="3"/>
        <v>D</v>
      </c>
      <c r="M245" s="1" t="str">
        <f t="shared" ca="1" si="4"/>
        <v>D</v>
      </c>
      <c r="N245" s="1" t="str">
        <f t="shared" ca="1" si="5"/>
        <v>D</v>
      </c>
      <c r="O245" s="1" t="str">
        <f t="shared" ca="1" si="6"/>
        <v>D</v>
      </c>
      <c r="P245" s="1" t="str">
        <f t="shared" ca="1" si="7"/>
        <v>D</v>
      </c>
      <c r="Q245" s="1" t="str">
        <f t="shared" ca="1" si="8"/>
        <v>D</v>
      </c>
      <c r="R245" s="1" t="str">
        <f t="shared" ca="1" si="9"/>
        <v>D</v>
      </c>
      <c r="S245" s="1" t="str">
        <f t="shared" ca="1" si="10"/>
        <v>D</v>
      </c>
      <c r="T245" s="1" t="str">
        <f t="shared" ca="1" si="11"/>
        <v>D</v>
      </c>
      <c r="U245" s="1" t="str">
        <f t="shared" ca="1" si="12"/>
        <v>D</v>
      </c>
      <c r="V245" s="1" t="str">
        <f t="shared" ca="1" si="13"/>
        <v>D</v>
      </c>
      <c r="W245" s="1" t="str">
        <f t="shared" ca="1" si="14"/>
        <v>Noah Eile</v>
      </c>
    </row>
    <row r="246" spans="1:23">
      <c r="A246" s="1" t="str">
        <f ca="1">IFERROR(__xludf.DUMMYFUNCTION("""COMPUTED_VALUE"""),"Jack")</f>
        <v>Jack</v>
      </c>
      <c r="B246" s="1" t="str">
        <f ca="1">IFERROR(__xludf.DUMMYFUNCTION("""COMPUTED_VALUE"""),"Elliott")</f>
        <v>Elliott</v>
      </c>
      <c r="C246" s="1" t="str">
        <f ca="1">IFERROR(__xludf.DUMMYFUNCTION("""COMPUTED_VALUE"""),"Philadelphia Union")</f>
        <v>Philadelphia Union</v>
      </c>
      <c r="D246" s="1" t="str">
        <f ca="1">IFERROR(__xludf.DUMMYFUNCTION("""COMPUTED_VALUE"""),"Center-back")</f>
        <v>Center-back</v>
      </c>
      <c r="E246" s="2">
        <f ca="1">IFERROR(__xludf.DUMMYFUNCTION("""COMPUTED_VALUE"""),800000)</f>
        <v>800000</v>
      </c>
      <c r="F246" s="2">
        <f ca="1">IFERROR(__xludf.DUMMYFUNCTION("""COMPUTED_VALUE"""),893750)</f>
        <v>893750</v>
      </c>
      <c r="H246" s="1" t="str">
        <f t="shared" ca="1" si="0"/>
        <v>D</v>
      </c>
      <c r="I246" s="3" t="str">
        <f t="shared" ca="1" si="1"/>
        <v>D</v>
      </c>
      <c r="J246" s="1" t="str">
        <f t="shared" ca="1" si="2"/>
        <v>D</v>
      </c>
      <c r="K246" s="1" t="str">
        <f t="shared" ca="1" si="15"/>
        <v>D</v>
      </c>
      <c r="L246" s="1" t="str">
        <f t="shared" ca="1" si="3"/>
        <v>D</v>
      </c>
      <c r="M246" s="1" t="str">
        <f t="shared" ca="1" si="4"/>
        <v>D</v>
      </c>
      <c r="N246" s="1" t="str">
        <f t="shared" ca="1" si="5"/>
        <v>D</v>
      </c>
      <c r="O246" s="1" t="str">
        <f t="shared" ca="1" si="6"/>
        <v>D</v>
      </c>
      <c r="P246" s="1" t="str">
        <f t="shared" ca="1" si="7"/>
        <v>D</v>
      </c>
      <c r="Q246" s="1" t="str">
        <f t="shared" ca="1" si="8"/>
        <v>D</v>
      </c>
      <c r="R246" s="1" t="str">
        <f t="shared" ca="1" si="9"/>
        <v>D</v>
      </c>
      <c r="S246" s="1" t="str">
        <f t="shared" ca="1" si="10"/>
        <v>D</v>
      </c>
      <c r="T246" s="1" t="str">
        <f t="shared" ca="1" si="11"/>
        <v>D</v>
      </c>
      <c r="U246" s="1" t="str">
        <f t="shared" ca="1" si="12"/>
        <v>D</v>
      </c>
      <c r="V246" s="1" t="str">
        <f t="shared" ca="1" si="13"/>
        <v>D</v>
      </c>
      <c r="W246" s="1" t="str">
        <f t="shared" ca="1" si="14"/>
        <v>Jack Elliott</v>
      </c>
    </row>
    <row r="247" spans="1:23">
      <c r="A247" s="1" t="str">
        <f ca="1">IFERROR(__xludf.DUMMYFUNCTION("""COMPUTED_VALUE"""),"Herbert")</f>
        <v>Herbert</v>
      </c>
      <c r="B247" s="1" t="str">
        <f ca="1">IFERROR(__xludf.DUMMYFUNCTION("""COMPUTED_VALUE"""),"Endeley")</f>
        <v>Endeley</v>
      </c>
      <c r="C247" s="1" t="str">
        <f ca="1">IFERROR(__xludf.DUMMYFUNCTION("""COMPUTED_VALUE"""),"FC Dallas")</f>
        <v>FC Dallas</v>
      </c>
      <c r="D247" s="1" t="str">
        <f ca="1">IFERROR(__xludf.DUMMYFUNCTION("""COMPUTED_VALUE"""),"Right-back")</f>
        <v>Right-back</v>
      </c>
      <c r="E247" s="2">
        <f ca="1">IFERROR(__xludf.DUMMYFUNCTION("""COMPUTED_VALUE"""),71401)</f>
        <v>71401</v>
      </c>
      <c r="F247" s="2">
        <f ca="1">IFERROR(__xludf.DUMMYFUNCTION("""COMPUTED_VALUE"""),71401)</f>
        <v>71401</v>
      </c>
      <c r="H247" s="1" t="str">
        <f t="shared" ca="1" si="0"/>
        <v>Right-back</v>
      </c>
      <c r="I247" s="3" t="str">
        <f t="shared" ca="1" si="1"/>
        <v>Right-back</v>
      </c>
      <c r="J247" s="1" t="str">
        <f t="shared" ca="1" si="2"/>
        <v>D</v>
      </c>
      <c r="K247" s="1" t="str">
        <f t="shared" ca="1" si="15"/>
        <v>D</v>
      </c>
      <c r="L247" s="1" t="str">
        <f t="shared" ca="1" si="3"/>
        <v>D</v>
      </c>
      <c r="M247" s="1" t="str">
        <f t="shared" ca="1" si="4"/>
        <v>D</v>
      </c>
      <c r="N247" s="1" t="str">
        <f t="shared" ca="1" si="5"/>
        <v>D</v>
      </c>
      <c r="O247" s="1" t="str">
        <f t="shared" ca="1" si="6"/>
        <v>D</v>
      </c>
      <c r="P247" s="1" t="str">
        <f t="shared" ca="1" si="7"/>
        <v>D</v>
      </c>
      <c r="Q247" s="1" t="str">
        <f t="shared" ca="1" si="8"/>
        <v>D</v>
      </c>
      <c r="R247" s="1" t="str">
        <f t="shared" ca="1" si="9"/>
        <v>D</v>
      </c>
      <c r="S247" s="1" t="str">
        <f t="shared" ca="1" si="10"/>
        <v>D</v>
      </c>
      <c r="T247" s="1" t="str">
        <f t="shared" ca="1" si="11"/>
        <v>D</v>
      </c>
      <c r="U247" s="1" t="str">
        <f t="shared" ca="1" si="12"/>
        <v>D</v>
      </c>
      <c r="V247" s="1" t="str">
        <f t="shared" ca="1" si="13"/>
        <v>D</v>
      </c>
      <c r="W247" s="1" t="str">
        <f t="shared" ca="1" si="14"/>
        <v>Herbert Endeley</v>
      </c>
    </row>
    <row r="248" spans="1:23">
      <c r="A248" s="1" t="str">
        <f ca="1">IFERROR(__xludf.DUMMYFUNCTION("""COMPUTED_VALUE"""),"Emeka")</f>
        <v>Emeka</v>
      </c>
      <c r="B248" s="1" t="str">
        <f ca="1">IFERROR(__xludf.DUMMYFUNCTION("""COMPUTED_VALUE"""),"Eneli")</f>
        <v>Eneli</v>
      </c>
      <c r="C248" s="1" t="str">
        <f ca="1">IFERROR(__xludf.DUMMYFUNCTION("""COMPUTED_VALUE"""),"Real Salt Lake")</f>
        <v>Real Salt Lake</v>
      </c>
      <c r="D248" s="1" t="str">
        <f ca="1">IFERROR(__xludf.DUMMYFUNCTION("""COMPUTED_VALUE"""),"Right-back")</f>
        <v>Right-back</v>
      </c>
      <c r="E248" s="2">
        <f ca="1">IFERROR(__xludf.DUMMYFUNCTION("""COMPUTED_VALUE"""),89716)</f>
        <v>89716</v>
      </c>
      <c r="F248" s="2">
        <f ca="1">IFERROR(__xludf.DUMMYFUNCTION("""COMPUTED_VALUE"""),89716)</f>
        <v>89716</v>
      </c>
      <c r="H248" s="1" t="str">
        <f t="shared" ca="1" si="0"/>
        <v>Right-back</v>
      </c>
      <c r="I248" s="3" t="str">
        <f t="shared" ca="1" si="1"/>
        <v>Right-back</v>
      </c>
      <c r="J248" s="1" t="str">
        <f t="shared" ca="1" si="2"/>
        <v>D</v>
      </c>
      <c r="K248" s="1" t="str">
        <f t="shared" ca="1" si="15"/>
        <v>D</v>
      </c>
      <c r="L248" s="1" t="str">
        <f t="shared" ca="1" si="3"/>
        <v>D</v>
      </c>
      <c r="M248" s="1" t="str">
        <f t="shared" ca="1" si="4"/>
        <v>D</v>
      </c>
      <c r="N248" s="1" t="str">
        <f t="shared" ca="1" si="5"/>
        <v>D</v>
      </c>
      <c r="O248" s="1" t="str">
        <f t="shared" ca="1" si="6"/>
        <v>D</v>
      </c>
      <c r="P248" s="1" t="str">
        <f t="shared" ca="1" si="7"/>
        <v>D</v>
      </c>
      <c r="Q248" s="1" t="str">
        <f t="shared" ca="1" si="8"/>
        <v>D</v>
      </c>
      <c r="R248" s="1" t="str">
        <f t="shared" ca="1" si="9"/>
        <v>D</v>
      </c>
      <c r="S248" s="1" t="str">
        <f t="shared" ca="1" si="10"/>
        <v>D</v>
      </c>
      <c r="T248" s="1" t="str">
        <f t="shared" ca="1" si="11"/>
        <v>D</v>
      </c>
      <c r="U248" s="1" t="str">
        <f t="shared" ca="1" si="12"/>
        <v>D</v>
      </c>
      <c r="V248" s="1" t="str">
        <f t="shared" ca="1" si="13"/>
        <v>D</v>
      </c>
      <c r="W248" s="1" t="str">
        <f t="shared" ca="1" si="14"/>
        <v>Emeka Eneli</v>
      </c>
    </row>
    <row r="249" spans="1:23">
      <c r="A249" s="1" t="str">
        <f ca="1">IFERROR(__xludf.DUMMYFUNCTION("""COMPUTED_VALUE"""),"Ramiro")</f>
        <v>Ramiro</v>
      </c>
      <c r="B249" s="1" t="str">
        <f ca="1">IFERROR(__xludf.DUMMYFUNCTION("""COMPUTED_VALUE"""),"Enrique")</f>
        <v>Enrique</v>
      </c>
      <c r="C249" s="1" t="str">
        <f ca="1">IFERROR(__xludf.DUMMYFUNCTION("""COMPUTED_VALUE"""),"Orlando City SC")</f>
        <v>Orlando City SC</v>
      </c>
      <c r="D249" s="1" t="str">
        <f ca="1">IFERROR(__xludf.DUMMYFUNCTION("""COMPUTED_VALUE"""),"Center Forward")</f>
        <v>Center Forward</v>
      </c>
      <c r="E249" s="2">
        <f ca="1">IFERROR(__xludf.DUMMYFUNCTION("""COMPUTED_VALUE"""),340909)</f>
        <v>340909</v>
      </c>
      <c r="F249" s="2">
        <f ca="1">IFERROR(__xludf.DUMMYFUNCTION("""COMPUTED_VALUE"""),398636)</f>
        <v>398636</v>
      </c>
      <c r="H249" s="1" t="str">
        <f t="shared" ca="1" si="0"/>
        <v>Center Forward</v>
      </c>
      <c r="I249" s="3" t="str">
        <f t="shared" ca="1" si="1"/>
        <v>Center Forward</v>
      </c>
      <c r="J249" s="1" t="str">
        <f t="shared" ca="1" si="2"/>
        <v>Center Forward</v>
      </c>
      <c r="K249" s="1" t="str">
        <f t="shared" ca="1" si="15"/>
        <v>Center Forward</v>
      </c>
      <c r="L249" s="1" t="str">
        <f t="shared" ca="1" si="3"/>
        <v>Center Forward</v>
      </c>
      <c r="M249" s="1" t="str">
        <f t="shared" ca="1" si="4"/>
        <v>Center Forward</v>
      </c>
      <c r="N249" s="1" t="str">
        <f t="shared" ca="1" si="5"/>
        <v>Center Forward</v>
      </c>
      <c r="O249" s="1" t="str">
        <f t="shared" ca="1" si="6"/>
        <v>F</v>
      </c>
      <c r="P249" s="1" t="str">
        <f t="shared" ca="1" si="7"/>
        <v>F</v>
      </c>
      <c r="Q249" s="1" t="str">
        <f t="shared" ca="1" si="8"/>
        <v>F</v>
      </c>
      <c r="R249" s="1" t="str">
        <f t="shared" ca="1" si="9"/>
        <v>F</v>
      </c>
      <c r="S249" s="1" t="str">
        <f t="shared" ca="1" si="10"/>
        <v>F</v>
      </c>
      <c r="T249" s="1" t="str">
        <f t="shared" ca="1" si="11"/>
        <v>F</v>
      </c>
      <c r="U249" s="1" t="str">
        <f t="shared" ca="1" si="12"/>
        <v>F</v>
      </c>
      <c r="V249" s="1" t="str">
        <f t="shared" ca="1" si="13"/>
        <v>F</v>
      </c>
      <c r="W249" s="1" t="str">
        <f t="shared" ca="1" si="14"/>
        <v>Ramiro Enrique</v>
      </c>
    </row>
    <row r="250" spans="1:23">
      <c r="A250" s="1" t="str">
        <f ca="1">IFERROR(__xludf.DUMMYFUNCTION("""COMPUTED_VALUE"""),"Victor")</f>
        <v>Victor</v>
      </c>
      <c r="B250" s="1" t="str">
        <f ca="1">IFERROR(__xludf.DUMMYFUNCTION("""COMPUTED_VALUE"""),"Eriksson")</f>
        <v>Eriksson</v>
      </c>
      <c r="C250" s="1" t="str">
        <f ca="1">IFERROR(__xludf.DUMMYFUNCTION("""COMPUTED_VALUE"""),"Minnesota United")</f>
        <v>Minnesota United</v>
      </c>
      <c r="D250" s="1" t="str">
        <f ca="1">IFERROR(__xludf.DUMMYFUNCTION("""COMPUTED_VALUE"""),"Center-back")</f>
        <v>Center-back</v>
      </c>
      <c r="E250" s="2">
        <f ca="1">IFERROR(__xludf.DUMMYFUNCTION("""COMPUTED_VALUE"""),235000)</f>
        <v>235000</v>
      </c>
      <c r="F250" s="2">
        <f ca="1">IFERROR(__xludf.DUMMYFUNCTION("""COMPUTED_VALUE"""),264375)</f>
        <v>264375</v>
      </c>
      <c r="H250" s="1" t="str">
        <f t="shared" ca="1" si="0"/>
        <v>D</v>
      </c>
      <c r="I250" s="3" t="str">
        <f t="shared" ca="1" si="1"/>
        <v>D</v>
      </c>
      <c r="J250" s="1" t="str">
        <f t="shared" ca="1" si="2"/>
        <v>D</v>
      </c>
      <c r="K250" s="1" t="str">
        <f t="shared" ca="1" si="15"/>
        <v>D</v>
      </c>
      <c r="L250" s="1" t="str">
        <f t="shared" ca="1" si="3"/>
        <v>D</v>
      </c>
      <c r="M250" s="1" t="str">
        <f t="shared" ca="1" si="4"/>
        <v>D</v>
      </c>
      <c r="N250" s="1" t="str">
        <f t="shared" ca="1" si="5"/>
        <v>D</v>
      </c>
      <c r="O250" s="1" t="str">
        <f t="shared" ca="1" si="6"/>
        <v>D</v>
      </c>
      <c r="P250" s="1" t="str">
        <f t="shared" ca="1" si="7"/>
        <v>D</v>
      </c>
      <c r="Q250" s="1" t="str">
        <f t="shared" ca="1" si="8"/>
        <v>D</v>
      </c>
      <c r="R250" s="1" t="str">
        <f t="shared" ca="1" si="9"/>
        <v>D</v>
      </c>
      <c r="S250" s="1" t="str">
        <f t="shared" ca="1" si="10"/>
        <v>D</v>
      </c>
      <c r="T250" s="1" t="str">
        <f t="shared" ca="1" si="11"/>
        <v>D</v>
      </c>
      <c r="U250" s="1" t="str">
        <f t="shared" ca="1" si="12"/>
        <v>D</v>
      </c>
      <c r="V250" s="1" t="str">
        <f t="shared" ca="1" si="13"/>
        <v>D</v>
      </c>
      <c r="W250" s="1" t="str">
        <f t="shared" ca="1" si="14"/>
        <v>Victor Eriksson</v>
      </c>
    </row>
    <row r="251" spans="1:23">
      <c r="A251" s="1" t="str">
        <f ca="1">IFERROR(__xludf.DUMMYFUNCTION("""COMPUTED_VALUE"""),"Franco")</f>
        <v>Franco</v>
      </c>
      <c r="B251" s="1" t="str">
        <f ca="1">IFERROR(__xludf.DUMMYFUNCTION("""COMPUTED_VALUE"""),"Escobar")</f>
        <v>Escobar</v>
      </c>
      <c r="C251" s="1" t="str">
        <f ca="1">IFERROR(__xludf.DUMMYFUNCTION("""COMPUTED_VALUE"""),"Houston Dynamo")</f>
        <v>Houston Dynamo</v>
      </c>
      <c r="D251" s="1" t="str">
        <f ca="1">IFERROR(__xludf.DUMMYFUNCTION("""COMPUTED_VALUE"""),"Right-back")</f>
        <v>Right-back</v>
      </c>
      <c r="E251" s="2">
        <f ca="1">IFERROR(__xludf.DUMMYFUNCTION("""COMPUTED_VALUE"""),475000)</f>
        <v>475000</v>
      </c>
      <c r="F251" s="2">
        <f ca="1">IFERROR(__xludf.DUMMYFUNCTION("""COMPUTED_VALUE"""),524167)</f>
        <v>524167</v>
      </c>
      <c r="H251" s="1" t="str">
        <f t="shared" ca="1" si="0"/>
        <v>Right-back</v>
      </c>
      <c r="I251" s="3" t="str">
        <f t="shared" ca="1" si="1"/>
        <v>Right-back</v>
      </c>
      <c r="J251" s="1" t="str">
        <f t="shared" ca="1" si="2"/>
        <v>D</v>
      </c>
      <c r="K251" s="1" t="str">
        <f t="shared" ca="1" si="15"/>
        <v>D</v>
      </c>
      <c r="L251" s="1" t="str">
        <f t="shared" ca="1" si="3"/>
        <v>D</v>
      </c>
      <c r="M251" s="1" t="str">
        <f t="shared" ca="1" si="4"/>
        <v>D</v>
      </c>
      <c r="N251" s="1" t="str">
        <f t="shared" ca="1" si="5"/>
        <v>D</v>
      </c>
      <c r="O251" s="1" t="str">
        <f t="shared" ca="1" si="6"/>
        <v>D</v>
      </c>
      <c r="P251" s="1" t="str">
        <f t="shared" ca="1" si="7"/>
        <v>D</v>
      </c>
      <c r="Q251" s="1" t="str">
        <f t="shared" ca="1" si="8"/>
        <v>D</v>
      </c>
      <c r="R251" s="1" t="str">
        <f t="shared" ca="1" si="9"/>
        <v>D</v>
      </c>
      <c r="S251" s="1" t="str">
        <f t="shared" ca="1" si="10"/>
        <v>D</v>
      </c>
      <c r="T251" s="1" t="str">
        <f t="shared" ca="1" si="11"/>
        <v>D</v>
      </c>
      <c r="U251" s="1" t="str">
        <f t="shared" ca="1" si="12"/>
        <v>D</v>
      </c>
      <c r="V251" s="1" t="str">
        <f t="shared" ca="1" si="13"/>
        <v>D</v>
      </c>
      <c r="W251" s="1" t="str">
        <f t="shared" ca="1" si="14"/>
        <v>Franco Escobar</v>
      </c>
    </row>
    <row r="252" spans="1:23">
      <c r="A252" s="1" t="str">
        <f ca="1">IFERROR(__xludf.DUMMYFUNCTION("""COMPUTED_VALUE"""),"Cristian")</f>
        <v>Cristian</v>
      </c>
      <c r="B252" s="1" t="str">
        <f ca="1">IFERROR(__xludf.DUMMYFUNCTION("""COMPUTED_VALUE"""),"Espinoza")</f>
        <v>Espinoza</v>
      </c>
      <c r="C252" s="1" t="str">
        <f ca="1">IFERROR(__xludf.DUMMYFUNCTION("""COMPUTED_VALUE"""),"San Jose Earthquakes")</f>
        <v>San Jose Earthquakes</v>
      </c>
      <c r="D252" s="1" t="str">
        <f ca="1">IFERROR(__xludf.DUMMYFUNCTION("""COMPUTED_VALUE"""),"Right Wing")</f>
        <v>Right Wing</v>
      </c>
      <c r="E252" s="2">
        <f ca="1">IFERROR(__xludf.DUMMYFUNCTION("""COMPUTED_VALUE"""),1820000)</f>
        <v>1820000</v>
      </c>
      <c r="F252" s="2">
        <f ca="1">IFERROR(__xludf.DUMMYFUNCTION("""COMPUTED_VALUE"""),2002000)</f>
        <v>2002000</v>
      </c>
      <c r="H252" s="1" t="str">
        <f t="shared" ca="1" si="0"/>
        <v>Right Wing</v>
      </c>
      <c r="I252" s="3" t="str">
        <f t="shared" ca="1" si="1"/>
        <v>Right Wing</v>
      </c>
      <c r="J252" s="1" t="str">
        <f t="shared" ca="1" si="2"/>
        <v>Right Wing</v>
      </c>
      <c r="K252" s="1" t="str">
        <f t="shared" ca="1" si="15"/>
        <v>Right Wing</v>
      </c>
      <c r="L252" s="1" t="str">
        <f t="shared" ca="1" si="3"/>
        <v>Right Wing</v>
      </c>
      <c r="M252" s="1" t="str">
        <f t="shared" ca="1" si="4"/>
        <v>Right Wing</v>
      </c>
      <c r="N252" s="1" t="str">
        <f t="shared" ca="1" si="5"/>
        <v>F</v>
      </c>
      <c r="O252" s="1" t="str">
        <f t="shared" ca="1" si="6"/>
        <v>F</v>
      </c>
      <c r="P252" s="1" t="str">
        <f t="shared" ca="1" si="7"/>
        <v>F</v>
      </c>
      <c r="Q252" s="1" t="str">
        <f t="shared" ca="1" si="8"/>
        <v>F</v>
      </c>
      <c r="R252" s="1" t="str">
        <f t="shared" ca="1" si="9"/>
        <v>F</v>
      </c>
      <c r="S252" s="1" t="str">
        <f t="shared" ca="1" si="10"/>
        <v>F</v>
      </c>
      <c r="T252" s="1" t="str">
        <f t="shared" ca="1" si="11"/>
        <v>F</v>
      </c>
      <c r="U252" s="1" t="str">
        <f t="shared" ca="1" si="12"/>
        <v>F</v>
      </c>
      <c r="V252" s="1" t="str">
        <f t="shared" ca="1" si="13"/>
        <v>F</v>
      </c>
      <c r="W252" s="1" t="str">
        <f t="shared" ca="1" si="14"/>
        <v>Cristian Espinoza</v>
      </c>
    </row>
    <row r="253" spans="1:23">
      <c r="A253" s="1" t="str">
        <f ca="1">IFERROR(__xludf.DUMMYFUNCTION("""COMPUTED_VALUE"""),"Bento")</f>
        <v>Bento</v>
      </c>
      <c r="B253" s="1" t="str">
        <f ca="1">IFERROR(__xludf.DUMMYFUNCTION("""COMPUTED_VALUE"""),"Estrela")</f>
        <v>Estrela</v>
      </c>
      <c r="C253" s="1" t="str">
        <f ca="1">IFERROR(__xludf.DUMMYFUNCTION("""COMPUTED_VALUE"""),"New York Red Bulls")</f>
        <v>New York Red Bulls</v>
      </c>
      <c r="D253" s="1" t="str">
        <f ca="1">IFERROR(__xludf.DUMMYFUNCTION("""COMPUTED_VALUE"""),"Central Midfield")</f>
        <v>Central Midfield</v>
      </c>
      <c r="E253" s="2">
        <f ca="1">IFERROR(__xludf.DUMMYFUNCTION("""COMPUTED_VALUE"""),125000)</f>
        <v>125000</v>
      </c>
      <c r="F253" s="2">
        <f ca="1">IFERROR(__xludf.DUMMYFUNCTION("""COMPUTED_VALUE"""),149000)</f>
        <v>149000</v>
      </c>
      <c r="H253" s="1" t="str">
        <f t="shared" ca="1" si="0"/>
        <v>Central Midfield</v>
      </c>
      <c r="I253" s="3" t="str">
        <f t="shared" ca="1" si="1"/>
        <v>Central Midfield</v>
      </c>
      <c r="J253" s="1" t="str">
        <f t="shared" ca="1" si="2"/>
        <v>Central Midfield</v>
      </c>
      <c r="K253" s="1" t="str">
        <f t="shared" ca="1" si="15"/>
        <v>Central Midfield</v>
      </c>
      <c r="L253" s="1" t="str">
        <f t="shared" ca="1" si="3"/>
        <v>M</v>
      </c>
      <c r="M253" s="1" t="str">
        <f t="shared" ca="1" si="4"/>
        <v>M</v>
      </c>
      <c r="N253" s="1" t="str">
        <f t="shared" ca="1" si="5"/>
        <v>M</v>
      </c>
      <c r="O253" s="1" t="str">
        <f t="shared" ca="1" si="6"/>
        <v>M</v>
      </c>
      <c r="P253" s="1" t="str">
        <f t="shared" ca="1" si="7"/>
        <v>M</v>
      </c>
      <c r="Q253" s="1" t="str">
        <f t="shared" ca="1" si="8"/>
        <v>M</v>
      </c>
      <c r="R253" s="1" t="str">
        <f t="shared" ca="1" si="9"/>
        <v>M</v>
      </c>
      <c r="S253" s="1" t="str">
        <f t="shared" ca="1" si="10"/>
        <v>M</v>
      </c>
      <c r="T253" s="1" t="str">
        <f t="shared" ca="1" si="11"/>
        <v>M</v>
      </c>
      <c r="U253" s="1" t="str">
        <f t="shared" ca="1" si="12"/>
        <v>M</v>
      </c>
      <c r="V253" s="1" t="str">
        <f t="shared" ca="1" si="13"/>
        <v>M</v>
      </c>
      <c r="W253" s="1" t="str">
        <f t="shared" ca="1" si="14"/>
        <v>Bento Estrela</v>
      </c>
    </row>
    <row r="254" spans="1:23">
      <c r="A254" s="1" t="str">
        <f ca="1">IFERROR(__xludf.DUMMYFUNCTION("""COMPUTED_VALUE"""),"Derrick")</f>
        <v>Derrick</v>
      </c>
      <c r="B254" s="1" t="str">
        <f ca="1">IFERROR(__xludf.DUMMYFUNCTION("""COMPUTED_VALUE"""),"Etienne Jr.")</f>
        <v>Etienne Jr.</v>
      </c>
      <c r="C254" s="1" t="str">
        <f ca="1">IFERROR(__xludf.DUMMYFUNCTION("""COMPUTED_VALUE"""),"Atlanta United")</f>
        <v>Atlanta United</v>
      </c>
      <c r="D254" s="1" t="str">
        <f ca="1">IFERROR(__xludf.DUMMYFUNCTION("""COMPUTED_VALUE"""),"Left Wing")</f>
        <v>Left Wing</v>
      </c>
      <c r="E254" s="2">
        <f ca="1">IFERROR(__xludf.DUMMYFUNCTION("""COMPUTED_VALUE"""),710062)</f>
        <v>710062</v>
      </c>
      <c r="F254" s="2">
        <f ca="1">IFERROR(__xludf.DUMMYFUNCTION("""COMPUTED_VALUE"""),710062)</f>
        <v>710062</v>
      </c>
      <c r="H254" s="1" t="str">
        <f t="shared" ca="1" si="0"/>
        <v>Left Wing</v>
      </c>
      <c r="I254" s="3" t="str">
        <f t="shared" ca="1" si="1"/>
        <v>Left Wing</v>
      </c>
      <c r="J254" s="1" t="str">
        <f t="shared" ca="1" si="2"/>
        <v>Left Wing</v>
      </c>
      <c r="K254" s="1" t="str">
        <f t="shared" ca="1" si="15"/>
        <v>Left Wing</v>
      </c>
      <c r="L254" s="1" t="str">
        <f t="shared" ca="1" si="3"/>
        <v>Left Wing</v>
      </c>
      <c r="M254" s="1" t="str">
        <f t="shared" ca="1" si="4"/>
        <v>Left Wing</v>
      </c>
      <c r="N254" s="1" t="str">
        <f t="shared" ca="1" si="5"/>
        <v>Left Wing</v>
      </c>
      <c r="O254" s="1" t="str">
        <f t="shared" ca="1" si="6"/>
        <v>Left Wing</v>
      </c>
      <c r="P254" s="1" t="str">
        <f t="shared" ca="1" si="7"/>
        <v>F</v>
      </c>
      <c r="Q254" s="1" t="str">
        <f t="shared" ca="1" si="8"/>
        <v>F</v>
      </c>
      <c r="R254" s="1" t="str">
        <f t="shared" ca="1" si="9"/>
        <v>F</v>
      </c>
      <c r="S254" s="1" t="str">
        <f t="shared" ca="1" si="10"/>
        <v>F</v>
      </c>
      <c r="T254" s="1" t="str">
        <f t="shared" ca="1" si="11"/>
        <v>F</v>
      </c>
      <c r="U254" s="1" t="str">
        <f t="shared" ca="1" si="12"/>
        <v>F</v>
      </c>
      <c r="V254" s="1" t="str">
        <f t="shared" ca="1" si="13"/>
        <v>F</v>
      </c>
      <c r="W254" s="1" t="str">
        <f t="shared" ca="1" si="14"/>
        <v>Derrick Etienne Jr.</v>
      </c>
    </row>
    <row r="255" spans="1:23">
      <c r="A255" s="1" t="str">
        <f ca="1">IFERROR(__xludf.DUMMYFUNCTION("""COMPUTED_VALUE"""),"Diego")</f>
        <v>Diego</v>
      </c>
      <c r="B255" s="1" t="str">
        <f ca="1">IFERROR(__xludf.DUMMYFUNCTION("""COMPUTED_VALUE"""),"Fagúndez")</f>
        <v>Fagúndez</v>
      </c>
      <c r="C255" s="1" t="str">
        <f ca="1">IFERROR(__xludf.DUMMYFUNCTION("""COMPUTED_VALUE"""),"LA Galaxy")</f>
        <v>LA Galaxy</v>
      </c>
      <c r="D255" s="1" t="str">
        <f ca="1">IFERROR(__xludf.DUMMYFUNCTION("""COMPUTED_VALUE"""),"Left Wing")</f>
        <v>Left Wing</v>
      </c>
      <c r="E255" s="2">
        <f ca="1">IFERROR(__xludf.DUMMYFUNCTION("""COMPUTED_VALUE"""),1250000)</f>
        <v>1250000</v>
      </c>
      <c r="F255" s="2">
        <f ca="1">IFERROR(__xludf.DUMMYFUNCTION("""COMPUTED_VALUE"""),1310000)</f>
        <v>1310000</v>
      </c>
      <c r="H255" s="1" t="str">
        <f t="shared" ca="1" si="0"/>
        <v>Left Wing</v>
      </c>
      <c r="I255" s="3" t="str">
        <f t="shared" ca="1" si="1"/>
        <v>Left Wing</v>
      </c>
      <c r="J255" s="1" t="str">
        <f t="shared" ca="1" si="2"/>
        <v>Left Wing</v>
      </c>
      <c r="K255" s="1" t="str">
        <f t="shared" ca="1" si="15"/>
        <v>Left Wing</v>
      </c>
      <c r="L255" s="1" t="str">
        <f t="shared" ca="1" si="3"/>
        <v>Left Wing</v>
      </c>
      <c r="M255" s="1" t="str">
        <f t="shared" ca="1" si="4"/>
        <v>Left Wing</v>
      </c>
      <c r="N255" s="1" t="str">
        <f t="shared" ca="1" si="5"/>
        <v>Left Wing</v>
      </c>
      <c r="O255" s="1" t="str">
        <f t="shared" ca="1" si="6"/>
        <v>Left Wing</v>
      </c>
      <c r="P255" s="1" t="str">
        <f t="shared" ca="1" si="7"/>
        <v>F</v>
      </c>
      <c r="Q255" s="1" t="str">
        <f t="shared" ca="1" si="8"/>
        <v>F</v>
      </c>
      <c r="R255" s="1" t="str">
        <f t="shared" ca="1" si="9"/>
        <v>F</v>
      </c>
      <c r="S255" s="1" t="str">
        <f t="shared" ca="1" si="10"/>
        <v>F</v>
      </c>
      <c r="T255" s="1" t="str">
        <f t="shared" ca="1" si="11"/>
        <v>F</v>
      </c>
      <c r="U255" s="1" t="str">
        <f t="shared" ca="1" si="12"/>
        <v>F</v>
      </c>
      <c r="V255" s="1" t="str">
        <f t="shared" ca="1" si="13"/>
        <v>F</v>
      </c>
      <c r="W255" s="1" t="str">
        <f t="shared" ca="1" si="14"/>
        <v>Diego Fagúndez</v>
      </c>
    </row>
    <row r="256" spans="1:23">
      <c r="A256" s="1" t="str">
        <f ca="1">IFERROR(__xludf.DUMMYFUNCTION("""COMPUTED_VALUE"""),"Facundo")</f>
        <v>Facundo</v>
      </c>
      <c r="B256" s="1" t="str">
        <f ca="1">IFERROR(__xludf.DUMMYFUNCTION("""COMPUTED_VALUE"""),"Farías")</f>
        <v>Farías</v>
      </c>
      <c r="C256" s="1" t="str">
        <f ca="1">IFERROR(__xludf.DUMMYFUNCTION("""COMPUTED_VALUE"""),"Inter Miami")</f>
        <v>Inter Miami</v>
      </c>
      <c r="D256" s="1" t="str">
        <f ca="1">IFERROR(__xludf.DUMMYFUNCTION("""COMPUTED_VALUE"""),"Attacking Midfield")</f>
        <v>Attacking Midfield</v>
      </c>
      <c r="E256" s="2">
        <f ca="1">IFERROR(__xludf.DUMMYFUNCTION("""COMPUTED_VALUE"""),650000)</f>
        <v>650000</v>
      </c>
      <c r="F256" s="2">
        <f ca="1">IFERROR(__xludf.DUMMYFUNCTION("""COMPUTED_VALUE"""),675000)</f>
        <v>675000</v>
      </c>
      <c r="H256" s="1" t="str">
        <f t="shared" ca="1" si="0"/>
        <v>Attacking Midfield</v>
      </c>
      <c r="I256" s="3" t="str">
        <f t="shared" ca="1" si="1"/>
        <v>Attacking Midfield</v>
      </c>
      <c r="J256" s="1" t="str">
        <f t="shared" ca="1" si="2"/>
        <v>Attacking Midfield</v>
      </c>
      <c r="K256" s="1" t="str">
        <f t="shared" ca="1" si="15"/>
        <v>Attacking Midfield</v>
      </c>
      <c r="L256" s="1" t="str">
        <f t="shared" ca="1" si="3"/>
        <v>Attacking Midfield</v>
      </c>
      <c r="M256" s="1" t="str">
        <f t="shared" ca="1" si="4"/>
        <v>M</v>
      </c>
      <c r="N256" s="1" t="str">
        <f t="shared" ca="1" si="5"/>
        <v>M</v>
      </c>
      <c r="O256" s="1" t="str">
        <f t="shared" ca="1" si="6"/>
        <v>M</v>
      </c>
      <c r="P256" s="1" t="str">
        <f t="shared" ca="1" si="7"/>
        <v>M</v>
      </c>
      <c r="Q256" s="1" t="str">
        <f t="shared" ca="1" si="8"/>
        <v>M</v>
      </c>
      <c r="R256" s="1" t="str">
        <f t="shared" ca="1" si="9"/>
        <v>M</v>
      </c>
      <c r="S256" s="1" t="str">
        <f t="shared" ca="1" si="10"/>
        <v>M</v>
      </c>
      <c r="T256" s="1" t="str">
        <f t="shared" ca="1" si="11"/>
        <v>M</v>
      </c>
      <c r="U256" s="1" t="str">
        <f t="shared" ca="1" si="12"/>
        <v>M</v>
      </c>
      <c r="V256" s="1" t="str">
        <f t="shared" ca="1" si="13"/>
        <v>M</v>
      </c>
      <c r="W256" s="1" t="str">
        <f t="shared" ca="1" si="14"/>
        <v>Facundo Farías</v>
      </c>
    </row>
    <row r="257" spans="1:23">
      <c r="A257" s="1" t="str">
        <f ca="1">IFERROR(__xludf.DUMMYFUNCTION("""COMPUTED_VALUE"""),"Marco")</f>
        <v>Marco</v>
      </c>
      <c r="B257" s="1" t="str">
        <f ca="1">IFERROR(__xludf.DUMMYFUNCTION("""COMPUTED_VALUE"""),"Farfán")</f>
        <v>Farfán</v>
      </c>
      <c r="C257" s="1" t="str">
        <f ca="1">IFERROR(__xludf.DUMMYFUNCTION("""COMPUTED_VALUE"""),"FC Dallas")</f>
        <v>FC Dallas</v>
      </c>
      <c r="D257" s="1" t="str">
        <f ca="1">IFERROR(__xludf.DUMMYFUNCTION("""COMPUTED_VALUE"""),"Left-back")</f>
        <v>Left-back</v>
      </c>
      <c r="E257" s="2">
        <f ca="1">IFERROR(__xludf.DUMMYFUNCTION("""COMPUTED_VALUE"""),512000)</f>
        <v>512000</v>
      </c>
      <c r="F257" s="2">
        <f ca="1">IFERROR(__xludf.DUMMYFUNCTION("""COMPUTED_VALUE"""),544813)</f>
        <v>544813</v>
      </c>
      <c r="H257" s="1" t="str">
        <f t="shared" ref="H257:H511" ca="1" si="16">SUBSTITUTE(D:D,"Center-back","D")</f>
        <v>Left-back</v>
      </c>
      <c r="I257" s="3" t="str">
        <f t="shared" ref="I257:I511" ca="1" si="17">SUBSTITUTE(H:H,"Left-back","D")</f>
        <v>D</v>
      </c>
      <c r="J257" s="1" t="str">
        <f t="shared" ref="J257:J511" ca="1" si="18">SUBSTITUTE(I:I,"Right-back","D")</f>
        <v>D</v>
      </c>
      <c r="K257" s="1" t="str">
        <f t="shared" ca="1" si="15"/>
        <v>D</v>
      </c>
      <c r="L257" s="1" t="str">
        <f t="shared" ref="L257:L511" ca="1" si="19">SUBSTITUTE(K:K,"Central Midfield","M")</f>
        <v>D</v>
      </c>
      <c r="M257" s="1" t="str">
        <f t="shared" ref="M257:M511" ca="1" si="20">SUBSTITUTE(L:L,"Attacking Midfield","M")</f>
        <v>D</v>
      </c>
      <c r="N257" s="1" t="str">
        <f t="shared" ref="N257:N511" ca="1" si="21">SUBSTITUTE(M:M,"Right Wing","F")</f>
        <v>D</v>
      </c>
      <c r="O257" s="1" t="str">
        <f t="shared" ref="O257:O511" ca="1" si="22">SUBSTITUTE(N:N,"Center Forward","F")</f>
        <v>D</v>
      </c>
      <c r="P257" s="1" t="str">
        <f t="shared" ref="P257:P511" ca="1" si="23">SUBSTITUTE(O:O,"Left Wing","F")</f>
        <v>D</v>
      </c>
      <c r="Q257" s="1" t="str">
        <f t="shared" ref="Q257:Q511" ca="1" si="24">SUBSTITUTE(P:P,"Forward","F")</f>
        <v>D</v>
      </c>
      <c r="R257" s="1" t="str">
        <f t="shared" ref="R257:R511" ca="1" si="25">SUBSTITUTE(Q:Q,"Goalkeeper","GK")</f>
        <v>D</v>
      </c>
      <c r="S257" s="1" t="str">
        <f t="shared" ref="S257:S511" ca="1" si="26">SUBSTITUTE(R:R,"Left Midfield","M")</f>
        <v>D</v>
      </c>
      <c r="T257" s="1" t="str">
        <f t="shared" ref="T257:T511" ca="1" si="27">SUBSTITUTE(S:S,"Right Midfield","M")</f>
        <v>D</v>
      </c>
      <c r="U257" s="1" t="str">
        <f t="shared" ref="U257:U511" ca="1" si="28">SUBSTITUTE(T:T,"Midfielder","M")</f>
        <v>D</v>
      </c>
      <c r="V257" s="1" t="str">
        <f t="shared" ref="V257:V511" ca="1" si="29">SUBSTITUTE(U:U,"Defender","D")</f>
        <v>D</v>
      </c>
      <c r="W257" s="1" t="str">
        <f t="shared" ref="W257:W511" ca="1" si="30">CONCATENATE($A257," ",$B257)</f>
        <v>Marco Farfán</v>
      </c>
    </row>
    <row r="258" spans="1:23">
      <c r="A258" s="1" t="str">
        <f ca="1">IFERROR(__xludf.DUMMYFUNCTION("""COMPUTED_VALUE"""),"Zack")</f>
        <v>Zack</v>
      </c>
      <c r="B258" s="1" t="str">
        <f ca="1">IFERROR(__xludf.DUMMYFUNCTION("""COMPUTED_VALUE"""),"Farnsworth")</f>
        <v>Farnsworth</v>
      </c>
      <c r="C258" s="1" t="str">
        <f ca="1">IFERROR(__xludf.DUMMYFUNCTION("""COMPUTED_VALUE"""),"Real Salt Lake")</f>
        <v>Real Salt Lake</v>
      </c>
      <c r="D258" s="1" t="str">
        <f ca="1">IFERROR(__xludf.DUMMYFUNCTION("""COMPUTED_VALUE"""),"Left-back")</f>
        <v>Left-back</v>
      </c>
      <c r="E258" s="2">
        <f ca="1">IFERROR(__xludf.DUMMYFUNCTION("""COMPUTED_VALUE"""),125000)</f>
        <v>125000</v>
      </c>
      <c r="F258" s="2">
        <f ca="1">IFERROR(__xludf.DUMMYFUNCTION("""COMPUTED_VALUE"""),139750)</f>
        <v>139750</v>
      </c>
      <c r="H258" s="1" t="str">
        <f t="shared" ca="1" si="16"/>
        <v>Left-back</v>
      </c>
      <c r="I258" s="3" t="str">
        <f t="shared" ca="1" si="17"/>
        <v>D</v>
      </c>
      <c r="J258" s="1" t="str">
        <f t="shared" ca="1" si="18"/>
        <v>D</v>
      </c>
      <c r="K258" s="1" t="str">
        <f t="shared" ref="K258:K512" ca="1" si="31">SUBSTITUTE(J:J,"Defensive Midfield","M")</f>
        <v>D</v>
      </c>
      <c r="L258" s="1" t="str">
        <f t="shared" ca="1" si="19"/>
        <v>D</v>
      </c>
      <c r="M258" s="1" t="str">
        <f t="shared" ca="1" si="20"/>
        <v>D</v>
      </c>
      <c r="N258" s="1" t="str">
        <f t="shared" ca="1" si="21"/>
        <v>D</v>
      </c>
      <c r="O258" s="1" t="str">
        <f t="shared" ca="1" si="22"/>
        <v>D</v>
      </c>
      <c r="P258" s="1" t="str">
        <f t="shared" ca="1" si="23"/>
        <v>D</v>
      </c>
      <c r="Q258" s="1" t="str">
        <f t="shared" ca="1" si="24"/>
        <v>D</v>
      </c>
      <c r="R258" s="1" t="str">
        <f t="shared" ca="1" si="25"/>
        <v>D</v>
      </c>
      <c r="S258" s="1" t="str">
        <f t="shared" ca="1" si="26"/>
        <v>D</v>
      </c>
      <c r="T258" s="1" t="str">
        <f t="shared" ca="1" si="27"/>
        <v>D</v>
      </c>
      <c r="U258" s="1" t="str">
        <f t="shared" ca="1" si="28"/>
        <v>D</v>
      </c>
      <c r="V258" s="1" t="str">
        <f t="shared" ca="1" si="29"/>
        <v>D</v>
      </c>
      <c r="W258" s="1" t="str">
        <f t="shared" ca="1" si="30"/>
        <v>Zack Farnsworth</v>
      </c>
    </row>
    <row r="259" spans="1:23">
      <c r="A259" s="1" t="str">
        <f ca="1">IFERROR(__xludf.DUMMYFUNCTION("""COMPUTED_VALUE"""),"Andrew")</f>
        <v>Andrew</v>
      </c>
      <c r="B259" s="1" t="str">
        <f ca="1">IFERROR(__xludf.DUMMYFUNCTION("""COMPUTED_VALUE"""),"Farrell")</f>
        <v>Farrell</v>
      </c>
      <c r="C259" s="1" t="str">
        <f ca="1">IFERROR(__xludf.DUMMYFUNCTION("""COMPUTED_VALUE"""),"New England Revolution")</f>
        <v>New England Revolution</v>
      </c>
      <c r="D259" s="1" t="str">
        <f ca="1">IFERROR(__xludf.DUMMYFUNCTION("""COMPUTED_VALUE"""),"Center-back")</f>
        <v>Center-back</v>
      </c>
      <c r="E259" s="2">
        <f ca="1">IFERROR(__xludf.DUMMYFUNCTION("""COMPUTED_VALUE"""),683750)</f>
        <v>683750</v>
      </c>
      <c r="F259" s="2">
        <f ca="1">IFERROR(__xludf.DUMMYFUNCTION("""COMPUTED_VALUE"""),683750)</f>
        <v>683750</v>
      </c>
      <c r="H259" s="1" t="str">
        <f t="shared" ca="1" si="16"/>
        <v>D</v>
      </c>
      <c r="I259" s="3" t="str">
        <f t="shared" ca="1" si="17"/>
        <v>D</v>
      </c>
      <c r="J259" s="1" t="str">
        <f t="shared" ca="1" si="18"/>
        <v>D</v>
      </c>
      <c r="K259" s="1" t="str">
        <f t="shared" ca="1" si="31"/>
        <v>D</v>
      </c>
      <c r="L259" s="1" t="str">
        <f t="shared" ca="1" si="19"/>
        <v>D</v>
      </c>
      <c r="M259" s="1" t="str">
        <f t="shared" ca="1" si="20"/>
        <v>D</v>
      </c>
      <c r="N259" s="1" t="str">
        <f t="shared" ca="1" si="21"/>
        <v>D</v>
      </c>
      <c r="O259" s="1" t="str">
        <f t="shared" ca="1" si="22"/>
        <v>D</v>
      </c>
      <c r="P259" s="1" t="str">
        <f t="shared" ca="1" si="23"/>
        <v>D</v>
      </c>
      <c r="Q259" s="1" t="str">
        <f t="shared" ca="1" si="24"/>
        <v>D</v>
      </c>
      <c r="R259" s="1" t="str">
        <f t="shared" ca="1" si="25"/>
        <v>D</v>
      </c>
      <c r="S259" s="1" t="str">
        <f t="shared" ca="1" si="26"/>
        <v>D</v>
      </c>
      <c r="T259" s="1" t="str">
        <f t="shared" ca="1" si="27"/>
        <v>D</v>
      </c>
      <c r="U259" s="1" t="str">
        <f t="shared" ca="1" si="28"/>
        <v>D</v>
      </c>
      <c r="V259" s="1" t="str">
        <f t="shared" ca="1" si="29"/>
        <v>D</v>
      </c>
      <c r="W259" s="1" t="str">
        <f t="shared" ca="1" si="30"/>
        <v>Andrew Farrell</v>
      </c>
    </row>
    <row r="260" spans="1:23">
      <c r="A260" s="1" t="str">
        <f ca="1">IFERROR(__xludf.DUMMYFUNCTION("""COMPUTED_VALUE"""),"Logan")</f>
        <v>Logan</v>
      </c>
      <c r="B260" s="1" t="str">
        <f ca="1">IFERROR(__xludf.DUMMYFUNCTION("""COMPUTED_VALUE"""),"Farrington")</f>
        <v>Farrington</v>
      </c>
      <c r="C260" s="1" t="str">
        <f ca="1">IFERROR(__xludf.DUMMYFUNCTION("""COMPUTED_VALUE"""),"FC Dallas")</f>
        <v>FC Dallas</v>
      </c>
      <c r="D260" s="1" t="str">
        <f ca="1">IFERROR(__xludf.DUMMYFUNCTION("""COMPUTED_VALUE"""),"Center Forward")</f>
        <v>Center Forward</v>
      </c>
      <c r="E260" s="2">
        <f ca="1">IFERROR(__xludf.DUMMYFUNCTION("""COMPUTED_VALUE"""),71401)</f>
        <v>71401</v>
      </c>
      <c r="F260" s="2">
        <f ca="1">IFERROR(__xludf.DUMMYFUNCTION("""COMPUTED_VALUE"""),71401)</f>
        <v>71401</v>
      </c>
      <c r="H260" s="1" t="str">
        <f t="shared" ca="1" si="16"/>
        <v>Center Forward</v>
      </c>
      <c r="I260" s="3" t="str">
        <f t="shared" ca="1" si="17"/>
        <v>Center Forward</v>
      </c>
      <c r="J260" s="1" t="str">
        <f t="shared" ca="1" si="18"/>
        <v>Center Forward</v>
      </c>
      <c r="K260" s="1" t="str">
        <f t="shared" ca="1" si="31"/>
        <v>Center Forward</v>
      </c>
      <c r="L260" s="1" t="str">
        <f t="shared" ca="1" si="19"/>
        <v>Center Forward</v>
      </c>
      <c r="M260" s="1" t="str">
        <f t="shared" ca="1" si="20"/>
        <v>Center Forward</v>
      </c>
      <c r="N260" s="1" t="str">
        <f t="shared" ca="1" si="21"/>
        <v>Center Forward</v>
      </c>
      <c r="O260" s="1" t="str">
        <f t="shared" ca="1" si="22"/>
        <v>F</v>
      </c>
      <c r="P260" s="1" t="str">
        <f t="shared" ca="1" si="23"/>
        <v>F</v>
      </c>
      <c r="Q260" s="1" t="str">
        <f t="shared" ca="1" si="24"/>
        <v>F</v>
      </c>
      <c r="R260" s="1" t="str">
        <f t="shared" ca="1" si="25"/>
        <v>F</v>
      </c>
      <c r="S260" s="1" t="str">
        <f t="shared" ca="1" si="26"/>
        <v>F</v>
      </c>
      <c r="T260" s="1" t="str">
        <f t="shared" ca="1" si="27"/>
        <v>F</v>
      </c>
      <c r="U260" s="1" t="str">
        <f t="shared" ca="1" si="28"/>
        <v>F</v>
      </c>
      <c r="V260" s="1" t="str">
        <f t="shared" ca="1" si="29"/>
        <v>F</v>
      </c>
      <c r="W260" s="1" t="str">
        <f t="shared" ca="1" si="30"/>
        <v>Logan Farrington</v>
      </c>
    </row>
    <row r="261" spans="1:23">
      <c r="A261" s="1" t="str">
        <f ca="1">IFERROR(__xludf.DUMMYFUNCTION("""COMPUTED_VALUE"""),"Mohamed")</f>
        <v>Mohamed</v>
      </c>
      <c r="B261" s="1" t="str">
        <f ca="1">IFERROR(__xludf.DUMMYFUNCTION("""COMPUTED_VALUE"""),"Farsi")</f>
        <v>Farsi</v>
      </c>
      <c r="C261" s="1" t="str">
        <f ca="1">IFERROR(__xludf.DUMMYFUNCTION("""COMPUTED_VALUE"""),"Columbus Crew")</f>
        <v>Columbus Crew</v>
      </c>
      <c r="D261" s="1" t="str">
        <f ca="1">IFERROR(__xludf.DUMMYFUNCTION("""COMPUTED_VALUE"""),"Right Midfield")</f>
        <v>Right Midfield</v>
      </c>
      <c r="E261" s="2">
        <f ca="1">IFERROR(__xludf.DUMMYFUNCTION("""COMPUTED_VALUE"""),350000)</f>
        <v>350000</v>
      </c>
      <c r="F261" s="2">
        <f ca="1">IFERROR(__xludf.DUMMYFUNCTION("""COMPUTED_VALUE"""),380000)</f>
        <v>380000</v>
      </c>
      <c r="H261" s="1" t="str">
        <f t="shared" ca="1" si="16"/>
        <v>Right Midfield</v>
      </c>
      <c r="I261" s="3" t="str">
        <f t="shared" ca="1" si="17"/>
        <v>Right Midfield</v>
      </c>
      <c r="J261" s="1" t="str">
        <f t="shared" ca="1" si="18"/>
        <v>Right Midfield</v>
      </c>
      <c r="K261" s="1" t="str">
        <f t="shared" ca="1" si="31"/>
        <v>Right Midfield</v>
      </c>
      <c r="L261" s="1" t="str">
        <f t="shared" ca="1" si="19"/>
        <v>Right Midfield</v>
      </c>
      <c r="M261" s="1" t="str">
        <f t="shared" ca="1" si="20"/>
        <v>Right Midfield</v>
      </c>
      <c r="N261" s="1" t="str">
        <f t="shared" ca="1" si="21"/>
        <v>Right Midfield</v>
      </c>
      <c r="O261" s="1" t="str">
        <f t="shared" ca="1" si="22"/>
        <v>Right Midfield</v>
      </c>
      <c r="P261" s="1" t="str">
        <f t="shared" ca="1" si="23"/>
        <v>Right Midfield</v>
      </c>
      <c r="Q261" s="1" t="str">
        <f t="shared" ca="1" si="24"/>
        <v>Right Midfield</v>
      </c>
      <c r="R261" s="1" t="str">
        <f t="shared" ca="1" si="25"/>
        <v>Right Midfield</v>
      </c>
      <c r="S261" s="1" t="str">
        <f t="shared" ca="1" si="26"/>
        <v>Right Midfield</v>
      </c>
      <c r="T261" s="1" t="str">
        <f t="shared" ca="1" si="27"/>
        <v>M</v>
      </c>
      <c r="U261" s="1" t="str">
        <f t="shared" ca="1" si="28"/>
        <v>M</v>
      </c>
      <c r="V261" s="1" t="str">
        <f t="shared" ca="1" si="29"/>
        <v>M</v>
      </c>
      <c r="W261" s="1" t="str">
        <f t="shared" ca="1" si="30"/>
        <v>Mohamed Farsi</v>
      </c>
    </row>
    <row r="262" spans="1:23">
      <c r="A262" s="1" t="str">
        <f ca="1">IFERROR(__xludf.DUMMYFUNCTION("""COMPUTED_VALUE"""),"Marcus")</f>
        <v>Marcus</v>
      </c>
      <c r="B262" s="1" t="str">
        <f ca="1">IFERROR(__xludf.DUMMYFUNCTION("""COMPUTED_VALUE"""),"Ferkranus")</f>
        <v>Ferkranus</v>
      </c>
      <c r="C262" s="1" t="str">
        <f ca="1">IFERROR(__xludf.DUMMYFUNCTION("""COMPUTED_VALUE"""),"LA Galaxy")</f>
        <v>LA Galaxy</v>
      </c>
      <c r="D262" s="1" t="str">
        <f ca="1">IFERROR(__xludf.DUMMYFUNCTION("""COMPUTED_VALUE"""),"Center-back")</f>
        <v>Center-back</v>
      </c>
      <c r="E262" s="2">
        <f ca="1">IFERROR(__xludf.DUMMYFUNCTION("""COMPUTED_VALUE"""),165000)</f>
        <v>165000</v>
      </c>
      <c r="F262" s="2">
        <f ca="1">IFERROR(__xludf.DUMMYFUNCTION("""COMPUTED_VALUE"""),178625)</f>
        <v>178625</v>
      </c>
      <c r="H262" s="1" t="str">
        <f t="shared" ca="1" si="16"/>
        <v>D</v>
      </c>
      <c r="I262" s="3" t="str">
        <f t="shared" ca="1" si="17"/>
        <v>D</v>
      </c>
      <c r="J262" s="1" t="str">
        <f t="shared" ca="1" si="18"/>
        <v>D</v>
      </c>
      <c r="K262" s="1" t="str">
        <f t="shared" ca="1" si="31"/>
        <v>D</v>
      </c>
      <c r="L262" s="1" t="str">
        <f t="shared" ca="1" si="19"/>
        <v>D</v>
      </c>
      <c r="M262" s="1" t="str">
        <f t="shared" ca="1" si="20"/>
        <v>D</v>
      </c>
      <c r="N262" s="1" t="str">
        <f t="shared" ca="1" si="21"/>
        <v>D</v>
      </c>
      <c r="O262" s="1" t="str">
        <f t="shared" ca="1" si="22"/>
        <v>D</v>
      </c>
      <c r="P262" s="1" t="str">
        <f t="shared" ca="1" si="23"/>
        <v>D</v>
      </c>
      <c r="Q262" s="1" t="str">
        <f t="shared" ca="1" si="24"/>
        <v>D</v>
      </c>
      <c r="R262" s="1" t="str">
        <f t="shared" ca="1" si="25"/>
        <v>D</v>
      </c>
      <c r="S262" s="1" t="str">
        <f t="shared" ca="1" si="26"/>
        <v>D</v>
      </c>
      <c r="T262" s="1" t="str">
        <f t="shared" ca="1" si="27"/>
        <v>D</v>
      </c>
      <c r="U262" s="1" t="str">
        <f t="shared" ca="1" si="28"/>
        <v>D</v>
      </c>
      <c r="V262" s="1" t="str">
        <f t="shared" ca="1" si="29"/>
        <v>D</v>
      </c>
      <c r="W262" s="1" t="str">
        <f t="shared" ca="1" si="30"/>
        <v>Marcus Ferkranus</v>
      </c>
    </row>
    <row r="263" spans="1:23">
      <c r="A263" s="1" t="str">
        <f ca="1">IFERROR(__xludf.DUMMYFUNCTION("""COMPUTED_VALUE"""),"Julián")</f>
        <v>Julián</v>
      </c>
      <c r="B263" s="1" t="str">
        <f ca="1">IFERROR(__xludf.DUMMYFUNCTION("""COMPUTED_VALUE"""),"Fernández")</f>
        <v>Fernández</v>
      </c>
      <c r="C263" s="1" t="str">
        <f ca="1">IFERROR(__xludf.DUMMYFUNCTION("""COMPUTED_VALUE"""),"New York City FC")</f>
        <v>New York City FC</v>
      </c>
      <c r="D263" s="1" t="str">
        <f ca="1">IFERROR(__xludf.DUMMYFUNCTION("""COMPUTED_VALUE"""),"Right Wing")</f>
        <v>Right Wing</v>
      </c>
      <c r="E263" s="2">
        <f ca="1">IFERROR(__xludf.DUMMYFUNCTION("""COMPUTED_VALUE"""),564000)</f>
        <v>564000</v>
      </c>
      <c r="F263" s="2">
        <f ca="1">IFERROR(__xludf.DUMMYFUNCTION("""COMPUTED_VALUE"""),628300)</f>
        <v>628300</v>
      </c>
      <c r="H263" s="1" t="str">
        <f t="shared" ca="1" si="16"/>
        <v>Right Wing</v>
      </c>
      <c r="I263" s="3" t="str">
        <f t="shared" ca="1" si="17"/>
        <v>Right Wing</v>
      </c>
      <c r="J263" s="1" t="str">
        <f t="shared" ca="1" si="18"/>
        <v>Right Wing</v>
      </c>
      <c r="K263" s="1" t="str">
        <f t="shared" ca="1" si="31"/>
        <v>Right Wing</v>
      </c>
      <c r="L263" s="1" t="str">
        <f t="shared" ca="1" si="19"/>
        <v>Right Wing</v>
      </c>
      <c r="M263" s="1" t="str">
        <f t="shared" ca="1" si="20"/>
        <v>Right Wing</v>
      </c>
      <c r="N263" s="1" t="str">
        <f t="shared" ca="1" si="21"/>
        <v>F</v>
      </c>
      <c r="O263" s="1" t="str">
        <f t="shared" ca="1" si="22"/>
        <v>F</v>
      </c>
      <c r="P263" s="1" t="str">
        <f t="shared" ca="1" si="23"/>
        <v>F</v>
      </c>
      <c r="Q263" s="1" t="str">
        <f t="shared" ca="1" si="24"/>
        <v>F</v>
      </c>
      <c r="R263" s="1" t="str">
        <f t="shared" ca="1" si="25"/>
        <v>F</v>
      </c>
      <c r="S263" s="1" t="str">
        <f t="shared" ca="1" si="26"/>
        <v>F</v>
      </c>
      <c r="T263" s="1" t="str">
        <f t="shared" ca="1" si="27"/>
        <v>F</v>
      </c>
      <c r="U263" s="1" t="str">
        <f t="shared" ca="1" si="28"/>
        <v>F</v>
      </c>
      <c r="V263" s="1" t="str">
        <f t="shared" ca="1" si="29"/>
        <v>F</v>
      </c>
      <c r="W263" s="1" t="str">
        <f t="shared" ca="1" si="30"/>
        <v>Julián Fernández</v>
      </c>
    </row>
    <row r="264" spans="1:23">
      <c r="A264" s="1" t="str">
        <f ca="1">IFERROR(__xludf.DUMMYFUNCTION("""COMPUTED_VALUE"""),"Omir")</f>
        <v>Omir</v>
      </c>
      <c r="B264" s="1" t="str">
        <f ca="1">IFERROR(__xludf.DUMMYFUNCTION("""COMPUTED_VALUE"""),"Fernandez")</f>
        <v>Fernandez</v>
      </c>
      <c r="C264" s="1" t="str">
        <f ca="1">IFERROR(__xludf.DUMMYFUNCTION("""COMPUTED_VALUE"""),"Colorado Rapids")</f>
        <v>Colorado Rapids</v>
      </c>
      <c r="D264" s="1" t="str">
        <f ca="1">IFERROR(__xludf.DUMMYFUNCTION("""COMPUTED_VALUE"""),"Attacking Midfield")</f>
        <v>Attacking Midfield</v>
      </c>
      <c r="E264" s="2">
        <f ca="1">IFERROR(__xludf.DUMMYFUNCTION("""COMPUTED_VALUE"""),575000)</f>
        <v>575000</v>
      </c>
      <c r="F264" s="2">
        <f ca="1">IFERROR(__xludf.DUMMYFUNCTION("""COMPUTED_VALUE"""),636875)</f>
        <v>636875</v>
      </c>
      <c r="H264" s="1" t="str">
        <f t="shared" ca="1" si="16"/>
        <v>Attacking Midfield</v>
      </c>
      <c r="I264" s="3" t="str">
        <f t="shared" ca="1" si="17"/>
        <v>Attacking Midfield</v>
      </c>
      <c r="J264" s="1" t="str">
        <f t="shared" ca="1" si="18"/>
        <v>Attacking Midfield</v>
      </c>
      <c r="K264" s="1" t="str">
        <f t="shared" ca="1" si="31"/>
        <v>Attacking Midfield</v>
      </c>
      <c r="L264" s="1" t="str">
        <f t="shared" ca="1" si="19"/>
        <v>Attacking Midfield</v>
      </c>
      <c r="M264" s="1" t="str">
        <f t="shared" ca="1" si="20"/>
        <v>M</v>
      </c>
      <c r="N264" s="1" t="str">
        <f t="shared" ca="1" si="21"/>
        <v>M</v>
      </c>
      <c r="O264" s="1" t="str">
        <f t="shared" ca="1" si="22"/>
        <v>M</v>
      </c>
      <c r="P264" s="1" t="str">
        <f t="shared" ca="1" si="23"/>
        <v>M</v>
      </c>
      <c r="Q264" s="1" t="str">
        <f t="shared" ca="1" si="24"/>
        <v>M</v>
      </c>
      <c r="R264" s="1" t="str">
        <f t="shared" ca="1" si="25"/>
        <v>M</v>
      </c>
      <c r="S264" s="1" t="str">
        <f t="shared" ca="1" si="26"/>
        <v>M</v>
      </c>
      <c r="T264" s="1" t="str">
        <f t="shared" ca="1" si="27"/>
        <v>M</v>
      </c>
      <c r="U264" s="1" t="str">
        <f t="shared" ca="1" si="28"/>
        <v>M</v>
      </c>
      <c r="V264" s="1" t="str">
        <f t="shared" ca="1" si="29"/>
        <v>M</v>
      </c>
      <c r="W264" s="1" t="str">
        <f t="shared" ca="1" si="30"/>
        <v>Omir Fernandez</v>
      </c>
    </row>
    <row r="265" spans="1:23">
      <c r="A265" s="1" t="str">
        <f ca="1">IFERROR(__xludf.DUMMYFUNCTION("""COMPUTED_VALUE"""),"Duran")</f>
        <v>Duran</v>
      </c>
      <c r="B265" s="1" t="str">
        <f ca="1">IFERROR(__xludf.DUMMYFUNCTION("""COMPUTED_VALUE"""),"Ferree")</f>
        <v>Ferree</v>
      </c>
      <c r="C265" s="1" t="str">
        <f ca="1">IFERROR(__xludf.DUMMYFUNCTION("""COMPUTED_VALUE"""),"San Diego FC")</f>
        <v>San Diego FC</v>
      </c>
      <c r="D265" s="1" t="str">
        <f ca="1">IFERROR(__xludf.DUMMYFUNCTION("""COMPUTED_VALUE"""),"Goalkeeper")</f>
        <v>Goalkeeper</v>
      </c>
      <c r="E265" s="2">
        <f ca="1">IFERROR(__xludf.DUMMYFUNCTION("""COMPUTED_VALUE"""),71401)</f>
        <v>71401</v>
      </c>
      <c r="F265" s="2">
        <f ca="1">IFERROR(__xludf.DUMMYFUNCTION("""COMPUTED_VALUE"""),71401)</f>
        <v>71401</v>
      </c>
      <c r="H265" s="1" t="str">
        <f t="shared" ca="1" si="16"/>
        <v>Goalkeeper</v>
      </c>
      <c r="I265" s="3" t="str">
        <f t="shared" ca="1" si="17"/>
        <v>Goalkeeper</v>
      </c>
      <c r="J265" s="1" t="str">
        <f t="shared" ca="1" si="18"/>
        <v>Goalkeeper</v>
      </c>
      <c r="K265" s="1" t="str">
        <f t="shared" ca="1" si="31"/>
        <v>Goalkeeper</v>
      </c>
      <c r="L265" s="1" t="str">
        <f t="shared" ca="1" si="19"/>
        <v>Goalkeeper</v>
      </c>
      <c r="M265" s="1" t="str">
        <f t="shared" ca="1" si="20"/>
        <v>Goalkeeper</v>
      </c>
      <c r="N265" s="1" t="str">
        <f t="shared" ca="1" si="21"/>
        <v>Goalkeeper</v>
      </c>
      <c r="O265" s="1" t="str">
        <f t="shared" ca="1" si="22"/>
        <v>Goalkeeper</v>
      </c>
      <c r="P265" s="1" t="str">
        <f t="shared" ca="1" si="23"/>
        <v>Goalkeeper</v>
      </c>
      <c r="Q265" s="1" t="str">
        <f t="shared" ca="1" si="24"/>
        <v>Goalkeeper</v>
      </c>
      <c r="R265" s="1" t="str">
        <f t="shared" ca="1" si="25"/>
        <v>GK</v>
      </c>
      <c r="S265" s="1" t="str">
        <f t="shared" ca="1" si="26"/>
        <v>GK</v>
      </c>
      <c r="T265" s="1" t="str">
        <f t="shared" ca="1" si="27"/>
        <v>GK</v>
      </c>
      <c r="U265" s="1" t="str">
        <f t="shared" ca="1" si="28"/>
        <v>GK</v>
      </c>
      <c r="V265" s="1" t="str">
        <f t="shared" ca="1" si="29"/>
        <v>GK</v>
      </c>
      <c r="W265" s="1" t="str">
        <f t="shared" ca="1" si="30"/>
        <v>Duran Ferree</v>
      </c>
    </row>
    <row r="266" spans="1:23">
      <c r="A266" s="1" t="str">
        <f ca="1">IFERROR(__xludf.DUMMYFUNCTION("""COMPUTED_VALUE"""),"Jesús")</f>
        <v>Jesús</v>
      </c>
      <c r="B266" s="1" t="str">
        <f ca="1">IFERROR(__xludf.DUMMYFUNCTION("""COMPUTED_VALUE"""),"Ferreira")</f>
        <v>Ferreira</v>
      </c>
      <c r="C266" s="1" t="str">
        <f ca="1">IFERROR(__xludf.DUMMYFUNCTION("""COMPUTED_VALUE"""),"FC Dallas")</f>
        <v>FC Dallas</v>
      </c>
      <c r="D266" s="1" t="str">
        <f ca="1">IFERROR(__xludf.DUMMYFUNCTION("""COMPUTED_VALUE"""),"Center Forward")</f>
        <v>Center Forward</v>
      </c>
      <c r="E266" s="2">
        <f ca="1">IFERROR(__xludf.DUMMYFUNCTION("""COMPUTED_VALUE"""),2000000)</f>
        <v>2000000</v>
      </c>
      <c r="F266" s="2">
        <f ca="1">IFERROR(__xludf.DUMMYFUNCTION("""COMPUTED_VALUE"""),2204000)</f>
        <v>2204000</v>
      </c>
      <c r="H266" s="1" t="str">
        <f t="shared" ca="1" si="16"/>
        <v>Center Forward</v>
      </c>
      <c r="I266" s="3" t="str">
        <f t="shared" ca="1" si="17"/>
        <v>Center Forward</v>
      </c>
      <c r="J266" s="1" t="str">
        <f t="shared" ca="1" si="18"/>
        <v>Center Forward</v>
      </c>
      <c r="K266" s="1" t="str">
        <f t="shared" ca="1" si="31"/>
        <v>Center Forward</v>
      </c>
      <c r="L266" s="1" t="str">
        <f t="shared" ca="1" si="19"/>
        <v>Center Forward</v>
      </c>
      <c r="M266" s="1" t="str">
        <f t="shared" ca="1" si="20"/>
        <v>Center Forward</v>
      </c>
      <c r="N266" s="1" t="str">
        <f t="shared" ca="1" si="21"/>
        <v>Center Forward</v>
      </c>
      <c r="O266" s="1" t="str">
        <f t="shared" ca="1" si="22"/>
        <v>F</v>
      </c>
      <c r="P266" s="1" t="str">
        <f t="shared" ca="1" si="23"/>
        <v>F</v>
      </c>
      <c r="Q266" s="1" t="str">
        <f t="shared" ca="1" si="24"/>
        <v>F</v>
      </c>
      <c r="R266" s="1" t="str">
        <f t="shared" ca="1" si="25"/>
        <v>F</v>
      </c>
      <c r="S266" s="1" t="str">
        <f t="shared" ca="1" si="26"/>
        <v>F</v>
      </c>
      <c r="T266" s="1" t="str">
        <f t="shared" ca="1" si="27"/>
        <v>F</v>
      </c>
      <c r="U266" s="1" t="str">
        <f t="shared" ca="1" si="28"/>
        <v>F</v>
      </c>
      <c r="V266" s="1" t="str">
        <f t="shared" ca="1" si="29"/>
        <v>F</v>
      </c>
      <c r="W266" s="1" t="str">
        <f t="shared" ca="1" si="30"/>
        <v>Jesús Ferreira</v>
      </c>
    </row>
    <row r="267" spans="1:23">
      <c r="A267" s="1" t="str">
        <f ca="1">IFERROR(__xludf.DUMMYFUNCTION("""COMPUTED_VALUE"""),"Sebastián")</f>
        <v>Sebastián</v>
      </c>
      <c r="B267" s="1" t="str">
        <f ca="1">IFERROR(__xludf.DUMMYFUNCTION("""COMPUTED_VALUE"""),"Ferreira")</f>
        <v>Ferreira</v>
      </c>
      <c r="C267" s="1" t="str">
        <f ca="1">IFERROR(__xludf.DUMMYFUNCTION("""COMPUTED_VALUE"""),"Houston Dynamo")</f>
        <v>Houston Dynamo</v>
      </c>
      <c r="D267" s="1" t="str">
        <f ca="1">IFERROR(__xludf.DUMMYFUNCTION("""COMPUTED_VALUE"""),"Center Forward")</f>
        <v>Center Forward</v>
      </c>
      <c r="E267" s="2">
        <f ca="1">IFERROR(__xludf.DUMMYFUNCTION("""COMPUTED_VALUE"""),1920000)</f>
        <v>1920000</v>
      </c>
      <c r="F267" s="2">
        <f ca="1">IFERROR(__xludf.DUMMYFUNCTION("""COMPUTED_VALUE"""),2290200)</f>
        <v>2290200</v>
      </c>
      <c r="H267" s="1" t="str">
        <f t="shared" ca="1" si="16"/>
        <v>Center Forward</v>
      </c>
      <c r="I267" s="3" t="str">
        <f t="shared" ca="1" si="17"/>
        <v>Center Forward</v>
      </c>
      <c r="J267" s="1" t="str">
        <f t="shared" ca="1" si="18"/>
        <v>Center Forward</v>
      </c>
      <c r="K267" s="1" t="str">
        <f t="shared" ca="1" si="31"/>
        <v>Center Forward</v>
      </c>
      <c r="L267" s="1" t="str">
        <f t="shared" ca="1" si="19"/>
        <v>Center Forward</v>
      </c>
      <c r="M267" s="1" t="str">
        <f t="shared" ca="1" si="20"/>
        <v>Center Forward</v>
      </c>
      <c r="N267" s="1" t="str">
        <f t="shared" ca="1" si="21"/>
        <v>Center Forward</v>
      </c>
      <c r="O267" s="1" t="str">
        <f t="shared" ca="1" si="22"/>
        <v>F</v>
      </c>
      <c r="P267" s="1" t="str">
        <f t="shared" ca="1" si="23"/>
        <v>F</v>
      </c>
      <c r="Q267" s="1" t="str">
        <f t="shared" ca="1" si="24"/>
        <v>F</v>
      </c>
      <c r="R267" s="1" t="str">
        <f t="shared" ca="1" si="25"/>
        <v>F</v>
      </c>
      <c r="S267" s="1" t="str">
        <f t="shared" ca="1" si="26"/>
        <v>F</v>
      </c>
      <c r="T267" s="1" t="str">
        <f t="shared" ca="1" si="27"/>
        <v>F</v>
      </c>
      <c r="U267" s="1" t="str">
        <f t="shared" ca="1" si="28"/>
        <v>F</v>
      </c>
      <c r="V267" s="1" t="str">
        <f t="shared" ca="1" si="29"/>
        <v>F</v>
      </c>
      <c r="W267" s="1" t="str">
        <f t="shared" ca="1" si="30"/>
        <v>Sebastián Ferreira</v>
      </c>
    </row>
    <row r="268" spans="1:23">
      <c r="A268" s="1" t="str">
        <f ca="1">IFERROR(__xludf.DUMMYFUNCTION("""COMPUTED_VALUE"""),"Ethan")</f>
        <v>Ethan</v>
      </c>
      <c r="B268" s="1" t="str">
        <f ca="1">IFERROR(__xludf.DUMMYFUNCTION("""COMPUTED_VALUE"""),"Finlay")</f>
        <v>Finlay</v>
      </c>
      <c r="C268" s="1" t="str">
        <f ca="1">IFERROR(__xludf.DUMMYFUNCTION("""COMPUTED_VALUE"""),"Austin FC")</f>
        <v>Austin FC</v>
      </c>
      <c r="D268" s="1" t="str">
        <f ca="1">IFERROR(__xludf.DUMMYFUNCTION("""COMPUTED_VALUE"""),"Right Wing")</f>
        <v>Right Wing</v>
      </c>
      <c r="E268" s="2">
        <f ca="1">IFERROR(__xludf.DUMMYFUNCTION("""COMPUTED_VALUE"""),262500)</f>
        <v>262500</v>
      </c>
      <c r="F268" s="2">
        <f ca="1">IFERROR(__xludf.DUMMYFUNCTION("""COMPUTED_VALUE"""),306250)</f>
        <v>306250</v>
      </c>
      <c r="H268" s="1" t="str">
        <f t="shared" ca="1" si="16"/>
        <v>Right Wing</v>
      </c>
      <c r="I268" s="3" t="str">
        <f t="shared" ca="1" si="17"/>
        <v>Right Wing</v>
      </c>
      <c r="J268" s="1" t="str">
        <f t="shared" ca="1" si="18"/>
        <v>Right Wing</v>
      </c>
      <c r="K268" s="1" t="str">
        <f t="shared" ca="1" si="31"/>
        <v>Right Wing</v>
      </c>
      <c r="L268" s="1" t="str">
        <f t="shared" ca="1" si="19"/>
        <v>Right Wing</v>
      </c>
      <c r="M268" s="1" t="str">
        <f t="shared" ca="1" si="20"/>
        <v>Right Wing</v>
      </c>
      <c r="N268" s="1" t="str">
        <f t="shared" ca="1" si="21"/>
        <v>F</v>
      </c>
      <c r="O268" s="1" t="str">
        <f t="shared" ca="1" si="22"/>
        <v>F</v>
      </c>
      <c r="P268" s="1" t="str">
        <f t="shared" ca="1" si="23"/>
        <v>F</v>
      </c>
      <c r="Q268" s="1" t="str">
        <f t="shared" ca="1" si="24"/>
        <v>F</v>
      </c>
      <c r="R268" s="1" t="str">
        <f t="shared" ca="1" si="25"/>
        <v>F</v>
      </c>
      <c r="S268" s="1" t="str">
        <f t="shared" ca="1" si="26"/>
        <v>F</v>
      </c>
      <c r="T268" s="1" t="str">
        <f t="shared" ca="1" si="27"/>
        <v>F</v>
      </c>
      <c r="U268" s="1" t="str">
        <f t="shared" ca="1" si="28"/>
        <v>F</v>
      </c>
      <c r="V268" s="1" t="str">
        <f t="shared" ca="1" si="29"/>
        <v>F</v>
      </c>
      <c r="W268" s="1" t="str">
        <f t="shared" ca="1" si="30"/>
        <v>Ethan Finlay</v>
      </c>
    </row>
    <row r="269" spans="1:23">
      <c r="A269" s="1" t="str">
        <f ca="1">IFERROR(__xludf.DUMMYFUNCTION("""COMPUTED_VALUE"""),"Nick")</f>
        <v>Nick</v>
      </c>
      <c r="B269" s="1" t="str">
        <f ca="1">IFERROR(__xludf.DUMMYFUNCTION("""COMPUTED_VALUE"""),"Firmino")</f>
        <v>Firmino</v>
      </c>
      <c r="C269" s="1" t="str">
        <f ca="1">IFERROR(__xludf.DUMMYFUNCTION("""COMPUTED_VALUE"""),"Atlanta United")</f>
        <v>Atlanta United</v>
      </c>
      <c r="D269" s="1" t="str">
        <f ca="1">IFERROR(__xludf.DUMMYFUNCTION("""COMPUTED_VALUE"""),"Central Midfield")</f>
        <v>Central Midfield</v>
      </c>
      <c r="E269" s="2">
        <f ca="1">IFERROR(__xludf.DUMMYFUNCTION("""COMPUTED_VALUE"""),71401)</f>
        <v>71401</v>
      </c>
      <c r="F269" s="2">
        <f ca="1">IFERROR(__xludf.DUMMYFUNCTION("""COMPUTED_VALUE"""),71401)</f>
        <v>71401</v>
      </c>
      <c r="H269" s="1" t="str">
        <f t="shared" ca="1" si="16"/>
        <v>Central Midfield</v>
      </c>
      <c r="I269" s="3" t="str">
        <f t="shared" ca="1" si="17"/>
        <v>Central Midfield</v>
      </c>
      <c r="J269" s="1" t="str">
        <f t="shared" ca="1" si="18"/>
        <v>Central Midfield</v>
      </c>
      <c r="K269" s="1" t="str">
        <f t="shared" ca="1" si="31"/>
        <v>Central Midfield</v>
      </c>
      <c r="L269" s="1" t="str">
        <f t="shared" ca="1" si="19"/>
        <v>M</v>
      </c>
      <c r="M269" s="1" t="str">
        <f t="shared" ca="1" si="20"/>
        <v>M</v>
      </c>
      <c r="N269" s="1" t="str">
        <f t="shared" ca="1" si="21"/>
        <v>M</v>
      </c>
      <c r="O269" s="1" t="str">
        <f t="shared" ca="1" si="22"/>
        <v>M</v>
      </c>
      <c r="P269" s="1" t="str">
        <f t="shared" ca="1" si="23"/>
        <v>M</v>
      </c>
      <c r="Q269" s="1" t="str">
        <f t="shared" ca="1" si="24"/>
        <v>M</v>
      </c>
      <c r="R269" s="1" t="str">
        <f t="shared" ca="1" si="25"/>
        <v>M</v>
      </c>
      <c r="S269" s="1" t="str">
        <f t="shared" ca="1" si="26"/>
        <v>M</v>
      </c>
      <c r="T269" s="1" t="str">
        <f t="shared" ca="1" si="27"/>
        <v>M</v>
      </c>
      <c r="U269" s="1" t="str">
        <f t="shared" ca="1" si="28"/>
        <v>M</v>
      </c>
      <c r="V269" s="1" t="str">
        <f t="shared" ca="1" si="29"/>
        <v>M</v>
      </c>
      <c r="W269" s="1" t="str">
        <f t="shared" ca="1" si="30"/>
        <v>Nick Firmino</v>
      </c>
    </row>
    <row r="270" spans="1:23">
      <c r="A270" s="1" t="str">
        <f ca="1">IFERROR(__xludf.DUMMYFUNCTION("""COMPUTED_VALUE"""),"Leon")</f>
        <v>Leon</v>
      </c>
      <c r="B270" s="1" t="str">
        <f ca="1">IFERROR(__xludf.DUMMYFUNCTION("""COMPUTED_VALUE"""),"Flach")</f>
        <v>Flach</v>
      </c>
      <c r="C270" s="1" t="str">
        <f ca="1">IFERROR(__xludf.DUMMYFUNCTION("""COMPUTED_VALUE"""),"Philadelphia Union")</f>
        <v>Philadelphia Union</v>
      </c>
      <c r="D270" s="1" t="str">
        <f ca="1">IFERROR(__xludf.DUMMYFUNCTION("""COMPUTED_VALUE"""),"Central Midfield")</f>
        <v>Central Midfield</v>
      </c>
      <c r="E270" s="2">
        <f ca="1">IFERROR(__xludf.DUMMYFUNCTION("""COMPUTED_VALUE"""),300000)</f>
        <v>300000</v>
      </c>
      <c r="F270" s="2">
        <f ca="1">IFERROR(__xludf.DUMMYFUNCTION("""COMPUTED_VALUE"""),314500)</f>
        <v>314500</v>
      </c>
      <c r="H270" s="1" t="str">
        <f t="shared" ca="1" si="16"/>
        <v>Central Midfield</v>
      </c>
      <c r="I270" s="3" t="str">
        <f t="shared" ca="1" si="17"/>
        <v>Central Midfield</v>
      </c>
      <c r="J270" s="1" t="str">
        <f t="shared" ca="1" si="18"/>
        <v>Central Midfield</v>
      </c>
      <c r="K270" s="1" t="str">
        <f t="shared" ca="1" si="31"/>
        <v>Central Midfield</v>
      </c>
      <c r="L270" s="1" t="str">
        <f t="shared" ca="1" si="19"/>
        <v>M</v>
      </c>
      <c r="M270" s="1" t="str">
        <f t="shared" ca="1" si="20"/>
        <v>M</v>
      </c>
      <c r="N270" s="1" t="str">
        <f t="shared" ca="1" si="21"/>
        <v>M</v>
      </c>
      <c r="O270" s="1" t="str">
        <f t="shared" ca="1" si="22"/>
        <v>M</v>
      </c>
      <c r="P270" s="1" t="str">
        <f t="shared" ca="1" si="23"/>
        <v>M</v>
      </c>
      <c r="Q270" s="1" t="str">
        <f t="shared" ca="1" si="24"/>
        <v>M</v>
      </c>
      <c r="R270" s="1" t="str">
        <f t="shared" ca="1" si="25"/>
        <v>M</v>
      </c>
      <c r="S270" s="1" t="str">
        <f t="shared" ca="1" si="26"/>
        <v>M</v>
      </c>
      <c r="T270" s="1" t="str">
        <f t="shared" ca="1" si="27"/>
        <v>M</v>
      </c>
      <c r="U270" s="1" t="str">
        <f t="shared" ca="1" si="28"/>
        <v>M</v>
      </c>
      <c r="V270" s="1" t="str">
        <f t="shared" ca="1" si="29"/>
        <v>M</v>
      </c>
      <c r="W270" s="1" t="str">
        <f t="shared" ca="1" si="30"/>
        <v>Leon Flach</v>
      </c>
    </row>
    <row r="271" spans="1:23">
      <c r="A271" s="1" t="str">
        <f ca="1">IFERROR(__xludf.DUMMYFUNCTION("""COMPUTED_VALUE"""),"Kristian")</f>
        <v>Kristian</v>
      </c>
      <c r="B271" s="1" t="str">
        <f ca="1">IFERROR(__xludf.DUMMYFUNCTION("""COMPUTED_VALUE"""),"Fletcher")</f>
        <v>Fletcher</v>
      </c>
      <c r="C271" s="1" t="str">
        <f ca="1">IFERROR(__xludf.DUMMYFUNCTION("""COMPUTED_VALUE"""),"DC United")</f>
        <v>DC United</v>
      </c>
      <c r="D271" s="1" t="str">
        <f ca="1">IFERROR(__xludf.DUMMYFUNCTION("""COMPUTED_VALUE"""),"Left Wing")</f>
        <v>Left Wing</v>
      </c>
      <c r="E271" s="2">
        <f ca="1">IFERROR(__xludf.DUMMYFUNCTION("""COMPUTED_VALUE"""),120000)</f>
        <v>120000</v>
      </c>
      <c r="F271" s="2">
        <f ca="1">IFERROR(__xludf.DUMMYFUNCTION("""COMPUTED_VALUE"""),139509)</f>
        <v>139509</v>
      </c>
      <c r="H271" s="1" t="str">
        <f t="shared" ca="1" si="16"/>
        <v>Left Wing</v>
      </c>
      <c r="I271" s="3" t="str">
        <f t="shared" ca="1" si="17"/>
        <v>Left Wing</v>
      </c>
      <c r="J271" s="1" t="str">
        <f t="shared" ca="1" si="18"/>
        <v>Left Wing</v>
      </c>
      <c r="K271" s="1" t="str">
        <f t="shared" ca="1" si="31"/>
        <v>Left Wing</v>
      </c>
      <c r="L271" s="1" t="str">
        <f t="shared" ca="1" si="19"/>
        <v>Left Wing</v>
      </c>
      <c r="M271" s="1" t="str">
        <f t="shared" ca="1" si="20"/>
        <v>Left Wing</v>
      </c>
      <c r="N271" s="1" t="str">
        <f t="shared" ca="1" si="21"/>
        <v>Left Wing</v>
      </c>
      <c r="O271" s="1" t="str">
        <f t="shared" ca="1" si="22"/>
        <v>Left Wing</v>
      </c>
      <c r="P271" s="1" t="str">
        <f t="shared" ca="1" si="23"/>
        <v>F</v>
      </c>
      <c r="Q271" s="1" t="str">
        <f t="shared" ca="1" si="24"/>
        <v>F</v>
      </c>
      <c r="R271" s="1" t="str">
        <f t="shared" ca="1" si="25"/>
        <v>F</v>
      </c>
      <c r="S271" s="1" t="str">
        <f t="shared" ca="1" si="26"/>
        <v>F</v>
      </c>
      <c r="T271" s="1" t="str">
        <f t="shared" ca="1" si="27"/>
        <v>F</v>
      </c>
      <c r="U271" s="1" t="str">
        <f t="shared" ca="1" si="28"/>
        <v>F</v>
      </c>
      <c r="V271" s="1" t="str">
        <f t="shared" ca="1" si="29"/>
        <v>F</v>
      </c>
      <c r="W271" s="1" t="str">
        <f t="shared" ca="1" si="30"/>
        <v>Kristian Fletcher</v>
      </c>
    </row>
    <row r="272" spans="1:23">
      <c r="A272" s="1" t="str">
        <f ca="1">IFERROR(__xludf.DUMMYFUNCTION("""COMPUTED_VALUE"""),"Danny")</f>
        <v>Danny</v>
      </c>
      <c r="B272" s="1" t="str">
        <f ca="1">IFERROR(__xludf.DUMMYFUNCTION("""COMPUTED_VALUE"""),"Flores")</f>
        <v>Flores</v>
      </c>
      <c r="C272" s="1" t="str">
        <f ca="1">IFERROR(__xludf.DUMMYFUNCTION("""COMPUTED_VALUE"""),"Sporting Kansas City")</f>
        <v>Sporting Kansas City</v>
      </c>
      <c r="D272" s="1" t="str">
        <f ca="1">IFERROR(__xludf.DUMMYFUNCTION("""COMPUTED_VALUE"""),"Central Midfield")</f>
        <v>Central Midfield</v>
      </c>
      <c r="E272" s="2">
        <f ca="1">IFERROR(__xludf.DUMMYFUNCTION("""COMPUTED_VALUE"""),71401)</f>
        <v>71401</v>
      </c>
      <c r="F272" s="2">
        <f ca="1">IFERROR(__xludf.DUMMYFUNCTION("""COMPUTED_VALUE"""),71401)</f>
        <v>71401</v>
      </c>
      <c r="H272" s="1" t="str">
        <f t="shared" ca="1" si="16"/>
        <v>Central Midfield</v>
      </c>
      <c r="I272" s="3" t="str">
        <f t="shared" ca="1" si="17"/>
        <v>Central Midfield</v>
      </c>
      <c r="J272" s="1" t="str">
        <f t="shared" ca="1" si="18"/>
        <v>Central Midfield</v>
      </c>
      <c r="K272" s="1" t="str">
        <f t="shared" ca="1" si="31"/>
        <v>Central Midfield</v>
      </c>
      <c r="L272" s="1" t="str">
        <f t="shared" ca="1" si="19"/>
        <v>M</v>
      </c>
      <c r="M272" s="1" t="str">
        <f t="shared" ca="1" si="20"/>
        <v>M</v>
      </c>
      <c r="N272" s="1" t="str">
        <f t="shared" ca="1" si="21"/>
        <v>M</v>
      </c>
      <c r="O272" s="1" t="str">
        <f t="shared" ca="1" si="22"/>
        <v>M</v>
      </c>
      <c r="P272" s="1" t="str">
        <f t="shared" ca="1" si="23"/>
        <v>M</v>
      </c>
      <c r="Q272" s="1" t="str">
        <f t="shared" ca="1" si="24"/>
        <v>M</v>
      </c>
      <c r="R272" s="1" t="str">
        <f t="shared" ca="1" si="25"/>
        <v>M</v>
      </c>
      <c r="S272" s="1" t="str">
        <f t="shared" ca="1" si="26"/>
        <v>M</v>
      </c>
      <c r="T272" s="1" t="str">
        <f t="shared" ca="1" si="27"/>
        <v>M</v>
      </c>
      <c r="U272" s="1" t="str">
        <f t="shared" ca="1" si="28"/>
        <v>M</v>
      </c>
      <c r="V272" s="1" t="str">
        <f t="shared" ca="1" si="29"/>
        <v>M</v>
      </c>
      <c r="W272" s="1" t="str">
        <f t="shared" ca="1" si="30"/>
        <v>Danny Flores</v>
      </c>
    </row>
    <row r="273" spans="1:23">
      <c r="A273" s="1" t="str">
        <f ca="1">IFERROR(__xludf.DUMMYFUNCTION("""COMPUTED_VALUE"""),"Deybi")</f>
        <v>Deybi</v>
      </c>
      <c r="B273" s="1" t="str">
        <f ca="1">IFERROR(__xludf.DUMMYFUNCTION("""COMPUTED_VALUE"""),"Flores")</f>
        <v>Flores</v>
      </c>
      <c r="C273" s="1" t="str">
        <f ca="1">IFERROR(__xludf.DUMMYFUNCTION("""COMPUTED_VALUE"""),"Toronto FC")</f>
        <v>Toronto FC</v>
      </c>
      <c r="D273" s="1" t="str">
        <f ca="1">IFERROR(__xludf.DUMMYFUNCTION("""COMPUTED_VALUE"""),"Defensive Midfield")</f>
        <v>Defensive Midfield</v>
      </c>
      <c r="E273" s="2">
        <f ca="1">IFERROR(__xludf.DUMMYFUNCTION("""COMPUTED_VALUE"""),400000)</f>
        <v>400000</v>
      </c>
      <c r="F273" s="2">
        <f ca="1">IFERROR(__xludf.DUMMYFUNCTION("""COMPUTED_VALUE"""),456667)</f>
        <v>456667</v>
      </c>
      <c r="H273" s="1" t="str">
        <f t="shared" ca="1" si="16"/>
        <v>Defensive Midfield</v>
      </c>
      <c r="I273" s="3" t="str">
        <f t="shared" ca="1" si="17"/>
        <v>Defensive Midfield</v>
      </c>
      <c r="J273" s="1" t="str">
        <f t="shared" ca="1" si="18"/>
        <v>Defensive Midfield</v>
      </c>
      <c r="K273" s="1" t="str">
        <f t="shared" ca="1" si="31"/>
        <v>M</v>
      </c>
      <c r="L273" s="1" t="str">
        <f t="shared" ca="1" si="19"/>
        <v>M</v>
      </c>
      <c r="M273" s="1" t="str">
        <f t="shared" ca="1" si="20"/>
        <v>M</v>
      </c>
      <c r="N273" s="1" t="str">
        <f t="shared" ca="1" si="21"/>
        <v>M</v>
      </c>
      <c r="O273" s="1" t="str">
        <f t="shared" ca="1" si="22"/>
        <v>M</v>
      </c>
      <c r="P273" s="1" t="str">
        <f t="shared" ca="1" si="23"/>
        <v>M</v>
      </c>
      <c r="Q273" s="1" t="str">
        <f t="shared" ca="1" si="24"/>
        <v>M</v>
      </c>
      <c r="R273" s="1" t="str">
        <f t="shared" ca="1" si="25"/>
        <v>M</v>
      </c>
      <c r="S273" s="1" t="str">
        <f t="shared" ca="1" si="26"/>
        <v>M</v>
      </c>
      <c r="T273" s="1" t="str">
        <f t="shared" ca="1" si="27"/>
        <v>M</v>
      </c>
      <c r="U273" s="1" t="str">
        <f t="shared" ca="1" si="28"/>
        <v>M</v>
      </c>
      <c r="V273" s="1" t="str">
        <f t="shared" ca="1" si="29"/>
        <v>M</v>
      </c>
      <c r="W273" s="1" t="str">
        <f t="shared" ca="1" si="30"/>
        <v>Deybi Flores</v>
      </c>
    </row>
    <row r="274" spans="1:23">
      <c r="A274" s="1" t="str">
        <f ca="1">IFERROR(__xludf.DUMMYFUNCTION("""COMPUTED_VALUE"""),"CJ")</f>
        <v>CJ</v>
      </c>
      <c r="B274" s="1" t="str">
        <f ca="1">IFERROR(__xludf.DUMMYFUNCTION("""COMPUTED_VALUE"""),"Fodrey")</f>
        <v>Fodrey</v>
      </c>
      <c r="C274" s="1" t="str">
        <f ca="1">IFERROR(__xludf.DUMMYFUNCTION("""COMPUTED_VALUE"""),"Austin FC")</f>
        <v>Austin FC</v>
      </c>
      <c r="D274" s="1" t="str">
        <f ca="1">IFERROR(__xludf.DUMMYFUNCTION("""COMPUTED_VALUE"""),"Left Wing")</f>
        <v>Left Wing</v>
      </c>
      <c r="E274" s="2">
        <f ca="1">IFERROR(__xludf.DUMMYFUNCTION("""COMPUTED_VALUE"""),89716)</f>
        <v>89716</v>
      </c>
      <c r="F274" s="2">
        <f ca="1">IFERROR(__xludf.DUMMYFUNCTION("""COMPUTED_VALUE"""),93716)</f>
        <v>93716</v>
      </c>
      <c r="H274" s="1" t="str">
        <f t="shared" ca="1" si="16"/>
        <v>Left Wing</v>
      </c>
      <c r="I274" s="3" t="str">
        <f t="shared" ca="1" si="17"/>
        <v>Left Wing</v>
      </c>
      <c r="J274" s="1" t="str">
        <f t="shared" ca="1" si="18"/>
        <v>Left Wing</v>
      </c>
      <c r="K274" s="1" t="str">
        <f t="shared" ca="1" si="31"/>
        <v>Left Wing</v>
      </c>
      <c r="L274" s="1" t="str">
        <f t="shared" ca="1" si="19"/>
        <v>Left Wing</v>
      </c>
      <c r="M274" s="1" t="str">
        <f t="shared" ca="1" si="20"/>
        <v>Left Wing</v>
      </c>
      <c r="N274" s="1" t="str">
        <f t="shared" ca="1" si="21"/>
        <v>Left Wing</v>
      </c>
      <c r="O274" s="1" t="str">
        <f t="shared" ca="1" si="22"/>
        <v>Left Wing</v>
      </c>
      <c r="P274" s="1" t="str">
        <f t="shared" ca="1" si="23"/>
        <v>F</v>
      </c>
      <c r="Q274" s="1" t="str">
        <f t="shared" ca="1" si="24"/>
        <v>F</v>
      </c>
      <c r="R274" s="1" t="str">
        <f t="shared" ca="1" si="25"/>
        <v>F</v>
      </c>
      <c r="S274" s="1" t="str">
        <f t="shared" ca="1" si="26"/>
        <v>F</v>
      </c>
      <c r="T274" s="1" t="str">
        <f t="shared" ca="1" si="27"/>
        <v>F</v>
      </c>
      <c r="U274" s="1" t="str">
        <f t="shared" ca="1" si="28"/>
        <v>F</v>
      </c>
      <c r="V274" s="1" t="str">
        <f t="shared" ca="1" si="29"/>
        <v>F</v>
      </c>
      <c r="W274" s="1" t="str">
        <f t="shared" ca="1" si="30"/>
        <v>CJ Fodrey</v>
      </c>
    </row>
    <row r="275" spans="1:23">
      <c r="A275" s="1" t="str">
        <f ca="1">IFERROR(__xludf.DUMMYFUNCTION("""COMPUTED_VALUE"""),"Andreu")</f>
        <v>Andreu</v>
      </c>
      <c r="B275" s="1" t="str">
        <f ca="1">IFERROR(__xludf.DUMMYFUNCTION("""COMPUTED_VALUE"""),"Fontàs")</f>
        <v>Fontàs</v>
      </c>
      <c r="C275" s="1" t="str">
        <f ca="1">IFERROR(__xludf.DUMMYFUNCTION("""COMPUTED_VALUE"""),"Sporting Kansas City")</f>
        <v>Sporting Kansas City</v>
      </c>
      <c r="D275" s="1" t="str">
        <f ca="1">IFERROR(__xludf.DUMMYFUNCTION("""COMPUTED_VALUE"""),"Center-back")</f>
        <v>Center-back</v>
      </c>
      <c r="E275" s="2">
        <f ca="1">IFERROR(__xludf.DUMMYFUNCTION("""COMPUTED_VALUE"""),450000)</f>
        <v>450000</v>
      </c>
      <c r="F275" s="2">
        <f ca="1">IFERROR(__xludf.DUMMYFUNCTION("""COMPUTED_VALUE"""),450000)</f>
        <v>450000</v>
      </c>
      <c r="H275" s="1" t="str">
        <f t="shared" ca="1" si="16"/>
        <v>D</v>
      </c>
      <c r="I275" s="3" t="str">
        <f t="shared" ca="1" si="17"/>
        <v>D</v>
      </c>
      <c r="J275" s="1" t="str">
        <f t="shared" ca="1" si="18"/>
        <v>D</v>
      </c>
      <c r="K275" s="1" t="str">
        <f t="shared" ca="1" si="31"/>
        <v>D</v>
      </c>
      <c r="L275" s="1" t="str">
        <f t="shared" ca="1" si="19"/>
        <v>D</v>
      </c>
      <c r="M275" s="1" t="str">
        <f t="shared" ca="1" si="20"/>
        <v>D</v>
      </c>
      <c r="N275" s="1" t="str">
        <f t="shared" ca="1" si="21"/>
        <v>D</v>
      </c>
      <c r="O275" s="1" t="str">
        <f t="shared" ca="1" si="22"/>
        <v>D</v>
      </c>
      <c r="P275" s="1" t="str">
        <f t="shared" ca="1" si="23"/>
        <v>D</v>
      </c>
      <c r="Q275" s="1" t="str">
        <f t="shared" ca="1" si="24"/>
        <v>D</v>
      </c>
      <c r="R275" s="1" t="str">
        <f t="shared" ca="1" si="25"/>
        <v>D</v>
      </c>
      <c r="S275" s="1" t="str">
        <f t="shared" ca="1" si="26"/>
        <v>D</v>
      </c>
      <c r="T275" s="1" t="str">
        <f t="shared" ca="1" si="27"/>
        <v>D</v>
      </c>
      <c r="U275" s="1" t="str">
        <f t="shared" ca="1" si="28"/>
        <v>D</v>
      </c>
      <c r="V275" s="1" t="str">
        <f t="shared" ca="1" si="29"/>
        <v>D</v>
      </c>
      <c r="W275" s="1" t="str">
        <f t="shared" ca="1" si="30"/>
        <v>Andreu Fontàs</v>
      </c>
    </row>
    <row r="276" spans="1:23">
      <c r="A276" s="1" t="str">
        <f ca="1">IFERROR(__xludf.DUMMYFUNCTION("""COMPUTED_VALUE"""),"Jahlane")</f>
        <v>Jahlane</v>
      </c>
      <c r="B276" s="1" t="str">
        <f ca="1">IFERROR(__xludf.DUMMYFUNCTION("""COMPUTED_VALUE"""),"Forbes")</f>
        <v>Forbes</v>
      </c>
      <c r="C276" s="1" t="str">
        <f ca="1">IFERROR(__xludf.DUMMYFUNCTION("""COMPUTED_VALUE"""),"Charlotte FC")</f>
        <v>Charlotte FC</v>
      </c>
      <c r="D276" s="1" t="str">
        <f ca="1">IFERROR(__xludf.DUMMYFUNCTION("""COMPUTED_VALUE"""),"Left-back")</f>
        <v>Left-back</v>
      </c>
      <c r="E276" s="2">
        <f ca="1">IFERROR(__xludf.DUMMYFUNCTION("""COMPUTED_VALUE"""),71401)</f>
        <v>71401</v>
      </c>
      <c r="F276" s="2">
        <f ca="1">IFERROR(__xludf.DUMMYFUNCTION("""COMPUTED_VALUE"""),71401)</f>
        <v>71401</v>
      </c>
      <c r="H276" s="1" t="str">
        <f t="shared" ca="1" si="16"/>
        <v>Left-back</v>
      </c>
      <c r="I276" s="3" t="str">
        <f t="shared" ca="1" si="17"/>
        <v>D</v>
      </c>
      <c r="J276" s="1" t="str">
        <f t="shared" ca="1" si="18"/>
        <v>D</v>
      </c>
      <c r="K276" s="1" t="str">
        <f t="shared" ca="1" si="31"/>
        <v>D</v>
      </c>
      <c r="L276" s="1" t="str">
        <f t="shared" ca="1" si="19"/>
        <v>D</v>
      </c>
      <c r="M276" s="1" t="str">
        <f t="shared" ca="1" si="20"/>
        <v>D</v>
      </c>
      <c r="N276" s="1" t="str">
        <f t="shared" ca="1" si="21"/>
        <v>D</v>
      </c>
      <c r="O276" s="1" t="str">
        <f t="shared" ca="1" si="22"/>
        <v>D</v>
      </c>
      <c r="P276" s="1" t="str">
        <f t="shared" ca="1" si="23"/>
        <v>D</v>
      </c>
      <c r="Q276" s="1" t="str">
        <f t="shared" ca="1" si="24"/>
        <v>D</v>
      </c>
      <c r="R276" s="1" t="str">
        <f t="shared" ca="1" si="25"/>
        <v>D</v>
      </c>
      <c r="S276" s="1" t="str">
        <f t="shared" ca="1" si="26"/>
        <v>D</v>
      </c>
      <c r="T276" s="1" t="str">
        <f t="shared" ca="1" si="27"/>
        <v>D</v>
      </c>
      <c r="U276" s="1" t="str">
        <f t="shared" ca="1" si="28"/>
        <v>D</v>
      </c>
      <c r="V276" s="1" t="str">
        <f t="shared" ca="1" si="29"/>
        <v>D</v>
      </c>
      <c r="W276" s="1" t="str">
        <f t="shared" ca="1" si="30"/>
        <v>Jahlane Forbes</v>
      </c>
    </row>
    <row r="277" spans="1:23">
      <c r="A277" s="1" t="str">
        <f ca="1">IFERROR(__xludf.DUMMYFUNCTION("""COMPUTED_VALUE"""),"Emil")</f>
        <v>Emil</v>
      </c>
      <c r="B277" s="1" t="str">
        <f ca="1">IFERROR(__xludf.DUMMYFUNCTION("""COMPUTED_VALUE"""),"Forsberg")</f>
        <v>Forsberg</v>
      </c>
      <c r="C277" s="1" t="str">
        <f ca="1">IFERROR(__xludf.DUMMYFUNCTION("""COMPUTED_VALUE"""),"New York Red Bulls")</f>
        <v>New York Red Bulls</v>
      </c>
      <c r="D277" s="1" t="str">
        <f ca="1">IFERROR(__xludf.DUMMYFUNCTION("""COMPUTED_VALUE"""),"Attacking Midfield")</f>
        <v>Attacking Midfield</v>
      </c>
      <c r="E277" s="2">
        <f ca="1">IFERROR(__xludf.DUMMYFUNCTION("""COMPUTED_VALUE"""),5405000)</f>
        <v>5405000</v>
      </c>
      <c r="F277" s="2">
        <f ca="1">IFERROR(__xludf.DUMMYFUNCTION("""COMPUTED_VALUE"""),6035625)</f>
        <v>6035625</v>
      </c>
      <c r="H277" s="1" t="str">
        <f t="shared" ca="1" si="16"/>
        <v>Attacking Midfield</v>
      </c>
      <c r="I277" s="3" t="str">
        <f t="shared" ca="1" si="17"/>
        <v>Attacking Midfield</v>
      </c>
      <c r="J277" s="1" t="str">
        <f t="shared" ca="1" si="18"/>
        <v>Attacking Midfield</v>
      </c>
      <c r="K277" s="1" t="str">
        <f t="shared" ca="1" si="31"/>
        <v>Attacking Midfield</v>
      </c>
      <c r="L277" s="1" t="str">
        <f t="shared" ca="1" si="19"/>
        <v>Attacking Midfield</v>
      </c>
      <c r="M277" s="1" t="str">
        <f t="shared" ca="1" si="20"/>
        <v>M</v>
      </c>
      <c r="N277" s="1" t="str">
        <f t="shared" ca="1" si="21"/>
        <v>M</v>
      </c>
      <c r="O277" s="1" t="str">
        <f t="shared" ca="1" si="22"/>
        <v>M</v>
      </c>
      <c r="P277" s="1" t="str">
        <f t="shared" ca="1" si="23"/>
        <v>M</v>
      </c>
      <c r="Q277" s="1" t="str">
        <f t="shared" ca="1" si="24"/>
        <v>M</v>
      </c>
      <c r="R277" s="1" t="str">
        <f t="shared" ca="1" si="25"/>
        <v>M</v>
      </c>
      <c r="S277" s="1" t="str">
        <f t="shared" ca="1" si="26"/>
        <v>M</v>
      </c>
      <c r="T277" s="1" t="str">
        <f t="shared" ca="1" si="27"/>
        <v>M</v>
      </c>
      <c r="U277" s="1" t="str">
        <f t="shared" ca="1" si="28"/>
        <v>M</v>
      </c>
      <c r="V277" s="1" t="str">
        <f t="shared" ca="1" si="29"/>
        <v>M</v>
      </c>
      <c r="W277" s="1" t="str">
        <f t="shared" ca="1" si="30"/>
        <v>Emil Forsberg</v>
      </c>
    </row>
    <row r="278" spans="1:23">
      <c r="A278" s="1" t="str">
        <f ca="1">IFERROR(__xludf.DUMMYFUNCTION("""COMPUTED_VALUE"""),"Gabriel")</f>
        <v>Gabriel</v>
      </c>
      <c r="B278" s="1" t="str">
        <f ca="1">IFERROR(__xludf.DUMMYFUNCTION("""COMPUTED_VALUE"""),"Fortes Chaves")</f>
        <v>Fortes Chaves</v>
      </c>
      <c r="C278" s="1" t="str">
        <f ca="1">IFERROR(__xludf.DUMMYFUNCTION("""COMPUTED_VALUE"""),"LA Galaxy")</f>
        <v>LA Galaxy</v>
      </c>
      <c r="D278" s="1" t="str">
        <f ca="1">IFERROR(__xludf.DUMMYFUNCTION("""COMPUTED_VALUE"""),"Right Wing")</f>
        <v>Right Wing</v>
      </c>
      <c r="E278" s="2">
        <f ca="1">IFERROR(__xludf.DUMMYFUNCTION("""COMPUTED_VALUE"""),1680000)</f>
        <v>1680000</v>
      </c>
      <c r="F278" s="2">
        <f ca="1">IFERROR(__xludf.DUMMYFUNCTION("""COMPUTED_VALUE"""),2459000)</f>
        <v>2459000</v>
      </c>
      <c r="H278" s="1" t="str">
        <f t="shared" ca="1" si="16"/>
        <v>Right Wing</v>
      </c>
      <c r="I278" s="3" t="str">
        <f t="shared" ca="1" si="17"/>
        <v>Right Wing</v>
      </c>
      <c r="J278" s="1" t="str">
        <f t="shared" ca="1" si="18"/>
        <v>Right Wing</v>
      </c>
      <c r="K278" s="1" t="str">
        <f t="shared" ca="1" si="31"/>
        <v>Right Wing</v>
      </c>
      <c r="L278" s="1" t="str">
        <f t="shared" ca="1" si="19"/>
        <v>Right Wing</v>
      </c>
      <c r="M278" s="1" t="str">
        <f t="shared" ca="1" si="20"/>
        <v>Right Wing</v>
      </c>
      <c r="N278" s="1" t="str">
        <f t="shared" ca="1" si="21"/>
        <v>F</v>
      </c>
      <c r="O278" s="1" t="str">
        <f t="shared" ca="1" si="22"/>
        <v>F</v>
      </c>
      <c r="P278" s="1" t="str">
        <f t="shared" ca="1" si="23"/>
        <v>F</v>
      </c>
      <c r="Q278" s="1" t="str">
        <f t="shared" ca="1" si="24"/>
        <v>F</v>
      </c>
      <c r="R278" s="1" t="str">
        <f t="shared" ca="1" si="25"/>
        <v>F</v>
      </c>
      <c r="S278" s="1" t="str">
        <f t="shared" ca="1" si="26"/>
        <v>F</v>
      </c>
      <c r="T278" s="1" t="str">
        <f t="shared" ca="1" si="27"/>
        <v>F</v>
      </c>
      <c r="U278" s="1" t="str">
        <f t="shared" ca="1" si="28"/>
        <v>F</v>
      </c>
      <c r="V278" s="1" t="str">
        <f t="shared" ca="1" si="29"/>
        <v>F</v>
      </c>
      <c r="W278" s="1" t="str">
        <f t="shared" ca="1" si="30"/>
        <v>Gabriel Fortes Chaves</v>
      </c>
    </row>
    <row r="279" spans="1:23">
      <c r="A279" s="1" t="str">
        <f ca="1">IFERROR(__xludf.DUMMYFUNCTION("""COMPUTED_VALUE"""),"Ajani")</f>
        <v>Ajani</v>
      </c>
      <c r="B279" s="1" t="str">
        <f ca="1">IFERROR(__xludf.DUMMYFUNCTION("""COMPUTED_VALUE"""),"Fortune")</f>
        <v>Fortune</v>
      </c>
      <c r="C279" s="1" t="str">
        <f ca="1">IFERROR(__xludf.DUMMYFUNCTION("""COMPUTED_VALUE"""),"Atlanta United")</f>
        <v>Atlanta United</v>
      </c>
      <c r="D279" s="1" t="str">
        <f ca="1">IFERROR(__xludf.DUMMYFUNCTION("""COMPUTED_VALUE"""),"Central Midfield")</f>
        <v>Central Midfield</v>
      </c>
      <c r="E279" s="2">
        <f ca="1">IFERROR(__xludf.DUMMYFUNCTION("""COMPUTED_VALUE"""),71401)</f>
        <v>71401</v>
      </c>
      <c r="F279" s="2">
        <f ca="1">IFERROR(__xludf.DUMMYFUNCTION("""COMPUTED_VALUE"""),71401)</f>
        <v>71401</v>
      </c>
      <c r="H279" s="1" t="str">
        <f t="shared" ca="1" si="16"/>
        <v>Central Midfield</v>
      </c>
      <c r="I279" s="3" t="str">
        <f t="shared" ca="1" si="17"/>
        <v>Central Midfield</v>
      </c>
      <c r="J279" s="1" t="str">
        <f t="shared" ca="1" si="18"/>
        <v>Central Midfield</v>
      </c>
      <c r="K279" s="1" t="str">
        <f t="shared" ca="1" si="31"/>
        <v>Central Midfield</v>
      </c>
      <c r="L279" s="1" t="str">
        <f t="shared" ca="1" si="19"/>
        <v>M</v>
      </c>
      <c r="M279" s="1" t="str">
        <f t="shared" ca="1" si="20"/>
        <v>M</v>
      </c>
      <c r="N279" s="1" t="str">
        <f t="shared" ca="1" si="21"/>
        <v>M</v>
      </c>
      <c r="O279" s="1" t="str">
        <f t="shared" ca="1" si="22"/>
        <v>M</v>
      </c>
      <c r="P279" s="1" t="str">
        <f t="shared" ca="1" si="23"/>
        <v>M</v>
      </c>
      <c r="Q279" s="1" t="str">
        <f t="shared" ca="1" si="24"/>
        <v>M</v>
      </c>
      <c r="R279" s="1" t="str">
        <f t="shared" ca="1" si="25"/>
        <v>M</v>
      </c>
      <c r="S279" s="1" t="str">
        <f t="shared" ca="1" si="26"/>
        <v>M</v>
      </c>
      <c r="T279" s="1" t="str">
        <f t="shared" ca="1" si="27"/>
        <v>M</v>
      </c>
      <c r="U279" s="1" t="str">
        <f t="shared" ca="1" si="28"/>
        <v>M</v>
      </c>
      <c r="V279" s="1" t="str">
        <f t="shared" ca="1" si="29"/>
        <v>M</v>
      </c>
      <c r="W279" s="1" t="str">
        <f t="shared" ca="1" si="30"/>
        <v>Ajani Fortune</v>
      </c>
    </row>
    <row r="280" spans="1:23">
      <c r="A280" s="1" t="str">
        <f ca="1">IFERROR(__xludf.DUMMYFUNCTION("""COMPUTED_VALUE"""),"Isaiah")</f>
        <v>Isaiah</v>
      </c>
      <c r="B280" s="1" t="str">
        <f ca="1">IFERROR(__xludf.DUMMYFUNCTION("""COMPUTED_VALUE"""),"Foster")</f>
        <v>Foster</v>
      </c>
      <c r="C280" s="1" t="str">
        <f ca="1">IFERROR(__xludf.DUMMYFUNCTION("""COMPUTED_VALUE"""),"FC Cincinnati")</f>
        <v>FC Cincinnati</v>
      </c>
      <c r="D280" s="1" t="str">
        <f ca="1">IFERROR(__xludf.DUMMYFUNCTION("""COMPUTED_VALUE"""),"Left-back")</f>
        <v>Left-back</v>
      </c>
      <c r="E280" s="2">
        <f ca="1">IFERROR(__xludf.DUMMYFUNCTION("""COMPUTED_VALUE"""),89716)</f>
        <v>89716</v>
      </c>
      <c r="F280" s="2">
        <f ca="1">IFERROR(__xludf.DUMMYFUNCTION("""COMPUTED_VALUE"""),94095)</f>
        <v>94095</v>
      </c>
      <c r="H280" s="1" t="str">
        <f t="shared" ca="1" si="16"/>
        <v>Left-back</v>
      </c>
      <c r="I280" s="3" t="str">
        <f t="shared" ca="1" si="17"/>
        <v>D</v>
      </c>
      <c r="J280" s="1" t="str">
        <f t="shared" ca="1" si="18"/>
        <v>D</v>
      </c>
      <c r="K280" s="1" t="str">
        <f t="shared" ca="1" si="31"/>
        <v>D</v>
      </c>
      <c r="L280" s="1" t="str">
        <f t="shared" ca="1" si="19"/>
        <v>D</v>
      </c>
      <c r="M280" s="1" t="str">
        <f t="shared" ca="1" si="20"/>
        <v>D</v>
      </c>
      <c r="N280" s="1" t="str">
        <f t="shared" ca="1" si="21"/>
        <v>D</v>
      </c>
      <c r="O280" s="1" t="str">
        <f t="shared" ca="1" si="22"/>
        <v>D</v>
      </c>
      <c r="P280" s="1" t="str">
        <f t="shared" ca="1" si="23"/>
        <v>D</v>
      </c>
      <c r="Q280" s="1" t="str">
        <f t="shared" ca="1" si="24"/>
        <v>D</v>
      </c>
      <c r="R280" s="1" t="str">
        <f t="shared" ca="1" si="25"/>
        <v>D</v>
      </c>
      <c r="S280" s="1" t="str">
        <f t="shared" ca="1" si="26"/>
        <v>D</v>
      </c>
      <c r="T280" s="1" t="str">
        <f t="shared" ca="1" si="27"/>
        <v>D</v>
      </c>
      <c r="U280" s="1" t="str">
        <f t="shared" ca="1" si="28"/>
        <v>D</v>
      </c>
      <c r="V280" s="1" t="str">
        <f t="shared" ca="1" si="29"/>
        <v>D</v>
      </c>
      <c r="W280" s="1" t="str">
        <f t="shared" ca="1" si="30"/>
        <v>Isaiah Foster</v>
      </c>
    </row>
    <row r="281" spans="1:23">
      <c r="A281" s="1" t="str">
        <f ca="1">IFERROR(__xludf.DUMMYFUNCTION("""COMPUTED_VALUE"""),"Franco")</f>
        <v>Franco</v>
      </c>
      <c r="B281" s="1" t="str">
        <f ca="1">IFERROR(__xludf.DUMMYFUNCTION("""COMPUTED_VALUE"""),"Fragapane")</f>
        <v>Fragapane</v>
      </c>
      <c r="C281" s="1" t="str">
        <f ca="1">IFERROR(__xludf.DUMMYFUNCTION("""COMPUTED_VALUE"""),"Minnesota United")</f>
        <v>Minnesota United</v>
      </c>
      <c r="D281" s="1" t="str">
        <f ca="1">IFERROR(__xludf.DUMMYFUNCTION("""COMPUTED_VALUE"""),"Left Wing")</f>
        <v>Left Wing</v>
      </c>
      <c r="E281" s="2">
        <f ca="1">IFERROR(__xludf.DUMMYFUNCTION("""COMPUTED_VALUE"""),310000)</f>
        <v>310000</v>
      </c>
      <c r="F281" s="2">
        <f ca="1">IFERROR(__xludf.DUMMYFUNCTION("""COMPUTED_VALUE"""),317500)</f>
        <v>317500</v>
      </c>
      <c r="H281" s="1" t="str">
        <f t="shared" ca="1" si="16"/>
        <v>Left Wing</v>
      </c>
      <c r="I281" s="3" t="str">
        <f t="shared" ca="1" si="17"/>
        <v>Left Wing</v>
      </c>
      <c r="J281" s="1" t="str">
        <f t="shared" ca="1" si="18"/>
        <v>Left Wing</v>
      </c>
      <c r="K281" s="1" t="str">
        <f t="shared" ca="1" si="31"/>
        <v>Left Wing</v>
      </c>
      <c r="L281" s="1" t="str">
        <f t="shared" ca="1" si="19"/>
        <v>Left Wing</v>
      </c>
      <c r="M281" s="1" t="str">
        <f t="shared" ca="1" si="20"/>
        <v>Left Wing</v>
      </c>
      <c r="N281" s="1" t="str">
        <f t="shared" ca="1" si="21"/>
        <v>Left Wing</v>
      </c>
      <c r="O281" s="1" t="str">
        <f t="shared" ca="1" si="22"/>
        <v>Left Wing</v>
      </c>
      <c r="P281" s="1" t="str">
        <f t="shared" ca="1" si="23"/>
        <v>F</v>
      </c>
      <c r="Q281" s="1" t="str">
        <f t="shared" ca="1" si="24"/>
        <v>F</v>
      </c>
      <c r="R281" s="1" t="str">
        <f t="shared" ca="1" si="25"/>
        <v>F</v>
      </c>
      <c r="S281" s="1" t="str">
        <f t="shared" ca="1" si="26"/>
        <v>F</v>
      </c>
      <c r="T281" s="1" t="str">
        <f t="shared" ca="1" si="27"/>
        <v>F</v>
      </c>
      <c r="U281" s="1" t="str">
        <f t="shared" ca="1" si="28"/>
        <v>F</v>
      </c>
      <c r="V281" s="1" t="str">
        <f t="shared" ca="1" si="29"/>
        <v>F</v>
      </c>
      <c r="W281" s="1" t="str">
        <f t="shared" ca="1" si="30"/>
        <v>Franco Fragapane</v>
      </c>
    </row>
    <row r="282" spans="1:23">
      <c r="A282" s="1" t="str">
        <f ca="1">IFERROR(__xludf.DUMMYFUNCTION("""COMPUTED_VALUE"""),"Kobe")</f>
        <v>Kobe</v>
      </c>
      <c r="B282" s="1" t="str">
        <f ca="1">IFERROR(__xludf.DUMMYFUNCTION("""COMPUTED_VALUE"""),"Franklin")</f>
        <v>Franklin</v>
      </c>
      <c r="C282" s="1" t="str">
        <f ca="1">IFERROR(__xludf.DUMMYFUNCTION("""COMPUTED_VALUE"""),"Toronto FC")</f>
        <v>Toronto FC</v>
      </c>
      <c r="D282" s="1" t="str">
        <f ca="1">IFERROR(__xludf.DUMMYFUNCTION("""COMPUTED_VALUE"""),"Right-back")</f>
        <v>Right-back</v>
      </c>
      <c r="E282" s="2">
        <f ca="1">IFERROR(__xludf.DUMMYFUNCTION("""COMPUTED_VALUE"""),89716)</f>
        <v>89716</v>
      </c>
      <c r="F282" s="2">
        <f ca="1">IFERROR(__xludf.DUMMYFUNCTION("""COMPUTED_VALUE"""),100518)</f>
        <v>100518</v>
      </c>
      <c r="H282" s="1" t="str">
        <f t="shared" ca="1" si="16"/>
        <v>Right-back</v>
      </c>
      <c r="I282" s="3" t="str">
        <f t="shared" ca="1" si="17"/>
        <v>Right-back</v>
      </c>
      <c r="J282" s="1" t="str">
        <f t="shared" ca="1" si="18"/>
        <v>D</v>
      </c>
      <c r="K282" s="1" t="str">
        <f t="shared" ca="1" si="31"/>
        <v>D</v>
      </c>
      <c r="L282" s="1" t="str">
        <f t="shared" ca="1" si="19"/>
        <v>D</v>
      </c>
      <c r="M282" s="1" t="str">
        <f t="shared" ca="1" si="20"/>
        <v>D</v>
      </c>
      <c r="N282" s="1" t="str">
        <f t="shared" ca="1" si="21"/>
        <v>D</v>
      </c>
      <c r="O282" s="1" t="str">
        <f t="shared" ca="1" si="22"/>
        <v>D</v>
      </c>
      <c r="P282" s="1" t="str">
        <f t="shared" ca="1" si="23"/>
        <v>D</v>
      </c>
      <c r="Q282" s="1" t="str">
        <f t="shared" ca="1" si="24"/>
        <v>D</v>
      </c>
      <c r="R282" s="1" t="str">
        <f t="shared" ca="1" si="25"/>
        <v>D</v>
      </c>
      <c r="S282" s="1" t="str">
        <f t="shared" ca="1" si="26"/>
        <v>D</v>
      </c>
      <c r="T282" s="1" t="str">
        <f t="shared" ca="1" si="27"/>
        <v>D</v>
      </c>
      <c r="U282" s="1" t="str">
        <f t="shared" ca="1" si="28"/>
        <v>D</v>
      </c>
      <c r="V282" s="1" t="str">
        <f t="shared" ca="1" si="29"/>
        <v>D</v>
      </c>
      <c r="W282" s="1" t="str">
        <f t="shared" ca="1" si="30"/>
        <v>Kobe Franklin</v>
      </c>
    </row>
    <row r="283" spans="1:23">
      <c r="A283" s="1" t="str">
        <f ca="1">IFERROR(__xludf.DUMMYFUNCTION("""COMPUTED_VALUE"""),"Liam")</f>
        <v>Liam</v>
      </c>
      <c r="B283" s="1" t="str">
        <f ca="1">IFERROR(__xludf.DUMMYFUNCTION("""COMPUTED_VALUE"""),"Fraser")</f>
        <v>Fraser</v>
      </c>
      <c r="C283" s="1" t="str">
        <f ca="1">IFERROR(__xludf.DUMMYFUNCTION("""COMPUTED_VALUE"""),"FC Dallas")</f>
        <v>FC Dallas</v>
      </c>
      <c r="D283" s="1" t="str">
        <f ca="1">IFERROR(__xludf.DUMMYFUNCTION("""COMPUTED_VALUE"""),"Defensive Midfield")</f>
        <v>Defensive Midfield</v>
      </c>
      <c r="E283" s="2">
        <f ca="1">IFERROR(__xludf.DUMMYFUNCTION("""COMPUTED_VALUE"""),200000)</f>
        <v>200000</v>
      </c>
      <c r="F283" s="2">
        <f ca="1">IFERROR(__xludf.DUMMYFUNCTION("""COMPUTED_VALUE"""),227750)</f>
        <v>227750</v>
      </c>
      <c r="H283" s="1" t="str">
        <f t="shared" ca="1" si="16"/>
        <v>Defensive Midfield</v>
      </c>
      <c r="I283" s="3" t="str">
        <f t="shared" ca="1" si="17"/>
        <v>Defensive Midfield</v>
      </c>
      <c r="J283" s="1" t="str">
        <f t="shared" ca="1" si="18"/>
        <v>Defensive Midfield</v>
      </c>
      <c r="K283" s="1" t="str">
        <f t="shared" ca="1" si="31"/>
        <v>M</v>
      </c>
      <c r="L283" s="1" t="str">
        <f t="shared" ca="1" si="19"/>
        <v>M</v>
      </c>
      <c r="M283" s="1" t="str">
        <f t="shared" ca="1" si="20"/>
        <v>M</v>
      </c>
      <c r="N283" s="1" t="str">
        <f t="shared" ca="1" si="21"/>
        <v>M</v>
      </c>
      <c r="O283" s="1" t="str">
        <f t="shared" ca="1" si="22"/>
        <v>M</v>
      </c>
      <c r="P283" s="1" t="str">
        <f t="shared" ca="1" si="23"/>
        <v>M</v>
      </c>
      <c r="Q283" s="1" t="str">
        <f t="shared" ca="1" si="24"/>
        <v>M</v>
      </c>
      <c r="R283" s="1" t="str">
        <f t="shared" ca="1" si="25"/>
        <v>M</v>
      </c>
      <c r="S283" s="1" t="str">
        <f t="shared" ca="1" si="26"/>
        <v>M</v>
      </c>
      <c r="T283" s="1" t="str">
        <f t="shared" ca="1" si="27"/>
        <v>M</v>
      </c>
      <c r="U283" s="1" t="str">
        <f t="shared" ca="1" si="28"/>
        <v>M</v>
      </c>
      <c r="V283" s="1" t="str">
        <f t="shared" ca="1" si="29"/>
        <v>M</v>
      </c>
      <c r="W283" s="1" t="str">
        <f t="shared" ca="1" si="30"/>
        <v>Liam Fraser</v>
      </c>
    </row>
    <row r="284" spans="1:23">
      <c r="A284" s="1" t="str">
        <f ca="1">IFERROR(__xludf.DUMMYFUNCTION("""COMPUTED_VALUE"""),"Ian")</f>
        <v>Ian</v>
      </c>
      <c r="B284" s="1" t="str">
        <f ca="1">IFERROR(__xludf.DUMMYFUNCTION("""COMPUTED_VALUE"""),"Fray")</f>
        <v>Fray</v>
      </c>
      <c r="C284" s="1" t="str">
        <f ca="1">IFERROR(__xludf.DUMMYFUNCTION("""COMPUTED_VALUE"""),"Inter Miami")</f>
        <v>Inter Miami</v>
      </c>
      <c r="D284" s="1" t="str">
        <f ca="1">IFERROR(__xludf.DUMMYFUNCTION("""COMPUTED_VALUE"""),"Center-back")</f>
        <v>Center-back</v>
      </c>
      <c r="E284" s="2">
        <f ca="1">IFERROR(__xludf.DUMMYFUNCTION("""COMPUTED_VALUE"""),125000)</f>
        <v>125000</v>
      </c>
      <c r="F284" s="2">
        <f ca="1">IFERROR(__xludf.DUMMYFUNCTION("""COMPUTED_VALUE"""),125000)</f>
        <v>125000</v>
      </c>
      <c r="H284" s="1" t="str">
        <f t="shared" ca="1" si="16"/>
        <v>D</v>
      </c>
      <c r="I284" s="3" t="str">
        <f t="shared" ca="1" si="17"/>
        <v>D</v>
      </c>
      <c r="J284" s="1" t="str">
        <f t="shared" ca="1" si="18"/>
        <v>D</v>
      </c>
      <c r="K284" s="1" t="str">
        <f t="shared" ca="1" si="31"/>
        <v>D</v>
      </c>
      <c r="L284" s="1" t="str">
        <f t="shared" ca="1" si="19"/>
        <v>D</v>
      </c>
      <c r="M284" s="1" t="str">
        <f t="shared" ca="1" si="20"/>
        <v>D</v>
      </c>
      <c r="N284" s="1" t="str">
        <f t="shared" ca="1" si="21"/>
        <v>D</v>
      </c>
      <c r="O284" s="1" t="str">
        <f t="shared" ca="1" si="22"/>
        <v>D</v>
      </c>
      <c r="P284" s="1" t="str">
        <f t="shared" ca="1" si="23"/>
        <v>D</v>
      </c>
      <c r="Q284" s="1" t="str">
        <f t="shared" ca="1" si="24"/>
        <v>D</v>
      </c>
      <c r="R284" s="1" t="str">
        <f t="shared" ca="1" si="25"/>
        <v>D</v>
      </c>
      <c r="S284" s="1" t="str">
        <f t="shared" ca="1" si="26"/>
        <v>D</v>
      </c>
      <c r="T284" s="1" t="str">
        <f t="shared" ca="1" si="27"/>
        <v>D</v>
      </c>
      <c r="U284" s="1" t="str">
        <f t="shared" ca="1" si="28"/>
        <v>D</v>
      </c>
      <c r="V284" s="1" t="str">
        <f t="shared" ca="1" si="29"/>
        <v>D</v>
      </c>
      <c r="W284" s="1" t="str">
        <f t="shared" ca="1" si="30"/>
        <v>Ian Fray</v>
      </c>
    </row>
    <row r="285" spans="1:23">
      <c r="A285" s="1" t="str">
        <f ca="1">IFERROR(__xludf.DUMMYFUNCTION("""COMPUTED_VALUE"""),"Wayne")</f>
        <v>Wayne</v>
      </c>
      <c r="B285" s="1" t="str">
        <f ca="1">IFERROR(__xludf.DUMMYFUNCTION("""COMPUTED_VALUE"""),"Frederick")</f>
        <v>Frederick</v>
      </c>
      <c r="C285" s="1" t="str">
        <f ca="1">IFERROR(__xludf.DUMMYFUNCTION("""COMPUTED_VALUE"""),"Colorado Rapids")</f>
        <v>Colorado Rapids</v>
      </c>
      <c r="D285" s="1" t="str">
        <f ca="1">IFERROR(__xludf.DUMMYFUNCTION("""COMPUTED_VALUE"""),"Forward")</f>
        <v>Forward</v>
      </c>
      <c r="E285" s="2">
        <f ca="1">IFERROR(__xludf.DUMMYFUNCTION("""COMPUTED_VALUE"""),71401)</f>
        <v>71401</v>
      </c>
      <c r="F285" s="2">
        <f ca="1">IFERROR(__xludf.DUMMYFUNCTION("""COMPUTED_VALUE"""),71401)</f>
        <v>71401</v>
      </c>
      <c r="H285" s="1" t="str">
        <f t="shared" ca="1" si="16"/>
        <v>Forward</v>
      </c>
      <c r="I285" s="3" t="str">
        <f t="shared" ca="1" si="17"/>
        <v>Forward</v>
      </c>
      <c r="J285" s="1" t="str">
        <f t="shared" ca="1" si="18"/>
        <v>Forward</v>
      </c>
      <c r="K285" s="1" t="str">
        <f t="shared" ca="1" si="31"/>
        <v>Forward</v>
      </c>
      <c r="L285" s="1" t="str">
        <f t="shared" ca="1" si="19"/>
        <v>Forward</v>
      </c>
      <c r="M285" s="1" t="str">
        <f t="shared" ca="1" si="20"/>
        <v>Forward</v>
      </c>
      <c r="N285" s="1" t="str">
        <f t="shared" ca="1" si="21"/>
        <v>Forward</v>
      </c>
      <c r="O285" s="1" t="str">
        <f t="shared" ca="1" si="22"/>
        <v>Forward</v>
      </c>
      <c r="P285" s="1" t="str">
        <f t="shared" ca="1" si="23"/>
        <v>Forward</v>
      </c>
      <c r="Q285" s="1" t="str">
        <f t="shared" ca="1" si="24"/>
        <v>F</v>
      </c>
      <c r="R285" s="1" t="str">
        <f t="shared" ca="1" si="25"/>
        <v>F</v>
      </c>
      <c r="S285" s="1" t="str">
        <f t="shared" ca="1" si="26"/>
        <v>F</v>
      </c>
      <c r="T285" s="1" t="str">
        <f t="shared" ca="1" si="27"/>
        <v>F</v>
      </c>
      <c r="U285" s="1" t="str">
        <f t="shared" ca="1" si="28"/>
        <v>F</v>
      </c>
      <c r="V285" s="1" t="str">
        <f t="shared" ca="1" si="29"/>
        <v>F</v>
      </c>
      <c r="W285" s="1" t="str">
        <f t="shared" ca="1" si="30"/>
        <v>Wayne Frederick</v>
      </c>
    </row>
    <row r="286" spans="1:23">
      <c r="A286" s="1" t="str">
        <f ca="1">IFERROR(__xludf.DUMMYFUNCTION("""COMPUTED_VALUE"""),"Alex")</f>
        <v>Alex</v>
      </c>
      <c r="B286" s="1" t="str">
        <f ca="1">IFERROR(__xludf.DUMMYFUNCTION("""COMPUTED_VALUE"""),"Freeman")</f>
        <v>Freeman</v>
      </c>
      <c r="C286" s="1" t="str">
        <f ca="1">IFERROR(__xludf.DUMMYFUNCTION("""COMPUTED_VALUE"""),"Orlando City SC")</f>
        <v>Orlando City SC</v>
      </c>
      <c r="D286" s="1" t="str">
        <f ca="1">IFERROR(__xludf.DUMMYFUNCTION("""COMPUTED_VALUE"""),"Right-back")</f>
        <v>Right-back</v>
      </c>
      <c r="E286" s="2">
        <f ca="1">IFERROR(__xludf.DUMMYFUNCTION("""COMPUTED_VALUE"""),89716)</f>
        <v>89716</v>
      </c>
      <c r="F286" s="2">
        <f ca="1">IFERROR(__xludf.DUMMYFUNCTION("""COMPUTED_VALUE"""),93716)</f>
        <v>93716</v>
      </c>
      <c r="H286" s="1" t="str">
        <f t="shared" ca="1" si="16"/>
        <v>Right-back</v>
      </c>
      <c r="I286" s="3" t="str">
        <f t="shared" ca="1" si="17"/>
        <v>Right-back</v>
      </c>
      <c r="J286" s="1" t="str">
        <f t="shared" ca="1" si="18"/>
        <v>D</v>
      </c>
      <c r="K286" s="1" t="str">
        <f t="shared" ca="1" si="31"/>
        <v>D</v>
      </c>
      <c r="L286" s="1" t="str">
        <f t="shared" ca="1" si="19"/>
        <v>D</v>
      </c>
      <c r="M286" s="1" t="str">
        <f t="shared" ca="1" si="20"/>
        <v>D</v>
      </c>
      <c r="N286" s="1" t="str">
        <f t="shared" ca="1" si="21"/>
        <v>D</v>
      </c>
      <c r="O286" s="1" t="str">
        <f t="shared" ca="1" si="22"/>
        <v>D</v>
      </c>
      <c r="P286" s="1" t="str">
        <f t="shared" ca="1" si="23"/>
        <v>D</v>
      </c>
      <c r="Q286" s="1" t="str">
        <f t="shared" ca="1" si="24"/>
        <v>D</v>
      </c>
      <c r="R286" s="1" t="str">
        <f t="shared" ca="1" si="25"/>
        <v>D</v>
      </c>
      <c r="S286" s="1" t="str">
        <f t="shared" ca="1" si="26"/>
        <v>D</v>
      </c>
      <c r="T286" s="1" t="str">
        <f t="shared" ca="1" si="27"/>
        <v>D</v>
      </c>
      <c r="U286" s="1" t="str">
        <f t="shared" ca="1" si="28"/>
        <v>D</v>
      </c>
      <c r="V286" s="1" t="str">
        <f t="shared" ca="1" si="29"/>
        <v>D</v>
      </c>
      <c r="W286" s="1" t="str">
        <f t="shared" ca="1" si="30"/>
        <v>Alex Freeman</v>
      </c>
    </row>
    <row r="287" spans="1:23">
      <c r="A287" s="1" t="str">
        <f ca="1">IFERROR(__xludf.DUMMYFUNCTION("""COMPUTED_VALUE"""),"Matt")</f>
        <v>Matt</v>
      </c>
      <c r="B287" s="1" t="str">
        <f ca="1">IFERROR(__xludf.DUMMYFUNCTION("""COMPUTED_VALUE"""),"Freese")</f>
        <v>Freese</v>
      </c>
      <c r="C287" s="1" t="str">
        <f ca="1">IFERROR(__xludf.DUMMYFUNCTION("""COMPUTED_VALUE"""),"New York City FC")</f>
        <v>New York City FC</v>
      </c>
      <c r="D287" s="1" t="str">
        <f ca="1">IFERROR(__xludf.DUMMYFUNCTION("""COMPUTED_VALUE"""),"Goalkeeper")</f>
        <v>Goalkeeper</v>
      </c>
      <c r="E287" s="2">
        <f ca="1">IFERROR(__xludf.DUMMYFUNCTION("""COMPUTED_VALUE"""),250000)</f>
        <v>250000</v>
      </c>
      <c r="F287" s="2">
        <f ca="1">IFERROR(__xludf.DUMMYFUNCTION("""COMPUTED_VALUE"""),270000)</f>
        <v>270000</v>
      </c>
      <c r="H287" s="1" t="str">
        <f t="shared" ca="1" si="16"/>
        <v>Goalkeeper</v>
      </c>
      <c r="I287" s="3" t="str">
        <f t="shared" ca="1" si="17"/>
        <v>Goalkeeper</v>
      </c>
      <c r="J287" s="1" t="str">
        <f t="shared" ca="1" si="18"/>
        <v>Goalkeeper</v>
      </c>
      <c r="K287" s="1" t="str">
        <f t="shared" ca="1" si="31"/>
        <v>Goalkeeper</v>
      </c>
      <c r="L287" s="1" t="str">
        <f t="shared" ca="1" si="19"/>
        <v>Goalkeeper</v>
      </c>
      <c r="M287" s="1" t="str">
        <f t="shared" ca="1" si="20"/>
        <v>Goalkeeper</v>
      </c>
      <c r="N287" s="1" t="str">
        <f t="shared" ca="1" si="21"/>
        <v>Goalkeeper</v>
      </c>
      <c r="O287" s="1" t="str">
        <f t="shared" ca="1" si="22"/>
        <v>Goalkeeper</v>
      </c>
      <c r="P287" s="1" t="str">
        <f t="shared" ca="1" si="23"/>
        <v>Goalkeeper</v>
      </c>
      <c r="Q287" s="1" t="str">
        <f t="shared" ca="1" si="24"/>
        <v>Goalkeeper</v>
      </c>
      <c r="R287" s="1" t="str">
        <f t="shared" ca="1" si="25"/>
        <v>GK</v>
      </c>
      <c r="S287" s="1" t="str">
        <f t="shared" ca="1" si="26"/>
        <v>GK</v>
      </c>
      <c r="T287" s="1" t="str">
        <f t="shared" ca="1" si="27"/>
        <v>GK</v>
      </c>
      <c r="U287" s="1" t="str">
        <f t="shared" ca="1" si="28"/>
        <v>GK</v>
      </c>
      <c r="V287" s="1" t="str">
        <f t="shared" ca="1" si="29"/>
        <v>GK</v>
      </c>
      <c r="W287" s="1" t="str">
        <f t="shared" ca="1" si="30"/>
        <v>Matt Freese</v>
      </c>
    </row>
    <row r="288" spans="1:23">
      <c r="A288" s="1" t="str">
        <f ca="1">IFERROR(__xludf.DUMMYFUNCTION("""COMPUTED_VALUE"""),"Stefan")</f>
        <v>Stefan</v>
      </c>
      <c r="B288" s="1" t="str">
        <f ca="1">IFERROR(__xludf.DUMMYFUNCTION("""COMPUTED_VALUE"""),"Frei")</f>
        <v>Frei</v>
      </c>
      <c r="C288" s="1" t="str">
        <f ca="1">IFERROR(__xludf.DUMMYFUNCTION("""COMPUTED_VALUE"""),"Seattle Sounders FC")</f>
        <v>Seattle Sounders FC</v>
      </c>
      <c r="D288" s="1" t="str">
        <f ca="1">IFERROR(__xludf.DUMMYFUNCTION("""COMPUTED_VALUE"""),"Goalkeeper")</f>
        <v>Goalkeeper</v>
      </c>
      <c r="E288" s="2">
        <f ca="1">IFERROR(__xludf.DUMMYFUNCTION("""COMPUTED_VALUE"""),600000)</f>
        <v>600000</v>
      </c>
      <c r="F288" s="2">
        <f ca="1">IFERROR(__xludf.DUMMYFUNCTION("""COMPUTED_VALUE"""),600000)</f>
        <v>600000</v>
      </c>
      <c r="H288" s="1" t="str">
        <f t="shared" ca="1" si="16"/>
        <v>Goalkeeper</v>
      </c>
      <c r="I288" s="3" t="str">
        <f t="shared" ca="1" si="17"/>
        <v>Goalkeeper</v>
      </c>
      <c r="J288" s="1" t="str">
        <f t="shared" ca="1" si="18"/>
        <v>Goalkeeper</v>
      </c>
      <c r="K288" s="1" t="str">
        <f t="shared" ca="1" si="31"/>
        <v>Goalkeeper</v>
      </c>
      <c r="L288" s="1" t="str">
        <f t="shared" ca="1" si="19"/>
        <v>Goalkeeper</v>
      </c>
      <c r="M288" s="1" t="str">
        <f t="shared" ca="1" si="20"/>
        <v>Goalkeeper</v>
      </c>
      <c r="N288" s="1" t="str">
        <f t="shared" ca="1" si="21"/>
        <v>Goalkeeper</v>
      </c>
      <c r="O288" s="1" t="str">
        <f t="shared" ca="1" si="22"/>
        <v>Goalkeeper</v>
      </c>
      <c r="P288" s="1" t="str">
        <f t="shared" ca="1" si="23"/>
        <v>Goalkeeper</v>
      </c>
      <c r="Q288" s="1" t="str">
        <f t="shared" ca="1" si="24"/>
        <v>Goalkeeper</v>
      </c>
      <c r="R288" s="1" t="str">
        <f t="shared" ca="1" si="25"/>
        <v>GK</v>
      </c>
      <c r="S288" s="1" t="str">
        <f t="shared" ca="1" si="26"/>
        <v>GK</v>
      </c>
      <c r="T288" s="1" t="str">
        <f t="shared" ca="1" si="27"/>
        <v>GK</v>
      </c>
      <c r="U288" s="1" t="str">
        <f t="shared" ca="1" si="28"/>
        <v>GK</v>
      </c>
      <c r="V288" s="1" t="str">
        <f t="shared" ca="1" si="29"/>
        <v>GK</v>
      </c>
      <c r="W288" s="1" t="str">
        <f t="shared" ca="1" si="30"/>
        <v>Stefan Frei</v>
      </c>
    </row>
    <row r="289" spans="1:23">
      <c r="A289" s="1" t="str">
        <f ca="1">IFERROR(__xludf.DUMMYFUNCTION("""COMPUTED_VALUE"""),"Nicolás")</f>
        <v>Nicolás</v>
      </c>
      <c r="B289" s="1" t="str">
        <f ca="1">IFERROR(__xludf.DUMMYFUNCTION("""COMPUTED_VALUE"""),"Freire")</f>
        <v>Freire</v>
      </c>
      <c r="C289" s="1" t="str">
        <f ca="1">IFERROR(__xludf.DUMMYFUNCTION("""COMPUTED_VALUE"""),"Inter Miami")</f>
        <v>Inter Miami</v>
      </c>
      <c r="D289" s="1" t="str">
        <f ca="1">IFERROR(__xludf.DUMMYFUNCTION("""COMPUTED_VALUE"""),"Center-back")</f>
        <v>Center-back</v>
      </c>
      <c r="E289" s="2">
        <f ca="1">IFERROR(__xludf.DUMMYFUNCTION("""COMPUTED_VALUE"""),400000)</f>
        <v>400000</v>
      </c>
      <c r="F289" s="2">
        <f ca="1">IFERROR(__xludf.DUMMYFUNCTION("""COMPUTED_VALUE"""),1000000)</f>
        <v>1000000</v>
      </c>
      <c r="H289" s="1" t="str">
        <f t="shared" ca="1" si="16"/>
        <v>D</v>
      </c>
      <c r="I289" s="3" t="str">
        <f t="shared" ca="1" si="17"/>
        <v>D</v>
      </c>
      <c r="J289" s="1" t="str">
        <f t="shared" ca="1" si="18"/>
        <v>D</v>
      </c>
      <c r="K289" s="1" t="str">
        <f t="shared" ca="1" si="31"/>
        <v>D</v>
      </c>
      <c r="L289" s="1" t="str">
        <f t="shared" ca="1" si="19"/>
        <v>D</v>
      </c>
      <c r="M289" s="1" t="str">
        <f t="shared" ca="1" si="20"/>
        <v>D</v>
      </c>
      <c r="N289" s="1" t="str">
        <f t="shared" ca="1" si="21"/>
        <v>D</v>
      </c>
      <c r="O289" s="1" t="str">
        <f t="shared" ca="1" si="22"/>
        <v>D</v>
      </c>
      <c r="P289" s="1" t="str">
        <f t="shared" ca="1" si="23"/>
        <v>D</v>
      </c>
      <c r="Q289" s="1" t="str">
        <f t="shared" ca="1" si="24"/>
        <v>D</v>
      </c>
      <c r="R289" s="1" t="str">
        <f t="shared" ca="1" si="25"/>
        <v>D</v>
      </c>
      <c r="S289" s="1" t="str">
        <f t="shared" ca="1" si="26"/>
        <v>D</v>
      </c>
      <c r="T289" s="1" t="str">
        <f t="shared" ca="1" si="27"/>
        <v>D</v>
      </c>
      <c r="U289" s="1" t="str">
        <f t="shared" ca="1" si="28"/>
        <v>D</v>
      </c>
      <c r="V289" s="1" t="str">
        <f t="shared" ca="1" si="29"/>
        <v>D</v>
      </c>
      <c r="W289" s="1" t="str">
        <f t="shared" ca="1" si="30"/>
        <v>Nicolás Freire</v>
      </c>
    </row>
    <row r="290" spans="1:23">
      <c r="A290" s="1" t="str">
        <f ca="1">IFERROR(__xludf.DUMMYFUNCTION("""COMPUTED_VALUE"""),"Malcolm")</f>
        <v>Malcolm</v>
      </c>
      <c r="B290" s="1" t="str">
        <f ca="1">IFERROR(__xludf.DUMMYFUNCTION("""COMPUTED_VALUE"""),"Fry")</f>
        <v>Fry</v>
      </c>
      <c r="C290" s="1" t="str">
        <f ca="1">IFERROR(__xludf.DUMMYFUNCTION("""COMPUTED_VALUE"""),"New England Revolution")</f>
        <v>New England Revolution</v>
      </c>
      <c r="D290" s="1" t="str">
        <f ca="1">IFERROR(__xludf.DUMMYFUNCTION("""COMPUTED_VALUE"""),"Right Wing")</f>
        <v>Right Wing</v>
      </c>
      <c r="E290" s="2">
        <f ca="1">IFERROR(__xludf.DUMMYFUNCTION("""COMPUTED_VALUE"""),71401)</f>
        <v>71401</v>
      </c>
      <c r="F290" s="2">
        <f ca="1">IFERROR(__xludf.DUMMYFUNCTION("""COMPUTED_VALUE"""),76961)</f>
        <v>76961</v>
      </c>
      <c r="H290" s="1" t="str">
        <f t="shared" ca="1" si="16"/>
        <v>Right Wing</v>
      </c>
      <c r="I290" s="3" t="str">
        <f t="shared" ca="1" si="17"/>
        <v>Right Wing</v>
      </c>
      <c r="J290" s="1" t="str">
        <f t="shared" ca="1" si="18"/>
        <v>Right Wing</v>
      </c>
      <c r="K290" s="1" t="str">
        <f t="shared" ca="1" si="31"/>
        <v>Right Wing</v>
      </c>
      <c r="L290" s="1" t="str">
        <f t="shared" ca="1" si="19"/>
        <v>Right Wing</v>
      </c>
      <c r="M290" s="1" t="str">
        <f t="shared" ca="1" si="20"/>
        <v>Right Wing</v>
      </c>
      <c r="N290" s="1" t="str">
        <f t="shared" ca="1" si="21"/>
        <v>F</v>
      </c>
      <c r="O290" s="1" t="str">
        <f t="shared" ca="1" si="22"/>
        <v>F</v>
      </c>
      <c r="P290" s="1" t="str">
        <f t="shared" ca="1" si="23"/>
        <v>F</v>
      </c>
      <c r="Q290" s="1" t="str">
        <f t="shared" ca="1" si="24"/>
        <v>F</v>
      </c>
      <c r="R290" s="1" t="str">
        <f t="shared" ca="1" si="25"/>
        <v>F</v>
      </c>
      <c r="S290" s="1" t="str">
        <f t="shared" ca="1" si="26"/>
        <v>F</v>
      </c>
      <c r="T290" s="1" t="str">
        <f t="shared" ca="1" si="27"/>
        <v>F</v>
      </c>
      <c r="U290" s="1" t="str">
        <f t="shared" ca="1" si="28"/>
        <v>F</v>
      </c>
      <c r="V290" s="1" t="str">
        <f t="shared" ca="1" si="29"/>
        <v>F</v>
      </c>
      <c r="W290" s="1" t="str">
        <f t="shared" ca="1" si="30"/>
        <v>Malcolm Fry</v>
      </c>
    </row>
    <row r="291" spans="1:23">
      <c r="A291" s="1" t="str">
        <f ca="1">IFERROR(__xludf.DUMMYFUNCTION("""COMPUTED_VALUE"""),"Carlos Andrés")</f>
        <v>Carlos Andrés</v>
      </c>
      <c r="B291" s="1" t="str">
        <f ca="1">IFERROR(__xludf.DUMMYFUNCTION("""COMPUTED_VALUE"""),"Gómez")</f>
        <v>Gómez</v>
      </c>
      <c r="C291" s="1" t="str">
        <f ca="1">IFERROR(__xludf.DUMMYFUNCTION("""COMPUTED_VALUE"""),"Real Salt Lake")</f>
        <v>Real Salt Lake</v>
      </c>
      <c r="D291" s="1" t="str">
        <f ca="1">IFERROR(__xludf.DUMMYFUNCTION("""COMPUTED_VALUE"""),"Right Wing")</f>
        <v>Right Wing</v>
      </c>
      <c r="E291" s="2">
        <f ca="1">IFERROR(__xludf.DUMMYFUNCTION("""COMPUTED_VALUE"""),250000)</f>
        <v>250000</v>
      </c>
      <c r="F291" s="2">
        <f ca="1">IFERROR(__xludf.DUMMYFUNCTION("""COMPUTED_VALUE"""),282000)</f>
        <v>282000</v>
      </c>
      <c r="H291" s="1" t="str">
        <f t="shared" ca="1" si="16"/>
        <v>Right Wing</v>
      </c>
      <c r="I291" s="3" t="str">
        <f t="shared" ca="1" si="17"/>
        <v>Right Wing</v>
      </c>
      <c r="J291" s="1" t="str">
        <f t="shared" ca="1" si="18"/>
        <v>Right Wing</v>
      </c>
      <c r="K291" s="1" t="str">
        <f t="shared" ca="1" si="31"/>
        <v>Right Wing</v>
      </c>
      <c r="L291" s="1" t="str">
        <f t="shared" ca="1" si="19"/>
        <v>Right Wing</v>
      </c>
      <c r="M291" s="1" t="str">
        <f t="shared" ca="1" si="20"/>
        <v>Right Wing</v>
      </c>
      <c r="N291" s="1" t="str">
        <f t="shared" ca="1" si="21"/>
        <v>F</v>
      </c>
      <c r="O291" s="1" t="str">
        <f t="shared" ca="1" si="22"/>
        <v>F</v>
      </c>
      <c r="P291" s="1" t="str">
        <f t="shared" ca="1" si="23"/>
        <v>F</v>
      </c>
      <c r="Q291" s="1" t="str">
        <f t="shared" ca="1" si="24"/>
        <v>F</v>
      </c>
      <c r="R291" s="1" t="str">
        <f t="shared" ca="1" si="25"/>
        <v>F</v>
      </c>
      <c r="S291" s="1" t="str">
        <f t="shared" ca="1" si="26"/>
        <v>F</v>
      </c>
      <c r="T291" s="1" t="str">
        <f t="shared" ca="1" si="27"/>
        <v>F</v>
      </c>
      <c r="U291" s="1" t="str">
        <f t="shared" ca="1" si="28"/>
        <v>F</v>
      </c>
      <c r="V291" s="1" t="str">
        <f t="shared" ca="1" si="29"/>
        <v>F</v>
      </c>
      <c r="W291" s="1" t="str">
        <f t="shared" ca="1" si="30"/>
        <v>Carlos Andrés Gómez</v>
      </c>
    </row>
    <row r="292" spans="1:23">
      <c r="A292" s="1" t="str">
        <f ca="1">IFERROR(__xludf.DUMMYFUNCTION("""COMPUTED_VALUE"""),"Tomás")</f>
        <v>Tomás</v>
      </c>
      <c r="B292" s="1" t="str">
        <f ca="1">IFERROR(__xludf.DUMMYFUNCTION("""COMPUTED_VALUE"""),"Gómez")</f>
        <v>Gómez</v>
      </c>
      <c r="C292" s="1" t="str">
        <f ca="1">IFERROR(__xludf.DUMMYFUNCTION("""COMPUTED_VALUE"""),"Real Salt Lake")</f>
        <v>Real Salt Lake</v>
      </c>
      <c r="D292" s="1" t="str">
        <f ca="1">IFERROR(__xludf.DUMMYFUNCTION("""COMPUTED_VALUE"""),"Goalkeeper")</f>
        <v>Goalkeeper</v>
      </c>
      <c r="E292" s="2">
        <f ca="1">IFERROR(__xludf.DUMMYFUNCTION("""COMPUTED_VALUE"""),89716)</f>
        <v>89716</v>
      </c>
      <c r="F292" s="2">
        <f ca="1">IFERROR(__xludf.DUMMYFUNCTION("""COMPUTED_VALUE"""),89716)</f>
        <v>89716</v>
      </c>
      <c r="H292" s="1" t="str">
        <f t="shared" ca="1" si="16"/>
        <v>Goalkeeper</v>
      </c>
      <c r="I292" s="3" t="str">
        <f t="shared" ca="1" si="17"/>
        <v>Goalkeeper</v>
      </c>
      <c r="J292" s="1" t="str">
        <f t="shared" ca="1" si="18"/>
        <v>Goalkeeper</v>
      </c>
      <c r="K292" s="1" t="str">
        <f t="shared" ca="1" si="31"/>
        <v>Goalkeeper</v>
      </c>
      <c r="L292" s="1" t="str">
        <f t="shared" ca="1" si="19"/>
        <v>Goalkeeper</v>
      </c>
      <c r="M292" s="1" t="str">
        <f t="shared" ca="1" si="20"/>
        <v>Goalkeeper</v>
      </c>
      <c r="N292" s="1" t="str">
        <f t="shared" ca="1" si="21"/>
        <v>Goalkeeper</v>
      </c>
      <c r="O292" s="1" t="str">
        <f t="shared" ca="1" si="22"/>
        <v>Goalkeeper</v>
      </c>
      <c r="P292" s="1" t="str">
        <f t="shared" ca="1" si="23"/>
        <v>Goalkeeper</v>
      </c>
      <c r="Q292" s="1" t="str">
        <f t="shared" ca="1" si="24"/>
        <v>Goalkeeper</v>
      </c>
      <c r="R292" s="1" t="str">
        <f t="shared" ca="1" si="25"/>
        <v>GK</v>
      </c>
      <c r="S292" s="1" t="str">
        <f t="shared" ca="1" si="26"/>
        <v>GK</v>
      </c>
      <c r="T292" s="1" t="str">
        <f t="shared" ca="1" si="27"/>
        <v>GK</v>
      </c>
      <c r="U292" s="1" t="str">
        <f t="shared" ca="1" si="28"/>
        <v>GK</v>
      </c>
      <c r="V292" s="1" t="str">
        <f t="shared" ca="1" si="29"/>
        <v>GK</v>
      </c>
      <c r="W292" s="1" t="str">
        <f t="shared" ca="1" si="30"/>
        <v>Tomás Gómez</v>
      </c>
    </row>
    <row r="293" spans="1:23">
      <c r="A293" s="1" t="str">
        <f ca="1">IFERROR(__xludf.DUMMYFUNCTION("""COMPUTED_VALUE"""),"Diego")</f>
        <v>Diego</v>
      </c>
      <c r="B293" s="1" t="str">
        <f ca="1">IFERROR(__xludf.DUMMYFUNCTION("""COMPUTED_VALUE"""),"Gómez")</f>
        <v>Gómez</v>
      </c>
      <c r="C293" s="1" t="str">
        <f ca="1">IFERROR(__xludf.DUMMYFUNCTION("""COMPUTED_VALUE"""),"Inter Miami")</f>
        <v>Inter Miami</v>
      </c>
      <c r="D293" s="1" t="str">
        <f ca="1">IFERROR(__xludf.DUMMYFUNCTION("""COMPUTED_VALUE"""),"Central Midfield")</f>
        <v>Central Midfield</v>
      </c>
      <c r="E293" s="2">
        <f ca="1">IFERROR(__xludf.DUMMYFUNCTION("""COMPUTED_VALUE"""),500000)</f>
        <v>500000</v>
      </c>
      <c r="F293" s="2">
        <f ca="1">IFERROR(__xludf.DUMMYFUNCTION("""COMPUTED_VALUE"""),504167)</f>
        <v>504167</v>
      </c>
      <c r="H293" s="1" t="str">
        <f t="shared" ca="1" si="16"/>
        <v>Central Midfield</v>
      </c>
      <c r="I293" s="3" t="str">
        <f t="shared" ca="1" si="17"/>
        <v>Central Midfield</v>
      </c>
      <c r="J293" s="1" t="str">
        <f t="shared" ca="1" si="18"/>
        <v>Central Midfield</v>
      </c>
      <c r="K293" s="1" t="str">
        <f t="shared" ca="1" si="31"/>
        <v>Central Midfield</v>
      </c>
      <c r="L293" s="1" t="str">
        <f t="shared" ca="1" si="19"/>
        <v>M</v>
      </c>
      <c r="M293" s="1" t="str">
        <f t="shared" ca="1" si="20"/>
        <v>M</v>
      </c>
      <c r="N293" s="1" t="str">
        <f t="shared" ca="1" si="21"/>
        <v>M</v>
      </c>
      <c r="O293" s="1" t="str">
        <f t="shared" ca="1" si="22"/>
        <v>M</v>
      </c>
      <c r="P293" s="1" t="str">
        <f t="shared" ca="1" si="23"/>
        <v>M</v>
      </c>
      <c r="Q293" s="1" t="str">
        <f t="shared" ca="1" si="24"/>
        <v>M</v>
      </c>
      <c r="R293" s="1" t="str">
        <f t="shared" ca="1" si="25"/>
        <v>M</v>
      </c>
      <c r="S293" s="1" t="str">
        <f t="shared" ca="1" si="26"/>
        <v>M</v>
      </c>
      <c r="T293" s="1" t="str">
        <f t="shared" ca="1" si="27"/>
        <v>M</v>
      </c>
      <c r="U293" s="1" t="str">
        <f t="shared" ca="1" si="28"/>
        <v>M</v>
      </c>
      <c r="V293" s="1" t="str">
        <f t="shared" ca="1" si="29"/>
        <v>M</v>
      </c>
      <c r="W293" s="1" t="str">
        <f t="shared" ca="1" si="30"/>
        <v>Diego Gómez</v>
      </c>
    </row>
    <row r="294" spans="1:23">
      <c r="A294" s="1" t="str">
        <f ca="1">IFERROR(__xludf.DUMMYFUNCTION("""COMPUTED_VALUE"""),"Yeimar")</f>
        <v>Yeimar</v>
      </c>
      <c r="B294" s="1" t="str">
        <f ca="1">IFERROR(__xludf.DUMMYFUNCTION("""COMPUTED_VALUE"""),"Gómez Andrade")</f>
        <v>Gómez Andrade</v>
      </c>
      <c r="C294" s="1" t="str">
        <f ca="1">IFERROR(__xludf.DUMMYFUNCTION("""COMPUTED_VALUE"""),"Seattle Sounders FC")</f>
        <v>Seattle Sounders FC</v>
      </c>
      <c r="D294" s="1" t="str">
        <f ca="1">IFERROR(__xludf.DUMMYFUNCTION("""COMPUTED_VALUE"""),"Center-back")</f>
        <v>Center-back</v>
      </c>
      <c r="E294" s="2">
        <f ca="1">IFERROR(__xludf.DUMMYFUNCTION("""COMPUTED_VALUE"""),750000)</f>
        <v>750000</v>
      </c>
      <c r="F294" s="2">
        <f ca="1">IFERROR(__xludf.DUMMYFUNCTION("""COMPUTED_VALUE"""),832500)</f>
        <v>832500</v>
      </c>
      <c r="H294" s="1" t="str">
        <f t="shared" ca="1" si="16"/>
        <v>D</v>
      </c>
      <c r="I294" s="3" t="str">
        <f t="shared" ca="1" si="17"/>
        <v>D</v>
      </c>
      <c r="J294" s="1" t="str">
        <f t="shared" ca="1" si="18"/>
        <v>D</v>
      </c>
      <c r="K294" s="1" t="str">
        <f t="shared" ca="1" si="31"/>
        <v>D</v>
      </c>
      <c r="L294" s="1" t="str">
        <f t="shared" ca="1" si="19"/>
        <v>D</v>
      </c>
      <c r="M294" s="1" t="str">
        <f t="shared" ca="1" si="20"/>
        <v>D</v>
      </c>
      <c r="N294" s="1" t="str">
        <f t="shared" ca="1" si="21"/>
        <v>D</v>
      </c>
      <c r="O294" s="1" t="str">
        <f t="shared" ca="1" si="22"/>
        <v>D</v>
      </c>
      <c r="P294" s="1" t="str">
        <f t="shared" ca="1" si="23"/>
        <v>D</v>
      </c>
      <c r="Q294" s="1" t="str">
        <f t="shared" ca="1" si="24"/>
        <v>D</v>
      </c>
      <c r="R294" s="1" t="str">
        <f t="shared" ca="1" si="25"/>
        <v>D</v>
      </c>
      <c r="S294" s="1" t="str">
        <f t="shared" ca="1" si="26"/>
        <v>D</v>
      </c>
      <c r="T294" s="1" t="str">
        <f t="shared" ca="1" si="27"/>
        <v>D</v>
      </c>
      <c r="U294" s="1" t="str">
        <f t="shared" ca="1" si="28"/>
        <v>D</v>
      </c>
      <c r="V294" s="1" t="str">
        <f t="shared" ca="1" si="29"/>
        <v>D</v>
      </c>
      <c r="W294" s="1" t="str">
        <f t="shared" ca="1" si="30"/>
        <v>Yeimar Gómez Andrade</v>
      </c>
    </row>
    <row r="295" spans="1:23">
      <c r="A295" s="1" t="str">
        <f ca="1">IFERROR(__xludf.DUMMYFUNCTION("""COMPUTED_VALUE"""),"Julian")</f>
        <v>Julian</v>
      </c>
      <c r="B295" s="1" t="str">
        <f ca="1">IFERROR(__xludf.DUMMYFUNCTION("""COMPUTED_VALUE"""),"Gaines")</f>
        <v>Gaines</v>
      </c>
      <c r="C295" s="1" t="str">
        <f ca="1">IFERROR(__xludf.DUMMYFUNCTION("""COMPUTED_VALUE"""),"Nashville SC")</f>
        <v>Nashville SC</v>
      </c>
      <c r="D295" s="1" t="str">
        <f ca="1">IFERROR(__xludf.DUMMYFUNCTION("""COMPUTED_VALUE"""),"Right-back")</f>
        <v>Right-back</v>
      </c>
      <c r="E295" s="2">
        <f ca="1">IFERROR(__xludf.DUMMYFUNCTION("""COMPUTED_VALUE"""),71401)</f>
        <v>71401</v>
      </c>
      <c r="F295" s="2">
        <f ca="1">IFERROR(__xludf.DUMMYFUNCTION("""COMPUTED_VALUE"""),71401)</f>
        <v>71401</v>
      </c>
      <c r="H295" s="1" t="str">
        <f t="shared" ca="1" si="16"/>
        <v>Right-back</v>
      </c>
      <c r="I295" s="3" t="str">
        <f t="shared" ca="1" si="17"/>
        <v>Right-back</v>
      </c>
      <c r="J295" s="1" t="str">
        <f t="shared" ca="1" si="18"/>
        <v>D</v>
      </c>
      <c r="K295" s="1" t="str">
        <f t="shared" ca="1" si="31"/>
        <v>D</v>
      </c>
      <c r="L295" s="1" t="str">
        <f t="shared" ca="1" si="19"/>
        <v>D</v>
      </c>
      <c r="M295" s="1" t="str">
        <f t="shared" ca="1" si="20"/>
        <v>D</v>
      </c>
      <c r="N295" s="1" t="str">
        <f t="shared" ca="1" si="21"/>
        <v>D</v>
      </c>
      <c r="O295" s="1" t="str">
        <f t="shared" ca="1" si="22"/>
        <v>D</v>
      </c>
      <c r="P295" s="1" t="str">
        <f t="shared" ca="1" si="23"/>
        <v>D</v>
      </c>
      <c r="Q295" s="1" t="str">
        <f t="shared" ca="1" si="24"/>
        <v>D</v>
      </c>
      <c r="R295" s="1" t="str">
        <f t="shared" ca="1" si="25"/>
        <v>D</v>
      </c>
      <c r="S295" s="1" t="str">
        <f t="shared" ca="1" si="26"/>
        <v>D</v>
      </c>
      <c r="T295" s="1" t="str">
        <f t="shared" ca="1" si="27"/>
        <v>D</v>
      </c>
      <c r="U295" s="1" t="str">
        <f t="shared" ca="1" si="28"/>
        <v>D</v>
      </c>
      <c r="V295" s="1" t="str">
        <f t="shared" ca="1" si="29"/>
        <v>D</v>
      </c>
      <c r="W295" s="1" t="str">
        <f t="shared" ca="1" si="30"/>
        <v>Julian Gaines</v>
      </c>
    </row>
    <row r="296" spans="1:23">
      <c r="A296" s="1" t="str">
        <f ca="1">IFERROR(__xludf.DUMMYFUNCTION("""COMPUTED_VALUE"""),"McKinze")</f>
        <v>McKinze</v>
      </c>
      <c r="B296" s="1" t="str">
        <f ca="1">IFERROR(__xludf.DUMMYFUNCTION("""COMPUTED_VALUE"""),"Gaines")</f>
        <v>Gaines</v>
      </c>
      <c r="C296" s="1" t="str">
        <f ca="1">IFERROR(__xludf.DUMMYFUNCTION("""COMPUTED_VALUE"""),"Houston Dynamo")</f>
        <v>Houston Dynamo</v>
      </c>
      <c r="D296" s="1" t="str">
        <f ca="1">IFERROR(__xludf.DUMMYFUNCTION("""COMPUTED_VALUE"""),"Right Wing")</f>
        <v>Right Wing</v>
      </c>
      <c r="E296" s="2">
        <f ca="1">IFERROR(__xludf.DUMMYFUNCTION("""COMPUTED_VALUE"""),120000)</f>
        <v>120000</v>
      </c>
      <c r="F296" s="2">
        <f ca="1">IFERROR(__xludf.DUMMYFUNCTION("""COMPUTED_VALUE"""),122750)</f>
        <v>122750</v>
      </c>
      <c r="H296" s="1" t="str">
        <f t="shared" ca="1" si="16"/>
        <v>Right Wing</v>
      </c>
      <c r="I296" s="3" t="str">
        <f t="shared" ca="1" si="17"/>
        <v>Right Wing</v>
      </c>
      <c r="J296" s="1" t="str">
        <f t="shared" ca="1" si="18"/>
        <v>Right Wing</v>
      </c>
      <c r="K296" s="1" t="str">
        <f t="shared" ca="1" si="31"/>
        <v>Right Wing</v>
      </c>
      <c r="L296" s="1" t="str">
        <f t="shared" ca="1" si="19"/>
        <v>Right Wing</v>
      </c>
      <c r="M296" s="1" t="str">
        <f t="shared" ca="1" si="20"/>
        <v>Right Wing</v>
      </c>
      <c r="N296" s="1" t="str">
        <f t="shared" ca="1" si="21"/>
        <v>F</v>
      </c>
      <c r="O296" s="1" t="str">
        <f t="shared" ca="1" si="22"/>
        <v>F</v>
      </c>
      <c r="P296" s="1" t="str">
        <f t="shared" ca="1" si="23"/>
        <v>F</v>
      </c>
      <c r="Q296" s="1" t="str">
        <f t="shared" ca="1" si="24"/>
        <v>F</v>
      </c>
      <c r="R296" s="1" t="str">
        <f t="shared" ca="1" si="25"/>
        <v>F</v>
      </c>
      <c r="S296" s="1" t="str">
        <f t="shared" ca="1" si="26"/>
        <v>F</v>
      </c>
      <c r="T296" s="1" t="str">
        <f t="shared" ca="1" si="27"/>
        <v>F</v>
      </c>
      <c r="U296" s="1" t="str">
        <f t="shared" ca="1" si="28"/>
        <v>F</v>
      </c>
      <c r="V296" s="1" t="str">
        <f t="shared" ca="1" si="29"/>
        <v>F</v>
      </c>
      <c r="W296" s="1" t="str">
        <f t="shared" ca="1" si="30"/>
        <v>McKinze Gaines</v>
      </c>
    </row>
    <row r="297" spans="1:23">
      <c r="A297" s="1" t="str">
        <f ca="1">IFERROR(__xludf.DUMMYFUNCTION("""COMPUTED_VALUE"""),"Jeff")</f>
        <v>Jeff</v>
      </c>
      <c r="B297" s="1" t="str">
        <f ca="1">IFERROR(__xludf.DUMMYFUNCTION("""COMPUTED_VALUE"""),"Gal")</f>
        <v>Gal</v>
      </c>
      <c r="C297" s="1" t="str">
        <f ca="1">IFERROR(__xludf.DUMMYFUNCTION("""COMPUTED_VALUE"""),"Chicago Fire")</f>
        <v>Chicago Fire</v>
      </c>
      <c r="D297" s="1" t="str">
        <f ca="1">IFERROR(__xludf.DUMMYFUNCTION("""COMPUTED_VALUE"""),"Goalkeeper")</f>
        <v>Goalkeeper</v>
      </c>
      <c r="E297" s="2">
        <f ca="1">IFERROR(__xludf.DUMMYFUNCTION("""COMPUTED_VALUE"""),89716)</f>
        <v>89716</v>
      </c>
      <c r="F297" s="2">
        <f ca="1">IFERROR(__xludf.DUMMYFUNCTION("""COMPUTED_VALUE"""),89716)</f>
        <v>89716</v>
      </c>
      <c r="H297" s="1" t="str">
        <f t="shared" ca="1" si="16"/>
        <v>Goalkeeper</v>
      </c>
      <c r="I297" s="3" t="str">
        <f t="shared" ca="1" si="17"/>
        <v>Goalkeeper</v>
      </c>
      <c r="J297" s="1" t="str">
        <f t="shared" ca="1" si="18"/>
        <v>Goalkeeper</v>
      </c>
      <c r="K297" s="1" t="str">
        <f t="shared" ca="1" si="31"/>
        <v>Goalkeeper</v>
      </c>
      <c r="L297" s="1" t="str">
        <f t="shared" ca="1" si="19"/>
        <v>Goalkeeper</v>
      </c>
      <c r="M297" s="1" t="str">
        <f t="shared" ca="1" si="20"/>
        <v>Goalkeeper</v>
      </c>
      <c r="N297" s="1" t="str">
        <f t="shared" ca="1" si="21"/>
        <v>Goalkeeper</v>
      </c>
      <c r="O297" s="1" t="str">
        <f t="shared" ca="1" si="22"/>
        <v>Goalkeeper</v>
      </c>
      <c r="P297" s="1" t="str">
        <f t="shared" ca="1" si="23"/>
        <v>Goalkeeper</v>
      </c>
      <c r="Q297" s="1" t="str">
        <f t="shared" ca="1" si="24"/>
        <v>Goalkeeper</v>
      </c>
      <c r="R297" s="1" t="str">
        <f t="shared" ca="1" si="25"/>
        <v>GK</v>
      </c>
      <c r="S297" s="1" t="str">
        <f t="shared" ca="1" si="26"/>
        <v>GK</v>
      </c>
      <c r="T297" s="1" t="str">
        <f t="shared" ca="1" si="27"/>
        <v>GK</v>
      </c>
      <c r="U297" s="1" t="str">
        <f t="shared" ca="1" si="28"/>
        <v>GK</v>
      </c>
      <c r="V297" s="1" t="str">
        <f t="shared" ca="1" si="29"/>
        <v>GK</v>
      </c>
      <c r="W297" s="1" t="str">
        <f t="shared" ca="1" si="30"/>
        <v>Jeff Gal</v>
      </c>
    </row>
    <row r="298" spans="1:23">
      <c r="A298" s="1" t="str">
        <f ca="1">IFERROR(__xludf.DUMMYFUNCTION("""COMPUTED_VALUE"""),"Jon")</f>
        <v>Jon</v>
      </c>
      <c r="B298" s="1" t="str">
        <f ca="1">IFERROR(__xludf.DUMMYFUNCTION("""COMPUTED_VALUE"""),"Gallagher")</f>
        <v>Gallagher</v>
      </c>
      <c r="C298" s="1" t="str">
        <f ca="1">IFERROR(__xludf.DUMMYFUNCTION("""COMPUTED_VALUE"""),"Austin FC")</f>
        <v>Austin FC</v>
      </c>
      <c r="D298" s="1" t="str">
        <f ca="1">IFERROR(__xludf.DUMMYFUNCTION("""COMPUTED_VALUE"""),"Left-back")</f>
        <v>Left-back</v>
      </c>
      <c r="E298" s="2">
        <f ca="1">IFERROR(__xludf.DUMMYFUNCTION("""COMPUTED_VALUE"""),375000)</f>
        <v>375000</v>
      </c>
      <c r="F298" s="2">
        <f ca="1">IFERROR(__xludf.DUMMYFUNCTION("""COMPUTED_VALUE"""),375000)</f>
        <v>375000</v>
      </c>
      <c r="H298" s="1" t="str">
        <f t="shared" ca="1" si="16"/>
        <v>Left-back</v>
      </c>
      <c r="I298" s="3" t="str">
        <f t="shared" ca="1" si="17"/>
        <v>D</v>
      </c>
      <c r="J298" s="1" t="str">
        <f t="shared" ca="1" si="18"/>
        <v>D</v>
      </c>
      <c r="K298" s="1" t="str">
        <f t="shared" ca="1" si="31"/>
        <v>D</v>
      </c>
      <c r="L298" s="1" t="str">
        <f t="shared" ca="1" si="19"/>
        <v>D</v>
      </c>
      <c r="M298" s="1" t="str">
        <f t="shared" ca="1" si="20"/>
        <v>D</v>
      </c>
      <c r="N298" s="1" t="str">
        <f t="shared" ca="1" si="21"/>
        <v>D</v>
      </c>
      <c r="O298" s="1" t="str">
        <f t="shared" ca="1" si="22"/>
        <v>D</v>
      </c>
      <c r="P298" s="1" t="str">
        <f t="shared" ca="1" si="23"/>
        <v>D</v>
      </c>
      <c r="Q298" s="1" t="str">
        <f t="shared" ca="1" si="24"/>
        <v>D</v>
      </c>
      <c r="R298" s="1" t="str">
        <f t="shared" ca="1" si="25"/>
        <v>D</v>
      </c>
      <c r="S298" s="1" t="str">
        <f t="shared" ca="1" si="26"/>
        <v>D</v>
      </c>
      <c r="T298" s="1" t="str">
        <f t="shared" ca="1" si="27"/>
        <v>D</v>
      </c>
      <c r="U298" s="1" t="str">
        <f t="shared" ca="1" si="28"/>
        <v>D</v>
      </c>
      <c r="V298" s="1" t="str">
        <f t="shared" ca="1" si="29"/>
        <v>D</v>
      </c>
      <c r="W298" s="1" t="str">
        <f t="shared" ca="1" si="30"/>
        <v>Jon Gallagher</v>
      </c>
    </row>
    <row r="299" spans="1:23">
      <c r="A299" s="1" t="str">
        <f ca="1">IFERROR(__xludf.DUMMYFUNCTION("""COMPUTED_VALUE"""),"Pedro")</f>
        <v>Pedro</v>
      </c>
      <c r="B299" s="1" t="str">
        <f ca="1">IFERROR(__xludf.DUMMYFUNCTION("""COMPUTED_VALUE"""),"Gallese")</f>
        <v>Gallese</v>
      </c>
      <c r="C299" s="1" t="str">
        <f ca="1">IFERROR(__xludf.DUMMYFUNCTION("""COMPUTED_VALUE"""),"Orlando City SC")</f>
        <v>Orlando City SC</v>
      </c>
      <c r="D299" s="1" t="str">
        <f ca="1">IFERROR(__xludf.DUMMYFUNCTION("""COMPUTED_VALUE"""),"Goalkeeper")</f>
        <v>Goalkeeper</v>
      </c>
      <c r="E299" s="2">
        <f ca="1">IFERROR(__xludf.DUMMYFUNCTION("""COMPUTED_VALUE"""),800000)</f>
        <v>800000</v>
      </c>
      <c r="F299" s="2">
        <f ca="1">IFERROR(__xludf.DUMMYFUNCTION("""COMPUTED_VALUE"""),1089333)</f>
        <v>1089333</v>
      </c>
      <c r="H299" s="1" t="str">
        <f t="shared" ca="1" si="16"/>
        <v>Goalkeeper</v>
      </c>
      <c r="I299" s="3" t="str">
        <f t="shared" ca="1" si="17"/>
        <v>Goalkeeper</v>
      </c>
      <c r="J299" s="1" t="str">
        <f t="shared" ca="1" si="18"/>
        <v>Goalkeeper</v>
      </c>
      <c r="K299" s="1" t="str">
        <f t="shared" ca="1" si="31"/>
        <v>Goalkeeper</v>
      </c>
      <c r="L299" s="1" t="str">
        <f t="shared" ca="1" si="19"/>
        <v>Goalkeeper</v>
      </c>
      <c r="M299" s="1" t="str">
        <f t="shared" ca="1" si="20"/>
        <v>Goalkeeper</v>
      </c>
      <c r="N299" s="1" t="str">
        <f t="shared" ca="1" si="21"/>
        <v>Goalkeeper</v>
      </c>
      <c r="O299" s="1" t="str">
        <f t="shared" ca="1" si="22"/>
        <v>Goalkeeper</v>
      </c>
      <c r="P299" s="1" t="str">
        <f t="shared" ca="1" si="23"/>
        <v>Goalkeeper</v>
      </c>
      <c r="Q299" s="1" t="str">
        <f t="shared" ca="1" si="24"/>
        <v>Goalkeeper</v>
      </c>
      <c r="R299" s="1" t="str">
        <f t="shared" ca="1" si="25"/>
        <v>GK</v>
      </c>
      <c r="S299" s="1" t="str">
        <f t="shared" ca="1" si="26"/>
        <v>GK</v>
      </c>
      <c r="T299" s="1" t="str">
        <f t="shared" ca="1" si="27"/>
        <v>GK</v>
      </c>
      <c r="U299" s="1" t="str">
        <f t="shared" ca="1" si="28"/>
        <v>GK</v>
      </c>
      <c r="V299" s="1" t="str">
        <f t="shared" ca="1" si="29"/>
        <v>GK</v>
      </c>
      <c r="W299" s="1" t="str">
        <f t="shared" ca="1" si="30"/>
        <v>Pedro Gallese</v>
      </c>
    </row>
    <row r="300" spans="1:23">
      <c r="A300" s="1" t="str">
        <f ca="1">IFERROR(__xludf.DUMMYFUNCTION("""COMPUTED_VALUE"""),"Jeremy")</f>
        <v>Jeremy</v>
      </c>
      <c r="B300" s="1" t="str">
        <f ca="1">IFERROR(__xludf.DUMMYFUNCTION("""COMPUTED_VALUE"""),"Garay")</f>
        <v>Garay</v>
      </c>
      <c r="C300" s="1" t="str">
        <f ca="1">IFERROR(__xludf.DUMMYFUNCTION("""COMPUTED_VALUE"""),"DC United")</f>
        <v>DC United</v>
      </c>
      <c r="D300" s="1" t="str">
        <f ca="1">IFERROR(__xludf.DUMMYFUNCTION("""COMPUTED_VALUE"""),"Defensive Midfield")</f>
        <v>Defensive Midfield</v>
      </c>
      <c r="E300" s="2">
        <f ca="1">IFERROR(__xludf.DUMMYFUNCTION("""COMPUTED_VALUE"""),89716)</f>
        <v>89716</v>
      </c>
      <c r="F300" s="2">
        <f ca="1">IFERROR(__xludf.DUMMYFUNCTION("""COMPUTED_VALUE"""),93766)</f>
        <v>93766</v>
      </c>
      <c r="H300" s="1" t="str">
        <f t="shared" ca="1" si="16"/>
        <v>Defensive Midfield</v>
      </c>
      <c r="I300" s="3" t="str">
        <f t="shared" ca="1" si="17"/>
        <v>Defensive Midfield</v>
      </c>
      <c r="J300" s="1" t="str">
        <f t="shared" ca="1" si="18"/>
        <v>Defensive Midfield</v>
      </c>
      <c r="K300" s="1" t="str">
        <f t="shared" ca="1" si="31"/>
        <v>M</v>
      </c>
      <c r="L300" s="1" t="str">
        <f t="shared" ca="1" si="19"/>
        <v>M</v>
      </c>
      <c r="M300" s="1" t="str">
        <f t="shared" ca="1" si="20"/>
        <v>M</v>
      </c>
      <c r="N300" s="1" t="str">
        <f t="shared" ca="1" si="21"/>
        <v>M</v>
      </c>
      <c r="O300" s="1" t="str">
        <f t="shared" ca="1" si="22"/>
        <v>M</v>
      </c>
      <c r="P300" s="1" t="str">
        <f t="shared" ca="1" si="23"/>
        <v>M</v>
      </c>
      <c r="Q300" s="1" t="str">
        <f t="shared" ca="1" si="24"/>
        <v>M</v>
      </c>
      <c r="R300" s="1" t="str">
        <f t="shared" ca="1" si="25"/>
        <v>M</v>
      </c>
      <c r="S300" s="1" t="str">
        <f t="shared" ca="1" si="26"/>
        <v>M</v>
      </c>
      <c r="T300" s="1" t="str">
        <f t="shared" ca="1" si="27"/>
        <v>M</v>
      </c>
      <c r="U300" s="1" t="str">
        <f t="shared" ca="1" si="28"/>
        <v>M</v>
      </c>
      <c r="V300" s="1" t="str">
        <f t="shared" ca="1" si="29"/>
        <v>M</v>
      </c>
      <c r="W300" s="1" t="str">
        <f t="shared" ca="1" si="30"/>
        <v>Jeremy Garay</v>
      </c>
    </row>
    <row r="301" spans="1:23">
      <c r="A301" s="1" t="str">
        <f ca="1">IFERROR(__xludf.DUMMYFUNCTION("""COMPUTED_VALUE"""),"Carlos")</f>
        <v>Carlos</v>
      </c>
      <c r="B301" s="1" t="str">
        <f ca="1">IFERROR(__xludf.DUMMYFUNCTION("""COMPUTED_VALUE"""),"Garcés")</f>
        <v>Garcés</v>
      </c>
      <c r="C301" s="1" t="str">
        <f ca="1">IFERROR(__xludf.DUMMYFUNCTION("""COMPUTED_VALUE"""),"LA Galaxy")</f>
        <v>LA Galaxy</v>
      </c>
      <c r="D301" s="1" t="str">
        <f ca="1">IFERROR(__xludf.DUMMYFUNCTION("""COMPUTED_VALUE"""),"Center-back")</f>
        <v>Center-back</v>
      </c>
      <c r="E301" s="2">
        <f ca="1">IFERROR(__xludf.DUMMYFUNCTION("""COMPUTED_VALUE"""),200000)</f>
        <v>200000</v>
      </c>
      <c r="F301" s="2">
        <f ca="1">IFERROR(__xludf.DUMMYFUNCTION("""COMPUTED_VALUE"""),238000)</f>
        <v>238000</v>
      </c>
      <c r="H301" s="1" t="str">
        <f t="shared" ca="1" si="16"/>
        <v>D</v>
      </c>
      <c r="I301" s="3" t="str">
        <f t="shared" ca="1" si="17"/>
        <v>D</v>
      </c>
      <c r="J301" s="1" t="str">
        <f t="shared" ca="1" si="18"/>
        <v>D</v>
      </c>
      <c r="K301" s="1" t="str">
        <f t="shared" ca="1" si="31"/>
        <v>D</v>
      </c>
      <c r="L301" s="1" t="str">
        <f t="shared" ca="1" si="19"/>
        <v>D</v>
      </c>
      <c r="M301" s="1" t="str">
        <f t="shared" ca="1" si="20"/>
        <v>D</v>
      </c>
      <c r="N301" s="1" t="str">
        <f t="shared" ca="1" si="21"/>
        <v>D</v>
      </c>
      <c r="O301" s="1" t="str">
        <f t="shared" ca="1" si="22"/>
        <v>D</v>
      </c>
      <c r="P301" s="1" t="str">
        <f t="shared" ca="1" si="23"/>
        <v>D</v>
      </c>
      <c r="Q301" s="1" t="str">
        <f t="shared" ca="1" si="24"/>
        <v>D</v>
      </c>
      <c r="R301" s="1" t="str">
        <f t="shared" ca="1" si="25"/>
        <v>D</v>
      </c>
      <c r="S301" s="1" t="str">
        <f t="shared" ca="1" si="26"/>
        <v>D</v>
      </c>
      <c r="T301" s="1" t="str">
        <f t="shared" ca="1" si="27"/>
        <v>D</v>
      </c>
      <c r="U301" s="1" t="str">
        <f t="shared" ca="1" si="28"/>
        <v>D</v>
      </c>
      <c r="V301" s="1" t="str">
        <f t="shared" ca="1" si="29"/>
        <v>D</v>
      </c>
      <c r="W301" s="1" t="str">
        <f t="shared" ca="1" si="30"/>
        <v>Carlos Garcés</v>
      </c>
    </row>
    <row r="302" spans="1:23">
      <c r="A302" s="1" t="str">
        <f ca="1">IFERROR(__xludf.DUMMYFUNCTION("""COMPUTED_VALUE"""),"Chase")</f>
        <v>Chase</v>
      </c>
      <c r="B302" s="1" t="str">
        <f ca="1">IFERROR(__xludf.DUMMYFUNCTION("""COMPUTED_VALUE"""),"Gasper")</f>
        <v>Gasper</v>
      </c>
      <c r="C302" s="1" t="str">
        <f ca="1">IFERROR(__xludf.DUMMYFUNCTION("""COMPUTED_VALUE"""),"Chicago Fire")</f>
        <v>Chicago Fire</v>
      </c>
      <c r="D302" s="1" t="str">
        <f ca="1">IFERROR(__xludf.DUMMYFUNCTION("""COMPUTED_VALUE"""),"Left-back")</f>
        <v>Left-back</v>
      </c>
      <c r="E302" s="2">
        <f ca="1">IFERROR(__xludf.DUMMYFUNCTION("""COMPUTED_VALUE"""),500000)</f>
        <v>500000</v>
      </c>
      <c r="F302" s="2">
        <f ca="1">IFERROR(__xludf.DUMMYFUNCTION("""COMPUTED_VALUE"""),525000)</f>
        <v>525000</v>
      </c>
      <c r="H302" s="1" t="str">
        <f t="shared" ca="1" si="16"/>
        <v>Left-back</v>
      </c>
      <c r="I302" s="3" t="str">
        <f t="shared" ca="1" si="17"/>
        <v>D</v>
      </c>
      <c r="J302" s="1" t="str">
        <f t="shared" ca="1" si="18"/>
        <v>D</v>
      </c>
      <c r="K302" s="1" t="str">
        <f t="shared" ca="1" si="31"/>
        <v>D</v>
      </c>
      <c r="L302" s="1" t="str">
        <f t="shared" ca="1" si="19"/>
        <v>D</v>
      </c>
      <c r="M302" s="1" t="str">
        <f t="shared" ca="1" si="20"/>
        <v>D</v>
      </c>
      <c r="N302" s="1" t="str">
        <f t="shared" ca="1" si="21"/>
        <v>D</v>
      </c>
      <c r="O302" s="1" t="str">
        <f t="shared" ca="1" si="22"/>
        <v>D</v>
      </c>
      <c r="P302" s="1" t="str">
        <f t="shared" ca="1" si="23"/>
        <v>D</v>
      </c>
      <c r="Q302" s="1" t="str">
        <f t="shared" ca="1" si="24"/>
        <v>D</v>
      </c>
      <c r="R302" s="1" t="str">
        <f t="shared" ca="1" si="25"/>
        <v>D</v>
      </c>
      <c r="S302" s="1" t="str">
        <f t="shared" ca="1" si="26"/>
        <v>D</v>
      </c>
      <c r="T302" s="1" t="str">
        <f t="shared" ca="1" si="27"/>
        <v>D</v>
      </c>
      <c r="U302" s="1" t="str">
        <f t="shared" ca="1" si="28"/>
        <v>D</v>
      </c>
      <c r="V302" s="1" t="str">
        <f t="shared" ca="1" si="29"/>
        <v>D</v>
      </c>
      <c r="W302" s="1" t="str">
        <f t="shared" ca="1" si="30"/>
        <v>Chase Gasper</v>
      </c>
    </row>
    <row r="303" spans="1:23">
      <c r="A303" s="1" t="str">
        <f ca="1">IFERROR(__xludf.DUMMYFUNCTION("""COMPUTED_VALUE"""),"Ryan")</f>
        <v>Ryan</v>
      </c>
      <c r="B303" s="1" t="str">
        <f ca="1">IFERROR(__xludf.DUMMYFUNCTION("""COMPUTED_VALUE"""),"Gauld")</f>
        <v>Gauld</v>
      </c>
      <c r="C303" s="1" t="str">
        <f ca="1">IFERROR(__xludf.DUMMYFUNCTION("""COMPUTED_VALUE"""),"Vancouver Whitecaps")</f>
        <v>Vancouver Whitecaps</v>
      </c>
      <c r="D303" s="1" t="str">
        <f ca="1">IFERROR(__xludf.DUMMYFUNCTION("""COMPUTED_VALUE"""),"Attacking Midfield")</f>
        <v>Attacking Midfield</v>
      </c>
      <c r="E303" s="2">
        <f ca="1">IFERROR(__xludf.DUMMYFUNCTION("""COMPUTED_VALUE"""),2880000)</f>
        <v>2880000</v>
      </c>
      <c r="F303" s="2">
        <f ca="1">IFERROR(__xludf.DUMMYFUNCTION("""COMPUTED_VALUE"""),2985000)</f>
        <v>2985000</v>
      </c>
      <c r="H303" s="1" t="str">
        <f t="shared" ca="1" si="16"/>
        <v>Attacking Midfield</v>
      </c>
      <c r="I303" s="3" t="str">
        <f t="shared" ca="1" si="17"/>
        <v>Attacking Midfield</v>
      </c>
      <c r="J303" s="1" t="str">
        <f t="shared" ca="1" si="18"/>
        <v>Attacking Midfield</v>
      </c>
      <c r="K303" s="1" t="str">
        <f t="shared" ca="1" si="31"/>
        <v>Attacking Midfield</v>
      </c>
      <c r="L303" s="1" t="str">
        <f t="shared" ca="1" si="19"/>
        <v>Attacking Midfield</v>
      </c>
      <c r="M303" s="1" t="str">
        <f t="shared" ca="1" si="20"/>
        <v>M</v>
      </c>
      <c r="N303" s="1" t="str">
        <f t="shared" ca="1" si="21"/>
        <v>M</v>
      </c>
      <c r="O303" s="1" t="str">
        <f t="shared" ca="1" si="22"/>
        <v>M</v>
      </c>
      <c r="P303" s="1" t="str">
        <f t="shared" ca="1" si="23"/>
        <v>M</v>
      </c>
      <c r="Q303" s="1" t="str">
        <f t="shared" ca="1" si="24"/>
        <v>M</v>
      </c>
      <c r="R303" s="1" t="str">
        <f t="shared" ca="1" si="25"/>
        <v>M</v>
      </c>
      <c r="S303" s="1" t="str">
        <f t="shared" ca="1" si="26"/>
        <v>M</v>
      </c>
      <c r="T303" s="1" t="str">
        <f t="shared" ca="1" si="27"/>
        <v>M</v>
      </c>
      <c r="U303" s="1" t="str">
        <f t="shared" ca="1" si="28"/>
        <v>M</v>
      </c>
      <c r="V303" s="1" t="str">
        <f t="shared" ca="1" si="29"/>
        <v>M</v>
      </c>
      <c r="W303" s="1" t="str">
        <f t="shared" ca="1" si="30"/>
        <v>Ryan Gauld</v>
      </c>
    </row>
    <row r="304" spans="1:23">
      <c r="A304" s="1" t="str">
        <f ca="1">IFERROR(__xludf.DUMMYFUNCTION("""COMPUTED_VALUE"""),"Luka")</f>
        <v>Luka</v>
      </c>
      <c r="B304" s="1" t="str">
        <f ca="1">IFERROR(__xludf.DUMMYFUNCTION("""COMPUTED_VALUE"""),"Gavran")</f>
        <v>Gavran</v>
      </c>
      <c r="C304" s="1" t="str">
        <f ca="1">IFERROR(__xludf.DUMMYFUNCTION("""COMPUTED_VALUE"""),"Toronto FC")</f>
        <v>Toronto FC</v>
      </c>
      <c r="D304" s="1" t="str">
        <f ca="1">IFERROR(__xludf.DUMMYFUNCTION("""COMPUTED_VALUE"""),"Goalkeeper")</f>
        <v>Goalkeeper</v>
      </c>
      <c r="E304" s="2">
        <f ca="1">IFERROR(__xludf.DUMMYFUNCTION("""COMPUTED_VALUE"""),71401)</f>
        <v>71401</v>
      </c>
      <c r="F304" s="2">
        <f ca="1">IFERROR(__xludf.DUMMYFUNCTION("""COMPUTED_VALUE"""),74868)</f>
        <v>74868</v>
      </c>
      <c r="H304" s="1" t="str">
        <f t="shared" ca="1" si="16"/>
        <v>Goalkeeper</v>
      </c>
      <c r="I304" s="3" t="str">
        <f t="shared" ca="1" si="17"/>
        <v>Goalkeeper</v>
      </c>
      <c r="J304" s="1" t="str">
        <f t="shared" ca="1" si="18"/>
        <v>Goalkeeper</v>
      </c>
      <c r="K304" s="1" t="str">
        <f t="shared" ca="1" si="31"/>
        <v>Goalkeeper</v>
      </c>
      <c r="L304" s="1" t="str">
        <f t="shared" ca="1" si="19"/>
        <v>Goalkeeper</v>
      </c>
      <c r="M304" s="1" t="str">
        <f t="shared" ca="1" si="20"/>
        <v>Goalkeeper</v>
      </c>
      <c r="N304" s="1" t="str">
        <f t="shared" ca="1" si="21"/>
        <v>Goalkeeper</v>
      </c>
      <c r="O304" s="1" t="str">
        <f t="shared" ca="1" si="22"/>
        <v>Goalkeeper</v>
      </c>
      <c r="P304" s="1" t="str">
        <f t="shared" ca="1" si="23"/>
        <v>Goalkeeper</v>
      </c>
      <c r="Q304" s="1" t="str">
        <f t="shared" ca="1" si="24"/>
        <v>Goalkeeper</v>
      </c>
      <c r="R304" s="1" t="str">
        <f t="shared" ca="1" si="25"/>
        <v>GK</v>
      </c>
      <c r="S304" s="1" t="str">
        <f t="shared" ca="1" si="26"/>
        <v>GK</v>
      </c>
      <c r="T304" s="1" t="str">
        <f t="shared" ca="1" si="27"/>
        <v>GK</v>
      </c>
      <c r="U304" s="1" t="str">
        <f t="shared" ca="1" si="28"/>
        <v>GK</v>
      </c>
      <c r="V304" s="1" t="str">
        <f t="shared" ca="1" si="29"/>
        <v>GK</v>
      </c>
      <c r="W304" s="1" t="str">
        <f t="shared" ca="1" si="30"/>
        <v>Luka Gavran</v>
      </c>
    </row>
    <row r="305" spans="1:23">
      <c r="A305" s="1" t="str">
        <f ca="1">IFERROR(__xludf.DUMMYFUNCTION("""COMPUTED_VALUE"""),"Dániel")</f>
        <v>Dániel</v>
      </c>
      <c r="B305" s="1" t="str">
        <f ca="1">IFERROR(__xludf.DUMMYFUNCTION("""COMPUTED_VALUE"""),"Gazdag")</f>
        <v>Gazdag</v>
      </c>
      <c r="C305" s="1" t="str">
        <f ca="1">IFERROR(__xludf.DUMMYFUNCTION("""COMPUTED_VALUE"""),"Philadelphia Union")</f>
        <v>Philadelphia Union</v>
      </c>
      <c r="D305" s="1" t="str">
        <f ca="1">IFERROR(__xludf.DUMMYFUNCTION("""COMPUTED_VALUE"""),"Attacking Midfield")</f>
        <v>Attacking Midfield</v>
      </c>
      <c r="E305" s="2">
        <f ca="1">IFERROR(__xludf.DUMMYFUNCTION("""COMPUTED_VALUE"""),1600000)</f>
        <v>1600000</v>
      </c>
      <c r="F305" s="2">
        <f ca="1">IFERROR(__xludf.DUMMYFUNCTION("""COMPUTED_VALUE"""),1757500)</f>
        <v>1757500</v>
      </c>
      <c r="H305" s="1" t="str">
        <f t="shared" ca="1" si="16"/>
        <v>Attacking Midfield</v>
      </c>
      <c r="I305" s="3" t="str">
        <f t="shared" ca="1" si="17"/>
        <v>Attacking Midfield</v>
      </c>
      <c r="J305" s="1" t="str">
        <f t="shared" ca="1" si="18"/>
        <v>Attacking Midfield</v>
      </c>
      <c r="K305" s="1" t="str">
        <f t="shared" ca="1" si="31"/>
        <v>Attacking Midfield</v>
      </c>
      <c r="L305" s="1" t="str">
        <f t="shared" ca="1" si="19"/>
        <v>Attacking Midfield</v>
      </c>
      <c r="M305" s="1" t="str">
        <f t="shared" ca="1" si="20"/>
        <v>M</v>
      </c>
      <c r="N305" s="1" t="str">
        <f t="shared" ca="1" si="21"/>
        <v>M</v>
      </c>
      <c r="O305" s="1" t="str">
        <f t="shared" ca="1" si="22"/>
        <v>M</v>
      </c>
      <c r="P305" s="1" t="str">
        <f t="shared" ca="1" si="23"/>
        <v>M</v>
      </c>
      <c r="Q305" s="1" t="str">
        <f t="shared" ca="1" si="24"/>
        <v>M</v>
      </c>
      <c r="R305" s="1" t="str">
        <f t="shared" ca="1" si="25"/>
        <v>M</v>
      </c>
      <c r="S305" s="1" t="str">
        <f t="shared" ca="1" si="26"/>
        <v>M</v>
      </c>
      <c r="T305" s="1" t="str">
        <f t="shared" ca="1" si="27"/>
        <v>M</v>
      </c>
      <c r="U305" s="1" t="str">
        <f t="shared" ca="1" si="28"/>
        <v>M</v>
      </c>
      <c r="V305" s="1" t="str">
        <f t="shared" ca="1" si="29"/>
        <v>M</v>
      </c>
      <c r="W305" s="1" t="str">
        <f t="shared" ca="1" si="30"/>
        <v>Dániel Gazdag</v>
      </c>
    </row>
    <row r="306" spans="1:23">
      <c r="A306" s="1" t="str">
        <f ca="1">IFERROR(__xludf.DUMMYFUNCTION("""COMPUTED_VALUE"""),"Georgios")</f>
        <v>Georgios</v>
      </c>
      <c r="B306" s="1" t="str">
        <f ca="1">IFERROR(__xludf.DUMMYFUNCTION("""COMPUTED_VALUE"""),"Giakoumakis")</f>
        <v>Giakoumakis</v>
      </c>
      <c r="C306" s="1" t="str">
        <f ca="1">IFERROR(__xludf.DUMMYFUNCTION("""COMPUTED_VALUE"""),"Atlanta United")</f>
        <v>Atlanta United</v>
      </c>
      <c r="D306" s="1" t="str">
        <f ca="1">IFERROR(__xludf.DUMMYFUNCTION("""COMPUTED_VALUE"""),"Center Forward")</f>
        <v>Center Forward</v>
      </c>
      <c r="E306" s="2">
        <f ca="1">IFERROR(__xludf.DUMMYFUNCTION("""COMPUTED_VALUE"""),1664600)</f>
        <v>1664600</v>
      </c>
      <c r="F306" s="2">
        <f ca="1">IFERROR(__xludf.DUMMYFUNCTION("""COMPUTED_VALUE"""),2248417)</f>
        <v>2248417</v>
      </c>
      <c r="H306" s="1" t="str">
        <f t="shared" ca="1" si="16"/>
        <v>Center Forward</v>
      </c>
      <c r="I306" s="3" t="str">
        <f t="shared" ca="1" si="17"/>
        <v>Center Forward</v>
      </c>
      <c r="J306" s="1" t="str">
        <f t="shared" ca="1" si="18"/>
        <v>Center Forward</v>
      </c>
      <c r="K306" s="1" t="str">
        <f t="shared" ca="1" si="31"/>
        <v>Center Forward</v>
      </c>
      <c r="L306" s="1" t="str">
        <f t="shared" ca="1" si="19"/>
        <v>Center Forward</v>
      </c>
      <c r="M306" s="1" t="str">
        <f t="shared" ca="1" si="20"/>
        <v>Center Forward</v>
      </c>
      <c r="N306" s="1" t="str">
        <f t="shared" ca="1" si="21"/>
        <v>Center Forward</v>
      </c>
      <c r="O306" s="1" t="str">
        <f t="shared" ca="1" si="22"/>
        <v>F</v>
      </c>
      <c r="P306" s="1" t="str">
        <f t="shared" ca="1" si="23"/>
        <v>F</v>
      </c>
      <c r="Q306" s="1" t="str">
        <f t="shared" ca="1" si="24"/>
        <v>F</v>
      </c>
      <c r="R306" s="1" t="str">
        <f t="shared" ca="1" si="25"/>
        <v>F</v>
      </c>
      <c r="S306" s="1" t="str">
        <f t="shared" ca="1" si="26"/>
        <v>F</v>
      </c>
      <c r="T306" s="1" t="str">
        <f t="shared" ca="1" si="27"/>
        <v>F</v>
      </c>
      <c r="U306" s="1" t="str">
        <f t="shared" ca="1" si="28"/>
        <v>F</v>
      </c>
      <c r="V306" s="1" t="str">
        <f t="shared" ca="1" si="29"/>
        <v>F</v>
      </c>
      <c r="W306" s="1" t="str">
        <f t="shared" ca="1" si="30"/>
        <v>Georgios Giakoumakis</v>
      </c>
    </row>
    <row r="307" spans="1:23">
      <c r="A307" s="1" t="str">
        <f ca="1">IFERROR(__xludf.DUMMYFUNCTION("""COMPUTED_VALUE"""),"Carles")</f>
        <v>Carles</v>
      </c>
      <c r="B307" s="1" t="str">
        <f ca="1">IFERROR(__xludf.DUMMYFUNCTION("""COMPUTED_VALUE"""),"Gil")</f>
        <v>Gil</v>
      </c>
      <c r="C307" s="1" t="str">
        <f ca="1">IFERROR(__xludf.DUMMYFUNCTION("""COMPUTED_VALUE"""),"New England Revolution")</f>
        <v>New England Revolution</v>
      </c>
      <c r="D307" s="1" t="str">
        <f ca="1">IFERROR(__xludf.DUMMYFUNCTION("""COMPUTED_VALUE"""),"Attacking Midfield")</f>
        <v>Attacking Midfield</v>
      </c>
      <c r="E307" s="2">
        <f ca="1">IFERROR(__xludf.DUMMYFUNCTION("""COMPUTED_VALUE"""),4000000)</f>
        <v>4000000</v>
      </c>
      <c r="F307" s="2">
        <f ca="1">IFERROR(__xludf.DUMMYFUNCTION("""COMPUTED_VALUE"""),4452083)</f>
        <v>4452083</v>
      </c>
      <c r="H307" s="1" t="str">
        <f t="shared" ca="1" si="16"/>
        <v>Attacking Midfield</v>
      </c>
      <c r="I307" s="3" t="str">
        <f t="shared" ca="1" si="17"/>
        <v>Attacking Midfield</v>
      </c>
      <c r="J307" s="1" t="str">
        <f t="shared" ca="1" si="18"/>
        <v>Attacking Midfield</v>
      </c>
      <c r="K307" s="1" t="str">
        <f t="shared" ca="1" si="31"/>
        <v>Attacking Midfield</v>
      </c>
      <c r="L307" s="1" t="str">
        <f t="shared" ca="1" si="19"/>
        <v>Attacking Midfield</v>
      </c>
      <c r="M307" s="1" t="str">
        <f t="shared" ca="1" si="20"/>
        <v>M</v>
      </c>
      <c r="N307" s="1" t="str">
        <f t="shared" ca="1" si="21"/>
        <v>M</v>
      </c>
      <c r="O307" s="1" t="str">
        <f t="shared" ca="1" si="22"/>
        <v>M</v>
      </c>
      <c r="P307" s="1" t="str">
        <f t="shared" ca="1" si="23"/>
        <v>M</v>
      </c>
      <c r="Q307" s="1" t="str">
        <f t="shared" ca="1" si="24"/>
        <v>M</v>
      </c>
      <c r="R307" s="1" t="str">
        <f t="shared" ca="1" si="25"/>
        <v>M</v>
      </c>
      <c r="S307" s="1" t="str">
        <f t="shared" ca="1" si="26"/>
        <v>M</v>
      </c>
      <c r="T307" s="1" t="str">
        <f t="shared" ca="1" si="27"/>
        <v>M</v>
      </c>
      <c r="U307" s="1" t="str">
        <f t="shared" ca="1" si="28"/>
        <v>M</v>
      </c>
      <c r="V307" s="1" t="str">
        <f t="shared" ca="1" si="29"/>
        <v>M</v>
      </c>
      <c r="W307" s="1" t="str">
        <f t="shared" ca="1" si="30"/>
        <v>Carles Gil</v>
      </c>
    </row>
    <row r="308" spans="1:23">
      <c r="A308" s="1" t="str">
        <f ca="1">IFERROR(__xludf.DUMMYFUNCTION("""COMPUTED_VALUE"""),"Nacho")</f>
        <v>Nacho</v>
      </c>
      <c r="B308" s="1" t="str">
        <f ca="1">IFERROR(__xludf.DUMMYFUNCTION("""COMPUTED_VALUE"""),"Gil")</f>
        <v>Gil</v>
      </c>
      <c r="C308" s="1" t="str">
        <f ca="1">IFERROR(__xludf.DUMMYFUNCTION("""COMPUTED_VALUE"""),"New England Revolution")</f>
        <v>New England Revolution</v>
      </c>
      <c r="D308" s="1" t="str">
        <f ca="1">IFERROR(__xludf.DUMMYFUNCTION("""COMPUTED_VALUE"""),"Left Wing")</f>
        <v>Left Wing</v>
      </c>
      <c r="E308" s="2">
        <f ca="1">IFERROR(__xludf.DUMMYFUNCTION("""COMPUTED_VALUE"""),400000)</f>
        <v>400000</v>
      </c>
      <c r="F308" s="2">
        <f ca="1">IFERROR(__xludf.DUMMYFUNCTION("""COMPUTED_VALUE"""),421250)</f>
        <v>421250</v>
      </c>
      <c r="H308" s="1" t="str">
        <f t="shared" ca="1" si="16"/>
        <v>Left Wing</v>
      </c>
      <c r="I308" s="3" t="str">
        <f t="shared" ca="1" si="17"/>
        <v>Left Wing</v>
      </c>
      <c r="J308" s="1" t="str">
        <f t="shared" ca="1" si="18"/>
        <v>Left Wing</v>
      </c>
      <c r="K308" s="1" t="str">
        <f t="shared" ca="1" si="31"/>
        <v>Left Wing</v>
      </c>
      <c r="L308" s="1" t="str">
        <f t="shared" ca="1" si="19"/>
        <v>Left Wing</v>
      </c>
      <c r="M308" s="1" t="str">
        <f t="shared" ca="1" si="20"/>
        <v>Left Wing</v>
      </c>
      <c r="N308" s="1" t="str">
        <f t="shared" ca="1" si="21"/>
        <v>Left Wing</v>
      </c>
      <c r="O308" s="1" t="str">
        <f t="shared" ca="1" si="22"/>
        <v>Left Wing</v>
      </c>
      <c r="P308" s="1" t="str">
        <f t="shared" ca="1" si="23"/>
        <v>F</v>
      </c>
      <c r="Q308" s="1" t="str">
        <f t="shared" ca="1" si="24"/>
        <v>F</v>
      </c>
      <c r="R308" s="1" t="str">
        <f t="shared" ca="1" si="25"/>
        <v>F</v>
      </c>
      <c r="S308" s="1" t="str">
        <f t="shared" ca="1" si="26"/>
        <v>F</v>
      </c>
      <c r="T308" s="1" t="str">
        <f t="shared" ca="1" si="27"/>
        <v>F</v>
      </c>
      <c r="U308" s="1" t="str">
        <f t="shared" ca="1" si="28"/>
        <v>F</v>
      </c>
      <c r="V308" s="1" t="str">
        <f t="shared" ca="1" si="29"/>
        <v>F</v>
      </c>
      <c r="W308" s="1" t="str">
        <f t="shared" ca="1" si="30"/>
        <v>Nacho Gil</v>
      </c>
    </row>
    <row r="309" spans="1:23">
      <c r="A309" s="1" t="str">
        <f ca="1">IFERROR(__xludf.DUMMYFUNCTION("""COMPUTED_VALUE"""),"Gastón")</f>
        <v>Gastón</v>
      </c>
      <c r="B309" s="1" t="str">
        <f ca="1">IFERROR(__xludf.DUMMYFUNCTION("""COMPUTED_VALUE"""),"Giménez")</f>
        <v>Giménez</v>
      </c>
      <c r="C309" s="1" t="str">
        <f ca="1">IFERROR(__xludf.DUMMYFUNCTION("""COMPUTED_VALUE"""),"Chicago Fire")</f>
        <v>Chicago Fire</v>
      </c>
      <c r="D309" s="1" t="str">
        <f ca="1">IFERROR(__xludf.DUMMYFUNCTION("""COMPUTED_VALUE"""),"Defensive Midfield")</f>
        <v>Defensive Midfield</v>
      </c>
      <c r="E309" s="2">
        <f ca="1">IFERROR(__xludf.DUMMYFUNCTION("""COMPUTED_VALUE"""),1600000)</f>
        <v>1600000</v>
      </c>
      <c r="F309" s="2">
        <f ca="1">IFERROR(__xludf.DUMMYFUNCTION("""COMPUTED_VALUE"""),1633333)</f>
        <v>1633333</v>
      </c>
      <c r="H309" s="1" t="str">
        <f t="shared" ca="1" si="16"/>
        <v>Defensive Midfield</v>
      </c>
      <c r="I309" s="3" t="str">
        <f t="shared" ca="1" si="17"/>
        <v>Defensive Midfield</v>
      </c>
      <c r="J309" s="1" t="str">
        <f t="shared" ca="1" si="18"/>
        <v>Defensive Midfield</v>
      </c>
      <c r="K309" s="1" t="str">
        <f t="shared" ca="1" si="31"/>
        <v>M</v>
      </c>
      <c r="L309" s="1" t="str">
        <f t="shared" ca="1" si="19"/>
        <v>M</v>
      </c>
      <c r="M309" s="1" t="str">
        <f t="shared" ca="1" si="20"/>
        <v>M</v>
      </c>
      <c r="N309" s="1" t="str">
        <f t="shared" ca="1" si="21"/>
        <v>M</v>
      </c>
      <c r="O309" s="1" t="str">
        <f t="shared" ca="1" si="22"/>
        <v>M</v>
      </c>
      <c r="P309" s="1" t="str">
        <f t="shared" ca="1" si="23"/>
        <v>M</v>
      </c>
      <c r="Q309" s="1" t="str">
        <f t="shared" ca="1" si="24"/>
        <v>M</v>
      </c>
      <c r="R309" s="1" t="str">
        <f t="shared" ca="1" si="25"/>
        <v>M</v>
      </c>
      <c r="S309" s="1" t="str">
        <f t="shared" ca="1" si="26"/>
        <v>M</v>
      </c>
      <c r="T309" s="1" t="str">
        <f t="shared" ca="1" si="27"/>
        <v>M</v>
      </c>
      <c r="U309" s="1" t="str">
        <f t="shared" ca="1" si="28"/>
        <v>M</v>
      </c>
      <c r="V309" s="1" t="str">
        <f t="shared" ca="1" si="29"/>
        <v>M</v>
      </c>
      <c r="W309" s="1" t="str">
        <f t="shared" ca="1" si="30"/>
        <v>Gastón Giménez</v>
      </c>
    </row>
    <row r="310" spans="1:23">
      <c r="A310" s="1" t="str">
        <f ca="1">IFERROR(__xludf.DUMMYFUNCTION("""COMPUTED_VALUE"""),"Francisco")</f>
        <v>Francisco</v>
      </c>
      <c r="B310" s="1" t="str">
        <f ca="1">IFERROR(__xludf.DUMMYFUNCTION("""COMPUTED_VALUE"""),"Ginella")</f>
        <v>Ginella</v>
      </c>
      <c r="C310" s="1" t="str">
        <f ca="1">IFERROR(__xludf.DUMMYFUNCTION("""COMPUTED_VALUE"""),"LAFC")</f>
        <v>LAFC</v>
      </c>
      <c r="D310" s="1" t="str">
        <f ca="1">IFERROR(__xludf.DUMMYFUNCTION("""COMPUTED_VALUE"""),"Central Midfield")</f>
        <v>Central Midfield</v>
      </c>
      <c r="E310" s="2">
        <f ca="1">IFERROR(__xludf.DUMMYFUNCTION("""COMPUTED_VALUE"""),575000)</f>
        <v>575000</v>
      </c>
      <c r="F310" s="2">
        <f ca="1">IFERROR(__xludf.DUMMYFUNCTION("""COMPUTED_VALUE"""),595833)</f>
        <v>595833</v>
      </c>
      <c r="H310" s="1" t="str">
        <f t="shared" ca="1" si="16"/>
        <v>Central Midfield</v>
      </c>
      <c r="I310" s="3" t="str">
        <f t="shared" ca="1" si="17"/>
        <v>Central Midfield</v>
      </c>
      <c r="J310" s="1" t="str">
        <f t="shared" ca="1" si="18"/>
        <v>Central Midfield</v>
      </c>
      <c r="K310" s="1" t="str">
        <f t="shared" ca="1" si="31"/>
        <v>Central Midfield</v>
      </c>
      <c r="L310" s="1" t="str">
        <f t="shared" ca="1" si="19"/>
        <v>M</v>
      </c>
      <c r="M310" s="1" t="str">
        <f t="shared" ca="1" si="20"/>
        <v>M</v>
      </c>
      <c r="N310" s="1" t="str">
        <f t="shared" ca="1" si="21"/>
        <v>M</v>
      </c>
      <c r="O310" s="1" t="str">
        <f t="shared" ca="1" si="22"/>
        <v>M</v>
      </c>
      <c r="P310" s="1" t="str">
        <f t="shared" ca="1" si="23"/>
        <v>M</v>
      </c>
      <c r="Q310" s="1" t="str">
        <f t="shared" ca="1" si="24"/>
        <v>M</v>
      </c>
      <c r="R310" s="1" t="str">
        <f t="shared" ca="1" si="25"/>
        <v>M</v>
      </c>
      <c r="S310" s="1" t="str">
        <f t="shared" ca="1" si="26"/>
        <v>M</v>
      </c>
      <c r="T310" s="1" t="str">
        <f t="shared" ca="1" si="27"/>
        <v>M</v>
      </c>
      <c r="U310" s="1" t="str">
        <f t="shared" ca="1" si="28"/>
        <v>M</v>
      </c>
      <c r="V310" s="1" t="str">
        <f t="shared" ca="1" si="29"/>
        <v>M</v>
      </c>
      <c r="W310" s="1" t="str">
        <f t="shared" ca="1" si="30"/>
        <v>Francisco Ginella</v>
      </c>
    </row>
    <row r="311" spans="1:23">
      <c r="A311" s="1" t="str">
        <f ca="1">IFERROR(__xludf.DUMMYFUNCTION("""COMPUTED_VALUE"""),"Dennis")</f>
        <v>Dennis</v>
      </c>
      <c r="B311" s="1" t="str">
        <f ca="1">IFERROR(__xludf.DUMMYFUNCTION("""COMPUTED_VALUE"""),"Gjengaar")</f>
        <v>Gjengaar</v>
      </c>
      <c r="C311" s="1" t="str">
        <f ca="1">IFERROR(__xludf.DUMMYFUNCTION("""COMPUTED_VALUE"""),"New York Red Bulls")</f>
        <v>New York Red Bulls</v>
      </c>
      <c r="D311" s="1" t="str">
        <f ca="1">IFERROR(__xludf.DUMMYFUNCTION("""COMPUTED_VALUE"""),"Right Wing")</f>
        <v>Right Wing</v>
      </c>
      <c r="E311" s="2">
        <f ca="1">IFERROR(__xludf.DUMMYFUNCTION("""COMPUTED_VALUE"""),340000)</f>
        <v>340000</v>
      </c>
      <c r="F311" s="2">
        <f ca="1">IFERROR(__xludf.DUMMYFUNCTION("""COMPUTED_VALUE"""),398769)</f>
        <v>398769</v>
      </c>
      <c r="H311" s="1" t="str">
        <f t="shared" ca="1" si="16"/>
        <v>Right Wing</v>
      </c>
      <c r="I311" s="3" t="str">
        <f t="shared" ca="1" si="17"/>
        <v>Right Wing</v>
      </c>
      <c r="J311" s="1" t="str">
        <f t="shared" ca="1" si="18"/>
        <v>Right Wing</v>
      </c>
      <c r="K311" s="1" t="str">
        <f t="shared" ca="1" si="31"/>
        <v>Right Wing</v>
      </c>
      <c r="L311" s="1" t="str">
        <f t="shared" ca="1" si="19"/>
        <v>Right Wing</v>
      </c>
      <c r="M311" s="1" t="str">
        <f t="shared" ca="1" si="20"/>
        <v>Right Wing</v>
      </c>
      <c r="N311" s="1" t="str">
        <f t="shared" ca="1" si="21"/>
        <v>F</v>
      </c>
      <c r="O311" s="1" t="str">
        <f t="shared" ca="1" si="22"/>
        <v>F</v>
      </c>
      <c r="P311" s="1" t="str">
        <f t="shared" ca="1" si="23"/>
        <v>F</v>
      </c>
      <c r="Q311" s="1" t="str">
        <f t="shared" ca="1" si="24"/>
        <v>F</v>
      </c>
      <c r="R311" s="1" t="str">
        <f t="shared" ca="1" si="25"/>
        <v>F</v>
      </c>
      <c r="S311" s="1" t="str">
        <f t="shared" ca="1" si="26"/>
        <v>F</v>
      </c>
      <c r="T311" s="1" t="str">
        <f t="shared" ca="1" si="27"/>
        <v>F</v>
      </c>
      <c r="U311" s="1" t="str">
        <f t="shared" ca="1" si="28"/>
        <v>F</v>
      </c>
      <c r="V311" s="1" t="str">
        <f t="shared" ca="1" si="29"/>
        <v>F</v>
      </c>
      <c r="W311" s="1" t="str">
        <f t="shared" ca="1" si="30"/>
        <v>Dennis Gjengaar</v>
      </c>
    </row>
    <row r="312" spans="1:23">
      <c r="A312" s="1" t="str">
        <f ca="1">IFERROR(__xludf.DUMMYFUNCTION("""COMPUTED_VALUE"""),"Justen")</f>
        <v>Justen</v>
      </c>
      <c r="B312" s="1" t="str">
        <f ca="1">IFERROR(__xludf.DUMMYFUNCTION("""COMPUTED_VALUE"""),"Glad")</f>
        <v>Glad</v>
      </c>
      <c r="C312" s="1" t="str">
        <f ca="1">IFERROR(__xludf.DUMMYFUNCTION("""COMPUTED_VALUE"""),"Real Salt Lake")</f>
        <v>Real Salt Lake</v>
      </c>
      <c r="D312" s="1" t="str">
        <f ca="1">IFERROR(__xludf.DUMMYFUNCTION("""COMPUTED_VALUE"""),"Center-back")</f>
        <v>Center-back</v>
      </c>
      <c r="E312" s="2">
        <f ca="1">IFERROR(__xludf.DUMMYFUNCTION("""COMPUTED_VALUE"""),1150000)</f>
        <v>1150000</v>
      </c>
      <c r="F312" s="2">
        <f ca="1">IFERROR(__xludf.DUMMYFUNCTION("""COMPUTED_VALUE"""),1330000)</f>
        <v>1330000</v>
      </c>
      <c r="H312" s="1" t="str">
        <f t="shared" ca="1" si="16"/>
        <v>D</v>
      </c>
      <c r="I312" s="3" t="str">
        <f t="shared" ca="1" si="17"/>
        <v>D</v>
      </c>
      <c r="J312" s="1" t="str">
        <f t="shared" ca="1" si="18"/>
        <v>D</v>
      </c>
      <c r="K312" s="1" t="str">
        <f t="shared" ca="1" si="31"/>
        <v>D</v>
      </c>
      <c r="L312" s="1" t="str">
        <f t="shared" ca="1" si="19"/>
        <v>D</v>
      </c>
      <c r="M312" s="1" t="str">
        <f t="shared" ca="1" si="20"/>
        <v>D</v>
      </c>
      <c r="N312" s="1" t="str">
        <f t="shared" ca="1" si="21"/>
        <v>D</v>
      </c>
      <c r="O312" s="1" t="str">
        <f t="shared" ca="1" si="22"/>
        <v>D</v>
      </c>
      <c r="P312" s="1" t="str">
        <f t="shared" ca="1" si="23"/>
        <v>D</v>
      </c>
      <c r="Q312" s="1" t="str">
        <f t="shared" ca="1" si="24"/>
        <v>D</v>
      </c>
      <c r="R312" s="1" t="str">
        <f t="shared" ca="1" si="25"/>
        <v>D</v>
      </c>
      <c r="S312" s="1" t="str">
        <f t="shared" ca="1" si="26"/>
        <v>D</v>
      </c>
      <c r="T312" s="1" t="str">
        <f t="shared" ca="1" si="27"/>
        <v>D</v>
      </c>
      <c r="U312" s="1" t="str">
        <f t="shared" ca="1" si="28"/>
        <v>D</v>
      </c>
      <c r="V312" s="1" t="str">
        <f t="shared" ca="1" si="29"/>
        <v>D</v>
      </c>
      <c r="W312" s="1" t="str">
        <f t="shared" ca="1" si="30"/>
        <v>Justen Glad</v>
      </c>
    </row>
    <row r="313" spans="1:23">
      <c r="A313" s="1" t="str">
        <f ca="1">IFERROR(__xludf.DUMMYFUNCTION("""COMPUTED_VALUE"""),"Jakob")</f>
        <v>Jakob</v>
      </c>
      <c r="B313" s="1" t="str">
        <f ca="1">IFERROR(__xludf.DUMMYFUNCTION("""COMPUTED_VALUE"""),"Glesnes")</f>
        <v>Glesnes</v>
      </c>
      <c r="C313" s="1" t="str">
        <f ca="1">IFERROR(__xludf.DUMMYFUNCTION("""COMPUTED_VALUE"""),"Philadelphia Union")</f>
        <v>Philadelphia Union</v>
      </c>
      <c r="D313" s="1" t="str">
        <f ca="1">IFERROR(__xludf.DUMMYFUNCTION("""COMPUTED_VALUE"""),"Center-back")</f>
        <v>Center-back</v>
      </c>
      <c r="E313" s="2">
        <f ca="1">IFERROR(__xludf.DUMMYFUNCTION("""COMPUTED_VALUE"""),1000000)</f>
        <v>1000000</v>
      </c>
      <c r="F313" s="2">
        <f ca="1">IFERROR(__xludf.DUMMYFUNCTION("""COMPUTED_VALUE"""),1138125)</f>
        <v>1138125</v>
      </c>
      <c r="H313" s="1" t="str">
        <f t="shared" ca="1" si="16"/>
        <v>D</v>
      </c>
      <c r="I313" s="3" t="str">
        <f t="shared" ca="1" si="17"/>
        <v>D</v>
      </c>
      <c r="J313" s="1" t="str">
        <f t="shared" ca="1" si="18"/>
        <v>D</v>
      </c>
      <c r="K313" s="1" t="str">
        <f t="shared" ca="1" si="31"/>
        <v>D</v>
      </c>
      <c r="L313" s="1" t="str">
        <f t="shared" ca="1" si="19"/>
        <v>D</v>
      </c>
      <c r="M313" s="1" t="str">
        <f t="shared" ca="1" si="20"/>
        <v>D</v>
      </c>
      <c r="N313" s="1" t="str">
        <f t="shared" ca="1" si="21"/>
        <v>D</v>
      </c>
      <c r="O313" s="1" t="str">
        <f t="shared" ca="1" si="22"/>
        <v>D</v>
      </c>
      <c r="P313" s="1" t="str">
        <f t="shared" ca="1" si="23"/>
        <v>D</v>
      </c>
      <c r="Q313" s="1" t="str">
        <f t="shared" ca="1" si="24"/>
        <v>D</v>
      </c>
      <c r="R313" s="1" t="str">
        <f t="shared" ca="1" si="25"/>
        <v>D</v>
      </c>
      <c r="S313" s="1" t="str">
        <f t="shared" ca="1" si="26"/>
        <v>D</v>
      </c>
      <c r="T313" s="1" t="str">
        <f t="shared" ca="1" si="27"/>
        <v>D</v>
      </c>
      <c r="U313" s="1" t="str">
        <f t="shared" ca="1" si="28"/>
        <v>D</v>
      </c>
      <c r="V313" s="1" t="str">
        <f t="shared" ca="1" si="29"/>
        <v>D</v>
      </c>
      <c r="W313" s="1" t="str">
        <f t="shared" ca="1" si="30"/>
        <v>Jakob Glesnes</v>
      </c>
    </row>
    <row r="314" spans="1:23">
      <c r="A314" s="1" t="str">
        <f ca="1">IFERROR(__xludf.DUMMYFUNCTION("""COMPUTED_VALUE"""),"Caden")</f>
        <v>Caden</v>
      </c>
      <c r="B314" s="1" t="str">
        <f ca="1">IFERROR(__xludf.DUMMYFUNCTION("""COMPUTED_VALUE"""),"Glover")</f>
        <v>Glover</v>
      </c>
      <c r="C314" s="1" t="str">
        <f ca="1">IFERROR(__xludf.DUMMYFUNCTION("""COMPUTED_VALUE"""),"St. Louis City SC")</f>
        <v>St. Louis City SC</v>
      </c>
      <c r="D314" s="1" t="str">
        <f ca="1">IFERROR(__xludf.DUMMYFUNCTION("""COMPUTED_VALUE"""),"Center Forward")</f>
        <v>Center Forward</v>
      </c>
      <c r="E314" s="2">
        <f ca="1">IFERROR(__xludf.DUMMYFUNCTION("""COMPUTED_VALUE"""),89716)</f>
        <v>89716</v>
      </c>
      <c r="F314" s="2">
        <f ca="1">IFERROR(__xludf.DUMMYFUNCTION("""COMPUTED_VALUE"""),94716)</f>
        <v>94716</v>
      </c>
      <c r="H314" s="1" t="str">
        <f t="shared" ca="1" si="16"/>
        <v>Center Forward</v>
      </c>
      <c r="I314" s="3" t="str">
        <f t="shared" ca="1" si="17"/>
        <v>Center Forward</v>
      </c>
      <c r="J314" s="1" t="str">
        <f t="shared" ca="1" si="18"/>
        <v>Center Forward</v>
      </c>
      <c r="K314" s="1" t="str">
        <f t="shared" ca="1" si="31"/>
        <v>Center Forward</v>
      </c>
      <c r="L314" s="1" t="str">
        <f t="shared" ca="1" si="19"/>
        <v>Center Forward</v>
      </c>
      <c r="M314" s="1" t="str">
        <f t="shared" ca="1" si="20"/>
        <v>Center Forward</v>
      </c>
      <c r="N314" s="1" t="str">
        <f t="shared" ca="1" si="21"/>
        <v>Center Forward</v>
      </c>
      <c r="O314" s="1" t="str">
        <f t="shared" ca="1" si="22"/>
        <v>F</v>
      </c>
      <c r="P314" s="1" t="str">
        <f t="shared" ca="1" si="23"/>
        <v>F</v>
      </c>
      <c r="Q314" s="1" t="str">
        <f t="shared" ca="1" si="24"/>
        <v>F</v>
      </c>
      <c r="R314" s="1" t="str">
        <f t="shared" ca="1" si="25"/>
        <v>F</v>
      </c>
      <c r="S314" s="1" t="str">
        <f t="shared" ca="1" si="26"/>
        <v>F</v>
      </c>
      <c r="T314" s="1" t="str">
        <f t="shared" ca="1" si="27"/>
        <v>F</v>
      </c>
      <c r="U314" s="1" t="str">
        <f t="shared" ca="1" si="28"/>
        <v>F</v>
      </c>
      <c r="V314" s="1" t="str">
        <f t="shared" ca="1" si="29"/>
        <v>F</v>
      </c>
      <c r="W314" s="1" t="str">
        <f t="shared" ca="1" si="30"/>
        <v>Caden Glover</v>
      </c>
    </row>
    <row r="315" spans="1:23">
      <c r="A315" s="1" t="str">
        <f ca="1">IFERROR(__xludf.DUMMYFUNCTION("""COMPUTED_VALUE"""),"Aníbal")</f>
        <v>Aníbal</v>
      </c>
      <c r="B315" s="1" t="str">
        <f ca="1">IFERROR(__xludf.DUMMYFUNCTION("""COMPUTED_VALUE"""),"Godoy")</f>
        <v>Godoy</v>
      </c>
      <c r="C315" s="1" t="str">
        <f ca="1">IFERROR(__xludf.DUMMYFUNCTION("""COMPUTED_VALUE"""),"Nashville SC")</f>
        <v>Nashville SC</v>
      </c>
      <c r="D315" s="1" t="str">
        <f ca="1">IFERROR(__xludf.DUMMYFUNCTION("""COMPUTED_VALUE"""),"Defensive Midfield")</f>
        <v>Defensive Midfield</v>
      </c>
      <c r="E315" s="2">
        <f ca="1">IFERROR(__xludf.DUMMYFUNCTION("""COMPUTED_VALUE"""),650000)</f>
        <v>650000</v>
      </c>
      <c r="F315" s="2">
        <f ca="1">IFERROR(__xludf.DUMMYFUNCTION("""COMPUTED_VALUE"""),721250)</f>
        <v>721250</v>
      </c>
      <c r="H315" s="1" t="str">
        <f t="shared" ca="1" si="16"/>
        <v>Defensive Midfield</v>
      </c>
      <c r="I315" s="3" t="str">
        <f t="shared" ca="1" si="17"/>
        <v>Defensive Midfield</v>
      </c>
      <c r="J315" s="1" t="str">
        <f t="shared" ca="1" si="18"/>
        <v>Defensive Midfield</v>
      </c>
      <c r="K315" s="1" t="str">
        <f t="shared" ca="1" si="31"/>
        <v>M</v>
      </c>
      <c r="L315" s="1" t="str">
        <f t="shared" ca="1" si="19"/>
        <v>M</v>
      </c>
      <c r="M315" s="1" t="str">
        <f t="shared" ca="1" si="20"/>
        <v>M</v>
      </c>
      <c r="N315" s="1" t="str">
        <f t="shared" ca="1" si="21"/>
        <v>M</v>
      </c>
      <c r="O315" s="1" t="str">
        <f t="shared" ca="1" si="22"/>
        <v>M</v>
      </c>
      <c r="P315" s="1" t="str">
        <f t="shared" ca="1" si="23"/>
        <v>M</v>
      </c>
      <c r="Q315" s="1" t="str">
        <f t="shared" ca="1" si="24"/>
        <v>M</v>
      </c>
      <c r="R315" s="1" t="str">
        <f t="shared" ca="1" si="25"/>
        <v>M</v>
      </c>
      <c r="S315" s="1" t="str">
        <f t="shared" ca="1" si="26"/>
        <v>M</v>
      </c>
      <c r="T315" s="1" t="str">
        <f t="shared" ca="1" si="27"/>
        <v>M</v>
      </c>
      <c r="U315" s="1" t="str">
        <f t="shared" ca="1" si="28"/>
        <v>M</v>
      </c>
      <c r="V315" s="1" t="str">
        <f t="shared" ca="1" si="29"/>
        <v>M</v>
      </c>
      <c r="W315" s="1" t="str">
        <f t="shared" ca="1" si="30"/>
        <v>Aníbal Godoy</v>
      </c>
    </row>
    <row r="316" spans="1:23">
      <c r="A316" s="1" t="str">
        <f ca="1">IFERROR(__xludf.DUMMYFUNCTION("""COMPUTED_VALUE"""),"Nicksoen")</f>
        <v>Nicksoen</v>
      </c>
      <c r="B316" s="1" t="str">
        <f ca="1">IFERROR(__xludf.DUMMYFUNCTION("""COMPUTED_VALUE"""),"Gomis")</f>
        <v>Gomis</v>
      </c>
      <c r="C316" s="1" t="str">
        <f ca="1">IFERROR(__xludf.DUMMYFUNCTION("""COMPUTED_VALUE"""),"Toronto FC")</f>
        <v>Toronto FC</v>
      </c>
      <c r="D316" s="1" t="str">
        <f ca="1">IFERROR(__xludf.DUMMYFUNCTION("""COMPUTED_VALUE"""),"Center-back")</f>
        <v>Center-back</v>
      </c>
      <c r="E316" s="2">
        <f ca="1">IFERROR(__xludf.DUMMYFUNCTION("""COMPUTED_VALUE"""),71401)</f>
        <v>71401</v>
      </c>
      <c r="F316" s="2">
        <f ca="1">IFERROR(__xludf.DUMMYFUNCTION("""COMPUTED_VALUE"""),71401)</f>
        <v>71401</v>
      </c>
      <c r="H316" s="1" t="str">
        <f t="shared" ca="1" si="16"/>
        <v>D</v>
      </c>
      <c r="I316" s="3" t="str">
        <f t="shared" ca="1" si="17"/>
        <v>D</v>
      </c>
      <c r="J316" s="1" t="str">
        <f t="shared" ca="1" si="18"/>
        <v>D</v>
      </c>
      <c r="K316" s="1" t="str">
        <f t="shared" ca="1" si="31"/>
        <v>D</v>
      </c>
      <c r="L316" s="1" t="str">
        <f t="shared" ca="1" si="19"/>
        <v>D</v>
      </c>
      <c r="M316" s="1" t="str">
        <f t="shared" ca="1" si="20"/>
        <v>D</v>
      </c>
      <c r="N316" s="1" t="str">
        <f t="shared" ca="1" si="21"/>
        <v>D</v>
      </c>
      <c r="O316" s="1" t="str">
        <f t="shared" ca="1" si="22"/>
        <v>D</v>
      </c>
      <c r="P316" s="1" t="str">
        <f t="shared" ca="1" si="23"/>
        <v>D</v>
      </c>
      <c r="Q316" s="1" t="str">
        <f t="shared" ca="1" si="24"/>
        <v>D</v>
      </c>
      <c r="R316" s="1" t="str">
        <f t="shared" ca="1" si="25"/>
        <v>D</v>
      </c>
      <c r="S316" s="1" t="str">
        <f t="shared" ca="1" si="26"/>
        <v>D</v>
      </c>
      <c r="T316" s="1" t="str">
        <f t="shared" ca="1" si="27"/>
        <v>D</v>
      </c>
      <c r="U316" s="1" t="str">
        <f t="shared" ca="1" si="28"/>
        <v>D</v>
      </c>
      <c r="V316" s="1" t="str">
        <f t="shared" ca="1" si="29"/>
        <v>D</v>
      </c>
      <c r="W316" s="1" t="str">
        <f t="shared" ca="1" si="30"/>
        <v>Nicksoen Gomis</v>
      </c>
    </row>
    <row r="317" spans="1:23">
      <c r="A317" s="1" t="str">
        <f ca="1">IFERROR(__xludf.DUMMYFUNCTION("""COMPUTED_VALUE"""),"Mario")</f>
        <v>Mario</v>
      </c>
      <c r="B317" s="1" t="str">
        <f ca="1">IFERROR(__xludf.DUMMYFUNCTION("""COMPUTED_VALUE"""),"González")</f>
        <v>González</v>
      </c>
      <c r="C317" s="1" t="str">
        <f ca="1">IFERROR(__xludf.DUMMYFUNCTION("""COMPUTED_VALUE"""),"LAFC")</f>
        <v>LAFC</v>
      </c>
      <c r="D317" s="1" t="str">
        <f ca="1">IFERROR(__xludf.DUMMYFUNCTION("""COMPUTED_VALUE"""),"Center Forward")</f>
        <v>Center Forward</v>
      </c>
      <c r="E317" s="2">
        <f ca="1">IFERROR(__xludf.DUMMYFUNCTION("""COMPUTED_VALUE"""),800000)</f>
        <v>800000</v>
      </c>
      <c r="F317" s="2">
        <f ca="1">IFERROR(__xludf.DUMMYFUNCTION("""COMPUTED_VALUE"""),800000)</f>
        <v>800000</v>
      </c>
      <c r="H317" s="1" t="str">
        <f t="shared" ca="1" si="16"/>
        <v>Center Forward</v>
      </c>
      <c r="I317" s="3" t="str">
        <f t="shared" ca="1" si="17"/>
        <v>Center Forward</v>
      </c>
      <c r="J317" s="1" t="str">
        <f t="shared" ca="1" si="18"/>
        <v>Center Forward</v>
      </c>
      <c r="K317" s="1" t="str">
        <f t="shared" ca="1" si="31"/>
        <v>Center Forward</v>
      </c>
      <c r="L317" s="1" t="str">
        <f t="shared" ca="1" si="19"/>
        <v>Center Forward</v>
      </c>
      <c r="M317" s="1" t="str">
        <f t="shared" ca="1" si="20"/>
        <v>Center Forward</v>
      </c>
      <c r="N317" s="1" t="str">
        <f t="shared" ca="1" si="21"/>
        <v>Center Forward</v>
      </c>
      <c r="O317" s="1" t="str">
        <f t="shared" ca="1" si="22"/>
        <v>F</v>
      </c>
      <c r="P317" s="1" t="str">
        <f t="shared" ca="1" si="23"/>
        <v>F</v>
      </c>
      <c r="Q317" s="1" t="str">
        <f t="shared" ca="1" si="24"/>
        <v>F</v>
      </c>
      <c r="R317" s="1" t="str">
        <f t="shared" ca="1" si="25"/>
        <v>F</v>
      </c>
      <c r="S317" s="1" t="str">
        <f t="shared" ca="1" si="26"/>
        <v>F</v>
      </c>
      <c r="T317" s="1" t="str">
        <f t="shared" ca="1" si="27"/>
        <v>F</v>
      </c>
      <c r="U317" s="1" t="str">
        <f t="shared" ca="1" si="28"/>
        <v>F</v>
      </c>
      <c r="V317" s="1" t="str">
        <f t="shared" ca="1" si="29"/>
        <v>F</v>
      </c>
      <c r="W317" s="1" t="str">
        <f t="shared" ca="1" si="30"/>
        <v>Mario González</v>
      </c>
    </row>
    <row r="318" spans="1:23">
      <c r="A318" s="1" t="str">
        <f ca="1">IFERROR(__xludf.DUMMYFUNCTION("""COMPUTED_VALUE"""),"Omar")</f>
        <v>Omar</v>
      </c>
      <c r="B318" s="1" t="str">
        <f ca="1">IFERROR(__xludf.DUMMYFUNCTION("""COMPUTED_VALUE"""),"González")</f>
        <v>González</v>
      </c>
      <c r="C318" s="1" t="str">
        <f ca="1">IFERROR(__xludf.DUMMYFUNCTION("""COMPUTED_VALUE"""),"FC Dallas")</f>
        <v>FC Dallas</v>
      </c>
      <c r="D318" s="1" t="str">
        <f ca="1">IFERROR(__xludf.DUMMYFUNCTION("""COMPUTED_VALUE"""),"Center-back")</f>
        <v>Center-back</v>
      </c>
      <c r="E318" s="2">
        <f ca="1">IFERROR(__xludf.DUMMYFUNCTION("""COMPUTED_VALUE"""),89716)</f>
        <v>89716</v>
      </c>
      <c r="F318" s="2">
        <f ca="1">IFERROR(__xludf.DUMMYFUNCTION("""COMPUTED_VALUE"""),114716)</f>
        <v>114716</v>
      </c>
      <c r="H318" s="1" t="str">
        <f t="shared" ca="1" si="16"/>
        <v>D</v>
      </c>
      <c r="I318" s="3" t="str">
        <f t="shared" ca="1" si="17"/>
        <v>D</v>
      </c>
      <c r="J318" s="1" t="str">
        <f t="shared" ca="1" si="18"/>
        <v>D</v>
      </c>
      <c r="K318" s="1" t="str">
        <f t="shared" ca="1" si="31"/>
        <v>D</v>
      </c>
      <c r="L318" s="1" t="str">
        <f t="shared" ca="1" si="19"/>
        <v>D</v>
      </c>
      <c r="M318" s="1" t="str">
        <f t="shared" ca="1" si="20"/>
        <v>D</v>
      </c>
      <c r="N318" s="1" t="str">
        <f t="shared" ca="1" si="21"/>
        <v>D</v>
      </c>
      <c r="O318" s="1" t="str">
        <f t="shared" ca="1" si="22"/>
        <v>D</v>
      </c>
      <c r="P318" s="1" t="str">
        <f t="shared" ca="1" si="23"/>
        <v>D</v>
      </c>
      <c r="Q318" s="1" t="str">
        <f t="shared" ca="1" si="24"/>
        <v>D</v>
      </c>
      <c r="R318" s="1" t="str">
        <f t="shared" ca="1" si="25"/>
        <v>D</v>
      </c>
      <c r="S318" s="1" t="str">
        <f t="shared" ca="1" si="26"/>
        <v>D</v>
      </c>
      <c r="T318" s="1" t="str">
        <f t="shared" ca="1" si="27"/>
        <v>D</v>
      </c>
      <c r="U318" s="1" t="str">
        <f t="shared" ca="1" si="28"/>
        <v>D</v>
      </c>
      <c r="V318" s="1" t="str">
        <f t="shared" ca="1" si="29"/>
        <v>D</v>
      </c>
      <c r="W318" s="1" t="str">
        <f t="shared" ca="1" si="30"/>
        <v>Omar González</v>
      </c>
    </row>
    <row r="319" spans="1:23">
      <c r="A319" s="1" t="str">
        <f ca="1">IFERROR(__xludf.DUMMYFUNCTION("""COMPUTED_VALUE"""),"Gastón")</f>
        <v>Gastón</v>
      </c>
      <c r="B319" s="1" t="str">
        <f ca="1">IFERROR(__xludf.DUMMYFUNCTION("""COMPUTED_VALUE"""),"González")</f>
        <v>González</v>
      </c>
      <c r="C319" s="1" t="str">
        <f ca="1">IFERROR(__xludf.DUMMYFUNCTION("""COMPUTED_VALUE"""),"Orlando City SC")</f>
        <v>Orlando City SC</v>
      </c>
      <c r="D319" s="1" t="str">
        <f ca="1">IFERROR(__xludf.DUMMYFUNCTION("""COMPUTED_VALUE"""),"Left Wing")</f>
        <v>Left Wing</v>
      </c>
      <c r="E319" s="2">
        <f ca="1">IFERROR(__xludf.DUMMYFUNCTION("""COMPUTED_VALUE"""),360000)</f>
        <v>360000</v>
      </c>
      <c r="F319" s="2">
        <f ca="1">IFERROR(__xludf.DUMMYFUNCTION("""COMPUTED_VALUE"""),362000)</f>
        <v>362000</v>
      </c>
      <c r="H319" s="1" t="str">
        <f t="shared" ca="1" si="16"/>
        <v>Left Wing</v>
      </c>
      <c r="I319" s="3" t="str">
        <f t="shared" ca="1" si="17"/>
        <v>Left Wing</v>
      </c>
      <c r="J319" s="1" t="str">
        <f t="shared" ca="1" si="18"/>
        <v>Left Wing</v>
      </c>
      <c r="K319" s="1" t="str">
        <f t="shared" ca="1" si="31"/>
        <v>Left Wing</v>
      </c>
      <c r="L319" s="1" t="str">
        <f t="shared" ca="1" si="19"/>
        <v>Left Wing</v>
      </c>
      <c r="M319" s="1" t="str">
        <f t="shared" ca="1" si="20"/>
        <v>Left Wing</v>
      </c>
      <c r="N319" s="1" t="str">
        <f t="shared" ca="1" si="21"/>
        <v>Left Wing</v>
      </c>
      <c r="O319" s="1" t="str">
        <f t="shared" ca="1" si="22"/>
        <v>Left Wing</v>
      </c>
      <c r="P319" s="1" t="str">
        <f t="shared" ca="1" si="23"/>
        <v>F</v>
      </c>
      <c r="Q319" s="1" t="str">
        <f t="shared" ca="1" si="24"/>
        <v>F</v>
      </c>
      <c r="R319" s="1" t="str">
        <f t="shared" ca="1" si="25"/>
        <v>F</v>
      </c>
      <c r="S319" s="1" t="str">
        <f t="shared" ca="1" si="26"/>
        <v>F</v>
      </c>
      <c r="T319" s="1" t="str">
        <f t="shared" ca="1" si="27"/>
        <v>F</v>
      </c>
      <c r="U319" s="1" t="str">
        <f t="shared" ca="1" si="28"/>
        <v>F</v>
      </c>
      <c r="V319" s="1" t="str">
        <f t="shared" ca="1" si="29"/>
        <v>F</v>
      </c>
      <c r="W319" s="1" t="str">
        <f t="shared" ca="1" si="30"/>
        <v>Gastón González</v>
      </c>
    </row>
    <row r="320" spans="1:23">
      <c r="A320" s="1" t="str">
        <f ca="1">IFERROR(__xludf.DUMMYFUNCTION("""COMPUTED_VALUE"""),"Zavier")</f>
        <v>Zavier</v>
      </c>
      <c r="B320" s="1" t="str">
        <f ca="1">IFERROR(__xludf.DUMMYFUNCTION("""COMPUTED_VALUE"""),"Gozo")</f>
        <v>Gozo</v>
      </c>
      <c r="C320" s="1" t="str">
        <f ca="1">IFERROR(__xludf.DUMMYFUNCTION("""COMPUTED_VALUE"""),"Real Salt Lake")</f>
        <v>Real Salt Lake</v>
      </c>
      <c r="D320" s="1" t="str">
        <f ca="1">IFERROR(__xludf.DUMMYFUNCTION("""COMPUTED_VALUE"""),"Right Wing")</f>
        <v>Right Wing</v>
      </c>
      <c r="E320" s="2">
        <f ca="1">IFERROR(__xludf.DUMMYFUNCTION("""COMPUTED_VALUE"""),71401)</f>
        <v>71401</v>
      </c>
      <c r="F320" s="2">
        <f ca="1">IFERROR(__xludf.DUMMYFUNCTION("""COMPUTED_VALUE"""),84124)</f>
        <v>84124</v>
      </c>
      <c r="H320" s="1" t="str">
        <f t="shared" ca="1" si="16"/>
        <v>Right Wing</v>
      </c>
      <c r="I320" s="3" t="str">
        <f t="shared" ca="1" si="17"/>
        <v>Right Wing</v>
      </c>
      <c r="J320" s="1" t="str">
        <f t="shared" ca="1" si="18"/>
        <v>Right Wing</v>
      </c>
      <c r="K320" s="1" t="str">
        <f t="shared" ca="1" si="31"/>
        <v>Right Wing</v>
      </c>
      <c r="L320" s="1" t="str">
        <f t="shared" ca="1" si="19"/>
        <v>Right Wing</v>
      </c>
      <c r="M320" s="1" t="str">
        <f t="shared" ca="1" si="20"/>
        <v>Right Wing</v>
      </c>
      <c r="N320" s="1" t="str">
        <f t="shared" ca="1" si="21"/>
        <v>F</v>
      </c>
      <c r="O320" s="1" t="str">
        <f t="shared" ca="1" si="22"/>
        <v>F</v>
      </c>
      <c r="P320" s="1" t="str">
        <f t="shared" ca="1" si="23"/>
        <v>F</v>
      </c>
      <c r="Q320" s="1" t="str">
        <f t="shared" ca="1" si="24"/>
        <v>F</v>
      </c>
      <c r="R320" s="1" t="str">
        <f t="shared" ca="1" si="25"/>
        <v>F</v>
      </c>
      <c r="S320" s="1" t="str">
        <f t="shared" ca="1" si="26"/>
        <v>F</v>
      </c>
      <c r="T320" s="1" t="str">
        <f t="shared" ca="1" si="27"/>
        <v>F</v>
      </c>
      <c r="U320" s="1" t="str">
        <f t="shared" ca="1" si="28"/>
        <v>F</v>
      </c>
      <c r="V320" s="1" t="str">
        <f t="shared" ca="1" si="29"/>
        <v>F</v>
      </c>
      <c r="W320" s="1" t="str">
        <f t="shared" ca="1" si="30"/>
        <v>Zavier Gozo</v>
      </c>
    </row>
    <row r="321" spans="1:23">
      <c r="A321" s="1" t="str">
        <f ca="1">IFERROR(__xludf.DUMMYFUNCTION("""COMPUTED_VALUE"""),"Tayvon")</f>
        <v>Tayvon</v>
      </c>
      <c r="B321" s="1" t="str">
        <f ca="1">IFERROR(__xludf.DUMMYFUNCTION("""COMPUTED_VALUE"""),"Gray")</f>
        <v>Gray</v>
      </c>
      <c r="C321" s="1" t="str">
        <f ca="1">IFERROR(__xludf.DUMMYFUNCTION("""COMPUTED_VALUE"""),"New York City FC")</f>
        <v>New York City FC</v>
      </c>
      <c r="D321" s="1" t="str">
        <f ca="1">IFERROR(__xludf.DUMMYFUNCTION("""COMPUTED_VALUE"""),"Right-back")</f>
        <v>Right-back</v>
      </c>
      <c r="E321" s="2">
        <f ca="1">IFERROR(__xludf.DUMMYFUNCTION("""COMPUTED_VALUE"""),350000)</f>
        <v>350000</v>
      </c>
      <c r="F321" s="2">
        <f ca="1">IFERROR(__xludf.DUMMYFUNCTION("""COMPUTED_VALUE"""),400000)</f>
        <v>400000</v>
      </c>
      <c r="H321" s="1" t="str">
        <f t="shared" ca="1" si="16"/>
        <v>Right-back</v>
      </c>
      <c r="I321" s="3" t="str">
        <f t="shared" ca="1" si="17"/>
        <v>Right-back</v>
      </c>
      <c r="J321" s="1" t="str">
        <f t="shared" ca="1" si="18"/>
        <v>D</v>
      </c>
      <c r="K321" s="1" t="str">
        <f t="shared" ca="1" si="31"/>
        <v>D</v>
      </c>
      <c r="L321" s="1" t="str">
        <f t="shared" ca="1" si="19"/>
        <v>D</v>
      </c>
      <c r="M321" s="1" t="str">
        <f t="shared" ca="1" si="20"/>
        <v>D</v>
      </c>
      <c r="N321" s="1" t="str">
        <f t="shared" ca="1" si="21"/>
        <v>D</v>
      </c>
      <c r="O321" s="1" t="str">
        <f t="shared" ca="1" si="22"/>
        <v>D</v>
      </c>
      <c r="P321" s="1" t="str">
        <f t="shared" ca="1" si="23"/>
        <v>D</v>
      </c>
      <c r="Q321" s="1" t="str">
        <f t="shared" ca="1" si="24"/>
        <v>D</v>
      </c>
      <c r="R321" s="1" t="str">
        <f t="shared" ca="1" si="25"/>
        <v>D</v>
      </c>
      <c r="S321" s="1" t="str">
        <f t="shared" ca="1" si="26"/>
        <v>D</v>
      </c>
      <c r="T321" s="1" t="str">
        <f t="shared" ca="1" si="27"/>
        <v>D</v>
      </c>
      <c r="U321" s="1" t="str">
        <f t="shared" ca="1" si="28"/>
        <v>D</v>
      </c>
      <c r="V321" s="1" t="str">
        <f t="shared" ca="1" si="29"/>
        <v>D</v>
      </c>
      <c r="W321" s="1" t="str">
        <f t="shared" ca="1" si="30"/>
        <v>Tayvon Gray</v>
      </c>
    </row>
    <row r="322" spans="1:23">
      <c r="A322" s="1" t="str">
        <f ca="1">IFERROR(__xludf.DUMMYFUNCTION("""COMPUTED_VALUE"""),"Ruan")</f>
        <v>Ruan</v>
      </c>
      <c r="B322" s="1" t="str">
        <f ca="1">IFERROR(__xludf.DUMMYFUNCTION("""COMPUTED_VALUE"""),"Gregório Teixeira")</f>
        <v>Gregório Teixeira</v>
      </c>
      <c r="C322" s="1" t="str">
        <f ca="1">IFERROR(__xludf.DUMMYFUNCTION("""COMPUTED_VALUE"""),"CF Montreal")</f>
        <v>CF Montreal</v>
      </c>
      <c r="D322" s="1" t="str">
        <f ca="1">IFERROR(__xludf.DUMMYFUNCTION("""COMPUTED_VALUE"""),"Right-back")</f>
        <v>Right-back</v>
      </c>
      <c r="E322" s="2">
        <f ca="1">IFERROR(__xludf.DUMMYFUNCTION("""COMPUTED_VALUE"""),440000)</f>
        <v>440000</v>
      </c>
      <c r="F322" s="2">
        <f ca="1">IFERROR(__xludf.DUMMYFUNCTION("""COMPUTED_VALUE"""),440000)</f>
        <v>440000</v>
      </c>
      <c r="H322" s="1" t="str">
        <f t="shared" ca="1" si="16"/>
        <v>Right-back</v>
      </c>
      <c r="I322" s="3" t="str">
        <f t="shared" ca="1" si="17"/>
        <v>Right-back</v>
      </c>
      <c r="J322" s="1" t="str">
        <f t="shared" ca="1" si="18"/>
        <v>D</v>
      </c>
      <c r="K322" s="1" t="str">
        <f t="shared" ca="1" si="31"/>
        <v>D</v>
      </c>
      <c r="L322" s="1" t="str">
        <f t="shared" ca="1" si="19"/>
        <v>D</v>
      </c>
      <c r="M322" s="1" t="str">
        <f t="shared" ca="1" si="20"/>
        <v>D</v>
      </c>
      <c r="N322" s="1" t="str">
        <f t="shared" ca="1" si="21"/>
        <v>D</v>
      </c>
      <c r="O322" s="1" t="str">
        <f t="shared" ca="1" si="22"/>
        <v>D</v>
      </c>
      <c r="P322" s="1" t="str">
        <f t="shared" ca="1" si="23"/>
        <v>D</v>
      </c>
      <c r="Q322" s="1" t="str">
        <f t="shared" ca="1" si="24"/>
        <v>D</v>
      </c>
      <c r="R322" s="1" t="str">
        <f t="shared" ca="1" si="25"/>
        <v>D</v>
      </c>
      <c r="S322" s="1" t="str">
        <f t="shared" ca="1" si="26"/>
        <v>D</v>
      </c>
      <c r="T322" s="1" t="str">
        <f t="shared" ca="1" si="27"/>
        <v>D</v>
      </c>
      <c r="U322" s="1" t="str">
        <f t="shared" ca="1" si="28"/>
        <v>D</v>
      </c>
      <c r="V322" s="1" t="str">
        <f t="shared" ca="1" si="29"/>
        <v>D</v>
      </c>
      <c r="W322" s="1" t="str">
        <f t="shared" ca="1" si="30"/>
        <v>Ruan Gregório Teixeira</v>
      </c>
    </row>
    <row r="323" spans="1:23">
      <c r="A323" s="1" t="str">
        <f ca="1">IFERROR(__xludf.DUMMYFUNCTION("""COMPUTED_VALUE"""),"Stian")</f>
        <v>Stian</v>
      </c>
      <c r="B323" s="1" t="str">
        <f ca="1">IFERROR(__xludf.DUMMYFUNCTION("""COMPUTED_VALUE"""),"Gregersen")</f>
        <v>Gregersen</v>
      </c>
      <c r="C323" s="1" t="str">
        <f ca="1">IFERROR(__xludf.DUMMYFUNCTION("""COMPUTED_VALUE"""),"Atlanta United")</f>
        <v>Atlanta United</v>
      </c>
      <c r="D323" s="1" t="str">
        <f ca="1">IFERROR(__xludf.DUMMYFUNCTION("""COMPUTED_VALUE"""),"Center-back")</f>
        <v>Center-back</v>
      </c>
      <c r="E323" s="2">
        <f ca="1">IFERROR(__xludf.DUMMYFUNCTION("""COMPUTED_VALUE"""),1000000)</f>
        <v>1000000</v>
      </c>
      <c r="F323" s="2">
        <f ca="1">IFERROR(__xludf.DUMMYFUNCTION("""COMPUTED_VALUE"""),1120000)</f>
        <v>1120000</v>
      </c>
      <c r="H323" s="1" t="str">
        <f t="shared" ca="1" si="16"/>
        <v>D</v>
      </c>
      <c r="I323" s="3" t="str">
        <f t="shared" ca="1" si="17"/>
        <v>D</v>
      </c>
      <c r="J323" s="1" t="str">
        <f t="shared" ca="1" si="18"/>
        <v>D</v>
      </c>
      <c r="K323" s="1" t="str">
        <f t="shared" ca="1" si="31"/>
        <v>D</v>
      </c>
      <c r="L323" s="1" t="str">
        <f t="shared" ca="1" si="19"/>
        <v>D</v>
      </c>
      <c r="M323" s="1" t="str">
        <f t="shared" ca="1" si="20"/>
        <v>D</v>
      </c>
      <c r="N323" s="1" t="str">
        <f t="shared" ca="1" si="21"/>
        <v>D</v>
      </c>
      <c r="O323" s="1" t="str">
        <f t="shared" ca="1" si="22"/>
        <v>D</v>
      </c>
      <c r="P323" s="1" t="str">
        <f t="shared" ca="1" si="23"/>
        <v>D</v>
      </c>
      <c r="Q323" s="1" t="str">
        <f t="shared" ca="1" si="24"/>
        <v>D</v>
      </c>
      <c r="R323" s="1" t="str">
        <f t="shared" ca="1" si="25"/>
        <v>D</v>
      </c>
      <c r="S323" s="1" t="str">
        <f t="shared" ca="1" si="26"/>
        <v>D</v>
      </c>
      <c r="T323" s="1" t="str">
        <f t="shared" ca="1" si="27"/>
        <v>D</v>
      </c>
      <c r="U323" s="1" t="str">
        <f t="shared" ca="1" si="28"/>
        <v>D</v>
      </c>
      <c r="V323" s="1" t="str">
        <f t="shared" ca="1" si="29"/>
        <v>D</v>
      </c>
      <c r="W323" s="1" t="str">
        <f t="shared" ca="1" si="30"/>
        <v>Stian Gregersen</v>
      </c>
    </row>
    <row r="324" spans="1:23">
      <c r="A324" s="1" t="str">
        <f ca="1">IFERROR(__xludf.DUMMYFUNCTION("""COMPUTED_VALUE"""),"Ján")</f>
        <v>Ján</v>
      </c>
      <c r="B324" s="1" t="str">
        <f ca="1">IFERROR(__xludf.DUMMYFUNCTION("""COMPUTED_VALUE"""),"Greguš")</f>
        <v>Greguš</v>
      </c>
      <c r="C324" s="1" t="str">
        <f ca="1">IFERROR(__xludf.DUMMYFUNCTION("""COMPUTED_VALUE"""),"Houston Dynamo")</f>
        <v>Houston Dynamo</v>
      </c>
      <c r="D324" s="1" t="str">
        <f ca="1">IFERROR(__xludf.DUMMYFUNCTION("""COMPUTED_VALUE"""),"Central Midfield")</f>
        <v>Central Midfield</v>
      </c>
      <c r="E324" s="2">
        <f ca="1">IFERROR(__xludf.DUMMYFUNCTION("""COMPUTED_VALUE"""),150000)</f>
        <v>150000</v>
      </c>
      <c r="F324" s="2">
        <f ca="1">IFERROR(__xludf.DUMMYFUNCTION("""COMPUTED_VALUE"""),170313)</f>
        <v>170313</v>
      </c>
      <c r="H324" s="1" t="str">
        <f t="shared" ca="1" si="16"/>
        <v>Central Midfield</v>
      </c>
      <c r="I324" s="3" t="str">
        <f t="shared" ca="1" si="17"/>
        <v>Central Midfield</v>
      </c>
      <c r="J324" s="1" t="str">
        <f t="shared" ca="1" si="18"/>
        <v>Central Midfield</v>
      </c>
      <c r="K324" s="1" t="str">
        <f t="shared" ca="1" si="31"/>
        <v>Central Midfield</v>
      </c>
      <c r="L324" s="1" t="str">
        <f t="shared" ca="1" si="19"/>
        <v>M</v>
      </c>
      <c r="M324" s="1" t="str">
        <f t="shared" ca="1" si="20"/>
        <v>M</v>
      </c>
      <c r="N324" s="1" t="str">
        <f t="shared" ca="1" si="21"/>
        <v>M</v>
      </c>
      <c r="O324" s="1" t="str">
        <f t="shared" ca="1" si="22"/>
        <v>M</v>
      </c>
      <c r="P324" s="1" t="str">
        <f t="shared" ca="1" si="23"/>
        <v>M</v>
      </c>
      <c r="Q324" s="1" t="str">
        <f t="shared" ca="1" si="24"/>
        <v>M</v>
      </c>
      <c r="R324" s="1" t="str">
        <f t="shared" ca="1" si="25"/>
        <v>M</v>
      </c>
      <c r="S324" s="1" t="str">
        <f t="shared" ca="1" si="26"/>
        <v>M</v>
      </c>
      <c r="T324" s="1" t="str">
        <f t="shared" ca="1" si="27"/>
        <v>M</v>
      </c>
      <c r="U324" s="1" t="str">
        <f t="shared" ca="1" si="28"/>
        <v>M</v>
      </c>
      <c r="V324" s="1" t="str">
        <f t="shared" ca="1" si="29"/>
        <v>M</v>
      </c>
      <c r="W324" s="1" t="str">
        <f t="shared" ca="1" si="30"/>
        <v>Ján Greguš</v>
      </c>
    </row>
    <row r="325" spans="1:23">
      <c r="A325" s="1" t="str">
        <f ca="1">IFERROR(__xludf.DUMMYFUNCTION("""COMPUTED_VALUE"""),"Julian")</f>
        <v>Julian</v>
      </c>
      <c r="B325" s="1" t="str">
        <f ca="1">IFERROR(__xludf.DUMMYFUNCTION("""COMPUTED_VALUE"""),"Gressel")</f>
        <v>Gressel</v>
      </c>
      <c r="C325" s="1" t="str">
        <f ca="1">IFERROR(__xludf.DUMMYFUNCTION("""COMPUTED_VALUE"""),"Inter Miami")</f>
        <v>Inter Miami</v>
      </c>
      <c r="D325" s="1" t="str">
        <f ca="1">IFERROR(__xludf.DUMMYFUNCTION("""COMPUTED_VALUE"""),"Right Midfield")</f>
        <v>Right Midfield</v>
      </c>
      <c r="E325" s="2">
        <f ca="1">IFERROR(__xludf.DUMMYFUNCTION("""COMPUTED_VALUE"""),1092069)</f>
        <v>1092069</v>
      </c>
      <c r="F325" s="2">
        <f ca="1">IFERROR(__xludf.DUMMYFUNCTION("""COMPUTED_VALUE"""),1092069)</f>
        <v>1092069</v>
      </c>
      <c r="H325" s="1" t="str">
        <f t="shared" ca="1" si="16"/>
        <v>Right Midfield</v>
      </c>
      <c r="I325" s="3" t="str">
        <f t="shared" ca="1" si="17"/>
        <v>Right Midfield</v>
      </c>
      <c r="J325" s="1" t="str">
        <f t="shared" ca="1" si="18"/>
        <v>Right Midfield</v>
      </c>
      <c r="K325" s="1" t="str">
        <f t="shared" ca="1" si="31"/>
        <v>Right Midfield</v>
      </c>
      <c r="L325" s="1" t="str">
        <f t="shared" ca="1" si="19"/>
        <v>Right Midfield</v>
      </c>
      <c r="M325" s="1" t="str">
        <f t="shared" ca="1" si="20"/>
        <v>Right Midfield</v>
      </c>
      <c r="N325" s="1" t="str">
        <f t="shared" ca="1" si="21"/>
        <v>Right Midfield</v>
      </c>
      <c r="O325" s="1" t="str">
        <f t="shared" ca="1" si="22"/>
        <v>Right Midfield</v>
      </c>
      <c r="P325" s="1" t="str">
        <f t="shared" ca="1" si="23"/>
        <v>Right Midfield</v>
      </c>
      <c r="Q325" s="1" t="str">
        <f t="shared" ca="1" si="24"/>
        <v>Right Midfield</v>
      </c>
      <c r="R325" s="1" t="str">
        <f t="shared" ca="1" si="25"/>
        <v>Right Midfield</v>
      </c>
      <c r="S325" s="1" t="str">
        <f t="shared" ca="1" si="26"/>
        <v>Right Midfield</v>
      </c>
      <c r="T325" s="1" t="str">
        <f t="shared" ca="1" si="27"/>
        <v>M</v>
      </c>
      <c r="U325" s="1" t="str">
        <f t="shared" ca="1" si="28"/>
        <v>M</v>
      </c>
      <c r="V325" s="1" t="str">
        <f t="shared" ca="1" si="29"/>
        <v>M</v>
      </c>
      <c r="W325" s="1" t="str">
        <f t="shared" ca="1" si="30"/>
        <v>Julian Gressel</v>
      </c>
    </row>
    <row r="326" spans="1:23">
      <c r="A326" s="1" t="str">
        <f ca="1">IFERROR(__xludf.DUMMYFUNCTION("""COMPUTED_VALUE"""),"Carlos")</f>
        <v>Carlos</v>
      </c>
      <c r="B326" s="1" t="str">
        <f ca="1">IFERROR(__xludf.DUMMYFUNCTION("""COMPUTED_VALUE"""),"Gruezo")</f>
        <v>Gruezo</v>
      </c>
      <c r="C326" s="1" t="str">
        <f ca="1">IFERROR(__xludf.DUMMYFUNCTION("""COMPUTED_VALUE"""),"San Jose Earthquakes")</f>
        <v>San Jose Earthquakes</v>
      </c>
      <c r="D326" s="1" t="str">
        <f ca="1">IFERROR(__xludf.DUMMYFUNCTION("""COMPUTED_VALUE"""),"Defensive Midfield")</f>
        <v>Defensive Midfield</v>
      </c>
      <c r="E326" s="2">
        <f ca="1">IFERROR(__xludf.DUMMYFUNCTION("""COMPUTED_VALUE"""),1460000)</f>
        <v>1460000</v>
      </c>
      <c r="F326" s="2">
        <f ca="1">IFERROR(__xludf.DUMMYFUNCTION("""COMPUTED_VALUE"""),1681086)</f>
        <v>1681086</v>
      </c>
      <c r="H326" s="1" t="str">
        <f t="shared" ca="1" si="16"/>
        <v>Defensive Midfield</v>
      </c>
      <c r="I326" s="3" t="str">
        <f t="shared" ca="1" si="17"/>
        <v>Defensive Midfield</v>
      </c>
      <c r="J326" s="1" t="str">
        <f t="shared" ca="1" si="18"/>
        <v>Defensive Midfield</v>
      </c>
      <c r="K326" s="1" t="str">
        <f t="shared" ca="1" si="31"/>
        <v>M</v>
      </c>
      <c r="L326" s="1" t="str">
        <f t="shared" ca="1" si="19"/>
        <v>M</v>
      </c>
      <c r="M326" s="1" t="str">
        <f t="shared" ca="1" si="20"/>
        <v>M</v>
      </c>
      <c r="N326" s="1" t="str">
        <f t="shared" ca="1" si="21"/>
        <v>M</v>
      </c>
      <c r="O326" s="1" t="str">
        <f t="shared" ca="1" si="22"/>
        <v>M</v>
      </c>
      <c r="P326" s="1" t="str">
        <f t="shared" ca="1" si="23"/>
        <v>M</v>
      </c>
      <c r="Q326" s="1" t="str">
        <f t="shared" ca="1" si="24"/>
        <v>M</v>
      </c>
      <c r="R326" s="1" t="str">
        <f t="shared" ca="1" si="25"/>
        <v>M</v>
      </c>
      <c r="S326" s="1" t="str">
        <f t="shared" ca="1" si="26"/>
        <v>M</v>
      </c>
      <c r="T326" s="1" t="str">
        <f t="shared" ca="1" si="27"/>
        <v>M</v>
      </c>
      <c r="U326" s="1" t="str">
        <f t="shared" ca="1" si="28"/>
        <v>M</v>
      </c>
      <c r="V326" s="1" t="str">
        <f t="shared" ca="1" si="29"/>
        <v>M</v>
      </c>
      <c r="W326" s="1" t="str">
        <f t="shared" ca="1" si="30"/>
        <v>Carlos Gruezo</v>
      </c>
    </row>
    <row r="327" spans="1:23">
      <c r="A327" s="1" t="str">
        <f ca="1">IFERROR(__xludf.DUMMYFUNCTION("""COMPUTED_VALUE"""),"Brian")</f>
        <v>Brian</v>
      </c>
      <c r="B327" s="1" t="str">
        <f ca="1">IFERROR(__xludf.DUMMYFUNCTION("""COMPUTED_VALUE"""),"Gutiérrez")</f>
        <v>Gutiérrez</v>
      </c>
      <c r="C327" s="1" t="str">
        <f ca="1">IFERROR(__xludf.DUMMYFUNCTION("""COMPUTED_VALUE"""),"Chicago Fire")</f>
        <v>Chicago Fire</v>
      </c>
      <c r="D327" s="1" t="str">
        <f ca="1">IFERROR(__xludf.DUMMYFUNCTION("""COMPUTED_VALUE"""),"Attacking Midfield")</f>
        <v>Attacking Midfield</v>
      </c>
      <c r="E327" s="2">
        <f ca="1">IFERROR(__xludf.DUMMYFUNCTION("""COMPUTED_VALUE"""),803409)</f>
        <v>803409</v>
      </c>
      <c r="F327" s="2">
        <f ca="1">IFERROR(__xludf.DUMMYFUNCTION("""COMPUTED_VALUE"""),895879)</f>
        <v>895879</v>
      </c>
      <c r="H327" s="1" t="str">
        <f t="shared" ca="1" si="16"/>
        <v>Attacking Midfield</v>
      </c>
      <c r="I327" s="3" t="str">
        <f t="shared" ca="1" si="17"/>
        <v>Attacking Midfield</v>
      </c>
      <c r="J327" s="1" t="str">
        <f t="shared" ca="1" si="18"/>
        <v>Attacking Midfield</v>
      </c>
      <c r="K327" s="1" t="str">
        <f t="shared" ca="1" si="31"/>
        <v>Attacking Midfield</v>
      </c>
      <c r="L327" s="1" t="str">
        <f t="shared" ca="1" si="19"/>
        <v>Attacking Midfield</v>
      </c>
      <c r="M327" s="1" t="str">
        <f t="shared" ca="1" si="20"/>
        <v>M</v>
      </c>
      <c r="N327" s="1" t="str">
        <f t="shared" ca="1" si="21"/>
        <v>M</v>
      </c>
      <c r="O327" s="1" t="str">
        <f t="shared" ca="1" si="22"/>
        <v>M</v>
      </c>
      <c r="P327" s="1" t="str">
        <f t="shared" ca="1" si="23"/>
        <v>M</v>
      </c>
      <c r="Q327" s="1" t="str">
        <f t="shared" ca="1" si="24"/>
        <v>M</v>
      </c>
      <c r="R327" s="1" t="str">
        <f t="shared" ca="1" si="25"/>
        <v>M</v>
      </c>
      <c r="S327" s="1" t="str">
        <f t="shared" ca="1" si="26"/>
        <v>M</v>
      </c>
      <c r="T327" s="1" t="str">
        <f t="shared" ca="1" si="27"/>
        <v>M</v>
      </c>
      <c r="U327" s="1" t="str">
        <f t="shared" ca="1" si="28"/>
        <v>M</v>
      </c>
      <c r="V327" s="1" t="str">
        <f t="shared" ca="1" si="29"/>
        <v>M</v>
      </c>
      <c r="W327" s="1" t="str">
        <f t="shared" ca="1" si="30"/>
        <v>Brian Gutiérrez</v>
      </c>
    </row>
    <row r="328" spans="1:23">
      <c r="A328" s="1" t="str">
        <f ca="1">IFERROR(__xludf.DUMMYFUNCTION("""COMPUTED_VALUE"""),"Andrew")</f>
        <v>Andrew</v>
      </c>
      <c r="B328" s="1" t="str">
        <f ca="1">IFERROR(__xludf.DUMMYFUNCTION("""COMPUTED_VALUE"""),"Gutman")</f>
        <v>Gutman</v>
      </c>
      <c r="C328" s="1" t="str">
        <f ca="1">IFERROR(__xludf.DUMMYFUNCTION("""COMPUTED_VALUE"""),"Chicago Fire")</f>
        <v>Chicago Fire</v>
      </c>
      <c r="D328" s="1" t="str">
        <f ca="1">IFERROR(__xludf.DUMMYFUNCTION("""COMPUTED_VALUE"""),"Left-back")</f>
        <v>Left-back</v>
      </c>
      <c r="E328" s="2">
        <f ca="1">IFERROR(__xludf.DUMMYFUNCTION("""COMPUTED_VALUE"""),600000)</f>
        <v>600000</v>
      </c>
      <c r="F328" s="2">
        <f ca="1">IFERROR(__xludf.DUMMYFUNCTION("""COMPUTED_VALUE"""),600000)</f>
        <v>600000</v>
      </c>
      <c r="H328" s="1" t="str">
        <f t="shared" ca="1" si="16"/>
        <v>Left-back</v>
      </c>
      <c r="I328" s="3" t="str">
        <f t="shared" ca="1" si="17"/>
        <v>D</v>
      </c>
      <c r="J328" s="1" t="str">
        <f t="shared" ca="1" si="18"/>
        <v>D</v>
      </c>
      <c r="K328" s="1" t="str">
        <f t="shared" ca="1" si="31"/>
        <v>D</v>
      </c>
      <c r="L328" s="1" t="str">
        <f t="shared" ca="1" si="19"/>
        <v>D</v>
      </c>
      <c r="M328" s="1" t="str">
        <f t="shared" ca="1" si="20"/>
        <v>D</v>
      </c>
      <c r="N328" s="1" t="str">
        <f t="shared" ca="1" si="21"/>
        <v>D</v>
      </c>
      <c r="O328" s="1" t="str">
        <f t="shared" ca="1" si="22"/>
        <v>D</v>
      </c>
      <c r="P328" s="1" t="str">
        <f t="shared" ca="1" si="23"/>
        <v>D</v>
      </c>
      <c r="Q328" s="1" t="str">
        <f t="shared" ca="1" si="24"/>
        <v>D</v>
      </c>
      <c r="R328" s="1" t="str">
        <f t="shared" ca="1" si="25"/>
        <v>D</v>
      </c>
      <c r="S328" s="1" t="str">
        <f t="shared" ca="1" si="26"/>
        <v>D</v>
      </c>
      <c r="T328" s="1" t="str">
        <f t="shared" ca="1" si="27"/>
        <v>D</v>
      </c>
      <c r="U328" s="1" t="str">
        <f t="shared" ca="1" si="28"/>
        <v>D</v>
      </c>
      <c r="V328" s="1" t="str">
        <f t="shared" ca="1" si="29"/>
        <v>D</v>
      </c>
      <c r="W328" s="1" t="str">
        <f t="shared" ca="1" si="30"/>
        <v>Andrew Gutman</v>
      </c>
    </row>
    <row r="329" spans="1:23">
      <c r="A329" s="1" t="str">
        <f ca="1">IFERROR(__xludf.DUMMYFUNCTION("""COMPUTED_VALUE"""),"Brad")</f>
        <v>Brad</v>
      </c>
      <c r="B329" s="1" t="str">
        <f ca="1">IFERROR(__xludf.DUMMYFUNCTION("""COMPUTED_VALUE"""),"Guzan")</f>
        <v>Guzan</v>
      </c>
      <c r="C329" s="1" t="str">
        <f ca="1">IFERROR(__xludf.DUMMYFUNCTION("""COMPUTED_VALUE"""),"Atlanta United")</f>
        <v>Atlanta United</v>
      </c>
      <c r="D329" s="1" t="str">
        <f ca="1">IFERROR(__xludf.DUMMYFUNCTION("""COMPUTED_VALUE"""),"Goalkeeper")</f>
        <v>Goalkeeper</v>
      </c>
      <c r="E329" s="2">
        <f ca="1">IFERROR(__xludf.DUMMYFUNCTION("""COMPUTED_VALUE"""),600000)</f>
        <v>600000</v>
      </c>
      <c r="F329" s="2">
        <f ca="1">IFERROR(__xludf.DUMMYFUNCTION("""COMPUTED_VALUE"""),612500)</f>
        <v>612500</v>
      </c>
      <c r="H329" s="1" t="str">
        <f t="shared" ca="1" si="16"/>
        <v>Goalkeeper</v>
      </c>
      <c r="I329" s="3" t="str">
        <f t="shared" ca="1" si="17"/>
        <v>Goalkeeper</v>
      </c>
      <c r="J329" s="1" t="str">
        <f t="shared" ca="1" si="18"/>
        <v>Goalkeeper</v>
      </c>
      <c r="K329" s="1" t="str">
        <f t="shared" ca="1" si="31"/>
        <v>Goalkeeper</v>
      </c>
      <c r="L329" s="1" t="str">
        <f t="shared" ca="1" si="19"/>
        <v>Goalkeeper</v>
      </c>
      <c r="M329" s="1" t="str">
        <f t="shared" ca="1" si="20"/>
        <v>Goalkeeper</v>
      </c>
      <c r="N329" s="1" t="str">
        <f t="shared" ca="1" si="21"/>
        <v>Goalkeeper</v>
      </c>
      <c r="O329" s="1" t="str">
        <f t="shared" ca="1" si="22"/>
        <v>Goalkeeper</v>
      </c>
      <c r="P329" s="1" t="str">
        <f t="shared" ca="1" si="23"/>
        <v>Goalkeeper</v>
      </c>
      <c r="Q329" s="1" t="str">
        <f t="shared" ca="1" si="24"/>
        <v>Goalkeeper</v>
      </c>
      <c r="R329" s="1" t="str">
        <f t="shared" ca="1" si="25"/>
        <v>GK</v>
      </c>
      <c r="S329" s="1" t="str">
        <f t="shared" ca="1" si="26"/>
        <v>GK</v>
      </c>
      <c r="T329" s="1" t="str">
        <f t="shared" ca="1" si="27"/>
        <v>GK</v>
      </c>
      <c r="U329" s="1" t="str">
        <f t="shared" ca="1" si="28"/>
        <v>GK</v>
      </c>
      <c r="V329" s="1" t="str">
        <f t="shared" ca="1" si="29"/>
        <v>GK</v>
      </c>
      <c r="W329" s="1" t="str">
        <f t="shared" ca="1" si="30"/>
        <v>Brad Guzan</v>
      </c>
    </row>
    <row r="330" spans="1:23">
      <c r="A330" s="1" t="str">
        <f ca="1">IFERROR(__xludf.DUMMYFUNCTION("""COMPUTED_VALUE"""),"Stephen Annor")</f>
        <v>Stephen Annor</v>
      </c>
      <c r="B330" s="1" t="str">
        <f ca="1">IFERROR(__xludf.DUMMYFUNCTION("""COMPUTED_VALUE"""),"Gyamfi")</f>
        <v>Gyamfi</v>
      </c>
      <c r="C330" s="1" t="str">
        <f ca="1">IFERROR(__xludf.DUMMYFUNCTION("""COMPUTED_VALUE"""),"Houston Dynamo")</f>
        <v>Houston Dynamo</v>
      </c>
      <c r="D330" s="1" t="str">
        <f ca="1">IFERROR(__xludf.DUMMYFUNCTION("""COMPUTED_VALUE"""),"Forward")</f>
        <v>Forward</v>
      </c>
      <c r="E330" s="2">
        <f ca="1">IFERROR(__xludf.DUMMYFUNCTION("""COMPUTED_VALUE"""),71401)</f>
        <v>71401</v>
      </c>
      <c r="F330" s="2">
        <f ca="1">IFERROR(__xludf.DUMMYFUNCTION("""COMPUTED_VALUE"""),85151)</f>
        <v>85151</v>
      </c>
      <c r="H330" s="1" t="str">
        <f t="shared" ca="1" si="16"/>
        <v>Forward</v>
      </c>
      <c r="I330" s="3" t="str">
        <f t="shared" ca="1" si="17"/>
        <v>Forward</v>
      </c>
      <c r="J330" s="1" t="str">
        <f t="shared" ca="1" si="18"/>
        <v>Forward</v>
      </c>
      <c r="K330" s="1" t="str">
        <f t="shared" ca="1" si="31"/>
        <v>Forward</v>
      </c>
      <c r="L330" s="1" t="str">
        <f t="shared" ca="1" si="19"/>
        <v>Forward</v>
      </c>
      <c r="M330" s="1" t="str">
        <f t="shared" ca="1" si="20"/>
        <v>Forward</v>
      </c>
      <c r="N330" s="1" t="str">
        <f t="shared" ca="1" si="21"/>
        <v>Forward</v>
      </c>
      <c r="O330" s="1" t="str">
        <f t="shared" ca="1" si="22"/>
        <v>Forward</v>
      </c>
      <c r="P330" s="1" t="str">
        <f t="shared" ca="1" si="23"/>
        <v>Forward</v>
      </c>
      <c r="Q330" s="1" t="str">
        <f t="shared" ca="1" si="24"/>
        <v>F</v>
      </c>
      <c r="R330" s="1" t="str">
        <f t="shared" ca="1" si="25"/>
        <v>F</v>
      </c>
      <c r="S330" s="1" t="str">
        <f t="shared" ca="1" si="26"/>
        <v>F</v>
      </c>
      <c r="T330" s="1" t="str">
        <f t="shared" ca="1" si="27"/>
        <v>F</v>
      </c>
      <c r="U330" s="1" t="str">
        <f t="shared" ca="1" si="28"/>
        <v>F</v>
      </c>
      <c r="V330" s="1" t="str">
        <f t="shared" ca="1" si="29"/>
        <v>F</v>
      </c>
      <c r="W330" s="1" t="str">
        <f t="shared" ca="1" si="30"/>
        <v>Stephen Annor Gyamfi</v>
      </c>
    </row>
    <row r="331" spans="1:23">
      <c r="A331" s="1" t="str">
        <f ca="1">IFERROR(__xludf.DUMMYFUNCTION("""COMPUTED_VALUE"""),"Justin")</f>
        <v>Justin</v>
      </c>
      <c r="B331" s="1" t="str">
        <f ca="1">IFERROR(__xludf.DUMMYFUNCTION("""COMPUTED_VALUE"""),"Haak")</f>
        <v>Haak</v>
      </c>
      <c r="C331" s="1" t="str">
        <f ca="1">IFERROR(__xludf.DUMMYFUNCTION("""COMPUTED_VALUE"""),"New York City FC")</f>
        <v>New York City FC</v>
      </c>
      <c r="D331" s="1" t="str">
        <f ca="1">IFERROR(__xludf.DUMMYFUNCTION("""COMPUTED_VALUE"""),"Central Midfield")</f>
        <v>Central Midfield</v>
      </c>
      <c r="E331" s="2">
        <f ca="1">IFERROR(__xludf.DUMMYFUNCTION("""COMPUTED_VALUE"""),150000)</f>
        <v>150000</v>
      </c>
      <c r="F331" s="2">
        <f ca="1">IFERROR(__xludf.DUMMYFUNCTION("""COMPUTED_VALUE"""),165000)</f>
        <v>165000</v>
      </c>
      <c r="H331" s="1" t="str">
        <f t="shared" ca="1" si="16"/>
        <v>Central Midfield</v>
      </c>
      <c r="I331" s="3" t="str">
        <f t="shared" ca="1" si="17"/>
        <v>Central Midfield</v>
      </c>
      <c r="J331" s="1" t="str">
        <f t="shared" ca="1" si="18"/>
        <v>Central Midfield</v>
      </c>
      <c r="K331" s="1" t="str">
        <f t="shared" ca="1" si="31"/>
        <v>Central Midfield</v>
      </c>
      <c r="L331" s="1" t="str">
        <f t="shared" ca="1" si="19"/>
        <v>M</v>
      </c>
      <c r="M331" s="1" t="str">
        <f t="shared" ca="1" si="20"/>
        <v>M</v>
      </c>
      <c r="N331" s="1" t="str">
        <f t="shared" ca="1" si="21"/>
        <v>M</v>
      </c>
      <c r="O331" s="1" t="str">
        <f t="shared" ca="1" si="22"/>
        <v>M</v>
      </c>
      <c r="P331" s="1" t="str">
        <f t="shared" ca="1" si="23"/>
        <v>M</v>
      </c>
      <c r="Q331" s="1" t="str">
        <f t="shared" ca="1" si="24"/>
        <v>M</v>
      </c>
      <c r="R331" s="1" t="str">
        <f t="shared" ca="1" si="25"/>
        <v>M</v>
      </c>
      <c r="S331" s="1" t="str">
        <f t="shared" ca="1" si="26"/>
        <v>M</v>
      </c>
      <c r="T331" s="1" t="str">
        <f t="shared" ca="1" si="27"/>
        <v>M</v>
      </c>
      <c r="U331" s="1" t="str">
        <f t="shared" ca="1" si="28"/>
        <v>M</v>
      </c>
      <c r="V331" s="1" t="str">
        <f t="shared" ca="1" si="29"/>
        <v>M</v>
      </c>
      <c r="W331" s="1" t="str">
        <f t="shared" ca="1" si="30"/>
        <v>Justin Haak</v>
      </c>
    </row>
    <row r="332" spans="1:23">
      <c r="A332" s="1" t="str">
        <f ca="1">IFERROR(__xludf.DUMMYFUNCTION("""COMPUTED_VALUE"""),"Taha")</f>
        <v>Taha</v>
      </c>
      <c r="B332" s="1" t="str">
        <f ca="1">IFERROR(__xludf.DUMMYFUNCTION("""COMPUTED_VALUE"""),"Habroune")</f>
        <v>Habroune</v>
      </c>
      <c r="C332" s="1" t="str">
        <f ca="1">IFERROR(__xludf.DUMMYFUNCTION("""COMPUTED_VALUE"""),"Columbus Crew")</f>
        <v>Columbus Crew</v>
      </c>
      <c r="D332" s="1" t="str">
        <f ca="1">IFERROR(__xludf.DUMMYFUNCTION("""COMPUTED_VALUE"""),"Central Midfield")</f>
        <v>Central Midfield</v>
      </c>
      <c r="E332" s="2">
        <f ca="1">IFERROR(__xludf.DUMMYFUNCTION("""COMPUTED_VALUE"""),71401)</f>
        <v>71401</v>
      </c>
      <c r="F332" s="2">
        <f ca="1">IFERROR(__xludf.DUMMYFUNCTION("""COMPUTED_VALUE"""),83401)</f>
        <v>83401</v>
      </c>
      <c r="H332" s="1" t="str">
        <f t="shared" ca="1" si="16"/>
        <v>Central Midfield</v>
      </c>
      <c r="I332" s="3" t="str">
        <f t="shared" ca="1" si="17"/>
        <v>Central Midfield</v>
      </c>
      <c r="J332" s="1" t="str">
        <f t="shared" ca="1" si="18"/>
        <v>Central Midfield</v>
      </c>
      <c r="K332" s="1" t="str">
        <f t="shared" ca="1" si="31"/>
        <v>Central Midfield</v>
      </c>
      <c r="L332" s="1" t="str">
        <f t="shared" ca="1" si="19"/>
        <v>M</v>
      </c>
      <c r="M332" s="1" t="str">
        <f t="shared" ca="1" si="20"/>
        <v>M</v>
      </c>
      <c r="N332" s="1" t="str">
        <f t="shared" ca="1" si="21"/>
        <v>M</v>
      </c>
      <c r="O332" s="1" t="str">
        <f t="shared" ca="1" si="22"/>
        <v>M</v>
      </c>
      <c r="P332" s="1" t="str">
        <f t="shared" ca="1" si="23"/>
        <v>M</v>
      </c>
      <c r="Q332" s="1" t="str">
        <f t="shared" ca="1" si="24"/>
        <v>M</v>
      </c>
      <c r="R332" s="1" t="str">
        <f t="shared" ca="1" si="25"/>
        <v>M</v>
      </c>
      <c r="S332" s="1" t="str">
        <f t="shared" ca="1" si="26"/>
        <v>M</v>
      </c>
      <c r="T332" s="1" t="str">
        <f t="shared" ca="1" si="27"/>
        <v>M</v>
      </c>
      <c r="U332" s="1" t="str">
        <f t="shared" ca="1" si="28"/>
        <v>M</v>
      </c>
      <c r="V332" s="1" t="str">
        <f t="shared" ca="1" si="29"/>
        <v>M</v>
      </c>
      <c r="W332" s="1" t="str">
        <f t="shared" ca="1" si="30"/>
        <v>Taha Habroune</v>
      </c>
    </row>
    <row r="333" spans="1:23">
      <c r="A333" s="1" t="str">
        <f ca="1">IFERROR(__xludf.DUMMYFUNCTION("""COMPUTED_VALUE"""),"Nicholas")</f>
        <v>Nicholas</v>
      </c>
      <c r="B333" s="1" t="str">
        <f ca="1">IFERROR(__xludf.DUMMYFUNCTION("""COMPUTED_VALUE"""),"Hagen")</f>
        <v>Hagen</v>
      </c>
      <c r="C333" s="1" t="str">
        <f ca="1">IFERROR(__xludf.DUMMYFUNCTION("""COMPUTED_VALUE"""),"Columbus Crew")</f>
        <v>Columbus Crew</v>
      </c>
      <c r="D333" s="1" t="str">
        <f ca="1">IFERROR(__xludf.DUMMYFUNCTION("""COMPUTED_VALUE"""),"Goalkeeper")</f>
        <v>Goalkeeper</v>
      </c>
      <c r="E333" s="2">
        <f ca="1">IFERROR(__xludf.DUMMYFUNCTION("""COMPUTED_VALUE"""),89716)</f>
        <v>89716</v>
      </c>
      <c r="F333" s="2">
        <f ca="1">IFERROR(__xludf.DUMMYFUNCTION("""COMPUTED_VALUE"""),100340)</f>
        <v>100340</v>
      </c>
      <c r="H333" s="1" t="str">
        <f t="shared" ca="1" si="16"/>
        <v>Goalkeeper</v>
      </c>
      <c r="I333" s="3" t="str">
        <f t="shared" ca="1" si="17"/>
        <v>Goalkeeper</v>
      </c>
      <c r="J333" s="1" t="str">
        <f t="shared" ca="1" si="18"/>
        <v>Goalkeeper</v>
      </c>
      <c r="K333" s="1" t="str">
        <f t="shared" ca="1" si="31"/>
        <v>Goalkeeper</v>
      </c>
      <c r="L333" s="1" t="str">
        <f t="shared" ca="1" si="19"/>
        <v>Goalkeeper</v>
      </c>
      <c r="M333" s="1" t="str">
        <f t="shared" ca="1" si="20"/>
        <v>Goalkeeper</v>
      </c>
      <c r="N333" s="1" t="str">
        <f t="shared" ca="1" si="21"/>
        <v>Goalkeeper</v>
      </c>
      <c r="O333" s="1" t="str">
        <f t="shared" ca="1" si="22"/>
        <v>Goalkeeper</v>
      </c>
      <c r="P333" s="1" t="str">
        <f t="shared" ca="1" si="23"/>
        <v>Goalkeeper</v>
      </c>
      <c r="Q333" s="1" t="str">
        <f t="shared" ca="1" si="24"/>
        <v>Goalkeeper</v>
      </c>
      <c r="R333" s="1" t="str">
        <f t="shared" ca="1" si="25"/>
        <v>GK</v>
      </c>
      <c r="S333" s="1" t="str">
        <f t="shared" ca="1" si="26"/>
        <v>GK</v>
      </c>
      <c r="T333" s="1" t="str">
        <f t="shared" ca="1" si="27"/>
        <v>GK</v>
      </c>
      <c r="U333" s="1" t="str">
        <f t="shared" ca="1" si="28"/>
        <v>GK</v>
      </c>
      <c r="V333" s="1" t="str">
        <f t="shared" ca="1" si="29"/>
        <v>GK</v>
      </c>
      <c r="W333" s="1" t="str">
        <f t="shared" ca="1" si="30"/>
        <v>Nicholas Hagen</v>
      </c>
    </row>
    <row r="334" spans="1:23">
      <c r="A334" s="1" t="str">
        <f ca="1">IFERROR(__xludf.DUMMYFUNCTION("""COMPUTED_VALUE"""),"Nick")</f>
        <v>Nick</v>
      </c>
      <c r="B334" s="1" t="str">
        <f ca="1">IFERROR(__xludf.DUMMYFUNCTION("""COMPUTED_VALUE"""),"Hagglund")</f>
        <v>Hagglund</v>
      </c>
      <c r="C334" s="1" t="str">
        <f ca="1">IFERROR(__xludf.DUMMYFUNCTION("""COMPUTED_VALUE"""),"FC Cincinnati")</f>
        <v>FC Cincinnati</v>
      </c>
      <c r="D334" s="1" t="str">
        <f ca="1">IFERROR(__xludf.DUMMYFUNCTION("""COMPUTED_VALUE"""),"Center-back")</f>
        <v>Center-back</v>
      </c>
      <c r="E334" s="2">
        <f ca="1">IFERROR(__xludf.DUMMYFUNCTION("""COMPUTED_VALUE"""),89716)</f>
        <v>89716</v>
      </c>
      <c r="F334" s="2">
        <f ca="1">IFERROR(__xludf.DUMMYFUNCTION("""COMPUTED_VALUE"""),103237)</f>
        <v>103237</v>
      </c>
      <c r="H334" s="1" t="str">
        <f t="shared" ca="1" si="16"/>
        <v>D</v>
      </c>
      <c r="I334" s="3" t="str">
        <f t="shared" ca="1" si="17"/>
        <v>D</v>
      </c>
      <c r="J334" s="1" t="str">
        <f t="shared" ca="1" si="18"/>
        <v>D</v>
      </c>
      <c r="K334" s="1" t="str">
        <f t="shared" ca="1" si="31"/>
        <v>D</v>
      </c>
      <c r="L334" s="1" t="str">
        <f t="shared" ca="1" si="19"/>
        <v>D</v>
      </c>
      <c r="M334" s="1" t="str">
        <f t="shared" ca="1" si="20"/>
        <v>D</v>
      </c>
      <c r="N334" s="1" t="str">
        <f t="shared" ca="1" si="21"/>
        <v>D</v>
      </c>
      <c r="O334" s="1" t="str">
        <f t="shared" ca="1" si="22"/>
        <v>D</v>
      </c>
      <c r="P334" s="1" t="str">
        <f t="shared" ca="1" si="23"/>
        <v>D</v>
      </c>
      <c r="Q334" s="1" t="str">
        <f t="shared" ca="1" si="24"/>
        <v>D</v>
      </c>
      <c r="R334" s="1" t="str">
        <f t="shared" ca="1" si="25"/>
        <v>D</v>
      </c>
      <c r="S334" s="1" t="str">
        <f t="shared" ca="1" si="26"/>
        <v>D</v>
      </c>
      <c r="T334" s="1" t="str">
        <f t="shared" ca="1" si="27"/>
        <v>D</v>
      </c>
      <c r="U334" s="1" t="str">
        <f t="shared" ca="1" si="28"/>
        <v>D</v>
      </c>
      <c r="V334" s="1" t="str">
        <f t="shared" ca="1" si="29"/>
        <v>D</v>
      </c>
      <c r="W334" s="1" t="str">
        <f t="shared" ca="1" si="30"/>
        <v>Nick Hagglund</v>
      </c>
    </row>
    <row r="335" spans="1:23">
      <c r="A335" s="1" t="str">
        <f ca="1">IFERROR(__xludf.DUMMYFUNCTION("""COMPUTED_VALUE"""),"Maren")</f>
        <v>Maren</v>
      </c>
      <c r="B335" s="1" t="str">
        <f ca="1">IFERROR(__xludf.DUMMYFUNCTION("""COMPUTED_VALUE"""),"Haile-Selassie")</f>
        <v>Haile-Selassie</v>
      </c>
      <c r="C335" s="1" t="str">
        <f ca="1">IFERROR(__xludf.DUMMYFUNCTION("""COMPUTED_VALUE"""),"Chicago Fire")</f>
        <v>Chicago Fire</v>
      </c>
      <c r="D335" s="1" t="str">
        <f ca="1">IFERROR(__xludf.DUMMYFUNCTION("""COMPUTED_VALUE"""),"Left Midfield")</f>
        <v>Left Midfield</v>
      </c>
      <c r="E335" s="2">
        <f ca="1">IFERROR(__xludf.DUMMYFUNCTION("""COMPUTED_VALUE"""),344000)</f>
        <v>344000</v>
      </c>
      <c r="F335" s="2">
        <f ca="1">IFERROR(__xludf.DUMMYFUNCTION("""COMPUTED_VALUE"""),383500)</f>
        <v>383500</v>
      </c>
      <c r="H335" s="1" t="str">
        <f t="shared" ca="1" si="16"/>
        <v>Left Midfield</v>
      </c>
      <c r="I335" s="3" t="str">
        <f t="shared" ca="1" si="17"/>
        <v>Left Midfield</v>
      </c>
      <c r="J335" s="1" t="str">
        <f t="shared" ca="1" si="18"/>
        <v>Left Midfield</v>
      </c>
      <c r="K335" s="1" t="str">
        <f t="shared" ca="1" si="31"/>
        <v>Left Midfield</v>
      </c>
      <c r="L335" s="1" t="str">
        <f t="shared" ca="1" si="19"/>
        <v>Left Midfield</v>
      </c>
      <c r="M335" s="1" t="str">
        <f t="shared" ca="1" si="20"/>
        <v>Left Midfield</v>
      </c>
      <c r="N335" s="1" t="str">
        <f t="shared" ca="1" si="21"/>
        <v>Left Midfield</v>
      </c>
      <c r="O335" s="1" t="str">
        <f t="shared" ca="1" si="22"/>
        <v>Left Midfield</v>
      </c>
      <c r="P335" s="1" t="str">
        <f t="shared" ca="1" si="23"/>
        <v>Left Midfield</v>
      </c>
      <c r="Q335" s="1" t="str">
        <f t="shared" ca="1" si="24"/>
        <v>Left Midfield</v>
      </c>
      <c r="R335" s="1" t="str">
        <f t="shared" ca="1" si="25"/>
        <v>Left Midfield</v>
      </c>
      <c r="S335" s="1" t="str">
        <f t="shared" ca="1" si="26"/>
        <v>M</v>
      </c>
      <c r="T335" s="1" t="str">
        <f t="shared" ca="1" si="27"/>
        <v>M</v>
      </c>
      <c r="U335" s="1" t="str">
        <f t="shared" ca="1" si="28"/>
        <v>M</v>
      </c>
      <c r="V335" s="1" t="str">
        <f t="shared" ca="1" si="29"/>
        <v>M</v>
      </c>
      <c r="W335" s="1" t="str">
        <f t="shared" ca="1" si="30"/>
        <v>Maren Haile-Selassie</v>
      </c>
    </row>
    <row r="336" spans="1:23">
      <c r="A336" s="1" t="str">
        <f ca="1">IFERROR(__xludf.DUMMYFUNCTION("""COMPUTED_VALUE"""),"Belal")</f>
        <v>Belal</v>
      </c>
      <c r="B336" s="1" t="str">
        <f ca="1">IFERROR(__xludf.DUMMYFUNCTION("""COMPUTED_VALUE"""),"Halbouni")</f>
        <v>Halbouni</v>
      </c>
      <c r="C336" s="1" t="str">
        <f ca="1">IFERROR(__xludf.DUMMYFUNCTION("""COMPUTED_VALUE"""),"Vancouver Whitecaps")</f>
        <v>Vancouver Whitecaps</v>
      </c>
      <c r="D336" s="1" t="str">
        <f ca="1">IFERROR(__xludf.DUMMYFUNCTION("""COMPUTED_VALUE"""),"Center-back")</f>
        <v>Center-back</v>
      </c>
      <c r="E336" s="2">
        <f ca="1">IFERROR(__xludf.DUMMYFUNCTION("""COMPUTED_VALUE"""),110000)</f>
        <v>110000</v>
      </c>
      <c r="F336" s="2">
        <f ca="1">IFERROR(__xludf.DUMMYFUNCTION("""COMPUTED_VALUE"""),110000)</f>
        <v>110000</v>
      </c>
      <c r="H336" s="1" t="str">
        <f t="shared" ca="1" si="16"/>
        <v>D</v>
      </c>
      <c r="I336" s="3" t="str">
        <f t="shared" ca="1" si="17"/>
        <v>D</v>
      </c>
      <c r="J336" s="1" t="str">
        <f t="shared" ca="1" si="18"/>
        <v>D</v>
      </c>
      <c r="K336" s="1" t="str">
        <f t="shared" ca="1" si="31"/>
        <v>D</v>
      </c>
      <c r="L336" s="1" t="str">
        <f t="shared" ca="1" si="19"/>
        <v>D</v>
      </c>
      <c r="M336" s="1" t="str">
        <f t="shared" ca="1" si="20"/>
        <v>D</v>
      </c>
      <c r="N336" s="1" t="str">
        <f t="shared" ca="1" si="21"/>
        <v>D</v>
      </c>
      <c r="O336" s="1" t="str">
        <f t="shared" ca="1" si="22"/>
        <v>D</v>
      </c>
      <c r="P336" s="1" t="str">
        <f t="shared" ca="1" si="23"/>
        <v>D</v>
      </c>
      <c r="Q336" s="1" t="str">
        <f t="shared" ca="1" si="24"/>
        <v>D</v>
      </c>
      <c r="R336" s="1" t="str">
        <f t="shared" ca="1" si="25"/>
        <v>D</v>
      </c>
      <c r="S336" s="1" t="str">
        <f t="shared" ca="1" si="26"/>
        <v>D</v>
      </c>
      <c r="T336" s="1" t="str">
        <f t="shared" ca="1" si="27"/>
        <v>D</v>
      </c>
      <c r="U336" s="1" t="str">
        <f t="shared" ca="1" si="28"/>
        <v>D</v>
      </c>
      <c r="V336" s="1" t="str">
        <f t="shared" ca="1" si="29"/>
        <v>D</v>
      </c>
      <c r="W336" s="1" t="str">
        <f t="shared" ca="1" si="30"/>
        <v>Belal Halbouni</v>
      </c>
    </row>
    <row r="337" spans="1:23">
      <c r="A337" s="1" t="str">
        <f ca="1">IFERROR(__xludf.DUMMYFUNCTION("""COMPUTED_VALUE"""),"Julian")</f>
        <v>Julian</v>
      </c>
      <c r="B337" s="1" t="str">
        <f ca="1">IFERROR(__xludf.DUMMYFUNCTION("""COMPUTED_VALUE"""),"Hall")</f>
        <v>Hall</v>
      </c>
      <c r="C337" s="1" t="str">
        <f ca="1">IFERROR(__xludf.DUMMYFUNCTION("""COMPUTED_VALUE"""),"New York Red Bulls")</f>
        <v>New York Red Bulls</v>
      </c>
      <c r="D337" s="1" t="str">
        <f ca="1">IFERROR(__xludf.DUMMYFUNCTION("""COMPUTED_VALUE"""),"Left Wing")</f>
        <v>Left Wing</v>
      </c>
      <c r="E337" s="2">
        <f ca="1">IFERROR(__xludf.DUMMYFUNCTION("""COMPUTED_VALUE"""),100000)</f>
        <v>100000</v>
      </c>
      <c r="F337" s="2">
        <f ca="1">IFERROR(__xludf.DUMMYFUNCTION("""COMPUTED_VALUE"""),182241)</f>
        <v>182241</v>
      </c>
      <c r="H337" s="1" t="str">
        <f t="shared" ca="1" si="16"/>
        <v>Left Wing</v>
      </c>
      <c r="I337" s="3" t="str">
        <f t="shared" ca="1" si="17"/>
        <v>Left Wing</v>
      </c>
      <c r="J337" s="1" t="str">
        <f t="shared" ca="1" si="18"/>
        <v>Left Wing</v>
      </c>
      <c r="K337" s="1" t="str">
        <f t="shared" ca="1" si="31"/>
        <v>Left Wing</v>
      </c>
      <c r="L337" s="1" t="str">
        <f t="shared" ca="1" si="19"/>
        <v>Left Wing</v>
      </c>
      <c r="M337" s="1" t="str">
        <f t="shared" ca="1" si="20"/>
        <v>Left Wing</v>
      </c>
      <c r="N337" s="1" t="str">
        <f t="shared" ca="1" si="21"/>
        <v>Left Wing</v>
      </c>
      <c r="O337" s="1" t="str">
        <f t="shared" ca="1" si="22"/>
        <v>Left Wing</v>
      </c>
      <c r="P337" s="1" t="str">
        <f t="shared" ca="1" si="23"/>
        <v>F</v>
      </c>
      <c r="Q337" s="1" t="str">
        <f t="shared" ca="1" si="24"/>
        <v>F</v>
      </c>
      <c r="R337" s="1" t="str">
        <f t="shared" ca="1" si="25"/>
        <v>F</v>
      </c>
      <c r="S337" s="1" t="str">
        <f t="shared" ca="1" si="26"/>
        <v>F</v>
      </c>
      <c r="T337" s="1" t="str">
        <f t="shared" ca="1" si="27"/>
        <v>F</v>
      </c>
      <c r="U337" s="1" t="str">
        <f t="shared" ca="1" si="28"/>
        <v>F</v>
      </c>
      <c r="V337" s="1" t="str">
        <f t="shared" ca="1" si="29"/>
        <v>F</v>
      </c>
      <c r="W337" s="1" t="str">
        <f t="shared" ca="1" si="30"/>
        <v>Julian Hall</v>
      </c>
    </row>
    <row r="338" spans="1:23">
      <c r="A338" s="1" t="str">
        <f ca="1">IFERROR(__xludf.DUMMYFUNCTION("""COMPUTED_VALUE"""),"Tyler")</f>
        <v>Tyler</v>
      </c>
      <c r="B338" s="1" t="str">
        <f ca="1">IFERROR(__xludf.DUMMYFUNCTION("""COMPUTED_VALUE"""),"Hall")</f>
        <v>Hall</v>
      </c>
      <c r="C338" s="1" t="str">
        <f ca="1">IFERROR(__xludf.DUMMYFUNCTION("""COMPUTED_VALUE"""),"Inter Miami")</f>
        <v>Inter Miami</v>
      </c>
      <c r="D338" s="1" t="str">
        <f ca="1">IFERROR(__xludf.DUMMYFUNCTION("""COMPUTED_VALUE"""),"Center-back")</f>
        <v>Center-back</v>
      </c>
      <c r="E338" s="2">
        <f ca="1">IFERROR(__xludf.DUMMYFUNCTION("""COMPUTED_VALUE"""),71401)</f>
        <v>71401</v>
      </c>
      <c r="F338" s="2">
        <f ca="1">IFERROR(__xludf.DUMMYFUNCTION("""COMPUTED_VALUE"""),71401)</f>
        <v>71401</v>
      </c>
      <c r="H338" s="1" t="str">
        <f t="shared" ca="1" si="16"/>
        <v>D</v>
      </c>
      <c r="I338" s="3" t="str">
        <f t="shared" ca="1" si="17"/>
        <v>D</v>
      </c>
      <c r="J338" s="1" t="str">
        <f t="shared" ca="1" si="18"/>
        <v>D</v>
      </c>
      <c r="K338" s="1" t="str">
        <f t="shared" ca="1" si="31"/>
        <v>D</v>
      </c>
      <c r="L338" s="1" t="str">
        <f t="shared" ca="1" si="19"/>
        <v>D</v>
      </c>
      <c r="M338" s="1" t="str">
        <f t="shared" ca="1" si="20"/>
        <v>D</v>
      </c>
      <c r="N338" s="1" t="str">
        <f t="shared" ca="1" si="21"/>
        <v>D</v>
      </c>
      <c r="O338" s="1" t="str">
        <f t="shared" ca="1" si="22"/>
        <v>D</v>
      </c>
      <c r="P338" s="1" t="str">
        <f t="shared" ca="1" si="23"/>
        <v>D</v>
      </c>
      <c r="Q338" s="1" t="str">
        <f t="shared" ca="1" si="24"/>
        <v>D</v>
      </c>
      <c r="R338" s="1" t="str">
        <f t="shared" ca="1" si="25"/>
        <v>D</v>
      </c>
      <c r="S338" s="1" t="str">
        <f t="shared" ca="1" si="26"/>
        <v>D</v>
      </c>
      <c r="T338" s="1" t="str">
        <f t="shared" ca="1" si="27"/>
        <v>D</v>
      </c>
      <c r="U338" s="1" t="str">
        <f t="shared" ca="1" si="28"/>
        <v>D</v>
      </c>
      <c r="V338" s="1" t="str">
        <f t="shared" ca="1" si="29"/>
        <v>D</v>
      </c>
      <c r="W338" s="1" t="str">
        <f t="shared" ca="1" si="30"/>
        <v>Tyler Hall</v>
      </c>
    </row>
    <row r="339" spans="1:23">
      <c r="A339" s="1" t="str">
        <f ca="1">IFERROR(__xludf.DUMMYFUNCTION("""COMPUTED_VALUE"""),"Michael")</f>
        <v>Michael</v>
      </c>
      <c r="B339" s="1" t="str">
        <f ca="1">IFERROR(__xludf.DUMMYFUNCTION("""COMPUTED_VALUE"""),"Halliday")</f>
        <v>Halliday</v>
      </c>
      <c r="C339" s="1" t="str">
        <f ca="1">IFERROR(__xludf.DUMMYFUNCTION("""COMPUTED_VALUE"""),"Orlando City SC")</f>
        <v>Orlando City SC</v>
      </c>
      <c r="D339" s="1" t="str">
        <f ca="1">IFERROR(__xludf.DUMMYFUNCTION("""COMPUTED_VALUE"""),"Right-back")</f>
        <v>Right-back</v>
      </c>
      <c r="E339" s="2">
        <f ca="1">IFERROR(__xludf.DUMMYFUNCTION("""COMPUTED_VALUE"""),200000)</f>
        <v>200000</v>
      </c>
      <c r="F339" s="2">
        <f ca="1">IFERROR(__xludf.DUMMYFUNCTION("""COMPUTED_VALUE"""),227500)</f>
        <v>227500</v>
      </c>
      <c r="H339" s="1" t="str">
        <f t="shared" ca="1" si="16"/>
        <v>Right-back</v>
      </c>
      <c r="I339" s="3" t="str">
        <f t="shared" ca="1" si="17"/>
        <v>Right-back</v>
      </c>
      <c r="J339" s="1" t="str">
        <f t="shared" ca="1" si="18"/>
        <v>D</v>
      </c>
      <c r="K339" s="1" t="str">
        <f t="shared" ca="1" si="31"/>
        <v>D</v>
      </c>
      <c r="L339" s="1" t="str">
        <f t="shared" ca="1" si="19"/>
        <v>D</v>
      </c>
      <c r="M339" s="1" t="str">
        <f t="shared" ca="1" si="20"/>
        <v>D</v>
      </c>
      <c r="N339" s="1" t="str">
        <f t="shared" ca="1" si="21"/>
        <v>D</v>
      </c>
      <c r="O339" s="1" t="str">
        <f t="shared" ca="1" si="22"/>
        <v>D</v>
      </c>
      <c r="P339" s="1" t="str">
        <f t="shared" ca="1" si="23"/>
        <v>D</v>
      </c>
      <c r="Q339" s="1" t="str">
        <f t="shared" ca="1" si="24"/>
        <v>D</v>
      </c>
      <c r="R339" s="1" t="str">
        <f t="shared" ca="1" si="25"/>
        <v>D</v>
      </c>
      <c r="S339" s="1" t="str">
        <f t="shared" ca="1" si="26"/>
        <v>D</v>
      </c>
      <c r="T339" s="1" t="str">
        <f t="shared" ca="1" si="27"/>
        <v>D</v>
      </c>
      <c r="U339" s="1" t="str">
        <f t="shared" ca="1" si="28"/>
        <v>D</v>
      </c>
      <c r="V339" s="1" t="str">
        <f t="shared" ca="1" si="29"/>
        <v>D</v>
      </c>
      <c r="W339" s="1" t="str">
        <f t="shared" ca="1" si="30"/>
        <v>Michael Halliday</v>
      </c>
    </row>
    <row r="340" spans="1:23">
      <c r="A340" s="1" t="str">
        <f ca="1">IFERROR(__xludf.DUMMYFUNCTION("""COMPUTED_VALUE"""),"Bret")</f>
        <v>Bret</v>
      </c>
      <c r="B340" s="1" t="str">
        <f ca="1">IFERROR(__xludf.DUMMYFUNCTION("""COMPUTED_VALUE"""),"Halsey")</f>
        <v>Halsey</v>
      </c>
      <c r="C340" s="1" t="str">
        <f ca="1">IFERROR(__xludf.DUMMYFUNCTION("""COMPUTED_VALUE"""),"FC Cincinnati")</f>
        <v>FC Cincinnati</v>
      </c>
      <c r="D340" s="1" t="str">
        <f ca="1">IFERROR(__xludf.DUMMYFUNCTION("""COMPUTED_VALUE"""),"Right-back")</f>
        <v>Right-back</v>
      </c>
      <c r="E340" s="2">
        <f ca="1">IFERROR(__xludf.DUMMYFUNCTION("""COMPUTED_VALUE"""),89716)</f>
        <v>89716</v>
      </c>
      <c r="F340" s="2">
        <f ca="1">IFERROR(__xludf.DUMMYFUNCTION("""COMPUTED_VALUE"""),98466)</f>
        <v>98466</v>
      </c>
      <c r="H340" s="1" t="str">
        <f t="shared" ca="1" si="16"/>
        <v>Right-back</v>
      </c>
      <c r="I340" s="3" t="str">
        <f t="shared" ca="1" si="17"/>
        <v>Right-back</v>
      </c>
      <c r="J340" s="1" t="str">
        <f t="shared" ca="1" si="18"/>
        <v>D</v>
      </c>
      <c r="K340" s="1" t="str">
        <f t="shared" ca="1" si="31"/>
        <v>D</v>
      </c>
      <c r="L340" s="1" t="str">
        <f t="shared" ca="1" si="19"/>
        <v>D</v>
      </c>
      <c r="M340" s="1" t="str">
        <f t="shared" ca="1" si="20"/>
        <v>D</v>
      </c>
      <c r="N340" s="1" t="str">
        <f t="shared" ca="1" si="21"/>
        <v>D</v>
      </c>
      <c r="O340" s="1" t="str">
        <f t="shared" ca="1" si="22"/>
        <v>D</v>
      </c>
      <c r="P340" s="1" t="str">
        <f t="shared" ca="1" si="23"/>
        <v>D</v>
      </c>
      <c r="Q340" s="1" t="str">
        <f t="shared" ca="1" si="24"/>
        <v>D</v>
      </c>
      <c r="R340" s="1" t="str">
        <f t="shared" ca="1" si="25"/>
        <v>D</v>
      </c>
      <c r="S340" s="1" t="str">
        <f t="shared" ca="1" si="26"/>
        <v>D</v>
      </c>
      <c r="T340" s="1" t="str">
        <f t="shared" ca="1" si="27"/>
        <v>D</v>
      </c>
      <c r="U340" s="1" t="str">
        <f t="shared" ca="1" si="28"/>
        <v>D</v>
      </c>
      <c r="V340" s="1" t="str">
        <f t="shared" ca="1" si="29"/>
        <v>D</v>
      </c>
      <c r="W340" s="1" t="str">
        <f t="shared" ca="1" si="30"/>
        <v>Bret Halsey</v>
      </c>
    </row>
    <row r="341" spans="1:23">
      <c r="A341" s="1" t="str">
        <f ca="1">IFERROR(__xludf.DUMMYFUNCTION("""COMPUTED_VALUE"""),"Ian")</f>
        <v>Ian</v>
      </c>
      <c r="B341" s="1" t="str">
        <f ca="1">IFERROR(__xludf.DUMMYFUNCTION("""COMPUTED_VALUE"""),"Harkes")</f>
        <v>Harkes</v>
      </c>
      <c r="C341" s="1" t="str">
        <f ca="1">IFERROR(__xludf.DUMMYFUNCTION("""COMPUTED_VALUE"""),"New England Revolution")</f>
        <v>New England Revolution</v>
      </c>
      <c r="D341" s="1" t="str">
        <f ca="1">IFERROR(__xludf.DUMMYFUNCTION("""COMPUTED_VALUE"""),"Central Midfield")</f>
        <v>Central Midfield</v>
      </c>
      <c r="E341" s="2">
        <f ca="1">IFERROR(__xludf.DUMMYFUNCTION("""COMPUTED_VALUE"""),275000)</f>
        <v>275000</v>
      </c>
      <c r="F341" s="2">
        <f ca="1">IFERROR(__xludf.DUMMYFUNCTION("""COMPUTED_VALUE"""),286583)</f>
        <v>286583</v>
      </c>
      <c r="H341" s="1" t="str">
        <f t="shared" ca="1" si="16"/>
        <v>Central Midfield</v>
      </c>
      <c r="I341" s="3" t="str">
        <f t="shared" ca="1" si="17"/>
        <v>Central Midfield</v>
      </c>
      <c r="J341" s="1" t="str">
        <f t="shared" ca="1" si="18"/>
        <v>Central Midfield</v>
      </c>
      <c r="K341" s="1" t="str">
        <f t="shared" ca="1" si="31"/>
        <v>Central Midfield</v>
      </c>
      <c r="L341" s="1" t="str">
        <f t="shared" ca="1" si="19"/>
        <v>M</v>
      </c>
      <c r="M341" s="1" t="str">
        <f t="shared" ca="1" si="20"/>
        <v>M</v>
      </c>
      <c r="N341" s="1" t="str">
        <f t="shared" ca="1" si="21"/>
        <v>M</v>
      </c>
      <c r="O341" s="1" t="str">
        <f t="shared" ca="1" si="22"/>
        <v>M</v>
      </c>
      <c r="P341" s="1" t="str">
        <f t="shared" ca="1" si="23"/>
        <v>M</v>
      </c>
      <c r="Q341" s="1" t="str">
        <f t="shared" ca="1" si="24"/>
        <v>M</v>
      </c>
      <c r="R341" s="1" t="str">
        <f t="shared" ca="1" si="25"/>
        <v>M</v>
      </c>
      <c r="S341" s="1" t="str">
        <f t="shared" ca="1" si="26"/>
        <v>M</v>
      </c>
      <c r="T341" s="1" t="str">
        <f t="shared" ca="1" si="27"/>
        <v>M</v>
      </c>
      <c r="U341" s="1" t="str">
        <f t="shared" ca="1" si="28"/>
        <v>M</v>
      </c>
      <c r="V341" s="1" t="str">
        <f t="shared" ca="1" si="29"/>
        <v>M</v>
      </c>
      <c r="W341" s="1" t="str">
        <f t="shared" ca="1" si="30"/>
        <v>Ian Harkes</v>
      </c>
    </row>
    <row r="342" spans="1:23">
      <c r="A342" s="1" t="str">
        <f ca="1">IFERROR(__xludf.DUMMYFUNCTION("""COMPUTED_VALUE"""),"Cameron")</f>
        <v>Cameron</v>
      </c>
      <c r="B342" s="1" t="str">
        <f ca="1">IFERROR(__xludf.DUMMYFUNCTION("""COMPUTED_VALUE"""),"Harper")</f>
        <v>Harper</v>
      </c>
      <c r="C342" s="1" t="str">
        <f ca="1">IFERROR(__xludf.DUMMYFUNCTION("""COMPUTED_VALUE"""),"New York Red Bulls")</f>
        <v>New York Red Bulls</v>
      </c>
      <c r="D342" s="1" t="str">
        <f ca="1">IFERROR(__xludf.DUMMYFUNCTION("""COMPUTED_VALUE"""),"Right Wing")</f>
        <v>Right Wing</v>
      </c>
      <c r="E342" s="2">
        <f ca="1">IFERROR(__xludf.DUMMYFUNCTION("""COMPUTED_VALUE"""),300000)</f>
        <v>300000</v>
      </c>
      <c r="F342" s="2">
        <f ca="1">IFERROR(__xludf.DUMMYFUNCTION("""COMPUTED_VALUE"""),351250)</f>
        <v>351250</v>
      </c>
      <c r="H342" s="1" t="str">
        <f t="shared" ca="1" si="16"/>
        <v>Right Wing</v>
      </c>
      <c r="I342" s="3" t="str">
        <f t="shared" ca="1" si="17"/>
        <v>Right Wing</v>
      </c>
      <c r="J342" s="1" t="str">
        <f t="shared" ca="1" si="18"/>
        <v>Right Wing</v>
      </c>
      <c r="K342" s="1" t="str">
        <f t="shared" ca="1" si="31"/>
        <v>Right Wing</v>
      </c>
      <c r="L342" s="1" t="str">
        <f t="shared" ca="1" si="19"/>
        <v>Right Wing</v>
      </c>
      <c r="M342" s="1" t="str">
        <f t="shared" ca="1" si="20"/>
        <v>Right Wing</v>
      </c>
      <c r="N342" s="1" t="str">
        <f t="shared" ca="1" si="21"/>
        <v>F</v>
      </c>
      <c r="O342" s="1" t="str">
        <f t="shared" ca="1" si="22"/>
        <v>F</v>
      </c>
      <c r="P342" s="1" t="str">
        <f t="shared" ca="1" si="23"/>
        <v>F</v>
      </c>
      <c r="Q342" s="1" t="str">
        <f t="shared" ca="1" si="24"/>
        <v>F</v>
      </c>
      <c r="R342" s="1" t="str">
        <f t="shared" ca="1" si="25"/>
        <v>F</v>
      </c>
      <c r="S342" s="1" t="str">
        <f t="shared" ca="1" si="26"/>
        <v>F</v>
      </c>
      <c r="T342" s="1" t="str">
        <f t="shared" ca="1" si="27"/>
        <v>F</v>
      </c>
      <c r="U342" s="1" t="str">
        <f t="shared" ca="1" si="28"/>
        <v>F</v>
      </c>
      <c r="V342" s="1" t="str">
        <f t="shared" ca="1" si="29"/>
        <v>F</v>
      </c>
      <c r="W342" s="1" t="str">
        <f t="shared" ca="1" si="30"/>
        <v>Cameron Harper</v>
      </c>
    </row>
    <row r="343" spans="1:23">
      <c r="A343" s="1" t="str">
        <f ca="1">IFERROR(__xludf.DUMMYFUNCTION("""COMPUTED_VALUE"""),"Nathan")</f>
        <v>Nathan</v>
      </c>
      <c r="B343" s="1" t="str">
        <f ca="1">IFERROR(__xludf.DUMMYFUNCTION("""COMPUTED_VALUE"""),"Harriel")</f>
        <v>Harriel</v>
      </c>
      <c r="C343" s="1" t="str">
        <f ca="1">IFERROR(__xludf.DUMMYFUNCTION("""COMPUTED_VALUE"""),"Philadelphia Union")</f>
        <v>Philadelphia Union</v>
      </c>
      <c r="D343" s="1" t="str">
        <f ca="1">IFERROR(__xludf.DUMMYFUNCTION("""COMPUTED_VALUE"""),"Right-back")</f>
        <v>Right-back</v>
      </c>
      <c r="E343" s="2">
        <f ca="1">IFERROR(__xludf.DUMMYFUNCTION("""COMPUTED_VALUE"""),240000)</f>
        <v>240000</v>
      </c>
      <c r="F343" s="2">
        <f ca="1">IFERROR(__xludf.DUMMYFUNCTION("""COMPUTED_VALUE"""),262050)</f>
        <v>262050</v>
      </c>
      <c r="H343" s="1" t="str">
        <f t="shared" ca="1" si="16"/>
        <v>Right-back</v>
      </c>
      <c r="I343" s="3" t="str">
        <f t="shared" ca="1" si="17"/>
        <v>Right-back</v>
      </c>
      <c r="J343" s="1" t="str">
        <f t="shared" ca="1" si="18"/>
        <v>D</v>
      </c>
      <c r="K343" s="1" t="str">
        <f t="shared" ca="1" si="31"/>
        <v>D</v>
      </c>
      <c r="L343" s="1" t="str">
        <f t="shared" ca="1" si="19"/>
        <v>D</v>
      </c>
      <c r="M343" s="1" t="str">
        <f t="shared" ca="1" si="20"/>
        <v>D</v>
      </c>
      <c r="N343" s="1" t="str">
        <f t="shared" ca="1" si="21"/>
        <v>D</v>
      </c>
      <c r="O343" s="1" t="str">
        <f t="shared" ca="1" si="22"/>
        <v>D</v>
      </c>
      <c r="P343" s="1" t="str">
        <f t="shared" ca="1" si="23"/>
        <v>D</v>
      </c>
      <c r="Q343" s="1" t="str">
        <f t="shared" ca="1" si="24"/>
        <v>D</v>
      </c>
      <c r="R343" s="1" t="str">
        <f t="shared" ca="1" si="25"/>
        <v>D</v>
      </c>
      <c r="S343" s="1" t="str">
        <f t="shared" ca="1" si="26"/>
        <v>D</v>
      </c>
      <c r="T343" s="1" t="str">
        <f t="shared" ca="1" si="27"/>
        <v>D</v>
      </c>
      <c r="U343" s="1" t="str">
        <f t="shared" ca="1" si="28"/>
        <v>D</v>
      </c>
      <c r="V343" s="1" t="str">
        <f t="shared" ca="1" si="29"/>
        <v>D</v>
      </c>
      <c r="W343" s="1" t="str">
        <f t="shared" ca="1" si="30"/>
        <v>Nathan Harriel</v>
      </c>
    </row>
    <row r="344" spans="1:23">
      <c r="A344" s="1" t="str">
        <f ca="1">IFERROR(__xludf.DUMMYFUNCTION("""COMPUTED_VALUE"""),"Calvin")</f>
        <v>Calvin</v>
      </c>
      <c r="B344" s="1" t="str">
        <f ca="1">IFERROR(__xludf.DUMMYFUNCTION("""COMPUTED_VALUE"""),"Harris")</f>
        <v>Harris</v>
      </c>
      <c r="C344" s="1" t="str">
        <f ca="1">IFERROR(__xludf.DUMMYFUNCTION("""COMPUTED_VALUE"""),"Colorado Rapids")</f>
        <v>Colorado Rapids</v>
      </c>
      <c r="D344" s="1" t="str">
        <f ca="1">IFERROR(__xludf.DUMMYFUNCTION("""COMPUTED_VALUE"""),"Left Wing")</f>
        <v>Left Wing</v>
      </c>
      <c r="E344" s="2">
        <f ca="1">IFERROR(__xludf.DUMMYFUNCTION("""COMPUTED_VALUE"""),125000)</f>
        <v>125000</v>
      </c>
      <c r="F344" s="2">
        <f ca="1">IFERROR(__xludf.DUMMYFUNCTION("""COMPUTED_VALUE"""),127000)</f>
        <v>127000</v>
      </c>
      <c r="H344" s="1" t="str">
        <f t="shared" ca="1" si="16"/>
        <v>Left Wing</v>
      </c>
      <c r="I344" s="3" t="str">
        <f t="shared" ca="1" si="17"/>
        <v>Left Wing</v>
      </c>
      <c r="J344" s="1" t="str">
        <f t="shared" ca="1" si="18"/>
        <v>Left Wing</v>
      </c>
      <c r="K344" s="1" t="str">
        <f t="shared" ca="1" si="31"/>
        <v>Left Wing</v>
      </c>
      <c r="L344" s="1" t="str">
        <f t="shared" ca="1" si="19"/>
        <v>Left Wing</v>
      </c>
      <c r="M344" s="1" t="str">
        <f t="shared" ca="1" si="20"/>
        <v>Left Wing</v>
      </c>
      <c r="N344" s="1" t="str">
        <f t="shared" ca="1" si="21"/>
        <v>Left Wing</v>
      </c>
      <c r="O344" s="1" t="str">
        <f t="shared" ca="1" si="22"/>
        <v>Left Wing</v>
      </c>
      <c r="P344" s="1" t="str">
        <f t="shared" ca="1" si="23"/>
        <v>F</v>
      </c>
      <c r="Q344" s="1" t="str">
        <f t="shared" ca="1" si="24"/>
        <v>F</v>
      </c>
      <c r="R344" s="1" t="str">
        <f t="shared" ca="1" si="25"/>
        <v>F</v>
      </c>
      <c r="S344" s="1" t="str">
        <f t="shared" ca="1" si="26"/>
        <v>F</v>
      </c>
      <c r="T344" s="1" t="str">
        <f t="shared" ca="1" si="27"/>
        <v>F</v>
      </c>
      <c r="U344" s="1" t="str">
        <f t="shared" ca="1" si="28"/>
        <v>F</v>
      </c>
      <c r="V344" s="1" t="str">
        <f t="shared" ca="1" si="29"/>
        <v>F</v>
      </c>
      <c r="W344" s="1" t="str">
        <f t="shared" ca="1" si="30"/>
        <v>Calvin Harris</v>
      </c>
    </row>
    <row r="345" spans="1:23">
      <c r="A345" s="1" t="str">
        <f ca="1">IFERROR(__xludf.DUMMYFUNCTION("""COMPUTED_VALUE"""),"Carlos")</f>
        <v>Carlos</v>
      </c>
      <c r="B345" s="1" t="str">
        <f ca="1">IFERROR(__xludf.DUMMYFUNCTION("""COMPUTED_VALUE"""),"Harvey")</f>
        <v>Harvey</v>
      </c>
      <c r="C345" s="1" t="str">
        <f ca="1">IFERROR(__xludf.DUMMYFUNCTION("""COMPUTED_VALUE"""),"Minnesota United")</f>
        <v>Minnesota United</v>
      </c>
      <c r="D345" s="1" t="str">
        <f ca="1">IFERROR(__xludf.DUMMYFUNCTION("""COMPUTED_VALUE"""),"Defensive Midfield")</f>
        <v>Defensive Midfield</v>
      </c>
      <c r="E345" s="2">
        <f ca="1">IFERROR(__xludf.DUMMYFUNCTION("""COMPUTED_VALUE"""),71401)</f>
        <v>71401</v>
      </c>
      <c r="F345" s="2">
        <f ca="1">IFERROR(__xludf.DUMMYFUNCTION("""COMPUTED_VALUE"""),81028)</f>
        <v>81028</v>
      </c>
      <c r="H345" s="1" t="str">
        <f t="shared" ca="1" si="16"/>
        <v>Defensive Midfield</v>
      </c>
      <c r="I345" s="3" t="str">
        <f t="shared" ca="1" si="17"/>
        <v>Defensive Midfield</v>
      </c>
      <c r="J345" s="1" t="str">
        <f t="shared" ca="1" si="18"/>
        <v>Defensive Midfield</v>
      </c>
      <c r="K345" s="1" t="str">
        <f t="shared" ca="1" si="31"/>
        <v>M</v>
      </c>
      <c r="L345" s="1" t="str">
        <f t="shared" ca="1" si="19"/>
        <v>M</v>
      </c>
      <c r="M345" s="1" t="str">
        <f t="shared" ca="1" si="20"/>
        <v>M</v>
      </c>
      <c r="N345" s="1" t="str">
        <f t="shared" ca="1" si="21"/>
        <v>M</v>
      </c>
      <c r="O345" s="1" t="str">
        <f t="shared" ca="1" si="22"/>
        <v>M</v>
      </c>
      <c r="P345" s="1" t="str">
        <f t="shared" ca="1" si="23"/>
        <v>M</v>
      </c>
      <c r="Q345" s="1" t="str">
        <f t="shared" ca="1" si="24"/>
        <v>M</v>
      </c>
      <c r="R345" s="1" t="str">
        <f t="shared" ca="1" si="25"/>
        <v>M</v>
      </c>
      <c r="S345" s="1" t="str">
        <f t="shared" ca="1" si="26"/>
        <v>M</v>
      </c>
      <c r="T345" s="1" t="str">
        <f t="shared" ca="1" si="27"/>
        <v>M</v>
      </c>
      <c r="U345" s="1" t="str">
        <f t="shared" ca="1" si="28"/>
        <v>M</v>
      </c>
      <c r="V345" s="1" t="str">
        <f t="shared" ca="1" si="29"/>
        <v>M</v>
      </c>
      <c r="W345" s="1" t="str">
        <f t="shared" ca="1" si="30"/>
        <v>Carlos Harvey</v>
      </c>
    </row>
    <row r="346" spans="1:23">
      <c r="A346" s="1" t="str">
        <f ca="1">IFERROR(__xludf.DUMMYFUNCTION("""COMPUTED_VALUE"""),"Stuart")</f>
        <v>Stuart</v>
      </c>
      <c r="B346" s="1" t="str">
        <f ca="1">IFERROR(__xludf.DUMMYFUNCTION("""COMPUTED_VALUE"""),"Hawkins")</f>
        <v>Hawkins</v>
      </c>
      <c r="C346" s="1" t="str">
        <f ca="1">IFERROR(__xludf.DUMMYFUNCTION("""COMPUTED_VALUE"""),"Seattle Sounders FC")</f>
        <v>Seattle Sounders FC</v>
      </c>
      <c r="D346" s="1" t="str">
        <f ca="1">IFERROR(__xludf.DUMMYFUNCTION("""COMPUTED_VALUE"""),"Center-back")</f>
        <v>Center-back</v>
      </c>
      <c r="E346" s="2">
        <f ca="1">IFERROR(__xludf.DUMMYFUNCTION("""COMPUTED_VALUE"""),71401)</f>
        <v>71401</v>
      </c>
      <c r="F346" s="2">
        <f ca="1">IFERROR(__xludf.DUMMYFUNCTION("""COMPUTED_VALUE"""),83422)</f>
        <v>83422</v>
      </c>
      <c r="H346" s="1" t="str">
        <f t="shared" ca="1" si="16"/>
        <v>D</v>
      </c>
      <c r="I346" s="3" t="str">
        <f t="shared" ca="1" si="17"/>
        <v>D</v>
      </c>
      <c r="J346" s="1" t="str">
        <f t="shared" ca="1" si="18"/>
        <v>D</v>
      </c>
      <c r="K346" s="1" t="str">
        <f t="shared" ca="1" si="31"/>
        <v>D</v>
      </c>
      <c r="L346" s="1" t="str">
        <f t="shared" ca="1" si="19"/>
        <v>D</v>
      </c>
      <c r="M346" s="1" t="str">
        <f t="shared" ca="1" si="20"/>
        <v>D</v>
      </c>
      <c r="N346" s="1" t="str">
        <f t="shared" ca="1" si="21"/>
        <v>D</v>
      </c>
      <c r="O346" s="1" t="str">
        <f t="shared" ca="1" si="22"/>
        <v>D</v>
      </c>
      <c r="P346" s="1" t="str">
        <f t="shared" ca="1" si="23"/>
        <v>D</v>
      </c>
      <c r="Q346" s="1" t="str">
        <f t="shared" ca="1" si="24"/>
        <v>D</v>
      </c>
      <c r="R346" s="1" t="str">
        <f t="shared" ca="1" si="25"/>
        <v>D</v>
      </c>
      <c r="S346" s="1" t="str">
        <f t="shared" ca="1" si="26"/>
        <v>D</v>
      </c>
      <c r="T346" s="1" t="str">
        <f t="shared" ca="1" si="27"/>
        <v>D</v>
      </c>
      <c r="U346" s="1" t="str">
        <f t="shared" ca="1" si="28"/>
        <v>D</v>
      </c>
      <c r="V346" s="1" t="str">
        <f t="shared" ca="1" si="29"/>
        <v>D</v>
      </c>
      <c r="W346" s="1" t="str">
        <f t="shared" ca="1" si="30"/>
        <v>Stuart Hawkins</v>
      </c>
    </row>
    <row r="347" spans="1:23">
      <c r="A347" s="1" t="str">
        <f ca="1">IFERROR(__xludf.DUMMYFUNCTION("""COMPUTED_VALUE"""),"Matt")</f>
        <v>Matt</v>
      </c>
      <c r="B347" s="1" t="str">
        <f ca="1">IFERROR(__xludf.DUMMYFUNCTION("""COMPUTED_VALUE"""),"Hedges")</f>
        <v>Hedges</v>
      </c>
      <c r="C347" s="1" t="str">
        <f ca="1">IFERROR(__xludf.DUMMYFUNCTION("""COMPUTED_VALUE"""),"Austin FC")</f>
        <v>Austin FC</v>
      </c>
      <c r="D347" s="1" t="str">
        <f ca="1">IFERROR(__xludf.DUMMYFUNCTION("""COMPUTED_VALUE"""),"Center-back")</f>
        <v>Center-back</v>
      </c>
      <c r="E347" s="2">
        <f ca="1">IFERROR(__xludf.DUMMYFUNCTION("""COMPUTED_VALUE"""),428313)</f>
        <v>428313</v>
      </c>
      <c r="F347" s="2">
        <f ca="1">IFERROR(__xludf.DUMMYFUNCTION("""COMPUTED_VALUE"""),560922)</f>
        <v>560922</v>
      </c>
      <c r="H347" s="1" t="str">
        <f t="shared" ca="1" si="16"/>
        <v>D</v>
      </c>
      <c r="I347" s="3" t="str">
        <f t="shared" ca="1" si="17"/>
        <v>D</v>
      </c>
      <c r="J347" s="1" t="str">
        <f t="shared" ca="1" si="18"/>
        <v>D</v>
      </c>
      <c r="K347" s="1" t="str">
        <f t="shared" ca="1" si="31"/>
        <v>D</v>
      </c>
      <c r="L347" s="1" t="str">
        <f t="shared" ca="1" si="19"/>
        <v>D</v>
      </c>
      <c r="M347" s="1" t="str">
        <f t="shared" ca="1" si="20"/>
        <v>D</v>
      </c>
      <c r="N347" s="1" t="str">
        <f t="shared" ca="1" si="21"/>
        <v>D</v>
      </c>
      <c r="O347" s="1" t="str">
        <f t="shared" ca="1" si="22"/>
        <v>D</v>
      </c>
      <c r="P347" s="1" t="str">
        <f t="shared" ca="1" si="23"/>
        <v>D</v>
      </c>
      <c r="Q347" s="1" t="str">
        <f t="shared" ca="1" si="24"/>
        <v>D</v>
      </c>
      <c r="R347" s="1" t="str">
        <f t="shared" ca="1" si="25"/>
        <v>D</v>
      </c>
      <c r="S347" s="1" t="str">
        <f t="shared" ca="1" si="26"/>
        <v>D</v>
      </c>
      <c r="T347" s="1" t="str">
        <f t="shared" ca="1" si="27"/>
        <v>D</v>
      </c>
      <c r="U347" s="1" t="str">
        <f t="shared" ca="1" si="28"/>
        <v>D</v>
      </c>
      <c r="V347" s="1" t="str">
        <f t="shared" ca="1" si="29"/>
        <v>D</v>
      </c>
      <c r="W347" s="1" t="str">
        <f t="shared" ca="1" si="30"/>
        <v>Matt Hedges</v>
      </c>
    </row>
    <row r="348" spans="1:23">
      <c r="A348" s="1" t="str">
        <f ca="1">IFERROR(__xludf.DUMMYFUNCTION("""COMPUTED_VALUE"""),"Malik")</f>
        <v>Malik</v>
      </c>
      <c r="B348" s="1" t="str">
        <f ca="1">IFERROR(__xludf.DUMMYFUNCTION("""COMPUTED_VALUE"""),"Henry-Scott")</f>
        <v>Henry-Scott</v>
      </c>
      <c r="C348" s="1" t="str">
        <f ca="1">IFERROR(__xludf.DUMMYFUNCTION("""COMPUTED_VALUE"""),"FC Dallas")</f>
        <v>FC Dallas</v>
      </c>
      <c r="D348" s="1" t="str">
        <f ca="1">IFERROR(__xludf.DUMMYFUNCTION("""COMPUTED_VALUE"""),"Midfielder")</f>
        <v>Midfielder</v>
      </c>
      <c r="E348" s="2">
        <f ca="1">IFERROR(__xludf.DUMMYFUNCTION("""COMPUTED_VALUE"""),71401)</f>
        <v>71401</v>
      </c>
      <c r="F348" s="2">
        <f ca="1">IFERROR(__xludf.DUMMYFUNCTION("""COMPUTED_VALUE"""),71401)</f>
        <v>71401</v>
      </c>
      <c r="H348" s="1" t="str">
        <f t="shared" ca="1" si="16"/>
        <v>Midfielder</v>
      </c>
      <c r="I348" s="3" t="str">
        <f t="shared" ca="1" si="17"/>
        <v>Midfielder</v>
      </c>
      <c r="J348" s="1" t="str">
        <f t="shared" ca="1" si="18"/>
        <v>Midfielder</v>
      </c>
      <c r="K348" s="1" t="str">
        <f t="shared" ca="1" si="31"/>
        <v>Midfielder</v>
      </c>
      <c r="L348" s="1" t="str">
        <f t="shared" ca="1" si="19"/>
        <v>Midfielder</v>
      </c>
      <c r="M348" s="1" t="str">
        <f t="shared" ca="1" si="20"/>
        <v>Midfielder</v>
      </c>
      <c r="N348" s="1" t="str">
        <f t="shared" ca="1" si="21"/>
        <v>Midfielder</v>
      </c>
      <c r="O348" s="1" t="str">
        <f t="shared" ca="1" si="22"/>
        <v>Midfielder</v>
      </c>
      <c r="P348" s="1" t="str">
        <f t="shared" ca="1" si="23"/>
        <v>Midfielder</v>
      </c>
      <c r="Q348" s="1" t="str">
        <f t="shared" ca="1" si="24"/>
        <v>Midfielder</v>
      </c>
      <c r="R348" s="1" t="str">
        <f t="shared" ca="1" si="25"/>
        <v>Midfielder</v>
      </c>
      <c r="S348" s="1" t="str">
        <f t="shared" ca="1" si="26"/>
        <v>Midfielder</v>
      </c>
      <c r="T348" s="1" t="str">
        <f t="shared" ca="1" si="27"/>
        <v>Midfielder</v>
      </c>
      <c r="U348" s="1" t="str">
        <f t="shared" ca="1" si="28"/>
        <v>M</v>
      </c>
      <c r="V348" s="1" t="str">
        <f t="shared" ca="1" si="29"/>
        <v>M</v>
      </c>
      <c r="W348" s="1" t="str">
        <f t="shared" ca="1" si="30"/>
        <v>Malik Henry-Scott</v>
      </c>
    </row>
    <row r="349" spans="1:23">
      <c r="A349" s="1" t="str">
        <f ca="1">IFERROR(__xludf.DUMMYFUNCTION("""COMPUTED_VALUE"""),"Fabian")</f>
        <v>Fabian</v>
      </c>
      <c r="B349" s="1" t="str">
        <f ca="1">IFERROR(__xludf.DUMMYFUNCTION("""COMPUTED_VALUE"""),"Herbers")</f>
        <v>Herbers</v>
      </c>
      <c r="C349" s="1" t="str">
        <f ca="1">IFERROR(__xludf.DUMMYFUNCTION("""COMPUTED_VALUE"""),"Chicago Fire")</f>
        <v>Chicago Fire</v>
      </c>
      <c r="D349" s="1" t="str">
        <f ca="1">IFERROR(__xludf.DUMMYFUNCTION("""COMPUTED_VALUE"""),"Right Wing")</f>
        <v>Right Wing</v>
      </c>
      <c r="E349" s="2">
        <f ca="1">IFERROR(__xludf.DUMMYFUNCTION("""COMPUTED_VALUE"""),400000)</f>
        <v>400000</v>
      </c>
      <c r="F349" s="2">
        <f ca="1">IFERROR(__xludf.DUMMYFUNCTION("""COMPUTED_VALUE"""),421250)</f>
        <v>421250</v>
      </c>
      <c r="H349" s="1" t="str">
        <f t="shared" ca="1" si="16"/>
        <v>Right Wing</v>
      </c>
      <c r="I349" s="3" t="str">
        <f t="shared" ca="1" si="17"/>
        <v>Right Wing</v>
      </c>
      <c r="J349" s="1" t="str">
        <f t="shared" ca="1" si="18"/>
        <v>Right Wing</v>
      </c>
      <c r="K349" s="1" t="str">
        <f t="shared" ca="1" si="31"/>
        <v>Right Wing</v>
      </c>
      <c r="L349" s="1" t="str">
        <f t="shared" ca="1" si="19"/>
        <v>Right Wing</v>
      </c>
      <c r="M349" s="1" t="str">
        <f t="shared" ca="1" si="20"/>
        <v>Right Wing</v>
      </c>
      <c r="N349" s="1" t="str">
        <f t="shared" ca="1" si="21"/>
        <v>F</v>
      </c>
      <c r="O349" s="1" t="str">
        <f t="shared" ca="1" si="22"/>
        <v>F</v>
      </c>
      <c r="P349" s="1" t="str">
        <f t="shared" ca="1" si="23"/>
        <v>F</v>
      </c>
      <c r="Q349" s="1" t="str">
        <f t="shared" ca="1" si="24"/>
        <v>F</v>
      </c>
      <c r="R349" s="1" t="str">
        <f t="shared" ca="1" si="25"/>
        <v>F</v>
      </c>
      <c r="S349" s="1" t="str">
        <f t="shared" ca="1" si="26"/>
        <v>F</v>
      </c>
      <c r="T349" s="1" t="str">
        <f t="shared" ca="1" si="27"/>
        <v>F</v>
      </c>
      <c r="U349" s="1" t="str">
        <f t="shared" ca="1" si="28"/>
        <v>F</v>
      </c>
      <c r="V349" s="1" t="str">
        <f t="shared" ca="1" si="29"/>
        <v>F</v>
      </c>
      <c r="W349" s="1" t="str">
        <f t="shared" ca="1" si="30"/>
        <v>Fabian Herbers</v>
      </c>
    </row>
    <row r="350" spans="1:23">
      <c r="A350" s="1" t="str">
        <f ca="1">IFERROR(__xludf.DUMMYFUNCTION("""COMPUTED_VALUE"""),"Cucho")</f>
        <v>Cucho</v>
      </c>
      <c r="B350" s="1" t="str">
        <f ca="1">IFERROR(__xludf.DUMMYFUNCTION("""COMPUTED_VALUE"""),"Hernández")</f>
        <v>Hernández</v>
      </c>
      <c r="C350" s="1" t="str">
        <f ca="1">IFERROR(__xludf.DUMMYFUNCTION("""COMPUTED_VALUE"""),"Columbus Crew")</f>
        <v>Columbus Crew</v>
      </c>
      <c r="D350" s="1" t="str">
        <f ca="1">IFERROR(__xludf.DUMMYFUNCTION("""COMPUTED_VALUE"""),"Center Forward")</f>
        <v>Center Forward</v>
      </c>
      <c r="E350" s="2">
        <f ca="1">IFERROR(__xludf.DUMMYFUNCTION("""COMPUTED_VALUE"""),2600000)</f>
        <v>2600000</v>
      </c>
      <c r="F350" s="2">
        <f ca="1">IFERROR(__xludf.DUMMYFUNCTION("""COMPUTED_VALUE"""),2886000)</f>
        <v>2886000</v>
      </c>
      <c r="H350" s="1" t="str">
        <f t="shared" ca="1" si="16"/>
        <v>Center Forward</v>
      </c>
      <c r="I350" s="3" t="str">
        <f t="shared" ca="1" si="17"/>
        <v>Center Forward</v>
      </c>
      <c r="J350" s="1" t="str">
        <f t="shared" ca="1" si="18"/>
        <v>Center Forward</v>
      </c>
      <c r="K350" s="1" t="str">
        <f t="shared" ca="1" si="31"/>
        <v>Center Forward</v>
      </c>
      <c r="L350" s="1" t="str">
        <f t="shared" ca="1" si="19"/>
        <v>Center Forward</v>
      </c>
      <c r="M350" s="1" t="str">
        <f t="shared" ca="1" si="20"/>
        <v>Center Forward</v>
      </c>
      <c r="N350" s="1" t="str">
        <f t="shared" ca="1" si="21"/>
        <v>Center Forward</v>
      </c>
      <c r="O350" s="1" t="str">
        <f t="shared" ca="1" si="22"/>
        <v>F</v>
      </c>
      <c r="P350" s="1" t="str">
        <f t="shared" ca="1" si="23"/>
        <v>F</v>
      </c>
      <c r="Q350" s="1" t="str">
        <f t="shared" ca="1" si="24"/>
        <v>F</v>
      </c>
      <c r="R350" s="1" t="str">
        <f t="shared" ca="1" si="25"/>
        <v>F</v>
      </c>
      <c r="S350" s="1" t="str">
        <f t="shared" ca="1" si="26"/>
        <v>F</v>
      </c>
      <c r="T350" s="1" t="str">
        <f t="shared" ca="1" si="27"/>
        <v>F</v>
      </c>
      <c r="U350" s="1" t="str">
        <f t="shared" ca="1" si="28"/>
        <v>F</v>
      </c>
      <c r="V350" s="1" t="str">
        <f t="shared" ca="1" si="29"/>
        <v>F</v>
      </c>
      <c r="W350" s="1" t="str">
        <f t="shared" ca="1" si="30"/>
        <v>Cucho Hernández</v>
      </c>
    </row>
    <row r="351" spans="1:23">
      <c r="A351" s="1" t="str">
        <f ca="1">IFERROR(__xludf.DUMMYFUNCTION("""COMPUTED_VALUE"""),"Felipe")</f>
        <v>Felipe</v>
      </c>
      <c r="B351" s="1" t="str">
        <f ca="1">IFERROR(__xludf.DUMMYFUNCTION("""COMPUTED_VALUE"""),"Hernández")</f>
        <v>Hernández</v>
      </c>
      <c r="C351" s="1" t="str">
        <f ca="1">IFERROR(__xludf.DUMMYFUNCTION("""COMPUTED_VALUE"""),"Sporting Kansas City")</f>
        <v>Sporting Kansas City</v>
      </c>
      <c r="D351" s="1" t="str">
        <f ca="1">IFERROR(__xludf.DUMMYFUNCTION("""COMPUTED_VALUE"""),"Central Midfield")</f>
        <v>Central Midfield</v>
      </c>
      <c r="E351" s="2">
        <f ca="1">IFERROR(__xludf.DUMMYFUNCTION("""COMPUTED_VALUE"""),225000)</f>
        <v>225000</v>
      </c>
      <c r="F351" s="2">
        <f ca="1">IFERROR(__xludf.DUMMYFUNCTION("""COMPUTED_VALUE"""),257000)</f>
        <v>257000</v>
      </c>
      <c r="H351" s="1" t="str">
        <f t="shared" ca="1" si="16"/>
        <v>Central Midfield</v>
      </c>
      <c r="I351" s="3" t="str">
        <f t="shared" ca="1" si="17"/>
        <v>Central Midfield</v>
      </c>
      <c r="J351" s="1" t="str">
        <f t="shared" ca="1" si="18"/>
        <v>Central Midfield</v>
      </c>
      <c r="K351" s="1" t="str">
        <f t="shared" ca="1" si="31"/>
        <v>Central Midfield</v>
      </c>
      <c r="L351" s="1" t="str">
        <f t="shared" ca="1" si="19"/>
        <v>M</v>
      </c>
      <c r="M351" s="1" t="str">
        <f t="shared" ca="1" si="20"/>
        <v>M</v>
      </c>
      <c r="N351" s="1" t="str">
        <f t="shared" ca="1" si="21"/>
        <v>M</v>
      </c>
      <c r="O351" s="1" t="str">
        <f t="shared" ca="1" si="22"/>
        <v>M</v>
      </c>
      <c r="P351" s="1" t="str">
        <f t="shared" ca="1" si="23"/>
        <v>M</v>
      </c>
      <c r="Q351" s="1" t="str">
        <f t="shared" ca="1" si="24"/>
        <v>M</v>
      </c>
      <c r="R351" s="1" t="str">
        <f t="shared" ca="1" si="25"/>
        <v>M</v>
      </c>
      <c r="S351" s="1" t="str">
        <f t="shared" ca="1" si="26"/>
        <v>M</v>
      </c>
      <c r="T351" s="1" t="str">
        <f t="shared" ca="1" si="27"/>
        <v>M</v>
      </c>
      <c r="U351" s="1" t="str">
        <f t="shared" ca="1" si="28"/>
        <v>M</v>
      </c>
      <c r="V351" s="1" t="str">
        <f t="shared" ca="1" si="29"/>
        <v>M</v>
      </c>
      <c r="W351" s="1" t="str">
        <f t="shared" ca="1" si="30"/>
        <v>Felipe Hernández</v>
      </c>
    </row>
    <row r="352" spans="1:23">
      <c r="A352" s="1" t="str">
        <f ca="1">IFERROR(__xludf.DUMMYFUNCTION("""COMPUTED_VALUE"""),"Ronald")</f>
        <v>Ronald</v>
      </c>
      <c r="B352" s="1" t="str">
        <f ca="1">IFERROR(__xludf.DUMMYFUNCTION("""COMPUTED_VALUE"""),"Hernández")</f>
        <v>Hernández</v>
      </c>
      <c r="C352" s="1" t="str">
        <f ca="1">IFERROR(__xludf.DUMMYFUNCTION("""COMPUTED_VALUE"""),"Atlanta United")</f>
        <v>Atlanta United</v>
      </c>
      <c r="D352" s="1" t="str">
        <f ca="1">IFERROR(__xludf.DUMMYFUNCTION("""COMPUTED_VALUE"""),"Right-back")</f>
        <v>Right-back</v>
      </c>
      <c r="E352" s="2">
        <f ca="1">IFERROR(__xludf.DUMMYFUNCTION("""COMPUTED_VALUE"""),450000)</f>
        <v>450000</v>
      </c>
      <c r="F352" s="2">
        <f ca="1">IFERROR(__xludf.DUMMYFUNCTION("""COMPUTED_VALUE"""),450000)</f>
        <v>450000</v>
      </c>
      <c r="H352" s="1" t="str">
        <f t="shared" ca="1" si="16"/>
        <v>Right-back</v>
      </c>
      <c r="I352" s="3" t="str">
        <f t="shared" ca="1" si="17"/>
        <v>Right-back</v>
      </c>
      <c r="J352" s="1" t="str">
        <f t="shared" ca="1" si="18"/>
        <v>D</v>
      </c>
      <c r="K352" s="1" t="str">
        <f t="shared" ca="1" si="31"/>
        <v>D</v>
      </c>
      <c r="L352" s="1" t="str">
        <f t="shared" ca="1" si="19"/>
        <v>D</v>
      </c>
      <c r="M352" s="1" t="str">
        <f t="shared" ca="1" si="20"/>
        <v>D</v>
      </c>
      <c r="N352" s="1" t="str">
        <f t="shared" ca="1" si="21"/>
        <v>D</v>
      </c>
      <c r="O352" s="1" t="str">
        <f t="shared" ca="1" si="22"/>
        <v>D</v>
      </c>
      <c r="P352" s="1" t="str">
        <f t="shared" ca="1" si="23"/>
        <v>D</v>
      </c>
      <c r="Q352" s="1" t="str">
        <f t="shared" ca="1" si="24"/>
        <v>D</v>
      </c>
      <c r="R352" s="1" t="str">
        <f t="shared" ca="1" si="25"/>
        <v>D</v>
      </c>
      <c r="S352" s="1" t="str">
        <f t="shared" ca="1" si="26"/>
        <v>D</v>
      </c>
      <c r="T352" s="1" t="str">
        <f t="shared" ca="1" si="27"/>
        <v>D</v>
      </c>
      <c r="U352" s="1" t="str">
        <f t="shared" ca="1" si="28"/>
        <v>D</v>
      </c>
      <c r="V352" s="1" t="str">
        <f t="shared" ca="1" si="29"/>
        <v>D</v>
      </c>
      <c r="W352" s="1" t="str">
        <f t="shared" ca="1" si="30"/>
        <v>Ronald Hernández</v>
      </c>
    </row>
    <row r="353" spans="1:23">
      <c r="A353" s="1" t="str">
        <f ca="1">IFERROR(__xludf.DUMMYFUNCTION("""COMPUTED_VALUE"""),"Aarón")</f>
        <v>Aarón</v>
      </c>
      <c r="B353" s="1" t="str">
        <f ca="1">IFERROR(__xludf.DUMMYFUNCTION("""COMPUTED_VALUE"""),"Herrera")</f>
        <v>Herrera</v>
      </c>
      <c r="C353" s="1" t="str">
        <f ca="1">IFERROR(__xludf.DUMMYFUNCTION("""COMPUTED_VALUE"""),"DC United")</f>
        <v>DC United</v>
      </c>
      <c r="D353" s="1" t="str">
        <f ca="1">IFERROR(__xludf.DUMMYFUNCTION("""COMPUTED_VALUE"""),"Right-back")</f>
        <v>Right-back</v>
      </c>
      <c r="E353" s="2">
        <f ca="1">IFERROR(__xludf.DUMMYFUNCTION("""COMPUTED_VALUE"""),750000)</f>
        <v>750000</v>
      </c>
      <c r="F353" s="2">
        <f ca="1">IFERROR(__xludf.DUMMYFUNCTION("""COMPUTED_VALUE"""),845220)</f>
        <v>845220</v>
      </c>
      <c r="H353" s="1" t="str">
        <f t="shared" ca="1" si="16"/>
        <v>Right-back</v>
      </c>
      <c r="I353" s="3" t="str">
        <f t="shared" ca="1" si="17"/>
        <v>Right-back</v>
      </c>
      <c r="J353" s="1" t="str">
        <f t="shared" ca="1" si="18"/>
        <v>D</v>
      </c>
      <c r="K353" s="1" t="str">
        <f t="shared" ca="1" si="31"/>
        <v>D</v>
      </c>
      <c r="L353" s="1" t="str">
        <f t="shared" ca="1" si="19"/>
        <v>D</v>
      </c>
      <c r="M353" s="1" t="str">
        <f t="shared" ca="1" si="20"/>
        <v>D</v>
      </c>
      <c r="N353" s="1" t="str">
        <f t="shared" ca="1" si="21"/>
        <v>D</v>
      </c>
      <c r="O353" s="1" t="str">
        <f t="shared" ca="1" si="22"/>
        <v>D</v>
      </c>
      <c r="P353" s="1" t="str">
        <f t="shared" ca="1" si="23"/>
        <v>D</v>
      </c>
      <c r="Q353" s="1" t="str">
        <f t="shared" ca="1" si="24"/>
        <v>D</v>
      </c>
      <c r="R353" s="1" t="str">
        <f t="shared" ca="1" si="25"/>
        <v>D</v>
      </c>
      <c r="S353" s="1" t="str">
        <f t="shared" ca="1" si="26"/>
        <v>D</v>
      </c>
      <c r="T353" s="1" t="str">
        <f t="shared" ca="1" si="27"/>
        <v>D</v>
      </c>
      <c r="U353" s="1" t="str">
        <f t="shared" ca="1" si="28"/>
        <v>D</v>
      </c>
      <c r="V353" s="1" t="str">
        <f t="shared" ca="1" si="29"/>
        <v>D</v>
      </c>
      <c r="W353" s="1" t="str">
        <f t="shared" ca="1" si="30"/>
        <v>Aarón Herrera</v>
      </c>
    </row>
    <row r="354" spans="1:23">
      <c r="A354" s="1" t="str">
        <f ca="1">IFERROR(__xludf.DUMMYFUNCTION("""COMPUTED_VALUE"""),"Héctor")</f>
        <v>Héctor</v>
      </c>
      <c r="B354" s="1" t="str">
        <f ca="1">IFERROR(__xludf.DUMMYFUNCTION("""COMPUTED_VALUE"""),"Herrera")</f>
        <v>Herrera</v>
      </c>
      <c r="C354" s="1" t="str">
        <f ca="1">IFERROR(__xludf.DUMMYFUNCTION("""COMPUTED_VALUE"""),"Houston Dynamo")</f>
        <v>Houston Dynamo</v>
      </c>
      <c r="D354" s="1" t="str">
        <f ca="1">IFERROR(__xludf.DUMMYFUNCTION("""COMPUTED_VALUE"""),"Central Midfield")</f>
        <v>Central Midfield</v>
      </c>
      <c r="E354" s="2">
        <f ca="1">IFERROR(__xludf.DUMMYFUNCTION("""COMPUTED_VALUE"""),4750000)</f>
        <v>4750000</v>
      </c>
      <c r="F354" s="2">
        <f ca="1">IFERROR(__xludf.DUMMYFUNCTION("""COMPUTED_VALUE"""),5246875)</f>
        <v>5246875</v>
      </c>
      <c r="H354" s="1" t="str">
        <f t="shared" ca="1" si="16"/>
        <v>Central Midfield</v>
      </c>
      <c r="I354" s="3" t="str">
        <f t="shared" ca="1" si="17"/>
        <v>Central Midfield</v>
      </c>
      <c r="J354" s="1" t="str">
        <f t="shared" ca="1" si="18"/>
        <v>Central Midfield</v>
      </c>
      <c r="K354" s="1" t="str">
        <f t="shared" ca="1" si="31"/>
        <v>Central Midfield</v>
      </c>
      <c r="L354" s="1" t="str">
        <f t="shared" ca="1" si="19"/>
        <v>M</v>
      </c>
      <c r="M354" s="1" t="str">
        <f t="shared" ca="1" si="20"/>
        <v>M</v>
      </c>
      <c r="N354" s="1" t="str">
        <f t="shared" ca="1" si="21"/>
        <v>M</v>
      </c>
      <c r="O354" s="1" t="str">
        <f t="shared" ca="1" si="22"/>
        <v>M</v>
      </c>
      <c r="P354" s="1" t="str">
        <f t="shared" ca="1" si="23"/>
        <v>M</v>
      </c>
      <c r="Q354" s="1" t="str">
        <f t="shared" ca="1" si="24"/>
        <v>M</v>
      </c>
      <c r="R354" s="1" t="str">
        <f t="shared" ca="1" si="25"/>
        <v>M</v>
      </c>
      <c r="S354" s="1" t="str">
        <f t="shared" ca="1" si="26"/>
        <v>M</v>
      </c>
      <c r="T354" s="1" t="str">
        <f t="shared" ca="1" si="27"/>
        <v>M</v>
      </c>
      <c r="U354" s="1" t="str">
        <f t="shared" ca="1" si="28"/>
        <v>M</v>
      </c>
      <c r="V354" s="1" t="str">
        <f t="shared" ca="1" si="29"/>
        <v>M</v>
      </c>
      <c r="W354" s="1" t="str">
        <f t="shared" ca="1" si="30"/>
        <v>Héctor Herrera</v>
      </c>
    </row>
    <row r="355" spans="1:23">
      <c r="A355" s="1" t="str">
        <f ca="1">IFERROR(__xludf.DUMMYFUNCTION("""COMPUTED_VALUE"""),"Bode")</f>
        <v>Bode</v>
      </c>
      <c r="B355" s="1" t="str">
        <f ca="1">IFERROR(__xludf.DUMMYFUNCTION("""COMPUTED_VALUE"""),"Hidalgo")</f>
        <v>Hidalgo</v>
      </c>
      <c r="C355" s="1" t="str">
        <f ca="1">IFERROR(__xludf.DUMMYFUNCTION("""COMPUTED_VALUE"""),"Real Salt Lake")</f>
        <v>Real Salt Lake</v>
      </c>
      <c r="D355" s="1" t="str">
        <f ca="1">IFERROR(__xludf.DUMMYFUNCTION("""COMPUTED_VALUE"""),"Right-back")</f>
        <v>Right-back</v>
      </c>
      <c r="E355" s="2">
        <f ca="1">IFERROR(__xludf.DUMMYFUNCTION("""COMPUTED_VALUE"""),125000)</f>
        <v>125000</v>
      </c>
      <c r="F355" s="2">
        <f ca="1">IFERROR(__xludf.DUMMYFUNCTION("""COMPUTED_VALUE"""),129294)</f>
        <v>129294</v>
      </c>
      <c r="H355" s="1" t="str">
        <f t="shared" ca="1" si="16"/>
        <v>Right-back</v>
      </c>
      <c r="I355" s="3" t="str">
        <f t="shared" ca="1" si="17"/>
        <v>Right-back</v>
      </c>
      <c r="J355" s="1" t="str">
        <f t="shared" ca="1" si="18"/>
        <v>D</v>
      </c>
      <c r="K355" s="1" t="str">
        <f t="shared" ca="1" si="31"/>
        <v>D</v>
      </c>
      <c r="L355" s="1" t="str">
        <f t="shared" ca="1" si="19"/>
        <v>D</v>
      </c>
      <c r="M355" s="1" t="str">
        <f t="shared" ca="1" si="20"/>
        <v>D</v>
      </c>
      <c r="N355" s="1" t="str">
        <f t="shared" ca="1" si="21"/>
        <v>D</v>
      </c>
      <c r="O355" s="1" t="str">
        <f t="shared" ca="1" si="22"/>
        <v>D</v>
      </c>
      <c r="P355" s="1" t="str">
        <f t="shared" ca="1" si="23"/>
        <v>D</v>
      </c>
      <c r="Q355" s="1" t="str">
        <f t="shared" ca="1" si="24"/>
        <v>D</v>
      </c>
      <c r="R355" s="1" t="str">
        <f t="shared" ca="1" si="25"/>
        <v>D</v>
      </c>
      <c r="S355" s="1" t="str">
        <f t="shared" ca="1" si="26"/>
        <v>D</v>
      </c>
      <c r="T355" s="1" t="str">
        <f t="shared" ca="1" si="27"/>
        <v>D</v>
      </c>
      <c r="U355" s="1" t="str">
        <f t="shared" ca="1" si="28"/>
        <v>D</v>
      </c>
      <c r="V355" s="1" t="str">
        <f t="shared" ca="1" si="29"/>
        <v>D</v>
      </c>
      <c r="W355" s="1" t="str">
        <f t="shared" ca="1" si="30"/>
        <v>Bode Hidalgo</v>
      </c>
    </row>
    <row r="356" spans="1:23">
      <c r="A356" s="1" t="str">
        <f ca="1">IFERROR(__xludf.DUMMYFUNCTION("""COMPUTED_VALUE"""),"Kyle")</f>
        <v>Kyle</v>
      </c>
      <c r="B356" s="1" t="str">
        <f ca="1">IFERROR(__xludf.DUMMYFUNCTION("""COMPUTED_VALUE"""),"Hiebert")</f>
        <v>Hiebert</v>
      </c>
      <c r="C356" s="1" t="str">
        <f ca="1">IFERROR(__xludf.DUMMYFUNCTION("""COMPUTED_VALUE"""),"St. Louis City SC")</f>
        <v>St. Louis City SC</v>
      </c>
      <c r="D356" s="1" t="str">
        <f ca="1">IFERROR(__xludf.DUMMYFUNCTION("""COMPUTED_VALUE"""),"Center-back")</f>
        <v>Center-back</v>
      </c>
      <c r="E356" s="2">
        <f ca="1">IFERROR(__xludf.DUMMYFUNCTION("""COMPUTED_VALUE"""),159996)</f>
        <v>159996</v>
      </c>
      <c r="F356" s="2">
        <f ca="1">IFERROR(__xludf.DUMMYFUNCTION("""COMPUTED_VALUE"""),188996)</f>
        <v>188996</v>
      </c>
      <c r="H356" s="1" t="str">
        <f t="shared" ca="1" si="16"/>
        <v>D</v>
      </c>
      <c r="I356" s="3" t="str">
        <f t="shared" ca="1" si="17"/>
        <v>D</v>
      </c>
      <c r="J356" s="1" t="str">
        <f t="shared" ca="1" si="18"/>
        <v>D</v>
      </c>
      <c r="K356" s="1" t="str">
        <f t="shared" ca="1" si="31"/>
        <v>D</v>
      </c>
      <c r="L356" s="1" t="str">
        <f t="shared" ca="1" si="19"/>
        <v>D</v>
      </c>
      <c r="M356" s="1" t="str">
        <f t="shared" ca="1" si="20"/>
        <v>D</v>
      </c>
      <c r="N356" s="1" t="str">
        <f t="shared" ca="1" si="21"/>
        <v>D</v>
      </c>
      <c r="O356" s="1" t="str">
        <f t="shared" ca="1" si="22"/>
        <v>D</v>
      </c>
      <c r="P356" s="1" t="str">
        <f t="shared" ca="1" si="23"/>
        <v>D</v>
      </c>
      <c r="Q356" s="1" t="str">
        <f t="shared" ca="1" si="24"/>
        <v>D</v>
      </c>
      <c r="R356" s="1" t="str">
        <f t="shared" ca="1" si="25"/>
        <v>D</v>
      </c>
      <c r="S356" s="1" t="str">
        <f t="shared" ca="1" si="26"/>
        <v>D</v>
      </c>
      <c r="T356" s="1" t="str">
        <f t="shared" ca="1" si="27"/>
        <v>D</v>
      </c>
      <c r="U356" s="1" t="str">
        <f t="shared" ca="1" si="28"/>
        <v>D</v>
      </c>
      <c r="V356" s="1" t="str">
        <f t="shared" ca="1" si="29"/>
        <v>D</v>
      </c>
      <c r="W356" s="1" t="str">
        <f t="shared" ca="1" si="30"/>
        <v>Kyle Hiebert</v>
      </c>
    </row>
    <row r="357" spans="1:23">
      <c r="A357" s="1" t="str">
        <f ca="1">IFERROR(__xludf.DUMMYFUNCTION("""COMPUTED_VALUE"""),"Brendan")</f>
        <v>Brendan</v>
      </c>
      <c r="B357" s="1" t="str">
        <f ca="1">IFERROR(__xludf.DUMMYFUNCTION("""COMPUTED_VALUE"""),"Hines-Ike")</f>
        <v>Hines-Ike</v>
      </c>
      <c r="C357" s="1" t="str">
        <f ca="1">IFERROR(__xludf.DUMMYFUNCTION("""COMPUTED_VALUE"""),"Austin FC")</f>
        <v>Austin FC</v>
      </c>
      <c r="D357" s="1" t="str">
        <f ca="1">IFERROR(__xludf.DUMMYFUNCTION("""COMPUTED_VALUE"""),"Center-back")</f>
        <v>Center-back</v>
      </c>
      <c r="E357" s="2">
        <f ca="1">IFERROR(__xludf.DUMMYFUNCTION("""COMPUTED_VALUE"""),199992)</f>
        <v>199992</v>
      </c>
      <c r="F357" s="2">
        <f ca="1">IFERROR(__xludf.DUMMYFUNCTION("""COMPUTED_VALUE"""),199992)</f>
        <v>199992</v>
      </c>
      <c r="H357" s="1" t="str">
        <f t="shared" ca="1" si="16"/>
        <v>D</v>
      </c>
      <c r="I357" s="3" t="str">
        <f t="shared" ca="1" si="17"/>
        <v>D</v>
      </c>
      <c r="J357" s="1" t="str">
        <f t="shared" ca="1" si="18"/>
        <v>D</v>
      </c>
      <c r="K357" s="1" t="str">
        <f t="shared" ca="1" si="31"/>
        <v>D</v>
      </c>
      <c r="L357" s="1" t="str">
        <f t="shared" ca="1" si="19"/>
        <v>D</v>
      </c>
      <c r="M357" s="1" t="str">
        <f t="shared" ca="1" si="20"/>
        <v>D</v>
      </c>
      <c r="N357" s="1" t="str">
        <f t="shared" ca="1" si="21"/>
        <v>D</v>
      </c>
      <c r="O357" s="1" t="str">
        <f t="shared" ca="1" si="22"/>
        <v>D</v>
      </c>
      <c r="P357" s="1" t="str">
        <f t="shared" ca="1" si="23"/>
        <v>D</v>
      </c>
      <c r="Q357" s="1" t="str">
        <f t="shared" ca="1" si="24"/>
        <v>D</v>
      </c>
      <c r="R357" s="1" t="str">
        <f t="shared" ca="1" si="25"/>
        <v>D</v>
      </c>
      <c r="S357" s="1" t="str">
        <f t="shared" ca="1" si="26"/>
        <v>D</v>
      </c>
      <c r="T357" s="1" t="str">
        <f t="shared" ca="1" si="27"/>
        <v>D</v>
      </c>
      <c r="U357" s="1" t="str">
        <f t="shared" ca="1" si="28"/>
        <v>D</v>
      </c>
      <c r="V357" s="1" t="str">
        <f t="shared" ca="1" si="29"/>
        <v>D</v>
      </c>
      <c r="W357" s="1" t="str">
        <f t="shared" ca="1" si="30"/>
        <v>Brendan Hines-Ike</v>
      </c>
    </row>
    <row r="358" spans="1:23">
      <c r="A358" s="1" t="str">
        <f ca="1">IFERROR(__xludf.DUMMYFUNCTION("""COMPUTED_VALUE"""),"Marino")</f>
        <v>Marino</v>
      </c>
      <c r="B358" s="1" t="str">
        <f ca="1">IFERROR(__xludf.DUMMYFUNCTION("""COMPUTED_VALUE"""),"Hinestroza")</f>
        <v>Hinestroza</v>
      </c>
      <c r="C358" s="1" t="str">
        <f ca="1">IFERROR(__xludf.DUMMYFUNCTION("""COMPUTED_VALUE"""),"Columbus Crew")</f>
        <v>Columbus Crew</v>
      </c>
      <c r="D358" s="1" t="str">
        <f ca="1">IFERROR(__xludf.DUMMYFUNCTION("""COMPUTED_VALUE"""),"Left Wing")</f>
        <v>Left Wing</v>
      </c>
      <c r="E358" s="2">
        <f ca="1">IFERROR(__xludf.DUMMYFUNCTION("""COMPUTED_VALUE"""),500000)</f>
        <v>500000</v>
      </c>
      <c r="F358" s="2">
        <f ca="1">IFERROR(__xludf.DUMMYFUNCTION("""COMPUTED_VALUE"""),574750)</f>
        <v>574750</v>
      </c>
      <c r="H358" s="1" t="str">
        <f t="shared" ca="1" si="16"/>
        <v>Left Wing</v>
      </c>
      <c r="I358" s="3" t="str">
        <f t="shared" ca="1" si="17"/>
        <v>Left Wing</v>
      </c>
      <c r="J358" s="1" t="str">
        <f t="shared" ca="1" si="18"/>
        <v>Left Wing</v>
      </c>
      <c r="K358" s="1" t="str">
        <f t="shared" ca="1" si="31"/>
        <v>Left Wing</v>
      </c>
      <c r="L358" s="1" t="str">
        <f t="shared" ca="1" si="19"/>
        <v>Left Wing</v>
      </c>
      <c r="M358" s="1" t="str">
        <f t="shared" ca="1" si="20"/>
        <v>Left Wing</v>
      </c>
      <c r="N358" s="1" t="str">
        <f t="shared" ca="1" si="21"/>
        <v>Left Wing</v>
      </c>
      <c r="O358" s="1" t="str">
        <f t="shared" ca="1" si="22"/>
        <v>Left Wing</v>
      </c>
      <c r="P358" s="1" t="str">
        <f t="shared" ca="1" si="23"/>
        <v>F</v>
      </c>
      <c r="Q358" s="1" t="str">
        <f t="shared" ca="1" si="24"/>
        <v>F</v>
      </c>
      <c r="R358" s="1" t="str">
        <f t="shared" ca="1" si="25"/>
        <v>F</v>
      </c>
      <c r="S358" s="1" t="str">
        <f t="shared" ca="1" si="26"/>
        <v>F</v>
      </c>
      <c r="T358" s="1" t="str">
        <f t="shared" ca="1" si="27"/>
        <v>F</v>
      </c>
      <c r="U358" s="1" t="str">
        <f t="shared" ca="1" si="28"/>
        <v>F</v>
      </c>
      <c r="V358" s="1" t="str">
        <f t="shared" ca="1" si="29"/>
        <v>F</v>
      </c>
      <c r="W358" s="1" t="str">
        <f t="shared" ca="1" si="30"/>
        <v>Marino Hinestroza</v>
      </c>
    </row>
    <row r="359" spans="1:23">
      <c r="A359" s="1" t="str">
        <f ca="1">IFERROR(__xludf.DUMMYFUNCTION("""COMPUTED_VALUE"""),"Bongokuhle")</f>
        <v>Bongokuhle</v>
      </c>
      <c r="B359" s="1" t="str">
        <f ca="1">IFERROR(__xludf.DUMMYFUNCTION("""COMPUTED_VALUE"""),"Hlongwane")</f>
        <v>Hlongwane</v>
      </c>
      <c r="C359" s="1" t="str">
        <f ca="1">IFERROR(__xludf.DUMMYFUNCTION("""COMPUTED_VALUE"""),"Minnesota United")</f>
        <v>Minnesota United</v>
      </c>
      <c r="D359" s="1" t="str">
        <f ca="1">IFERROR(__xludf.DUMMYFUNCTION("""COMPUTED_VALUE"""),"Right Wing")</f>
        <v>Right Wing</v>
      </c>
      <c r="E359" s="2">
        <f ca="1">IFERROR(__xludf.DUMMYFUNCTION("""COMPUTED_VALUE"""),605000)</f>
        <v>605000</v>
      </c>
      <c r="F359" s="2">
        <f ca="1">IFERROR(__xludf.DUMMYFUNCTION("""COMPUTED_VALUE"""),655000)</f>
        <v>655000</v>
      </c>
      <c r="H359" s="1" t="str">
        <f t="shared" ca="1" si="16"/>
        <v>Right Wing</v>
      </c>
      <c r="I359" s="3" t="str">
        <f t="shared" ca="1" si="17"/>
        <v>Right Wing</v>
      </c>
      <c r="J359" s="1" t="str">
        <f t="shared" ca="1" si="18"/>
        <v>Right Wing</v>
      </c>
      <c r="K359" s="1" t="str">
        <f t="shared" ca="1" si="31"/>
        <v>Right Wing</v>
      </c>
      <c r="L359" s="1" t="str">
        <f t="shared" ca="1" si="19"/>
        <v>Right Wing</v>
      </c>
      <c r="M359" s="1" t="str">
        <f t="shared" ca="1" si="20"/>
        <v>Right Wing</v>
      </c>
      <c r="N359" s="1" t="str">
        <f t="shared" ca="1" si="21"/>
        <v>F</v>
      </c>
      <c r="O359" s="1" t="str">
        <f t="shared" ca="1" si="22"/>
        <v>F</v>
      </c>
      <c r="P359" s="1" t="str">
        <f t="shared" ca="1" si="23"/>
        <v>F</v>
      </c>
      <c r="Q359" s="1" t="str">
        <f t="shared" ca="1" si="24"/>
        <v>F</v>
      </c>
      <c r="R359" s="1" t="str">
        <f t="shared" ca="1" si="25"/>
        <v>F</v>
      </c>
      <c r="S359" s="1" t="str">
        <f t="shared" ca="1" si="26"/>
        <v>F</v>
      </c>
      <c r="T359" s="1" t="str">
        <f t="shared" ca="1" si="27"/>
        <v>F</v>
      </c>
      <c r="U359" s="1" t="str">
        <f t="shared" ca="1" si="28"/>
        <v>F</v>
      </c>
      <c r="V359" s="1" t="str">
        <f t="shared" ca="1" si="29"/>
        <v>F</v>
      </c>
      <c r="W359" s="1" t="str">
        <f t="shared" ca="1" si="30"/>
        <v>Bongokuhle Hlongwane</v>
      </c>
    </row>
    <row r="360" spans="1:23">
      <c r="A360" s="1" t="str">
        <f ca="1">IFERROR(__xludf.DUMMYFUNCTION("""COMPUTED_VALUE"""),"Ryan")</f>
        <v>Ryan</v>
      </c>
      <c r="B360" s="1" t="str">
        <f ca="1">IFERROR(__xludf.DUMMYFUNCTION("""COMPUTED_VALUE"""),"Hollingshead")</f>
        <v>Hollingshead</v>
      </c>
      <c r="C360" s="1" t="str">
        <f ca="1">IFERROR(__xludf.DUMMYFUNCTION("""COMPUTED_VALUE"""),"LAFC")</f>
        <v>LAFC</v>
      </c>
      <c r="D360" s="1" t="str">
        <f ca="1">IFERROR(__xludf.DUMMYFUNCTION("""COMPUTED_VALUE"""),"Left-back")</f>
        <v>Left-back</v>
      </c>
      <c r="E360" s="2">
        <f ca="1">IFERROR(__xludf.DUMMYFUNCTION("""COMPUTED_VALUE"""),645000)</f>
        <v>645000</v>
      </c>
      <c r="F360" s="2">
        <f ca="1">IFERROR(__xludf.DUMMYFUNCTION("""COMPUTED_VALUE"""),645000)</f>
        <v>645000</v>
      </c>
      <c r="H360" s="1" t="str">
        <f t="shared" ca="1" si="16"/>
        <v>Left-back</v>
      </c>
      <c r="I360" s="3" t="str">
        <f t="shared" ca="1" si="17"/>
        <v>D</v>
      </c>
      <c r="J360" s="1" t="str">
        <f t="shared" ca="1" si="18"/>
        <v>D</v>
      </c>
      <c r="K360" s="1" t="str">
        <f t="shared" ca="1" si="31"/>
        <v>D</v>
      </c>
      <c r="L360" s="1" t="str">
        <f t="shared" ca="1" si="19"/>
        <v>D</v>
      </c>
      <c r="M360" s="1" t="str">
        <f t="shared" ca="1" si="20"/>
        <v>D</v>
      </c>
      <c r="N360" s="1" t="str">
        <f t="shared" ca="1" si="21"/>
        <v>D</v>
      </c>
      <c r="O360" s="1" t="str">
        <f t="shared" ca="1" si="22"/>
        <v>D</v>
      </c>
      <c r="P360" s="1" t="str">
        <f t="shared" ca="1" si="23"/>
        <v>D</v>
      </c>
      <c r="Q360" s="1" t="str">
        <f t="shared" ca="1" si="24"/>
        <v>D</v>
      </c>
      <c r="R360" s="1" t="str">
        <f t="shared" ca="1" si="25"/>
        <v>D</v>
      </c>
      <c r="S360" s="1" t="str">
        <f t="shared" ca="1" si="26"/>
        <v>D</v>
      </c>
      <c r="T360" s="1" t="str">
        <f t="shared" ca="1" si="27"/>
        <v>D</v>
      </c>
      <c r="U360" s="1" t="str">
        <f t="shared" ca="1" si="28"/>
        <v>D</v>
      </c>
      <c r="V360" s="1" t="str">
        <f t="shared" ca="1" si="29"/>
        <v>D</v>
      </c>
      <c r="W360" s="1" t="str">
        <f t="shared" ca="1" si="30"/>
        <v>Ryan Hollingshead</v>
      </c>
    </row>
    <row r="361" spans="1:23">
      <c r="A361" s="1" t="str">
        <f ca="1">IFERROR(__xludf.DUMMYFUNCTION("""COMPUTED_VALUE"""),"Erik")</f>
        <v>Erik</v>
      </c>
      <c r="B361" s="1" t="str">
        <f ca="1">IFERROR(__xludf.DUMMYFUNCTION("""COMPUTED_VALUE"""),"Holt")</f>
        <v>Holt</v>
      </c>
      <c r="C361" s="1" t="str">
        <f ca="1">IFERROR(__xludf.DUMMYFUNCTION("""COMPUTED_VALUE"""),"Real Salt Lake")</f>
        <v>Real Salt Lake</v>
      </c>
      <c r="D361" s="1" t="str">
        <f ca="1">IFERROR(__xludf.DUMMYFUNCTION("""COMPUTED_VALUE"""),"Center-back")</f>
        <v>Center-back</v>
      </c>
      <c r="E361" s="2">
        <f ca="1">IFERROR(__xludf.DUMMYFUNCTION("""COMPUTED_VALUE"""),225000)</f>
        <v>225000</v>
      </c>
      <c r="F361" s="2">
        <f ca="1">IFERROR(__xludf.DUMMYFUNCTION("""COMPUTED_VALUE"""),243750)</f>
        <v>243750</v>
      </c>
      <c r="H361" s="1" t="str">
        <f t="shared" ca="1" si="16"/>
        <v>D</v>
      </c>
      <c r="I361" s="3" t="str">
        <f t="shared" ca="1" si="17"/>
        <v>D</v>
      </c>
      <c r="J361" s="1" t="str">
        <f t="shared" ca="1" si="18"/>
        <v>D</v>
      </c>
      <c r="K361" s="1" t="str">
        <f t="shared" ca="1" si="31"/>
        <v>D</v>
      </c>
      <c r="L361" s="1" t="str">
        <f t="shared" ca="1" si="19"/>
        <v>D</v>
      </c>
      <c r="M361" s="1" t="str">
        <f t="shared" ca="1" si="20"/>
        <v>D</v>
      </c>
      <c r="N361" s="1" t="str">
        <f t="shared" ca="1" si="21"/>
        <v>D</v>
      </c>
      <c r="O361" s="1" t="str">
        <f t="shared" ca="1" si="22"/>
        <v>D</v>
      </c>
      <c r="P361" s="1" t="str">
        <f t="shared" ca="1" si="23"/>
        <v>D</v>
      </c>
      <c r="Q361" s="1" t="str">
        <f t="shared" ca="1" si="24"/>
        <v>D</v>
      </c>
      <c r="R361" s="1" t="str">
        <f t="shared" ca="1" si="25"/>
        <v>D</v>
      </c>
      <c r="S361" s="1" t="str">
        <f t="shared" ca="1" si="26"/>
        <v>D</v>
      </c>
      <c r="T361" s="1" t="str">
        <f t="shared" ca="1" si="27"/>
        <v>D</v>
      </c>
      <c r="U361" s="1" t="str">
        <f t="shared" ca="1" si="28"/>
        <v>D</v>
      </c>
      <c r="V361" s="1" t="str">
        <f t="shared" ca="1" si="29"/>
        <v>D</v>
      </c>
      <c r="W361" s="1" t="str">
        <f t="shared" ca="1" si="30"/>
        <v>Erik Holt</v>
      </c>
    </row>
    <row r="362" spans="1:23">
      <c r="A362" s="1" t="str">
        <f ca="1">IFERROR(__xludf.DUMMYFUNCTION("""COMPUTED_VALUE"""),"Rio")</f>
        <v>Rio</v>
      </c>
      <c r="B362" s="1" t="str">
        <f ca="1">IFERROR(__xludf.DUMMYFUNCTION("""COMPUTED_VALUE"""),"Hope-Gund")</f>
        <v>Hope-Gund</v>
      </c>
      <c r="C362" s="1" t="str">
        <f ca="1">IFERROR(__xludf.DUMMYFUNCTION("""COMPUTED_VALUE"""),"New York City FC")</f>
        <v>New York City FC</v>
      </c>
      <c r="D362" s="1" t="str">
        <f ca="1">IFERROR(__xludf.DUMMYFUNCTION("""COMPUTED_VALUE"""),"Center-back")</f>
        <v>Center-back</v>
      </c>
      <c r="E362" s="2">
        <f ca="1">IFERROR(__xludf.DUMMYFUNCTION("""COMPUTED_VALUE"""),89716)</f>
        <v>89716</v>
      </c>
      <c r="F362" s="2">
        <f ca="1">IFERROR(__xludf.DUMMYFUNCTION("""COMPUTED_VALUE"""),89716)</f>
        <v>89716</v>
      </c>
      <c r="H362" s="1" t="str">
        <f t="shared" ca="1" si="16"/>
        <v>D</v>
      </c>
      <c r="I362" s="3" t="str">
        <f t="shared" ca="1" si="17"/>
        <v>D</v>
      </c>
      <c r="J362" s="1" t="str">
        <f t="shared" ca="1" si="18"/>
        <v>D</v>
      </c>
      <c r="K362" s="1" t="str">
        <f t="shared" ca="1" si="31"/>
        <v>D</v>
      </c>
      <c r="L362" s="1" t="str">
        <f t="shared" ca="1" si="19"/>
        <v>D</v>
      </c>
      <c r="M362" s="1" t="str">
        <f t="shared" ca="1" si="20"/>
        <v>D</v>
      </c>
      <c r="N362" s="1" t="str">
        <f t="shared" ca="1" si="21"/>
        <v>D</v>
      </c>
      <c r="O362" s="1" t="str">
        <f t="shared" ca="1" si="22"/>
        <v>D</v>
      </c>
      <c r="P362" s="1" t="str">
        <f t="shared" ca="1" si="23"/>
        <v>D</v>
      </c>
      <c r="Q362" s="1" t="str">
        <f t="shared" ca="1" si="24"/>
        <v>D</v>
      </c>
      <c r="R362" s="1" t="str">
        <f t="shared" ca="1" si="25"/>
        <v>D</v>
      </c>
      <c r="S362" s="1" t="str">
        <f t="shared" ca="1" si="26"/>
        <v>D</v>
      </c>
      <c r="T362" s="1" t="str">
        <f t="shared" ca="1" si="27"/>
        <v>D</v>
      </c>
      <c r="U362" s="1" t="str">
        <f t="shared" ca="1" si="28"/>
        <v>D</v>
      </c>
      <c r="V362" s="1" t="str">
        <f t="shared" ca="1" si="29"/>
        <v>D</v>
      </c>
      <c r="W362" s="1" t="str">
        <f t="shared" ca="1" si="30"/>
        <v>Rio Hope-Gund</v>
      </c>
    </row>
    <row r="363" spans="1:23">
      <c r="A363" s="1" t="str">
        <f ca="1">IFERROR(__xludf.DUMMYFUNCTION("""COMPUTED_VALUE"""),"Jackson")</f>
        <v>Jackson</v>
      </c>
      <c r="B363" s="1" t="str">
        <f ca="1">IFERROR(__xludf.DUMMYFUNCTION("""COMPUTED_VALUE"""),"Hopkins")</f>
        <v>Hopkins</v>
      </c>
      <c r="C363" s="1" t="str">
        <f ca="1">IFERROR(__xludf.DUMMYFUNCTION("""COMPUTED_VALUE"""),"DC United")</f>
        <v>DC United</v>
      </c>
      <c r="D363" s="1" t="str">
        <f ca="1">IFERROR(__xludf.DUMMYFUNCTION("""COMPUTED_VALUE"""),"Center Forward")</f>
        <v>Center Forward</v>
      </c>
      <c r="E363" s="2">
        <f ca="1">IFERROR(__xludf.DUMMYFUNCTION("""COMPUTED_VALUE"""),89716)</f>
        <v>89716</v>
      </c>
      <c r="F363" s="2">
        <f ca="1">IFERROR(__xludf.DUMMYFUNCTION("""COMPUTED_VALUE"""),90002)</f>
        <v>90002</v>
      </c>
      <c r="H363" s="1" t="str">
        <f t="shared" ca="1" si="16"/>
        <v>Center Forward</v>
      </c>
      <c r="I363" s="3" t="str">
        <f t="shared" ca="1" si="17"/>
        <v>Center Forward</v>
      </c>
      <c r="J363" s="1" t="str">
        <f t="shared" ca="1" si="18"/>
        <v>Center Forward</v>
      </c>
      <c r="K363" s="1" t="str">
        <f t="shared" ca="1" si="31"/>
        <v>Center Forward</v>
      </c>
      <c r="L363" s="1" t="str">
        <f t="shared" ca="1" si="19"/>
        <v>Center Forward</v>
      </c>
      <c r="M363" s="1" t="str">
        <f t="shared" ca="1" si="20"/>
        <v>Center Forward</v>
      </c>
      <c r="N363" s="1" t="str">
        <f t="shared" ca="1" si="21"/>
        <v>Center Forward</v>
      </c>
      <c r="O363" s="1" t="str">
        <f t="shared" ca="1" si="22"/>
        <v>F</v>
      </c>
      <c r="P363" s="1" t="str">
        <f t="shared" ca="1" si="23"/>
        <v>F</v>
      </c>
      <c r="Q363" s="1" t="str">
        <f t="shared" ca="1" si="24"/>
        <v>F</v>
      </c>
      <c r="R363" s="1" t="str">
        <f t="shared" ca="1" si="25"/>
        <v>F</v>
      </c>
      <c r="S363" s="1" t="str">
        <f t="shared" ca="1" si="26"/>
        <v>F</v>
      </c>
      <c r="T363" s="1" t="str">
        <f t="shared" ca="1" si="27"/>
        <v>F</v>
      </c>
      <c r="U363" s="1" t="str">
        <f t="shared" ca="1" si="28"/>
        <v>F</v>
      </c>
      <c r="V363" s="1" t="str">
        <f t="shared" ca="1" si="29"/>
        <v>F</v>
      </c>
      <c r="W363" s="1" t="str">
        <f t="shared" ca="1" si="30"/>
        <v>Jackson Hopkins</v>
      </c>
    </row>
    <row r="364" spans="1:23">
      <c r="A364" s="1" t="str">
        <f ca="1">IFERROR(__xludf.DUMMYFUNCTION("""COMPUTED_VALUE"""),"Keegan")</f>
        <v>Keegan</v>
      </c>
      <c r="B364" s="1" t="str">
        <f ca="1">IFERROR(__xludf.DUMMYFUNCTION("""COMPUTED_VALUE"""),"Hughes")</f>
        <v>Hughes</v>
      </c>
      <c r="C364" s="1" t="str">
        <f ca="1">IFERROR(__xludf.DUMMYFUNCTION("""COMPUTED_VALUE"""),"Columbus Crew")</f>
        <v>Columbus Crew</v>
      </c>
      <c r="D364" s="1" t="str">
        <f ca="1">IFERROR(__xludf.DUMMYFUNCTION("""COMPUTED_VALUE"""),"Center-back")</f>
        <v>Center-back</v>
      </c>
      <c r="E364" s="2">
        <f ca="1">IFERROR(__xludf.DUMMYFUNCTION("""COMPUTED_VALUE"""),89716)</f>
        <v>89716</v>
      </c>
      <c r="F364" s="2">
        <f ca="1">IFERROR(__xludf.DUMMYFUNCTION("""COMPUTED_VALUE"""),89716)</f>
        <v>89716</v>
      </c>
      <c r="H364" s="1" t="str">
        <f t="shared" ca="1" si="16"/>
        <v>D</v>
      </c>
      <c r="I364" s="3" t="str">
        <f t="shared" ca="1" si="17"/>
        <v>D</v>
      </c>
      <c r="J364" s="1" t="str">
        <f t="shared" ca="1" si="18"/>
        <v>D</v>
      </c>
      <c r="K364" s="1" t="str">
        <f t="shared" ca="1" si="31"/>
        <v>D</v>
      </c>
      <c r="L364" s="1" t="str">
        <f t="shared" ca="1" si="19"/>
        <v>D</v>
      </c>
      <c r="M364" s="1" t="str">
        <f t="shared" ca="1" si="20"/>
        <v>D</v>
      </c>
      <c r="N364" s="1" t="str">
        <f t="shared" ca="1" si="21"/>
        <v>D</v>
      </c>
      <c r="O364" s="1" t="str">
        <f t="shared" ca="1" si="22"/>
        <v>D</v>
      </c>
      <c r="P364" s="1" t="str">
        <f t="shared" ca="1" si="23"/>
        <v>D</v>
      </c>
      <c r="Q364" s="1" t="str">
        <f t="shared" ca="1" si="24"/>
        <v>D</v>
      </c>
      <c r="R364" s="1" t="str">
        <f t="shared" ca="1" si="25"/>
        <v>D</v>
      </c>
      <c r="S364" s="1" t="str">
        <f t="shared" ca="1" si="26"/>
        <v>D</v>
      </c>
      <c r="T364" s="1" t="str">
        <f t="shared" ca="1" si="27"/>
        <v>D</v>
      </c>
      <c r="U364" s="1" t="str">
        <f t="shared" ca="1" si="28"/>
        <v>D</v>
      </c>
      <c r="V364" s="1" t="str">
        <f t="shared" ca="1" si="29"/>
        <v>D</v>
      </c>
      <c r="W364" s="1" t="str">
        <f t="shared" ca="1" si="30"/>
        <v>Keegan Hughes</v>
      </c>
    </row>
    <row r="365" spans="1:23">
      <c r="A365" s="1" t="str">
        <f ca="1">IFERROR(__xludf.DUMMYFUNCTION("""COMPUTED_VALUE"""),"Franco")</f>
        <v>Franco</v>
      </c>
      <c r="B365" s="1" t="str">
        <f ca="1">IFERROR(__xludf.DUMMYFUNCTION("""COMPUTED_VALUE"""),"Ibarra")</f>
        <v>Ibarra</v>
      </c>
      <c r="C365" s="1" t="str">
        <f ca="1">IFERROR(__xludf.DUMMYFUNCTION("""COMPUTED_VALUE"""),"Atlanta United")</f>
        <v>Atlanta United</v>
      </c>
      <c r="D365" s="1" t="str">
        <f ca="1">IFERROR(__xludf.DUMMYFUNCTION("""COMPUTED_VALUE"""),"Defensive Midfield")</f>
        <v>Defensive Midfield</v>
      </c>
      <c r="E365" s="2">
        <f ca="1">IFERROR(__xludf.DUMMYFUNCTION("""COMPUTED_VALUE"""),600000)</f>
        <v>600000</v>
      </c>
      <c r="F365" s="2">
        <f ca="1">IFERROR(__xludf.DUMMYFUNCTION("""COMPUTED_VALUE"""),660000)</f>
        <v>660000</v>
      </c>
      <c r="H365" s="1" t="str">
        <f t="shared" ca="1" si="16"/>
        <v>Defensive Midfield</v>
      </c>
      <c r="I365" s="3" t="str">
        <f t="shared" ca="1" si="17"/>
        <v>Defensive Midfield</v>
      </c>
      <c r="J365" s="1" t="str">
        <f t="shared" ca="1" si="18"/>
        <v>Defensive Midfield</v>
      </c>
      <c r="K365" s="1" t="str">
        <f t="shared" ca="1" si="31"/>
        <v>M</v>
      </c>
      <c r="L365" s="1" t="str">
        <f t="shared" ca="1" si="19"/>
        <v>M</v>
      </c>
      <c r="M365" s="1" t="str">
        <f t="shared" ca="1" si="20"/>
        <v>M</v>
      </c>
      <c r="N365" s="1" t="str">
        <f t="shared" ca="1" si="21"/>
        <v>M</v>
      </c>
      <c r="O365" s="1" t="str">
        <f t="shared" ca="1" si="22"/>
        <v>M</v>
      </c>
      <c r="P365" s="1" t="str">
        <f t="shared" ca="1" si="23"/>
        <v>M</v>
      </c>
      <c r="Q365" s="1" t="str">
        <f t="shared" ca="1" si="24"/>
        <v>M</v>
      </c>
      <c r="R365" s="1" t="str">
        <f t="shared" ca="1" si="25"/>
        <v>M</v>
      </c>
      <c r="S365" s="1" t="str">
        <f t="shared" ca="1" si="26"/>
        <v>M</v>
      </c>
      <c r="T365" s="1" t="str">
        <f t="shared" ca="1" si="27"/>
        <v>M</v>
      </c>
      <c r="U365" s="1" t="str">
        <f t="shared" ca="1" si="28"/>
        <v>M</v>
      </c>
      <c r="V365" s="1" t="str">
        <f t="shared" ca="1" si="29"/>
        <v>M</v>
      </c>
      <c r="W365" s="1" t="str">
        <f t="shared" ca="1" si="30"/>
        <v>Franco Ibarra</v>
      </c>
    </row>
    <row r="366" spans="1:23">
      <c r="A366" s="1" t="str">
        <f ca="1">IFERROR(__xludf.DUMMYFUNCTION("""COMPUTED_VALUE"""),"Sebastien")</f>
        <v>Sebastien</v>
      </c>
      <c r="B366" s="1" t="str">
        <f ca="1">IFERROR(__xludf.DUMMYFUNCTION("""COMPUTED_VALUE"""),"Ibeagha")</f>
        <v>Ibeagha</v>
      </c>
      <c r="C366" s="1" t="str">
        <f ca="1">IFERROR(__xludf.DUMMYFUNCTION("""COMPUTED_VALUE"""),"FC Dallas")</f>
        <v>FC Dallas</v>
      </c>
      <c r="D366" s="1" t="str">
        <f ca="1">IFERROR(__xludf.DUMMYFUNCTION("""COMPUTED_VALUE"""),"Center-back")</f>
        <v>Center-back</v>
      </c>
      <c r="E366" s="2">
        <f ca="1">IFERROR(__xludf.DUMMYFUNCTION("""COMPUTED_VALUE"""),620000)</f>
        <v>620000</v>
      </c>
      <c r="F366" s="2">
        <f ca="1">IFERROR(__xludf.DUMMYFUNCTION("""COMPUTED_VALUE"""),683625)</f>
        <v>683625</v>
      </c>
      <c r="H366" s="1" t="str">
        <f t="shared" ca="1" si="16"/>
        <v>D</v>
      </c>
      <c r="I366" s="3" t="str">
        <f t="shared" ca="1" si="17"/>
        <v>D</v>
      </c>
      <c r="J366" s="1" t="str">
        <f t="shared" ca="1" si="18"/>
        <v>D</v>
      </c>
      <c r="K366" s="1" t="str">
        <f t="shared" ca="1" si="31"/>
        <v>D</v>
      </c>
      <c r="L366" s="1" t="str">
        <f t="shared" ca="1" si="19"/>
        <v>D</v>
      </c>
      <c r="M366" s="1" t="str">
        <f t="shared" ca="1" si="20"/>
        <v>D</v>
      </c>
      <c r="N366" s="1" t="str">
        <f t="shared" ca="1" si="21"/>
        <v>D</v>
      </c>
      <c r="O366" s="1" t="str">
        <f t="shared" ca="1" si="22"/>
        <v>D</v>
      </c>
      <c r="P366" s="1" t="str">
        <f t="shared" ca="1" si="23"/>
        <v>D</v>
      </c>
      <c r="Q366" s="1" t="str">
        <f t="shared" ca="1" si="24"/>
        <v>D</v>
      </c>
      <c r="R366" s="1" t="str">
        <f t="shared" ca="1" si="25"/>
        <v>D</v>
      </c>
      <c r="S366" s="1" t="str">
        <f t="shared" ca="1" si="26"/>
        <v>D</v>
      </c>
      <c r="T366" s="1" t="str">
        <f t="shared" ca="1" si="27"/>
        <v>D</v>
      </c>
      <c r="U366" s="1" t="str">
        <f t="shared" ca="1" si="28"/>
        <v>D</v>
      </c>
      <c r="V366" s="1" t="str">
        <f t="shared" ca="1" si="29"/>
        <v>D</v>
      </c>
      <c r="W366" s="1" t="str">
        <f t="shared" ca="1" si="30"/>
        <v>Sebastien Ibeagha</v>
      </c>
    </row>
    <row r="367" spans="1:23">
      <c r="A367" s="1" t="str">
        <f ca="1">IFERROR(__xludf.DUMMYFUNCTION("""COMPUTED_VALUE"""),"Sunusi")</f>
        <v>Sunusi</v>
      </c>
      <c r="B367" s="1" t="str">
        <f ca="1">IFERROR(__xludf.DUMMYFUNCTION("""COMPUTED_VALUE"""),"Ibrahim")</f>
        <v>Ibrahim</v>
      </c>
      <c r="C367" s="1" t="str">
        <f ca="1">IFERROR(__xludf.DUMMYFUNCTION("""COMPUTED_VALUE"""),"CF Montreal")</f>
        <v>CF Montreal</v>
      </c>
      <c r="D367" s="1" t="str">
        <f ca="1">IFERROR(__xludf.DUMMYFUNCTION("""COMPUTED_VALUE"""),"Center Forward")</f>
        <v>Center Forward</v>
      </c>
      <c r="E367" s="2">
        <f ca="1">IFERROR(__xludf.DUMMYFUNCTION("""COMPUTED_VALUE"""),350000)</f>
        <v>350000</v>
      </c>
      <c r="F367" s="2">
        <f ca="1">IFERROR(__xludf.DUMMYFUNCTION("""COMPUTED_VALUE"""),410000)</f>
        <v>410000</v>
      </c>
      <c r="H367" s="1" t="str">
        <f t="shared" ca="1" si="16"/>
        <v>Center Forward</v>
      </c>
      <c r="I367" s="3" t="str">
        <f t="shared" ca="1" si="17"/>
        <v>Center Forward</v>
      </c>
      <c r="J367" s="1" t="str">
        <f t="shared" ca="1" si="18"/>
        <v>Center Forward</v>
      </c>
      <c r="K367" s="1" t="str">
        <f t="shared" ca="1" si="31"/>
        <v>Center Forward</v>
      </c>
      <c r="L367" s="1" t="str">
        <f t="shared" ca="1" si="19"/>
        <v>Center Forward</v>
      </c>
      <c r="M367" s="1" t="str">
        <f t="shared" ca="1" si="20"/>
        <v>Center Forward</v>
      </c>
      <c r="N367" s="1" t="str">
        <f t="shared" ca="1" si="21"/>
        <v>Center Forward</v>
      </c>
      <c r="O367" s="1" t="str">
        <f t="shared" ca="1" si="22"/>
        <v>F</v>
      </c>
      <c r="P367" s="1" t="str">
        <f t="shared" ca="1" si="23"/>
        <v>F</v>
      </c>
      <c r="Q367" s="1" t="str">
        <f t="shared" ca="1" si="24"/>
        <v>F</v>
      </c>
      <c r="R367" s="1" t="str">
        <f t="shared" ca="1" si="25"/>
        <v>F</v>
      </c>
      <c r="S367" s="1" t="str">
        <f t="shared" ca="1" si="26"/>
        <v>F</v>
      </c>
      <c r="T367" s="1" t="str">
        <f t="shared" ca="1" si="27"/>
        <v>F</v>
      </c>
      <c r="U367" s="1" t="str">
        <f t="shared" ca="1" si="28"/>
        <v>F</v>
      </c>
      <c r="V367" s="1" t="str">
        <f t="shared" ca="1" si="29"/>
        <v>F</v>
      </c>
      <c r="W367" s="1" t="str">
        <f t="shared" ca="1" si="30"/>
        <v>Sunusi Ibrahim</v>
      </c>
    </row>
    <row r="368" spans="1:23">
      <c r="A368" s="1" t="str">
        <f ca="1">IFERROR(__xludf.DUMMYFUNCTION("""COMPUTED_VALUE"""),"Tega")</f>
        <v>Tega</v>
      </c>
      <c r="B368" s="1" t="str">
        <f ca="1">IFERROR(__xludf.DUMMYFUNCTION("""COMPUTED_VALUE"""),"Ikoba")</f>
        <v>Ikoba</v>
      </c>
      <c r="C368" s="1" t="str">
        <f ca="1">IFERROR(__xludf.DUMMYFUNCTION("""COMPUTED_VALUE"""),"Portland Timbers")</f>
        <v>Portland Timbers</v>
      </c>
      <c r="D368" s="1" t="str">
        <f ca="1">IFERROR(__xludf.DUMMYFUNCTION("""COMPUTED_VALUE"""),"Center Forward")</f>
        <v>Center Forward</v>
      </c>
      <c r="E368" s="2">
        <f ca="1">IFERROR(__xludf.DUMMYFUNCTION("""COMPUTED_VALUE"""),104000)</f>
        <v>104000</v>
      </c>
      <c r="F368" s="2">
        <f ca="1">IFERROR(__xludf.DUMMYFUNCTION("""COMPUTED_VALUE"""),104000)</f>
        <v>104000</v>
      </c>
      <c r="H368" s="1" t="str">
        <f t="shared" ca="1" si="16"/>
        <v>Center Forward</v>
      </c>
      <c r="I368" s="3" t="str">
        <f t="shared" ca="1" si="17"/>
        <v>Center Forward</v>
      </c>
      <c r="J368" s="1" t="str">
        <f t="shared" ca="1" si="18"/>
        <v>Center Forward</v>
      </c>
      <c r="K368" s="1" t="str">
        <f t="shared" ca="1" si="31"/>
        <v>Center Forward</v>
      </c>
      <c r="L368" s="1" t="str">
        <f t="shared" ca="1" si="19"/>
        <v>Center Forward</v>
      </c>
      <c r="M368" s="1" t="str">
        <f t="shared" ca="1" si="20"/>
        <v>Center Forward</v>
      </c>
      <c r="N368" s="1" t="str">
        <f t="shared" ca="1" si="21"/>
        <v>Center Forward</v>
      </c>
      <c r="O368" s="1" t="str">
        <f t="shared" ca="1" si="22"/>
        <v>F</v>
      </c>
      <c r="P368" s="1" t="str">
        <f t="shared" ca="1" si="23"/>
        <v>F</v>
      </c>
      <c r="Q368" s="1" t="str">
        <f t="shared" ca="1" si="24"/>
        <v>F</v>
      </c>
      <c r="R368" s="1" t="str">
        <f t="shared" ca="1" si="25"/>
        <v>F</v>
      </c>
      <c r="S368" s="1" t="str">
        <f t="shared" ca="1" si="26"/>
        <v>F</v>
      </c>
      <c r="T368" s="1" t="str">
        <f t="shared" ca="1" si="27"/>
        <v>F</v>
      </c>
      <c r="U368" s="1" t="str">
        <f t="shared" ca="1" si="28"/>
        <v>F</v>
      </c>
      <c r="V368" s="1" t="str">
        <f t="shared" ca="1" si="29"/>
        <v>F</v>
      </c>
      <c r="W368" s="1" t="str">
        <f t="shared" ca="1" si="30"/>
        <v>Tega Ikoba</v>
      </c>
    </row>
    <row r="369" spans="1:23">
      <c r="A369" s="1" t="str">
        <f ca="1">IFERROR(__xludf.DUMMYFUNCTION("""COMPUTED_VALUE"""),"Mitja")</f>
        <v>Mitja</v>
      </c>
      <c r="B369" s="1" t="str">
        <f ca="1">IFERROR(__xludf.DUMMYFUNCTION("""COMPUTED_VALUE"""),"Ilenic")</f>
        <v>Ilenic</v>
      </c>
      <c r="C369" s="1" t="str">
        <f ca="1">IFERROR(__xludf.DUMMYFUNCTION("""COMPUTED_VALUE"""),"New York City FC")</f>
        <v>New York City FC</v>
      </c>
      <c r="D369" s="1" t="str">
        <f ca="1">IFERROR(__xludf.DUMMYFUNCTION("""COMPUTED_VALUE"""),"Right-back")</f>
        <v>Right-back</v>
      </c>
      <c r="E369" s="2">
        <f ca="1">IFERROR(__xludf.DUMMYFUNCTION("""COMPUTED_VALUE"""),240000)</f>
        <v>240000</v>
      </c>
      <c r="F369" s="2">
        <f ca="1">IFERROR(__xludf.DUMMYFUNCTION("""COMPUTED_VALUE"""),331700)</f>
        <v>331700</v>
      </c>
      <c r="H369" s="1" t="str">
        <f t="shared" ca="1" si="16"/>
        <v>Right-back</v>
      </c>
      <c r="I369" s="3" t="str">
        <f t="shared" ca="1" si="17"/>
        <v>Right-back</v>
      </c>
      <c r="J369" s="1" t="str">
        <f t="shared" ca="1" si="18"/>
        <v>D</v>
      </c>
      <c r="K369" s="1" t="str">
        <f t="shared" ca="1" si="31"/>
        <v>D</v>
      </c>
      <c r="L369" s="1" t="str">
        <f t="shared" ca="1" si="19"/>
        <v>D</v>
      </c>
      <c r="M369" s="1" t="str">
        <f t="shared" ca="1" si="20"/>
        <v>D</v>
      </c>
      <c r="N369" s="1" t="str">
        <f t="shared" ca="1" si="21"/>
        <v>D</v>
      </c>
      <c r="O369" s="1" t="str">
        <f t="shared" ca="1" si="22"/>
        <v>D</v>
      </c>
      <c r="P369" s="1" t="str">
        <f t="shared" ca="1" si="23"/>
        <v>D</v>
      </c>
      <c r="Q369" s="1" t="str">
        <f t="shared" ca="1" si="24"/>
        <v>D</v>
      </c>
      <c r="R369" s="1" t="str">
        <f t="shared" ca="1" si="25"/>
        <v>D</v>
      </c>
      <c r="S369" s="1" t="str">
        <f t="shared" ca="1" si="26"/>
        <v>D</v>
      </c>
      <c r="T369" s="1" t="str">
        <f t="shared" ca="1" si="27"/>
        <v>D</v>
      </c>
      <c r="U369" s="1" t="str">
        <f t="shared" ca="1" si="28"/>
        <v>D</v>
      </c>
      <c r="V369" s="1" t="str">
        <f t="shared" ca="1" si="29"/>
        <v>D</v>
      </c>
      <c r="W369" s="1" t="str">
        <f t="shared" ca="1" si="30"/>
        <v>Mitja Ilenic</v>
      </c>
    </row>
    <row r="370" spans="1:23">
      <c r="A370" s="1" t="str">
        <f ca="1">IFERROR(__xludf.DUMMYFUNCTION("""COMPUTED_VALUE"""),"Ilias")</f>
        <v>Ilias</v>
      </c>
      <c r="B370" s="1" t="str">
        <f ca="1">IFERROR(__xludf.DUMMYFUNCTION("""COMPUTED_VALUE"""),"Iliadis")</f>
        <v>Iliadis</v>
      </c>
      <c r="C370" s="1" t="str">
        <f ca="1">IFERROR(__xludf.DUMMYFUNCTION("""COMPUTED_VALUE"""),"CF Montreal")</f>
        <v>CF Montreal</v>
      </c>
      <c r="D370" s="1" t="str">
        <f ca="1">IFERROR(__xludf.DUMMYFUNCTION("""COMPUTED_VALUE"""),"Defensive Midfield")</f>
        <v>Defensive Midfield</v>
      </c>
      <c r="E370" s="2">
        <f ca="1">IFERROR(__xludf.DUMMYFUNCTION("""COMPUTED_VALUE"""),89716)</f>
        <v>89716</v>
      </c>
      <c r="F370" s="2">
        <f ca="1">IFERROR(__xludf.DUMMYFUNCTION("""COMPUTED_VALUE"""),96591)</f>
        <v>96591</v>
      </c>
      <c r="H370" s="1" t="str">
        <f t="shared" ca="1" si="16"/>
        <v>Defensive Midfield</v>
      </c>
      <c r="I370" s="3" t="str">
        <f t="shared" ca="1" si="17"/>
        <v>Defensive Midfield</v>
      </c>
      <c r="J370" s="1" t="str">
        <f t="shared" ca="1" si="18"/>
        <v>Defensive Midfield</v>
      </c>
      <c r="K370" s="1" t="str">
        <f t="shared" ca="1" si="31"/>
        <v>M</v>
      </c>
      <c r="L370" s="1" t="str">
        <f t="shared" ca="1" si="19"/>
        <v>M</v>
      </c>
      <c r="M370" s="1" t="str">
        <f t="shared" ca="1" si="20"/>
        <v>M</v>
      </c>
      <c r="N370" s="1" t="str">
        <f t="shared" ca="1" si="21"/>
        <v>M</v>
      </c>
      <c r="O370" s="1" t="str">
        <f t="shared" ca="1" si="22"/>
        <v>M</v>
      </c>
      <c r="P370" s="1" t="str">
        <f t="shared" ca="1" si="23"/>
        <v>M</v>
      </c>
      <c r="Q370" s="1" t="str">
        <f t="shared" ca="1" si="24"/>
        <v>M</v>
      </c>
      <c r="R370" s="1" t="str">
        <f t="shared" ca="1" si="25"/>
        <v>M</v>
      </c>
      <c r="S370" s="1" t="str">
        <f t="shared" ca="1" si="26"/>
        <v>M</v>
      </c>
      <c r="T370" s="1" t="str">
        <f t="shared" ca="1" si="27"/>
        <v>M</v>
      </c>
      <c r="U370" s="1" t="str">
        <f t="shared" ca="1" si="28"/>
        <v>M</v>
      </c>
      <c r="V370" s="1" t="str">
        <f t="shared" ca="1" si="29"/>
        <v>M</v>
      </c>
      <c r="W370" s="1" t="str">
        <f t="shared" ca="1" si="30"/>
        <v>Ilias Iliadis</v>
      </c>
    </row>
    <row r="371" spans="1:23">
      <c r="A371" s="1" t="str">
        <f ca="1">IFERROR(__xludf.DUMMYFUNCTION("""COMPUTED_VALUE"""),"Marko")</f>
        <v>Marko</v>
      </c>
      <c r="B371" s="1" t="str">
        <f ca="1">IFERROR(__xludf.DUMMYFUNCTION("""COMPUTED_VALUE"""),"Ilic")</f>
        <v>Ilic</v>
      </c>
      <c r="C371" s="1" t="str">
        <f ca="1">IFERROR(__xludf.DUMMYFUNCTION("""COMPUTED_VALUE"""),"Colorado Rapids")</f>
        <v>Colorado Rapids</v>
      </c>
      <c r="D371" s="1" t="str">
        <f ca="1">IFERROR(__xludf.DUMMYFUNCTION("""COMPUTED_VALUE"""),"Goalkeeper")</f>
        <v>Goalkeeper</v>
      </c>
      <c r="E371" s="2">
        <f ca="1">IFERROR(__xludf.DUMMYFUNCTION("""COMPUTED_VALUE"""),420000)</f>
        <v>420000</v>
      </c>
      <c r="F371" s="2">
        <f ca="1">IFERROR(__xludf.DUMMYFUNCTION("""COMPUTED_VALUE"""),442850)</f>
        <v>442850</v>
      </c>
      <c r="H371" s="1" t="str">
        <f t="shared" ca="1" si="16"/>
        <v>Goalkeeper</v>
      </c>
      <c r="I371" s="3" t="str">
        <f t="shared" ca="1" si="17"/>
        <v>Goalkeeper</v>
      </c>
      <c r="J371" s="1" t="str">
        <f t="shared" ca="1" si="18"/>
        <v>Goalkeeper</v>
      </c>
      <c r="K371" s="1" t="str">
        <f t="shared" ca="1" si="31"/>
        <v>Goalkeeper</v>
      </c>
      <c r="L371" s="1" t="str">
        <f t="shared" ca="1" si="19"/>
        <v>Goalkeeper</v>
      </c>
      <c r="M371" s="1" t="str">
        <f t="shared" ca="1" si="20"/>
        <v>Goalkeeper</v>
      </c>
      <c r="N371" s="1" t="str">
        <f t="shared" ca="1" si="21"/>
        <v>Goalkeeper</v>
      </c>
      <c r="O371" s="1" t="str">
        <f t="shared" ca="1" si="22"/>
        <v>Goalkeeper</v>
      </c>
      <c r="P371" s="1" t="str">
        <f t="shared" ca="1" si="23"/>
        <v>Goalkeeper</v>
      </c>
      <c r="Q371" s="1" t="str">
        <f t="shared" ca="1" si="24"/>
        <v>Goalkeeper</v>
      </c>
      <c r="R371" s="1" t="str">
        <f t="shared" ca="1" si="25"/>
        <v>GK</v>
      </c>
      <c r="S371" s="1" t="str">
        <f t="shared" ca="1" si="26"/>
        <v>GK</v>
      </c>
      <c r="T371" s="1" t="str">
        <f t="shared" ca="1" si="27"/>
        <v>GK</v>
      </c>
      <c r="U371" s="1" t="str">
        <f t="shared" ca="1" si="28"/>
        <v>GK</v>
      </c>
      <c r="V371" s="1" t="str">
        <f t="shared" ca="1" si="29"/>
        <v>GK</v>
      </c>
      <c r="W371" s="1" t="str">
        <f t="shared" ca="1" si="30"/>
        <v>Marko Ilic</v>
      </c>
    </row>
    <row r="372" spans="1:23">
      <c r="A372" s="1" t="str">
        <f ca="1">IFERROR(__xludf.DUMMYFUNCTION("""COMPUTED_VALUE"""),"Asier")</f>
        <v>Asier</v>
      </c>
      <c r="B372" s="1" t="str">
        <f ca="1">IFERROR(__xludf.DUMMYFUNCTION("""COMPUTED_VALUE"""),"Illarramendi")</f>
        <v>Illarramendi</v>
      </c>
      <c r="C372" s="1" t="str">
        <f ca="1">IFERROR(__xludf.DUMMYFUNCTION("""COMPUTED_VALUE"""),"FC Dallas")</f>
        <v>FC Dallas</v>
      </c>
      <c r="D372" s="1" t="str">
        <f ca="1">IFERROR(__xludf.DUMMYFUNCTION("""COMPUTED_VALUE"""),"Defensive Midfield")</f>
        <v>Defensive Midfield</v>
      </c>
      <c r="E372" s="2">
        <f ca="1">IFERROR(__xludf.DUMMYFUNCTION("""COMPUTED_VALUE"""),500000)</f>
        <v>500000</v>
      </c>
      <c r="F372" s="2">
        <f ca="1">IFERROR(__xludf.DUMMYFUNCTION("""COMPUTED_VALUE"""),549750)</f>
        <v>549750</v>
      </c>
      <c r="H372" s="1" t="str">
        <f t="shared" ca="1" si="16"/>
        <v>Defensive Midfield</v>
      </c>
      <c r="I372" s="3" t="str">
        <f t="shared" ca="1" si="17"/>
        <v>Defensive Midfield</v>
      </c>
      <c r="J372" s="1" t="str">
        <f t="shared" ca="1" si="18"/>
        <v>Defensive Midfield</v>
      </c>
      <c r="K372" s="1" t="str">
        <f t="shared" ca="1" si="31"/>
        <v>M</v>
      </c>
      <c r="L372" s="1" t="str">
        <f t="shared" ca="1" si="19"/>
        <v>M</v>
      </c>
      <c r="M372" s="1" t="str">
        <f t="shared" ca="1" si="20"/>
        <v>M</v>
      </c>
      <c r="N372" s="1" t="str">
        <f t="shared" ca="1" si="21"/>
        <v>M</v>
      </c>
      <c r="O372" s="1" t="str">
        <f t="shared" ca="1" si="22"/>
        <v>M</v>
      </c>
      <c r="P372" s="1" t="str">
        <f t="shared" ca="1" si="23"/>
        <v>M</v>
      </c>
      <c r="Q372" s="1" t="str">
        <f t="shared" ca="1" si="24"/>
        <v>M</v>
      </c>
      <c r="R372" s="1" t="str">
        <f t="shared" ca="1" si="25"/>
        <v>M</v>
      </c>
      <c r="S372" s="1" t="str">
        <f t="shared" ca="1" si="26"/>
        <v>M</v>
      </c>
      <c r="T372" s="1" t="str">
        <f t="shared" ca="1" si="27"/>
        <v>M</v>
      </c>
      <c r="U372" s="1" t="str">
        <f t="shared" ca="1" si="28"/>
        <v>M</v>
      </c>
      <c r="V372" s="1" t="str">
        <f t="shared" ca="1" si="29"/>
        <v>M</v>
      </c>
      <c r="W372" s="1" t="str">
        <f t="shared" ca="1" si="30"/>
        <v>Asier Illarramendi</v>
      </c>
    </row>
    <row r="373" spans="1:23">
      <c r="A373" s="1" t="str">
        <f ca="1">IFERROR(__xludf.DUMMYFUNCTION("""COMPUTED_VALUE"""),"Lorenzo")</f>
        <v>Lorenzo</v>
      </c>
      <c r="B373" s="1" t="str">
        <f ca="1">IFERROR(__xludf.DUMMYFUNCTION("""COMPUTED_VALUE"""),"Insigne")</f>
        <v>Insigne</v>
      </c>
      <c r="C373" s="1" t="str">
        <f ca="1">IFERROR(__xludf.DUMMYFUNCTION("""COMPUTED_VALUE"""),"Toronto FC")</f>
        <v>Toronto FC</v>
      </c>
      <c r="D373" s="1" t="str">
        <f ca="1">IFERROR(__xludf.DUMMYFUNCTION("""COMPUTED_VALUE"""),"Left Wing")</f>
        <v>Left Wing</v>
      </c>
      <c r="E373" s="2">
        <f ca="1">IFERROR(__xludf.DUMMYFUNCTION("""COMPUTED_VALUE"""),7500000)</f>
        <v>7500000</v>
      </c>
      <c r="F373" s="2">
        <f ca="1">IFERROR(__xludf.DUMMYFUNCTION("""COMPUTED_VALUE"""),15400000)</f>
        <v>15400000</v>
      </c>
      <c r="H373" s="1" t="str">
        <f t="shared" ca="1" si="16"/>
        <v>Left Wing</v>
      </c>
      <c r="I373" s="3" t="str">
        <f t="shared" ca="1" si="17"/>
        <v>Left Wing</v>
      </c>
      <c r="J373" s="1" t="str">
        <f t="shared" ca="1" si="18"/>
        <v>Left Wing</v>
      </c>
      <c r="K373" s="1" t="str">
        <f t="shared" ca="1" si="31"/>
        <v>Left Wing</v>
      </c>
      <c r="L373" s="1" t="str">
        <f t="shared" ca="1" si="19"/>
        <v>Left Wing</v>
      </c>
      <c r="M373" s="1" t="str">
        <f t="shared" ca="1" si="20"/>
        <v>Left Wing</v>
      </c>
      <c r="N373" s="1" t="str">
        <f t="shared" ca="1" si="21"/>
        <v>Left Wing</v>
      </c>
      <c r="O373" s="1" t="str">
        <f t="shared" ca="1" si="22"/>
        <v>Left Wing</v>
      </c>
      <c r="P373" s="1" t="str">
        <f t="shared" ca="1" si="23"/>
        <v>F</v>
      </c>
      <c r="Q373" s="1" t="str">
        <f t="shared" ca="1" si="24"/>
        <v>F</v>
      </c>
      <c r="R373" s="1" t="str">
        <f t="shared" ca="1" si="25"/>
        <v>F</v>
      </c>
      <c r="S373" s="1" t="str">
        <f t="shared" ca="1" si="26"/>
        <v>F</v>
      </c>
      <c r="T373" s="1" t="str">
        <f t="shared" ca="1" si="27"/>
        <v>F</v>
      </c>
      <c r="U373" s="1" t="str">
        <f t="shared" ca="1" si="28"/>
        <v>F</v>
      </c>
      <c r="V373" s="1" t="str">
        <f t="shared" ca="1" si="29"/>
        <v>F</v>
      </c>
      <c r="W373" s="1" t="str">
        <f t="shared" ca="1" si="30"/>
        <v>Lorenzo Insigne</v>
      </c>
    </row>
    <row r="374" spans="1:23">
      <c r="A374" s="1" t="str">
        <f ca="1">IFERROR(__xludf.DUMMYFUNCTION("""COMPUTED_VALUE"""),"Clint")</f>
        <v>Clint</v>
      </c>
      <c r="B374" s="1" t="str">
        <f ca="1">IFERROR(__xludf.DUMMYFUNCTION("""COMPUTED_VALUE"""),"Irwin")</f>
        <v>Irwin</v>
      </c>
      <c r="C374" s="1" t="str">
        <f ca="1">IFERROR(__xludf.DUMMYFUNCTION("""COMPUTED_VALUE"""),"Minnesota United")</f>
        <v>Minnesota United</v>
      </c>
      <c r="D374" s="1" t="str">
        <f ca="1">IFERROR(__xludf.DUMMYFUNCTION("""COMPUTED_VALUE"""),"Goalkeeper")</f>
        <v>Goalkeeper</v>
      </c>
      <c r="E374" s="2">
        <f ca="1">IFERROR(__xludf.DUMMYFUNCTION("""COMPUTED_VALUE"""),190000)</f>
        <v>190000</v>
      </c>
      <c r="F374" s="2">
        <f ca="1">IFERROR(__xludf.DUMMYFUNCTION("""COMPUTED_VALUE"""),203533)</f>
        <v>203533</v>
      </c>
      <c r="H374" s="1" t="str">
        <f t="shared" ca="1" si="16"/>
        <v>Goalkeeper</v>
      </c>
      <c r="I374" s="3" t="str">
        <f t="shared" ca="1" si="17"/>
        <v>Goalkeeper</v>
      </c>
      <c r="J374" s="1" t="str">
        <f t="shared" ca="1" si="18"/>
        <v>Goalkeeper</v>
      </c>
      <c r="K374" s="1" t="str">
        <f t="shared" ca="1" si="31"/>
        <v>Goalkeeper</v>
      </c>
      <c r="L374" s="1" t="str">
        <f t="shared" ca="1" si="19"/>
        <v>Goalkeeper</v>
      </c>
      <c r="M374" s="1" t="str">
        <f t="shared" ca="1" si="20"/>
        <v>Goalkeeper</v>
      </c>
      <c r="N374" s="1" t="str">
        <f t="shared" ca="1" si="21"/>
        <v>Goalkeeper</v>
      </c>
      <c r="O374" s="1" t="str">
        <f t="shared" ca="1" si="22"/>
        <v>Goalkeeper</v>
      </c>
      <c r="P374" s="1" t="str">
        <f t="shared" ca="1" si="23"/>
        <v>Goalkeeper</v>
      </c>
      <c r="Q374" s="1" t="str">
        <f t="shared" ca="1" si="24"/>
        <v>Goalkeeper</v>
      </c>
      <c r="R374" s="1" t="str">
        <f t="shared" ca="1" si="25"/>
        <v>GK</v>
      </c>
      <c r="S374" s="1" t="str">
        <f t="shared" ca="1" si="26"/>
        <v>GK</v>
      </c>
      <c r="T374" s="1" t="str">
        <f t="shared" ca="1" si="27"/>
        <v>GK</v>
      </c>
      <c r="U374" s="1" t="str">
        <f t="shared" ca="1" si="28"/>
        <v>GK</v>
      </c>
      <c r="V374" s="1" t="str">
        <f t="shared" ca="1" si="29"/>
        <v>GK</v>
      </c>
      <c r="W374" s="1" t="str">
        <f t="shared" ca="1" si="30"/>
        <v>Clint Irwin</v>
      </c>
    </row>
    <row r="375" spans="1:23">
      <c r="A375" s="1" t="str">
        <f ca="1">IFERROR(__xludf.DUMMYFUNCTION("""COMPUTED_VALUE"""),"Aljaz")</f>
        <v>Aljaz</v>
      </c>
      <c r="B375" s="1" t="str">
        <f ca="1">IFERROR(__xludf.DUMMYFUNCTION("""COMPUTED_VALUE"""),"Ivacic")</f>
        <v>Ivacic</v>
      </c>
      <c r="C375" s="1" t="str">
        <f ca="1">IFERROR(__xludf.DUMMYFUNCTION("""COMPUTED_VALUE"""),"New England Revolution")</f>
        <v>New England Revolution</v>
      </c>
      <c r="D375" s="1" t="str">
        <f ca="1">IFERROR(__xludf.DUMMYFUNCTION("""COMPUTED_VALUE"""),"Goalkeeper")</f>
        <v>Goalkeeper</v>
      </c>
      <c r="E375" s="2">
        <f ca="1">IFERROR(__xludf.DUMMYFUNCTION("""COMPUTED_VALUE"""),385000)</f>
        <v>385000</v>
      </c>
      <c r="F375" s="2">
        <f ca="1">IFERROR(__xludf.DUMMYFUNCTION("""COMPUTED_VALUE"""),470000)</f>
        <v>470000</v>
      </c>
      <c r="H375" s="1" t="str">
        <f t="shared" ca="1" si="16"/>
        <v>Goalkeeper</v>
      </c>
      <c r="I375" s="3" t="str">
        <f t="shared" ca="1" si="17"/>
        <v>Goalkeeper</v>
      </c>
      <c r="J375" s="1" t="str">
        <f t="shared" ca="1" si="18"/>
        <v>Goalkeeper</v>
      </c>
      <c r="K375" s="1" t="str">
        <f t="shared" ca="1" si="31"/>
        <v>Goalkeeper</v>
      </c>
      <c r="L375" s="1" t="str">
        <f t="shared" ca="1" si="19"/>
        <v>Goalkeeper</v>
      </c>
      <c r="M375" s="1" t="str">
        <f t="shared" ca="1" si="20"/>
        <v>Goalkeeper</v>
      </c>
      <c r="N375" s="1" t="str">
        <f t="shared" ca="1" si="21"/>
        <v>Goalkeeper</v>
      </c>
      <c r="O375" s="1" t="str">
        <f t="shared" ca="1" si="22"/>
        <v>Goalkeeper</v>
      </c>
      <c r="P375" s="1" t="str">
        <f t="shared" ca="1" si="23"/>
        <v>Goalkeeper</v>
      </c>
      <c r="Q375" s="1" t="str">
        <f t="shared" ca="1" si="24"/>
        <v>Goalkeeper</v>
      </c>
      <c r="R375" s="1" t="str">
        <f t="shared" ca="1" si="25"/>
        <v>GK</v>
      </c>
      <c r="S375" s="1" t="str">
        <f t="shared" ca="1" si="26"/>
        <v>GK</v>
      </c>
      <c r="T375" s="1" t="str">
        <f t="shared" ca="1" si="27"/>
        <v>GK</v>
      </c>
      <c r="U375" s="1" t="str">
        <f t="shared" ca="1" si="28"/>
        <v>GK</v>
      </c>
      <c r="V375" s="1" t="str">
        <f t="shared" ca="1" si="29"/>
        <v>GK</v>
      </c>
      <c r="W375" s="1" t="str">
        <f t="shared" ca="1" si="30"/>
        <v>Aljaz Ivacic</v>
      </c>
    </row>
    <row r="376" spans="1:23">
      <c r="A376" s="1" t="str">
        <f ca="1">IFERROR(__xludf.DUMMYFUNCTION("""COMPUTED_VALUE"""),"Ousman")</f>
        <v>Ousman</v>
      </c>
      <c r="B376" s="1" t="str">
        <f ca="1">IFERROR(__xludf.DUMMYFUNCTION("""COMPUTED_VALUE"""),"Jabang")</f>
        <v>Jabang</v>
      </c>
      <c r="C376" s="1" t="str">
        <f ca="1">IFERROR(__xludf.DUMMYFUNCTION("""COMPUTED_VALUE"""),"CF Montreal")</f>
        <v>CF Montreal</v>
      </c>
      <c r="D376" s="1" t="str">
        <f ca="1">IFERROR(__xludf.DUMMYFUNCTION("""COMPUTED_VALUE"""),"Defensive Midfield")</f>
        <v>Defensive Midfield</v>
      </c>
      <c r="E376" s="2">
        <f ca="1">IFERROR(__xludf.DUMMYFUNCTION("""COMPUTED_VALUE"""),71401)</f>
        <v>71401</v>
      </c>
      <c r="F376" s="2">
        <f ca="1">IFERROR(__xludf.DUMMYFUNCTION("""COMPUTED_VALUE"""),71401)</f>
        <v>71401</v>
      </c>
      <c r="H376" s="1" t="str">
        <f t="shared" ca="1" si="16"/>
        <v>Defensive Midfield</v>
      </c>
      <c r="I376" s="3" t="str">
        <f t="shared" ca="1" si="17"/>
        <v>Defensive Midfield</v>
      </c>
      <c r="J376" s="1" t="str">
        <f t="shared" ca="1" si="18"/>
        <v>Defensive Midfield</v>
      </c>
      <c r="K376" s="1" t="str">
        <f t="shared" ca="1" si="31"/>
        <v>M</v>
      </c>
      <c r="L376" s="1" t="str">
        <f t="shared" ca="1" si="19"/>
        <v>M</v>
      </c>
      <c r="M376" s="1" t="str">
        <f t="shared" ca="1" si="20"/>
        <v>M</v>
      </c>
      <c r="N376" s="1" t="str">
        <f t="shared" ca="1" si="21"/>
        <v>M</v>
      </c>
      <c r="O376" s="1" t="str">
        <f t="shared" ca="1" si="22"/>
        <v>M</v>
      </c>
      <c r="P376" s="1" t="str">
        <f t="shared" ca="1" si="23"/>
        <v>M</v>
      </c>
      <c r="Q376" s="1" t="str">
        <f t="shared" ca="1" si="24"/>
        <v>M</v>
      </c>
      <c r="R376" s="1" t="str">
        <f t="shared" ca="1" si="25"/>
        <v>M</v>
      </c>
      <c r="S376" s="1" t="str">
        <f t="shared" ca="1" si="26"/>
        <v>M</v>
      </c>
      <c r="T376" s="1" t="str">
        <f t="shared" ca="1" si="27"/>
        <v>M</v>
      </c>
      <c r="U376" s="1" t="str">
        <f t="shared" ca="1" si="28"/>
        <v>M</v>
      </c>
      <c r="V376" s="1" t="str">
        <f t="shared" ca="1" si="29"/>
        <v>M</v>
      </c>
      <c r="W376" s="1" t="str">
        <f t="shared" ca="1" si="30"/>
        <v>Ousman Jabang</v>
      </c>
    </row>
    <row r="377" spans="1:23">
      <c r="A377" s="1" t="str">
        <f ca="1">IFERROR(__xludf.DUMMYFUNCTION("""COMPUTED_VALUE"""),"Jacob")</f>
        <v>Jacob</v>
      </c>
      <c r="B377" s="1" t="str">
        <f ca="1">IFERROR(__xludf.DUMMYFUNCTION("""COMPUTED_VALUE"""),"Jackson")</f>
        <v>Jackson</v>
      </c>
      <c r="C377" s="1" t="str">
        <f ca="1">IFERROR(__xludf.DUMMYFUNCTION("""COMPUTED_VALUE"""),"New England Revolution")</f>
        <v>New England Revolution</v>
      </c>
      <c r="D377" s="1" t="str">
        <f ca="1">IFERROR(__xludf.DUMMYFUNCTION("""COMPUTED_VALUE"""),"Goalkeeper")</f>
        <v>Goalkeeper</v>
      </c>
      <c r="E377" s="2">
        <f ca="1">IFERROR(__xludf.DUMMYFUNCTION("""COMPUTED_VALUE"""),89716)</f>
        <v>89716</v>
      </c>
      <c r="F377" s="2">
        <f ca="1">IFERROR(__xludf.DUMMYFUNCTION("""COMPUTED_VALUE"""),89716)</f>
        <v>89716</v>
      </c>
      <c r="H377" s="1" t="str">
        <f t="shared" ca="1" si="16"/>
        <v>Goalkeeper</v>
      </c>
      <c r="I377" s="3" t="str">
        <f t="shared" ca="1" si="17"/>
        <v>Goalkeeper</v>
      </c>
      <c r="J377" s="1" t="str">
        <f t="shared" ca="1" si="18"/>
        <v>Goalkeeper</v>
      </c>
      <c r="K377" s="1" t="str">
        <f t="shared" ca="1" si="31"/>
        <v>Goalkeeper</v>
      </c>
      <c r="L377" s="1" t="str">
        <f t="shared" ca="1" si="19"/>
        <v>Goalkeeper</v>
      </c>
      <c r="M377" s="1" t="str">
        <f t="shared" ca="1" si="20"/>
        <v>Goalkeeper</v>
      </c>
      <c r="N377" s="1" t="str">
        <f t="shared" ca="1" si="21"/>
        <v>Goalkeeper</v>
      </c>
      <c r="O377" s="1" t="str">
        <f t="shared" ca="1" si="22"/>
        <v>Goalkeeper</v>
      </c>
      <c r="P377" s="1" t="str">
        <f t="shared" ca="1" si="23"/>
        <v>Goalkeeper</v>
      </c>
      <c r="Q377" s="1" t="str">
        <f t="shared" ca="1" si="24"/>
        <v>Goalkeeper</v>
      </c>
      <c r="R377" s="1" t="str">
        <f t="shared" ca="1" si="25"/>
        <v>GK</v>
      </c>
      <c r="S377" s="1" t="str">
        <f t="shared" ca="1" si="26"/>
        <v>GK</v>
      </c>
      <c r="T377" s="1" t="str">
        <f t="shared" ca="1" si="27"/>
        <v>GK</v>
      </c>
      <c r="U377" s="1" t="str">
        <f t="shared" ca="1" si="28"/>
        <v>GK</v>
      </c>
      <c r="V377" s="1" t="str">
        <f t="shared" ca="1" si="29"/>
        <v>GK</v>
      </c>
      <c r="W377" s="1" t="str">
        <f t="shared" ca="1" si="30"/>
        <v>Jacob Jackson</v>
      </c>
    </row>
    <row r="378" spans="1:23">
      <c r="A378" s="1" t="str">
        <f ca="1">IFERROR(__xludf.DUMMYFUNCTION("""COMPUTED_VALUE"""),"Aziel")</f>
        <v>Aziel</v>
      </c>
      <c r="B378" s="1" t="str">
        <f ca="1">IFERROR(__xludf.DUMMYFUNCTION("""COMPUTED_VALUE"""),"Jackson")</f>
        <v>Jackson</v>
      </c>
      <c r="C378" s="1" t="str">
        <f ca="1">IFERROR(__xludf.DUMMYFUNCTION("""COMPUTED_VALUE"""),"St. Louis City SC")</f>
        <v>St. Louis City SC</v>
      </c>
      <c r="D378" s="1" t="str">
        <f ca="1">IFERROR(__xludf.DUMMYFUNCTION("""COMPUTED_VALUE"""),"Attacking Midfield")</f>
        <v>Attacking Midfield</v>
      </c>
      <c r="E378" s="2">
        <f ca="1">IFERROR(__xludf.DUMMYFUNCTION("""COMPUTED_VALUE"""),98261)</f>
        <v>98261</v>
      </c>
      <c r="F378" s="2">
        <f ca="1">IFERROR(__xludf.DUMMYFUNCTION("""COMPUTED_VALUE"""),102243)</f>
        <v>102243</v>
      </c>
      <c r="H378" s="1" t="str">
        <f t="shared" ca="1" si="16"/>
        <v>Attacking Midfield</v>
      </c>
      <c r="I378" s="3" t="str">
        <f t="shared" ca="1" si="17"/>
        <v>Attacking Midfield</v>
      </c>
      <c r="J378" s="1" t="str">
        <f t="shared" ca="1" si="18"/>
        <v>Attacking Midfield</v>
      </c>
      <c r="K378" s="1" t="str">
        <f t="shared" ca="1" si="31"/>
        <v>Attacking Midfield</v>
      </c>
      <c r="L378" s="1" t="str">
        <f t="shared" ca="1" si="19"/>
        <v>Attacking Midfield</v>
      </c>
      <c r="M378" s="1" t="str">
        <f t="shared" ca="1" si="20"/>
        <v>M</v>
      </c>
      <c r="N378" s="1" t="str">
        <f t="shared" ca="1" si="21"/>
        <v>M</v>
      </c>
      <c r="O378" s="1" t="str">
        <f t="shared" ca="1" si="22"/>
        <v>M</v>
      </c>
      <c r="P378" s="1" t="str">
        <f t="shared" ca="1" si="23"/>
        <v>M</v>
      </c>
      <c r="Q378" s="1" t="str">
        <f t="shared" ca="1" si="24"/>
        <v>M</v>
      </c>
      <c r="R378" s="1" t="str">
        <f t="shared" ca="1" si="25"/>
        <v>M</v>
      </c>
      <c r="S378" s="1" t="str">
        <f t="shared" ca="1" si="26"/>
        <v>M</v>
      </c>
      <c r="T378" s="1" t="str">
        <f t="shared" ca="1" si="27"/>
        <v>M</v>
      </c>
      <c r="U378" s="1" t="str">
        <f t="shared" ca="1" si="28"/>
        <v>M</v>
      </c>
      <c r="V378" s="1" t="str">
        <f t="shared" ca="1" si="29"/>
        <v>M</v>
      </c>
      <c r="W378" s="1" t="str">
        <f t="shared" ca="1" si="30"/>
        <v>Aziel Jackson</v>
      </c>
    </row>
    <row r="379" spans="1:23">
      <c r="A379" s="1" t="str">
        <f ca="1">IFERROR(__xludf.DUMMYFUNCTION("""COMPUTED_VALUE"""),"Bertin")</f>
        <v>Bertin</v>
      </c>
      <c r="B379" s="1" t="str">
        <f ca="1">IFERROR(__xludf.DUMMYFUNCTION("""COMPUTED_VALUE"""),"Jacquesson")</f>
        <v>Jacquesson</v>
      </c>
      <c r="C379" s="1" t="str">
        <f ca="1">IFERROR(__xludf.DUMMYFUNCTION("""COMPUTED_VALUE"""),"Real Salt Lake")</f>
        <v>Real Salt Lake</v>
      </c>
      <c r="D379" s="1" t="str">
        <f ca="1">IFERROR(__xludf.DUMMYFUNCTION("""COMPUTED_VALUE"""),"Right Wing")</f>
        <v>Right Wing</v>
      </c>
      <c r="E379" s="2">
        <f ca="1">IFERROR(__xludf.DUMMYFUNCTION("""COMPUTED_VALUE"""),89716)</f>
        <v>89716</v>
      </c>
      <c r="F379" s="2">
        <f ca="1">IFERROR(__xludf.DUMMYFUNCTION("""COMPUTED_VALUE"""),97042)</f>
        <v>97042</v>
      </c>
      <c r="H379" s="1" t="str">
        <f t="shared" ca="1" si="16"/>
        <v>Right Wing</v>
      </c>
      <c r="I379" s="3" t="str">
        <f t="shared" ca="1" si="17"/>
        <v>Right Wing</v>
      </c>
      <c r="J379" s="1" t="str">
        <f t="shared" ca="1" si="18"/>
        <v>Right Wing</v>
      </c>
      <c r="K379" s="1" t="str">
        <f t="shared" ca="1" si="31"/>
        <v>Right Wing</v>
      </c>
      <c r="L379" s="1" t="str">
        <f t="shared" ca="1" si="19"/>
        <v>Right Wing</v>
      </c>
      <c r="M379" s="1" t="str">
        <f t="shared" ca="1" si="20"/>
        <v>Right Wing</v>
      </c>
      <c r="N379" s="1" t="str">
        <f t="shared" ca="1" si="21"/>
        <v>F</v>
      </c>
      <c r="O379" s="1" t="str">
        <f t="shared" ca="1" si="22"/>
        <v>F</v>
      </c>
      <c r="P379" s="1" t="str">
        <f t="shared" ca="1" si="23"/>
        <v>F</v>
      </c>
      <c r="Q379" s="1" t="str">
        <f t="shared" ca="1" si="24"/>
        <v>F</v>
      </c>
      <c r="R379" s="1" t="str">
        <f t="shared" ca="1" si="25"/>
        <v>F</v>
      </c>
      <c r="S379" s="1" t="str">
        <f t="shared" ca="1" si="26"/>
        <v>F</v>
      </c>
      <c r="T379" s="1" t="str">
        <f t="shared" ca="1" si="27"/>
        <v>F</v>
      </c>
      <c r="U379" s="1" t="str">
        <f t="shared" ca="1" si="28"/>
        <v>F</v>
      </c>
      <c r="V379" s="1" t="str">
        <f t="shared" ca="1" si="29"/>
        <v>F</v>
      </c>
      <c r="W379" s="1" t="str">
        <f t="shared" ca="1" si="30"/>
        <v>Bertin Jacquesson</v>
      </c>
    </row>
    <row r="380" spans="1:23">
      <c r="A380" s="1" t="str">
        <f ca="1">IFERROR(__xludf.DUMMYFUNCTION("""COMPUTED_VALUE"""),"Robin")</f>
        <v>Robin</v>
      </c>
      <c r="B380" s="1" t="str">
        <f ca="1">IFERROR(__xludf.DUMMYFUNCTION("""COMPUTED_VALUE"""),"Jansson")</f>
        <v>Jansson</v>
      </c>
      <c r="C380" s="1" t="str">
        <f ca="1">IFERROR(__xludf.DUMMYFUNCTION("""COMPUTED_VALUE"""),"Orlando City SC")</f>
        <v>Orlando City SC</v>
      </c>
      <c r="D380" s="1" t="str">
        <f ca="1">IFERROR(__xludf.DUMMYFUNCTION("""COMPUTED_VALUE"""),"Center-back")</f>
        <v>Center-back</v>
      </c>
      <c r="E380" s="2">
        <f ca="1">IFERROR(__xludf.DUMMYFUNCTION("""COMPUTED_VALUE"""),850000)</f>
        <v>850000</v>
      </c>
      <c r="F380" s="2">
        <f ca="1">IFERROR(__xludf.DUMMYFUNCTION("""COMPUTED_VALUE"""),946667)</f>
        <v>946667</v>
      </c>
      <c r="H380" s="1" t="str">
        <f t="shared" ca="1" si="16"/>
        <v>D</v>
      </c>
      <c r="I380" s="3" t="str">
        <f t="shared" ca="1" si="17"/>
        <v>D</v>
      </c>
      <c r="J380" s="1" t="str">
        <f t="shared" ca="1" si="18"/>
        <v>D</v>
      </c>
      <c r="K380" s="1" t="str">
        <f t="shared" ca="1" si="31"/>
        <v>D</v>
      </c>
      <c r="L380" s="1" t="str">
        <f t="shared" ca="1" si="19"/>
        <v>D</v>
      </c>
      <c r="M380" s="1" t="str">
        <f t="shared" ca="1" si="20"/>
        <v>D</v>
      </c>
      <c r="N380" s="1" t="str">
        <f t="shared" ca="1" si="21"/>
        <v>D</v>
      </c>
      <c r="O380" s="1" t="str">
        <f t="shared" ca="1" si="22"/>
        <v>D</v>
      </c>
      <c r="P380" s="1" t="str">
        <f t="shared" ca="1" si="23"/>
        <v>D</v>
      </c>
      <c r="Q380" s="1" t="str">
        <f t="shared" ca="1" si="24"/>
        <v>D</v>
      </c>
      <c r="R380" s="1" t="str">
        <f t="shared" ca="1" si="25"/>
        <v>D</v>
      </c>
      <c r="S380" s="1" t="str">
        <f t="shared" ca="1" si="26"/>
        <v>D</v>
      </c>
      <c r="T380" s="1" t="str">
        <f t="shared" ca="1" si="27"/>
        <v>D</v>
      </c>
      <c r="U380" s="1" t="str">
        <f t="shared" ca="1" si="28"/>
        <v>D</v>
      </c>
      <c r="V380" s="1" t="str">
        <f t="shared" ca="1" si="29"/>
        <v>D</v>
      </c>
      <c r="W380" s="1" t="str">
        <f t="shared" ca="1" si="30"/>
        <v>Robin Jansson</v>
      </c>
    </row>
    <row r="381" spans="1:23">
      <c r="A381" s="1" t="str">
        <f ca="1">IFERROR(__xludf.DUMMYFUNCTION("""COMPUTED_VALUE"""),"Andres")</f>
        <v>Andres</v>
      </c>
      <c r="B381" s="1" t="str">
        <f ca="1">IFERROR(__xludf.DUMMYFUNCTION("""COMPUTED_VALUE"""),"Jasson")</f>
        <v>Jasson</v>
      </c>
      <c r="C381" s="1" t="str">
        <f ca="1">IFERROR(__xludf.DUMMYFUNCTION("""COMPUTED_VALUE"""),"New York City FC")</f>
        <v>New York City FC</v>
      </c>
      <c r="D381" s="1" t="str">
        <f ca="1">IFERROR(__xludf.DUMMYFUNCTION("""COMPUTED_VALUE"""),"Right Wing")</f>
        <v>Right Wing</v>
      </c>
      <c r="E381" s="2">
        <f ca="1">IFERROR(__xludf.DUMMYFUNCTION("""COMPUTED_VALUE"""),270000)</f>
        <v>270000</v>
      </c>
      <c r="F381" s="2">
        <f ca="1">IFERROR(__xludf.DUMMYFUNCTION("""COMPUTED_VALUE"""),287144)</f>
        <v>287144</v>
      </c>
      <c r="H381" s="1" t="str">
        <f t="shared" ca="1" si="16"/>
        <v>Right Wing</v>
      </c>
      <c r="I381" s="3" t="str">
        <f t="shared" ca="1" si="17"/>
        <v>Right Wing</v>
      </c>
      <c r="J381" s="1" t="str">
        <f t="shared" ca="1" si="18"/>
        <v>Right Wing</v>
      </c>
      <c r="K381" s="1" t="str">
        <f t="shared" ca="1" si="31"/>
        <v>Right Wing</v>
      </c>
      <c r="L381" s="1" t="str">
        <f t="shared" ca="1" si="19"/>
        <v>Right Wing</v>
      </c>
      <c r="M381" s="1" t="str">
        <f t="shared" ca="1" si="20"/>
        <v>Right Wing</v>
      </c>
      <c r="N381" s="1" t="str">
        <f t="shared" ca="1" si="21"/>
        <v>F</v>
      </c>
      <c r="O381" s="1" t="str">
        <f t="shared" ca="1" si="22"/>
        <v>F</v>
      </c>
      <c r="P381" s="1" t="str">
        <f t="shared" ca="1" si="23"/>
        <v>F</v>
      </c>
      <c r="Q381" s="1" t="str">
        <f t="shared" ca="1" si="24"/>
        <v>F</v>
      </c>
      <c r="R381" s="1" t="str">
        <f t="shared" ca="1" si="25"/>
        <v>F</v>
      </c>
      <c r="S381" s="1" t="str">
        <f t="shared" ca="1" si="26"/>
        <v>F</v>
      </c>
      <c r="T381" s="1" t="str">
        <f t="shared" ca="1" si="27"/>
        <v>F</v>
      </c>
      <c r="U381" s="1" t="str">
        <f t="shared" ca="1" si="28"/>
        <v>F</v>
      </c>
      <c r="V381" s="1" t="str">
        <f t="shared" ca="1" si="29"/>
        <v>F</v>
      </c>
      <c r="W381" s="1" t="str">
        <f t="shared" ca="1" si="30"/>
        <v>Andres Jasson</v>
      </c>
    </row>
    <row r="382" spans="1:23">
      <c r="A382" s="1" t="str">
        <f ca="1">IFERROR(__xludf.DUMMYFUNCTION("""COMPUTED_VALUE"""),"Mohanad")</f>
        <v>Mohanad</v>
      </c>
      <c r="B382" s="1" t="str">
        <f ca="1">IFERROR(__xludf.DUMMYFUNCTION("""COMPUTED_VALUE"""),"Jeahze")</f>
        <v>Jeahze</v>
      </c>
      <c r="C382" s="1" t="str">
        <f ca="1">IFERROR(__xludf.DUMMYFUNCTION("""COMPUTED_VALUE"""),"DC United")</f>
        <v>DC United</v>
      </c>
      <c r="D382" s="1" t="str">
        <f ca="1">IFERROR(__xludf.DUMMYFUNCTION("""COMPUTED_VALUE"""),"Left-back")</f>
        <v>Left-back</v>
      </c>
      <c r="E382" s="2">
        <f ca="1">IFERROR(__xludf.DUMMYFUNCTION("""COMPUTED_VALUE"""),687500)</f>
        <v>687500</v>
      </c>
      <c r="F382" s="2">
        <f ca="1">IFERROR(__xludf.DUMMYFUNCTION("""COMPUTED_VALUE"""),687500)</f>
        <v>687500</v>
      </c>
      <c r="H382" s="1" t="str">
        <f t="shared" ca="1" si="16"/>
        <v>Left-back</v>
      </c>
      <c r="I382" s="3" t="str">
        <f t="shared" ca="1" si="17"/>
        <v>D</v>
      </c>
      <c r="J382" s="1" t="str">
        <f t="shared" ca="1" si="18"/>
        <v>D</v>
      </c>
      <c r="K382" s="1" t="str">
        <f t="shared" ca="1" si="31"/>
        <v>D</v>
      </c>
      <c r="L382" s="1" t="str">
        <f t="shared" ca="1" si="19"/>
        <v>D</v>
      </c>
      <c r="M382" s="1" t="str">
        <f t="shared" ca="1" si="20"/>
        <v>D</v>
      </c>
      <c r="N382" s="1" t="str">
        <f t="shared" ca="1" si="21"/>
        <v>D</v>
      </c>
      <c r="O382" s="1" t="str">
        <f t="shared" ca="1" si="22"/>
        <v>D</v>
      </c>
      <c r="P382" s="1" t="str">
        <f t="shared" ca="1" si="23"/>
        <v>D</v>
      </c>
      <c r="Q382" s="1" t="str">
        <f t="shared" ca="1" si="24"/>
        <v>D</v>
      </c>
      <c r="R382" s="1" t="str">
        <f t="shared" ca="1" si="25"/>
        <v>D</v>
      </c>
      <c r="S382" s="1" t="str">
        <f t="shared" ca="1" si="26"/>
        <v>D</v>
      </c>
      <c r="T382" s="1" t="str">
        <f t="shared" ca="1" si="27"/>
        <v>D</v>
      </c>
      <c r="U382" s="1" t="str">
        <f t="shared" ca="1" si="28"/>
        <v>D</v>
      </c>
      <c r="V382" s="1" t="str">
        <f t="shared" ca="1" si="29"/>
        <v>D</v>
      </c>
      <c r="W382" s="1" t="str">
        <f t="shared" ca="1" si="30"/>
        <v>Mohanad Jeahze</v>
      </c>
    </row>
    <row r="383" spans="1:23">
      <c r="A383" s="1" t="str">
        <f ca="1">IFERROR(__xludf.DUMMYFUNCTION("""COMPUTED_VALUE"""),"Corentin")</f>
        <v>Corentin</v>
      </c>
      <c r="B383" s="1" t="str">
        <f ca="1">IFERROR(__xludf.DUMMYFUNCTION("""COMPUTED_VALUE"""),"Jean")</f>
        <v>Jean</v>
      </c>
      <c r="C383" s="1" t="str">
        <f ca="1">IFERROR(__xludf.DUMMYFUNCTION("""COMPUTED_VALUE"""),"MLS Pool")</f>
        <v>MLS Pool</v>
      </c>
      <c r="D383" s="1" t="str">
        <f ca="1">IFERROR(__xludf.DUMMYFUNCTION("""COMPUTED_VALUE"""),"Center Forward")</f>
        <v>Center Forward</v>
      </c>
      <c r="E383" s="2">
        <f ca="1">IFERROR(__xludf.DUMMYFUNCTION("""COMPUTED_VALUE"""),720000)</f>
        <v>720000</v>
      </c>
      <c r="F383" s="2">
        <f ca="1">IFERROR(__xludf.DUMMYFUNCTION("""COMPUTED_VALUE"""),788400)</f>
        <v>788400</v>
      </c>
      <c r="H383" s="1" t="str">
        <f t="shared" ca="1" si="16"/>
        <v>Center Forward</v>
      </c>
      <c r="I383" s="3" t="str">
        <f t="shared" ca="1" si="17"/>
        <v>Center Forward</v>
      </c>
      <c r="J383" s="1" t="str">
        <f t="shared" ca="1" si="18"/>
        <v>Center Forward</v>
      </c>
      <c r="K383" s="1" t="str">
        <f t="shared" ca="1" si="31"/>
        <v>Center Forward</v>
      </c>
      <c r="L383" s="1" t="str">
        <f t="shared" ca="1" si="19"/>
        <v>Center Forward</v>
      </c>
      <c r="M383" s="1" t="str">
        <f t="shared" ca="1" si="20"/>
        <v>Center Forward</v>
      </c>
      <c r="N383" s="1" t="str">
        <f t="shared" ca="1" si="21"/>
        <v>Center Forward</v>
      </c>
      <c r="O383" s="1" t="str">
        <f t="shared" ca="1" si="22"/>
        <v>F</v>
      </c>
      <c r="P383" s="1" t="str">
        <f t="shared" ca="1" si="23"/>
        <v>F</v>
      </c>
      <c r="Q383" s="1" t="str">
        <f t="shared" ca="1" si="24"/>
        <v>F</v>
      </c>
      <c r="R383" s="1" t="str">
        <f t="shared" ca="1" si="25"/>
        <v>F</v>
      </c>
      <c r="S383" s="1" t="str">
        <f t="shared" ca="1" si="26"/>
        <v>F</v>
      </c>
      <c r="T383" s="1" t="str">
        <f t="shared" ca="1" si="27"/>
        <v>F</v>
      </c>
      <c r="U383" s="1" t="str">
        <f t="shared" ca="1" si="28"/>
        <v>F</v>
      </c>
      <c r="V383" s="1" t="str">
        <f t="shared" ca="1" si="29"/>
        <v>F</v>
      </c>
      <c r="W383" s="1" t="str">
        <f t="shared" ca="1" si="30"/>
        <v>Corentin Jean</v>
      </c>
    </row>
    <row r="384" spans="1:23">
      <c r="A384" s="1" t="str">
        <f ca="1">IFERROR(__xludf.DUMMYFUNCTION("""COMPUTED_VALUE"""),"Isak")</f>
        <v>Isak</v>
      </c>
      <c r="B384" s="1" t="str">
        <f ca="1">IFERROR(__xludf.DUMMYFUNCTION("""COMPUTED_VALUE"""),"Jensen")</f>
        <v>Jensen</v>
      </c>
      <c r="C384" s="1" t="str">
        <f ca="1">IFERROR(__xludf.DUMMYFUNCTION("""COMPUTED_VALUE"""),"St. Louis City SC")</f>
        <v>St. Louis City SC</v>
      </c>
      <c r="D384" s="1" t="str">
        <f ca="1">IFERROR(__xludf.DUMMYFUNCTION("""COMPUTED_VALUE"""),"Left Wing")</f>
        <v>Left Wing</v>
      </c>
      <c r="E384" s="2">
        <f ca="1">IFERROR(__xludf.DUMMYFUNCTION("""COMPUTED_VALUE"""),175000)</f>
        <v>175000</v>
      </c>
      <c r="F384" s="2">
        <f ca="1">IFERROR(__xludf.DUMMYFUNCTION("""COMPUTED_VALUE"""),228250)</f>
        <v>228250</v>
      </c>
      <c r="H384" s="1" t="str">
        <f t="shared" ca="1" si="16"/>
        <v>Left Wing</v>
      </c>
      <c r="I384" s="3" t="str">
        <f t="shared" ca="1" si="17"/>
        <v>Left Wing</v>
      </c>
      <c r="J384" s="1" t="str">
        <f t="shared" ca="1" si="18"/>
        <v>Left Wing</v>
      </c>
      <c r="K384" s="1" t="str">
        <f t="shared" ca="1" si="31"/>
        <v>Left Wing</v>
      </c>
      <c r="L384" s="1" t="str">
        <f t="shared" ca="1" si="19"/>
        <v>Left Wing</v>
      </c>
      <c r="M384" s="1" t="str">
        <f t="shared" ca="1" si="20"/>
        <v>Left Wing</v>
      </c>
      <c r="N384" s="1" t="str">
        <f t="shared" ca="1" si="21"/>
        <v>Left Wing</v>
      </c>
      <c r="O384" s="1" t="str">
        <f t="shared" ca="1" si="22"/>
        <v>Left Wing</v>
      </c>
      <c r="P384" s="1" t="str">
        <f t="shared" ca="1" si="23"/>
        <v>F</v>
      </c>
      <c r="Q384" s="1" t="str">
        <f t="shared" ca="1" si="24"/>
        <v>F</v>
      </c>
      <c r="R384" s="1" t="str">
        <f t="shared" ca="1" si="25"/>
        <v>F</v>
      </c>
      <c r="S384" s="1" t="str">
        <f t="shared" ca="1" si="26"/>
        <v>F</v>
      </c>
      <c r="T384" s="1" t="str">
        <f t="shared" ca="1" si="27"/>
        <v>F</v>
      </c>
      <c r="U384" s="1" t="str">
        <f t="shared" ca="1" si="28"/>
        <v>F</v>
      </c>
      <c r="V384" s="1" t="str">
        <f t="shared" ca="1" si="29"/>
        <v>F</v>
      </c>
      <c r="W384" s="1" t="str">
        <f t="shared" ca="1" si="30"/>
        <v>Isak Jensen</v>
      </c>
    </row>
    <row r="385" spans="1:23">
      <c r="A385" s="1" t="str">
        <f ca="1">IFERROR(__xludf.DUMMYFUNCTION("""COMPUTED_VALUE"""),"Cole")</f>
        <v>Cole</v>
      </c>
      <c r="B385" s="1" t="str">
        <f ca="1">IFERROR(__xludf.DUMMYFUNCTION("""COMPUTED_VALUE"""),"Jensen")</f>
        <v>Jensen</v>
      </c>
      <c r="C385" s="1" t="str">
        <f ca="1">IFERROR(__xludf.DUMMYFUNCTION("""COMPUTED_VALUE"""),"Inter Miami")</f>
        <v>Inter Miami</v>
      </c>
      <c r="D385" s="1" t="str">
        <f ca="1">IFERROR(__xludf.DUMMYFUNCTION("""COMPUTED_VALUE"""),"Goalkeeper")</f>
        <v>Goalkeeper</v>
      </c>
      <c r="E385" s="2">
        <f ca="1">IFERROR(__xludf.DUMMYFUNCTION("""COMPUTED_VALUE"""),71401)</f>
        <v>71401</v>
      </c>
      <c r="F385" s="2">
        <f ca="1">IFERROR(__xludf.DUMMYFUNCTION("""COMPUTED_VALUE"""),71401)</f>
        <v>71401</v>
      </c>
      <c r="H385" s="1" t="str">
        <f t="shared" ca="1" si="16"/>
        <v>Goalkeeper</v>
      </c>
      <c r="I385" s="3" t="str">
        <f t="shared" ca="1" si="17"/>
        <v>Goalkeeper</v>
      </c>
      <c r="J385" s="1" t="str">
        <f t="shared" ca="1" si="18"/>
        <v>Goalkeeper</v>
      </c>
      <c r="K385" s="1" t="str">
        <f t="shared" ca="1" si="31"/>
        <v>Goalkeeper</v>
      </c>
      <c r="L385" s="1" t="str">
        <f t="shared" ca="1" si="19"/>
        <v>Goalkeeper</v>
      </c>
      <c r="M385" s="1" t="str">
        <f t="shared" ca="1" si="20"/>
        <v>Goalkeeper</v>
      </c>
      <c r="N385" s="1" t="str">
        <f t="shared" ca="1" si="21"/>
        <v>Goalkeeper</v>
      </c>
      <c r="O385" s="1" t="str">
        <f t="shared" ca="1" si="22"/>
        <v>Goalkeeper</v>
      </c>
      <c r="P385" s="1" t="str">
        <f t="shared" ca="1" si="23"/>
        <v>Goalkeeper</v>
      </c>
      <c r="Q385" s="1" t="str">
        <f t="shared" ca="1" si="24"/>
        <v>Goalkeeper</v>
      </c>
      <c r="R385" s="1" t="str">
        <f t="shared" ca="1" si="25"/>
        <v>GK</v>
      </c>
      <c r="S385" s="1" t="str">
        <f t="shared" ca="1" si="26"/>
        <v>GK</v>
      </c>
      <c r="T385" s="1" t="str">
        <f t="shared" ca="1" si="27"/>
        <v>GK</v>
      </c>
      <c r="U385" s="1" t="str">
        <f t="shared" ca="1" si="28"/>
        <v>GK</v>
      </c>
      <c r="V385" s="1" t="str">
        <f t="shared" ca="1" si="29"/>
        <v>GK</v>
      </c>
      <c r="W385" s="1" t="str">
        <f t="shared" ca="1" si="30"/>
        <v>Cole Jensen</v>
      </c>
    </row>
    <row r="386" spans="1:23">
      <c r="A386" s="1" t="str">
        <f ca="1">IFERROR(__xludf.DUMMYFUNCTION("""COMPUTED_VALUE"""),"Sang-bin")</f>
        <v>Sang-bin</v>
      </c>
      <c r="B386" s="1" t="str">
        <f ca="1">IFERROR(__xludf.DUMMYFUNCTION("""COMPUTED_VALUE"""),"Jeong")</f>
        <v>Jeong</v>
      </c>
      <c r="C386" s="1" t="str">
        <f ca="1">IFERROR(__xludf.DUMMYFUNCTION("""COMPUTED_VALUE"""),"Minnesota United")</f>
        <v>Minnesota United</v>
      </c>
      <c r="D386" s="1" t="str">
        <f ca="1">IFERROR(__xludf.DUMMYFUNCTION("""COMPUTED_VALUE"""),"Center Forward")</f>
        <v>Center Forward</v>
      </c>
      <c r="E386" s="2">
        <f ca="1">IFERROR(__xludf.DUMMYFUNCTION("""COMPUTED_VALUE"""),575750)</f>
        <v>575750</v>
      </c>
      <c r="F386" s="2">
        <f ca="1">IFERROR(__xludf.DUMMYFUNCTION("""COMPUTED_VALUE"""),682458)</f>
        <v>682458</v>
      </c>
      <c r="H386" s="1" t="str">
        <f t="shared" ca="1" si="16"/>
        <v>Center Forward</v>
      </c>
      <c r="I386" s="3" t="str">
        <f t="shared" ca="1" si="17"/>
        <v>Center Forward</v>
      </c>
      <c r="J386" s="1" t="str">
        <f t="shared" ca="1" si="18"/>
        <v>Center Forward</v>
      </c>
      <c r="K386" s="1" t="str">
        <f t="shared" ca="1" si="31"/>
        <v>Center Forward</v>
      </c>
      <c r="L386" s="1" t="str">
        <f t="shared" ca="1" si="19"/>
        <v>Center Forward</v>
      </c>
      <c r="M386" s="1" t="str">
        <f t="shared" ca="1" si="20"/>
        <v>Center Forward</v>
      </c>
      <c r="N386" s="1" t="str">
        <f t="shared" ca="1" si="21"/>
        <v>Center Forward</v>
      </c>
      <c r="O386" s="1" t="str">
        <f t="shared" ca="1" si="22"/>
        <v>F</v>
      </c>
      <c r="P386" s="1" t="str">
        <f t="shared" ca="1" si="23"/>
        <v>F</v>
      </c>
      <c r="Q386" s="1" t="str">
        <f t="shared" ca="1" si="24"/>
        <v>F</v>
      </c>
      <c r="R386" s="1" t="str">
        <f t="shared" ca="1" si="25"/>
        <v>F</v>
      </c>
      <c r="S386" s="1" t="str">
        <f t="shared" ca="1" si="26"/>
        <v>F</v>
      </c>
      <c r="T386" s="1" t="str">
        <f t="shared" ca="1" si="27"/>
        <v>F</v>
      </c>
      <c r="U386" s="1" t="str">
        <f t="shared" ca="1" si="28"/>
        <v>F</v>
      </c>
      <c r="V386" s="1" t="str">
        <f t="shared" ca="1" si="29"/>
        <v>F</v>
      </c>
      <c r="W386" s="1" t="str">
        <f t="shared" ca="1" si="30"/>
        <v>Sang-bin Jeong</v>
      </c>
    </row>
    <row r="387" spans="1:23">
      <c r="A387" s="1" t="str">
        <f ca="1">IFERROR(__xludf.DUMMYFUNCTION("""COMPUTED_VALUE"""),"Héctor")</f>
        <v>Héctor</v>
      </c>
      <c r="B387" s="1" t="str">
        <f ca="1">IFERROR(__xludf.DUMMYFUNCTION("""COMPUTED_VALUE"""),"Jiménez")</f>
        <v>Jiménez</v>
      </c>
      <c r="C387" s="1" t="str">
        <f ca="1">IFERROR(__xludf.DUMMYFUNCTION("""COMPUTED_VALUE"""),"Austin FC")</f>
        <v>Austin FC</v>
      </c>
      <c r="D387" s="1" t="str">
        <f ca="1">IFERROR(__xludf.DUMMYFUNCTION("""COMPUTED_VALUE"""),"Right-back")</f>
        <v>Right-back</v>
      </c>
      <c r="E387" s="2">
        <f ca="1">IFERROR(__xludf.DUMMYFUNCTION("""COMPUTED_VALUE"""),89716)</f>
        <v>89716</v>
      </c>
      <c r="F387" s="2">
        <f ca="1">IFERROR(__xludf.DUMMYFUNCTION("""COMPUTED_VALUE"""),89716)</f>
        <v>89716</v>
      </c>
      <c r="H387" s="1" t="str">
        <f t="shared" ca="1" si="16"/>
        <v>Right-back</v>
      </c>
      <c r="I387" s="3" t="str">
        <f t="shared" ca="1" si="17"/>
        <v>Right-back</v>
      </c>
      <c r="J387" s="1" t="str">
        <f t="shared" ca="1" si="18"/>
        <v>D</v>
      </c>
      <c r="K387" s="1" t="str">
        <f t="shared" ca="1" si="31"/>
        <v>D</v>
      </c>
      <c r="L387" s="1" t="str">
        <f t="shared" ca="1" si="19"/>
        <v>D</v>
      </c>
      <c r="M387" s="1" t="str">
        <f t="shared" ca="1" si="20"/>
        <v>D</v>
      </c>
      <c r="N387" s="1" t="str">
        <f t="shared" ca="1" si="21"/>
        <v>D</v>
      </c>
      <c r="O387" s="1" t="str">
        <f t="shared" ca="1" si="22"/>
        <v>D</v>
      </c>
      <c r="P387" s="1" t="str">
        <f t="shared" ca="1" si="23"/>
        <v>D</v>
      </c>
      <c r="Q387" s="1" t="str">
        <f t="shared" ca="1" si="24"/>
        <v>D</v>
      </c>
      <c r="R387" s="1" t="str">
        <f t="shared" ca="1" si="25"/>
        <v>D</v>
      </c>
      <c r="S387" s="1" t="str">
        <f t="shared" ca="1" si="26"/>
        <v>D</v>
      </c>
      <c r="T387" s="1" t="str">
        <f t="shared" ca="1" si="27"/>
        <v>D</v>
      </c>
      <c r="U387" s="1" t="str">
        <f t="shared" ca="1" si="28"/>
        <v>D</v>
      </c>
      <c r="V387" s="1" t="str">
        <f t="shared" ca="1" si="29"/>
        <v>D</v>
      </c>
      <c r="W387" s="1" t="str">
        <f t="shared" ca="1" si="30"/>
        <v>Héctor Jiménez</v>
      </c>
    </row>
    <row r="388" spans="1:23">
      <c r="A388" s="1" t="str">
        <f ca="1">IFERROR(__xludf.DUMMYFUNCTION("""COMPUTED_VALUE"""),"Stiven")</f>
        <v>Stiven</v>
      </c>
      <c r="B388" s="1" t="str">
        <f ca="1">IFERROR(__xludf.DUMMYFUNCTION("""COMPUTED_VALUE"""),"Jimenez")</f>
        <v>Jimenez</v>
      </c>
      <c r="C388" s="1" t="str">
        <f ca="1">IFERROR(__xludf.DUMMYFUNCTION("""COMPUTED_VALUE"""),"FC Cincinnati")</f>
        <v>FC Cincinnati</v>
      </c>
      <c r="D388" s="1" t="str">
        <f ca="1">IFERROR(__xludf.DUMMYFUNCTION("""COMPUTED_VALUE"""),"Defensive Midfield")</f>
        <v>Defensive Midfield</v>
      </c>
      <c r="E388" s="2">
        <f ca="1">IFERROR(__xludf.DUMMYFUNCTION("""COMPUTED_VALUE"""),89716)</f>
        <v>89716</v>
      </c>
      <c r="F388" s="2">
        <f ca="1">IFERROR(__xludf.DUMMYFUNCTION("""COMPUTED_VALUE"""),89716)</f>
        <v>89716</v>
      </c>
      <c r="H388" s="1" t="str">
        <f t="shared" ca="1" si="16"/>
        <v>Defensive Midfield</v>
      </c>
      <c r="I388" s="3" t="str">
        <f t="shared" ca="1" si="17"/>
        <v>Defensive Midfield</v>
      </c>
      <c r="J388" s="1" t="str">
        <f t="shared" ca="1" si="18"/>
        <v>Defensive Midfield</v>
      </c>
      <c r="K388" s="1" t="str">
        <f t="shared" ca="1" si="31"/>
        <v>M</v>
      </c>
      <c r="L388" s="1" t="str">
        <f t="shared" ca="1" si="19"/>
        <v>M</v>
      </c>
      <c r="M388" s="1" t="str">
        <f t="shared" ca="1" si="20"/>
        <v>M</v>
      </c>
      <c r="N388" s="1" t="str">
        <f t="shared" ca="1" si="21"/>
        <v>M</v>
      </c>
      <c r="O388" s="1" t="str">
        <f t="shared" ca="1" si="22"/>
        <v>M</v>
      </c>
      <c r="P388" s="1" t="str">
        <f t="shared" ca="1" si="23"/>
        <v>M</v>
      </c>
      <c r="Q388" s="1" t="str">
        <f t="shared" ca="1" si="24"/>
        <v>M</v>
      </c>
      <c r="R388" s="1" t="str">
        <f t="shared" ca="1" si="25"/>
        <v>M</v>
      </c>
      <c r="S388" s="1" t="str">
        <f t="shared" ca="1" si="26"/>
        <v>M</v>
      </c>
      <c r="T388" s="1" t="str">
        <f t="shared" ca="1" si="27"/>
        <v>M</v>
      </c>
      <c r="U388" s="1" t="str">
        <f t="shared" ca="1" si="28"/>
        <v>M</v>
      </c>
      <c r="V388" s="1" t="str">
        <f t="shared" ca="1" si="29"/>
        <v>M</v>
      </c>
      <c r="W388" s="1" t="str">
        <f t="shared" ca="1" si="30"/>
        <v>Stiven Jimenez</v>
      </c>
    </row>
    <row r="389" spans="1:23">
      <c r="A389" s="1" t="str">
        <f ca="1">IFERROR(__xludf.DUMMYFUNCTION("""COMPUTED_VALUE"""),"Sean")</f>
        <v>Sean</v>
      </c>
      <c r="B389" s="1" t="str">
        <f ca="1">IFERROR(__xludf.DUMMYFUNCTION("""COMPUTED_VALUE"""),"Johnson")</f>
        <v>Johnson</v>
      </c>
      <c r="C389" s="1" t="str">
        <f ca="1">IFERROR(__xludf.DUMMYFUNCTION("""COMPUTED_VALUE"""),"Toronto FC")</f>
        <v>Toronto FC</v>
      </c>
      <c r="D389" s="1" t="str">
        <f ca="1">IFERROR(__xludf.DUMMYFUNCTION("""COMPUTED_VALUE"""),"Goalkeeper")</f>
        <v>Goalkeeper</v>
      </c>
      <c r="E389" s="2">
        <f ca="1">IFERROR(__xludf.DUMMYFUNCTION("""COMPUTED_VALUE"""),426039)</f>
        <v>426039</v>
      </c>
      <c r="F389" s="2">
        <f ca="1">IFERROR(__xludf.DUMMYFUNCTION("""COMPUTED_VALUE"""),703301)</f>
        <v>703301</v>
      </c>
      <c r="H389" s="1" t="str">
        <f t="shared" ca="1" si="16"/>
        <v>Goalkeeper</v>
      </c>
      <c r="I389" s="3" t="str">
        <f t="shared" ca="1" si="17"/>
        <v>Goalkeeper</v>
      </c>
      <c r="J389" s="1" t="str">
        <f t="shared" ca="1" si="18"/>
        <v>Goalkeeper</v>
      </c>
      <c r="K389" s="1" t="str">
        <f t="shared" ca="1" si="31"/>
        <v>Goalkeeper</v>
      </c>
      <c r="L389" s="1" t="str">
        <f t="shared" ca="1" si="19"/>
        <v>Goalkeeper</v>
      </c>
      <c r="M389" s="1" t="str">
        <f t="shared" ca="1" si="20"/>
        <v>Goalkeeper</v>
      </c>
      <c r="N389" s="1" t="str">
        <f t="shared" ca="1" si="21"/>
        <v>Goalkeeper</v>
      </c>
      <c r="O389" s="1" t="str">
        <f t="shared" ca="1" si="22"/>
        <v>Goalkeeper</v>
      </c>
      <c r="P389" s="1" t="str">
        <f t="shared" ca="1" si="23"/>
        <v>Goalkeeper</v>
      </c>
      <c r="Q389" s="1" t="str">
        <f t="shared" ca="1" si="24"/>
        <v>Goalkeeper</v>
      </c>
      <c r="R389" s="1" t="str">
        <f t="shared" ca="1" si="25"/>
        <v>GK</v>
      </c>
      <c r="S389" s="1" t="str">
        <f t="shared" ca="1" si="26"/>
        <v>GK</v>
      </c>
      <c r="T389" s="1" t="str">
        <f t="shared" ca="1" si="27"/>
        <v>GK</v>
      </c>
      <c r="U389" s="1" t="str">
        <f t="shared" ca="1" si="28"/>
        <v>GK</v>
      </c>
      <c r="V389" s="1" t="str">
        <f t="shared" ca="1" si="29"/>
        <v>GK</v>
      </c>
      <c r="W389" s="1" t="str">
        <f t="shared" ca="1" si="30"/>
        <v>Sean Johnson</v>
      </c>
    </row>
    <row r="390" spans="1:23">
      <c r="A390" s="1" t="str">
        <f ca="1">IFERROR(__xludf.DUMMYFUNCTION("""COMPUTED_VALUE"""),"Levonte")</f>
        <v>Levonte</v>
      </c>
      <c r="B390" s="1" t="str">
        <f ca="1">IFERROR(__xludf.DUMMYFUNCTION("""COMPUTED_VALUE"""),"Johnson")</f>
        <v>Johnson</v>
      </c>
      <c r="C390" s="1" t="str">
        <f ca="1">IFERROR(__xludf.DUMMYFUNCTION("""COMPUTED_VALUE"""),"Vancouver Whitecaps")</f>
        <v>Vancouver Whitecaps</v>
      </c>
      <c r="D390" s="1" t="str">
        <f ca="1">IFERROR(__xludf.DUMMYFUNCTION("""COMPUTED_VALUE"""),"Left Wing")</f>
        <v>Left Wing</v>
      </c>
      <c r="E390" s="2">
        <f ca="1">IFERROR(__xludf.DUMMYFUNCTION("""COMPUTED_VALUE"""),89716)</f>
        <v>89716</v>
      </c>
      <c r="F390" s="2">
        <f ca="1">IFERROR(__xludf.DUMMYFUNCTION("""COMPUTED_VALUE"""),89716)</f>
        <v>89716</v>
      </c>
      <c r="H390" s="1" t="str">
        <f t="shared" ca="1" si="16"/>
        <v>Left Wing</v>
      </c>
      <c r="I390" s="3" t="str">
        <f t="shared" ca="1" si="17"/>
        <v>Left Wing</v>
      </c>
      <c r="J390" s="1" t="str">
        <f t="shared" ca="1" si="18"/>
        <v>Left Wing</v>
      </c>
      <c r="K390" s="1" t="str">
        <f t="shared" ca="1" si="31"/>
        <v>Left Wing</v>
      </c>
      <c r="L390" s="1" t="str">
        <f t="shared" ca="1" si="19"/>
        <v>Left Wing</v>
      </c>
      <c r="M390" s="1" t="str">
        <f t="shared" ca="1" si="20"/>
        <v>Left Wing</v>
      </c>
      <c r="N390" s="1" t="str">
        <f t="shared" ca="1" si="21"/>
        <v>Left Wing</v>
      </c>
      <c r="O390" s="1" t="str">
        <f t="shared" ca="1" si="22"/>
        <v>Left Wing</v>
      </c>
      <c r="P390" s="1" t="str">
        <f t="shared" ca="1" si="23"/>
        <v>F</v>
      </c>
      <c r="Q390" s="1" t="str">
        <f t="shared" ca="1" si="24"/>
        <v>F</v>
      </c>
      <c r="R390" s="1" t="str">
        <f t="shared" ca="1" si="25"/>
        <v>F</v>
      </c>
      <c r="S390" s="1" t="str">
        <f t="shared" ca="1" si="26"/>
        <v>F</v>
      </c>
      <c r="T390" s="1" t="str">
        <f t="shared" ca="1" si="27"/>
        <v>F</v>
      </c>
      <c r="U390" s="1" t="str">
        <f t="shared" ca="1" si="28"/>
        <v>F</v>
      </c>
      <c r="V390" s="1" t="str">
        <f t="shared" ca="1" si="29"/>
        <v>F</v>
      </c>
      <c r="W390" s="1" t="str">
        <f t="shared" ca="1" si="30"/>
        <v>Levonte Johnson</v>
      </c>
    </row>
    <row r="391" spans="1:23">
      <c r="A391" s="1" t="str">
        <f ca="1">IFERROR(__xludf.DUMMYFUNCTION("""COMPUTED_VALUE"""),"Nate")</f>
        <v>Nate</v>
      </c>
      <c r="B391" s="1" t="str">
        <f ca="1">IFERROR(__xludf.DUMMYFUNCTION("""COMPUTED_VALUE"""),"Jones")</f>
        <v>Jones</v>
      </c>
      <c r="C391" s="1" t="str">
        <f ca="1">IFERROR(__xludf.DUMMYFUNCTION("""COMPUTED_VALUE"""),"Colorado Rapids")</f>
        <v>Colorado Rapids</v>
      </c>
      <c r="D391" s="1" t="str">
        <f ca="1">IFERROR(__xludf.DUMMYFUNCTION("""COMPUTED_VALUE"""),"Center-back")</f>
        <v>Center-back</v>
      </c>
      <c r="E391" s="2">
        <f ca="1">IFERROR(__xludf.DUMMYFUNCTION("""COMPUTED_VALUE"""),71401)</f>
        <v>71401</v>
      </c>
      <c r="F391" s="2">
        <f ca="1">IFERROR(__xludf.DUMMYFUNCTION("""COMPUTED_VALUE"""),71401)</f>
        <v>71401</v>
      </c>
      <c r="H391" s="1" t="str">
        <f t="shared" ca="1" si="16"/>
        <v>D</v>
      </c>
      <c r="I391" s="3" t="str">
        <f t="shared" ca="1" si="17"/>
        <v>D</v>
      </c>
      <c r="J391" s="1" t="str">
        <f t="shared" ca="1" si="18"/>
        <v>D</v>
      </c>
      <c r="K391" s="1" t="str">
        <f t="shared" ca="1" si="31"/>
        <v>D</v>
      </c>
      <c r="L391" s="1" t="str">
        <f t="shared" ca="1" si="19"/>
        <v>D</v>
      </c>
      <c r="M391" s="1" t="str">
        <f t="shared" ca="1" si="20"/>
        <v>D</v>
      </c>
      <c r="N391" s="1" t="str">
        <f t="shared" ca="1" si="21"/>
        <v>D</v>
      </c>
      <c r="O391" s="1" t="str">
        <f t="shared" ca="1" si="22"/>
        <v>D</v>
      </c>
      <c r="P391" s="1" t="str">
        <f t="shared" ca="1" si="23"/>
        <v>D</v>
      </c>
      <c r="Q391" s="1" t="str">
        <f t="shared" ca="1" si="24"/>
        <v>D</v>
      </c>
      <c r="R391" s="1" t="str">
        <f t="shared" ca="1" si="25"/>
        <v>D</v>
      </c>
      <c r="S391" s="1" t="str">
        <f t="shared" ca="1" si="26"/>
        <v>D</v>
      </c>
      <c r="T391" s="1" t="str">
        <f t="shared" ca="1" si="27"/>
        <v>D</v>
      </c>
      <c r="U391" s="1" t="str">
        <f t="shared" ca="1" si="28"/>
        <v>D</v>
      </c>
      <c r="V391" s="1" t="str">
        <f t="shared" ca="1" si="29"/>
        <v>D</v>
      </c>
      <c r="W391" s="1" t="str">
        <f t="shared" ca="1" si="30"/>
        <v>Nate Jones</v>
      </c>
    </row>
    <row r="392" spans="1:23">
      <c r="A392" s="1" t="str">
        <f ca="1">IFERROR(__xludf.DUMMYFUNCTION("""COMPUTED_VALUE"""),"Isaiah")</f>
        <v>Isaiah</v>
      </c>
      <c r="B392" s="1" t="str">
        <f ca="1">IFERROR(__xludf.DUMMYFUNCTION("""COMPUTED_VALUE"""),"Jones")</f>
        <v>Jones</v>
      </c>
      <c r="C392" s="1" t="str">
        <f ca="1">IFERROR(__xludf.DUMMYFUNCTION("""COMPUTED_VALUE"""),"Nashville SC")</f>
        <v>Nashville SC</v>
      </c>
      <c r="D392" s="1" t="str">
        <f ca="1">IFERROR(__xludf.DUMMYFUNCTION("""COMPUTED_VALUE"""),"Central Midfield")</f>
        <v>Central Midfield</v>
      </c>
      <c r="E392" s="2">
        <f ca="1">IFERROR(__xludf.DUMMYFUNCTION("""COMPUTED_VALUE"""),71401)</f>
        <v>71401</v>
      </c>
      <c r="F392" s="2">
        <f ca="1">IFERROR(__xludf.DUMMYFUNCTION("""COMPUTED_VALUE"""),75401)</f>
        <v>75401</v>
      </c>
      <c r="H392" s="1" t="str">
        <f t="shared" ca="1" si="16"/>
        <v>Central Midfield</v>
      </c>
      <c r="I392" s="3" t="str">
        <f t="shared" ca="1" si="17"/>
        <v>Central Midfield</v>
      </c>
      <c r="J392" s="1" t="str">
        <f t="shared" ca="1" si="18"/>
        <v>Central Midfield</v>
      </c>
      <c r="K392" s="1" t="str">
        <f t="shared" ca="1" si="31"/>
        <v>Central Midfield</v>
      </c>
      <c r="L392" s="1" t="str">
        <f t="shared" ca="1" si="19"/>
        <v>M</v>
      </c>
      <c r="M392" s="1" t="str">
        <f t="shared" ca="1" si="20"/>
        <v>M</v>
      </c>
      <c r="N392" s="1" t="str">
        <f t="shared" ca="1" si="21"/>
        <v>M</v>
      </c>
      <c r="O392" s="1" t="str">
        <f t="shared" ca="1" si="22"/>
        <v>M</v>
      </c>
      <c r="P392" s="1" t="str">
        <f t="shared" ca="1" si="23"/>
        <v>M</v>
      </c>
      <c r="Q392" s="1" t="str">
        <f t="shared" ca="1" si="24"/>
        <v>M</v>
      </c>
      <c r="R392" s="1" t="str">
        <f t="shared" ca="1" si="25"/>
        <v>M</v>
      </c>
      <c r="S392" s="1" t="str">
        <f t="shared" ca="1" si="26"/>
        <v>M</v>
      </c>
      <c r="T392" s="1" t="str">
        <f t="shared" ca="1" si="27"/>
        <v>M</v>
      </c>
      <c r="U392" s="1" t="str">
        <f t="shared" ca="1" si="28"/>
        <v>M</v>
      </c>
      <c r="V392" s="1" t="str">
        <f t="shared" ca="1" si="29"/>
        <v>M</v>
      </c>
      <c r="W392" s="1" t="str">
        <f t="shared" ca="1" si="30"/>
        <v>Isaiah Jones</v>
      </c>
    </row>
    <row r="393" spans="1:23">
      <c r="A393" s="1" t="str">
        <f ca="1">IFERROR(__xludf.DUMMYFUNCTION("""COMPUTED_VALUE"""),"Derrick")</f>
        <v>Derrick</v>
      </c>
      <c r="B393" s="1" t="str">
        <f ca="1">IFERROR(__xludf.DUMMYFUNCTION("""COMPUTED_VALUE"""),"Jones")</f>
        <v>Jones</v>
      </c>
      <c r="C393" s="1" t="str">
        <f ca="1">IFERROR(__xludf.DUMMYFUNCTION("""COMPUTED_VALUE"""),"Columbus Crew")</f>
        <v>Columbus Crew</v>
      </c>
      <c r="D393" s="1" t="str">
        <f ca="1">IFERROR(__xludf.DUMMYFUNCTION("""COMPUTED_VALUE"""),"Central Midfield")</f>
        <v>Central Midfield</v>
      </c>
      <c r="E393" s="2">
        <f ca="1">IFERROR(__xludf.DUMMYFUNCTION("""COMPUTED_VALUE"""),325000)</f>
        <v>325000</v>
      </c>
      <c r="F393" s="2">
        <f ca="1">IFERROR(__xludf.DUMMYFUNCTION("""COMPUTED_VALUE"""),347969)</f>
        <v>347969</v>
      </c>
      <c r="H393" s="1" t="str">
        <f t="shared" ca="1" si="16"/>
        <v>Central Midfield</v>
      </c>
      <c r="I393" s="3" t="str">
        <f t="shared" ca="1" si="17"/>
        <v>Central Midfield</v>
      </c>
      <c r="J393" s="1" t="str">
        <f t="shared" ca="1" si="18"/>
        <v>Central Midfield</v>
      </c>
      <c r="K393" s="1" t="str">
        <f t="shared" ca="1" si="31"/>
        <v>Central Midfield</v>
      </c>
      <c r="L393" s="1" t="str">
        <f t="shared" ca="1" si="19"/>
        <v>M</v>
      </c>
      <c r="M393" s="1" t="str">
        <f t="shared" ca="1" si="20"/>
        <v>M</v>
      </c>
      <c r="N393" s="1" t="str">
        <f t="shared" ca="1" si="21"/>
        <v>M</v>
      </c>
      <c r="O393" s="1" t="str">
        <f t="shared" ca="1" si="22"/>
        <v>M</v>
      </c>
      <c r="P393" s="1" t="str">
        <f t="shared" ca="1" si="23"/>
        <v>M</v>
      </c>
      <c r="Q393" s="1" t="str">
        <f t="shared" ca="1" si="24"/>
        <v>M</v>
      </c>
      <c r="R393" s="1" t="str">
        <f t="shared" ca="1" si="25"/>
        <v>M</v>
      </c>
      <c r="S393" s="1" t="str">
        <f t="shared" ca="1" si="26"/>
        <v>M</v>
      </c>
      <c r="T393" s="1" t="str">
        <f t="shared" ca="1" si="27"/>
        <v>M</v>
      </c>
      <c r="U393" s="1" t="str">
        <f t="shared" ca="1" si="28"/>
        <v>M</v>
      </c>
      <c r="V393" s="1" t="str">
        <f t="shared" ca="1" si="29"/>
        <v>M</v>
      </c>
      <c r="W393" s="1" t="str">
        <f t="shared" ca="1" si="30"/>
        <v>Derrick Jones</v>
      </c>
    </row>
    <row r="394" spans="1:23">
      <c r="A394" s="1" t="str">
        <f ca="1">IFERROR(__xludf.DUMMYFUNCTION("""COMPUTED_VALUE"""),"DeJuan")</f>
        <v>DeJuan</v>
      </c>
      <c r="B394" s="1" t="str">
        <f ca="1">IFERROR(__xludf.DUMMYFUNCTION("""COMPUTED_VALUE"""),"Jones")</f>
        <v>Jones</v>
      </c>
      <c r="C394" s="1" t="str">
        <f ca="1">IFERROR(__xludf.DUMMYFUNCTION("""COMPUTED_VALUE"""),"New England Revolution")</f>
        <v>New England Revolution</v>
      </c>
      <c r="D394" s="1" t="str">
        <f ca="1">IFERROR(__xludf.DUMMYFUNCTION("""COMPUTED_VALUE"""),"Left-back")</f>
        <v>Left-back</v>
      </c>
      <c r="E394" s="2">
        <f ca="1">IFERROR(__xludf.DUMMYFUNCTION("""COMPUTED_VALUE"""),786996)</f>
        <v>786996</v>
      </c>
      <c r="F394" s="2">
        <f ca="1">IFERROR(__xludf.DUMMYFUNCTION("""COMPUTED_VALUE"""),793246)</f>
        <v>793246</v>
      </c>
      <c r="H394" s="1" t="str">
        <f t="shared" ca="1" si="16"/>
        <v>Left-back</v>
      </c>
      <c r="I394" s="3" t="str">
        <f t="shared" ca="1" si="17"/>
        <v>D</v>
      </c>
      <c r="J394" s="1" t="str">
        <f t="shared" ca="1" si="18"/>
        <v>D</v>
      </c>
      <c r="K394" s="1" t="str">
        <f t="shared" ca="1" si="31"/>
        <v>D</v>
      </c>
      <c r="L394" s="1" t="str">
        <f t="shared" ca="1" si="19"/>
        <v>D</v>
      </c>
      <c r="M394" s="1" t="str">
        <f t="shared" ca="1" si="20"/>
        <v>D</v>
      </c>
      <c r="N394" s="1" t="str">
        <f t="shared" ca="1" si="21"/>
        <v>D</v>
      </c>
      <c r="O394" s="1" t="str">
        <f t="shared" ca="1" si="22"/>
        <v>D</v>
      </c>
      <c r="P394" s="1" t="str">
        <f t="shared" ca="1" si="23"/>
        <v>D</v>
      </c>
      <c r="Q394" s="1" t="str">
        <f t="shared" ca="1" si="24"/>
        <v>D</v>
      </c>
      <c r="R394" s="1" t="str">
        <f t="shared" ca="1" si="25"/>
        <v>D</v>
      </c>
      <c r="S394" s="1" t="str">
        <f t="shared" ca="1" si="26"/>
        <v>D</v>
      </c>
      <c r="T394" s="1" t="str">
        <f t="shared" ca="1" si="27"/>
        <v>D</v>
      </c>
      <c r="U394" s="1" t="str">
        <f t="shared" ca="1" si="28"/>
        <v>D</v>
      </c>
      <c r="V394" s="1" t="str">
        <f t="shared" ca="1" si="29"/>
        <v>D</v>
      </c>
      <c r="W394" s="1" t="str">
        <f t="shared" ca="1" si="30"/>
        <v>DeJuan Jones</v>
      </c>
    </row>
    <row r="395" spans="1:23">
      <c r="A395" s="1" t="str">
        <f ca="1">IFERROR(__xludf.DUMMYFUNCTION("""COMPUTED_VALUE"""),"Malachi")</f>
        <v>Malachi</v>
      </c>
      <c r="B395" s="1" t="str">
        <f ca="1">IFERROR(__xludf.DUMMYFUNCTION("""COMPUTED_VALUE"""),"Jones")</f>
        <v>Jones</v>
      </c>
      <c r="C395" s="1" t="str">
        <f ca="1">IFERROR(__xludf.DUMMYFUNCTION("""COMPUTED_VALUE"""),"New York City FC")</f>
        <v>New York City FC</v>
      </c>
      <c r="D395" s="1" t="str">
        <f ca="1">IFERROR(__xludf.DUMMYFUNCTION("""COMPUTED_VALUE"""),"Forward")</f>
        <v>Forward</v>
      </c>
      <c r="E395" s="2">
        <f ca="1">IFERROR(__xludf.DUMMYFUNCTION("""COMPUTED_VALUE"""),71401)</f>
        <v>71401</v>
      </c>
      <c r="F395" s="2">
        <f ca="1">IFERROR(__xludf.DUMMYFUNCTION("""COMPUTED_VALUE"""),71401)</f>
        <v>71401</v>
      </c>
      <c r="H395" s="1" t="str">
        <f t="shared" ca="1" si="16"/>
        <v>Forward</v>
      </c>
      <c r="I395" s="3" t="str">
        <f t="shared" ca="1" si="17"/>
        <v>Forward</v>
      </c>
      <c r="J395" s="1" t="str">
        <f t="shared" ca="1" si="18"/>
        <v>Forward</v>
      </c>
      <c r="K395" s="1" t="str">
        <f t="shared" ca="1" si="31"/>
        <v>Forward</v>
      </c>
      <c r="L395" s="1" t="str">
        <f t="shared" ca="1" si="19"/>
        <v>Forward</v>
      </c>
      <c r="M395" s="1" t="str">
        <f t="shared" ca="1" si="20"/>
        <v>Forward</v>
      </c>
      <c r="N395" s="1" t="str">
        <f t="shared" ca="1" si="21"/>
        <v>Forward</v>
      </c>
      <c r="O395" s="1" t="str">
        <f t="shared" ca="1" si="22"/>
        <v>Forward</v>
      </c>
      <c r="P395" s="1" t="str">
        <f t="shared" ca="1" si="23"/>
        <v>Forward</v>
      </c>
      <c r="Q395" s="1" t="str">
        <f t="shared" ca="1" si="24"/>
        <v>F</v>
      </c>
      <c r="R395" s="1" t="str">
        <f t="shared" ca="1" si="25"/>
        <v>F</v>
      </c>
      <c r="S395" s="1" t="str">
        <f t="shared" ca="1" si="26"/>
        <v>F</v>
      </c>
      <c r="T395" s="1" t="str">
        <f t="shared" ca="1" si="27"/>
        <v>F</v>
      </c>
      <c r="U395" s="1" t="str">
        <f t="shared" ca="1" si="28"/>
        <v>F</v>
      </c>
      <c r="V395" s="1" t="str">
        <f t="shared" ca="1" si="29"/>
        <v>F</v>
      </c>
      <c r="W395" s="1" t="str">
        <f t="shared" ca="1" si="30"/>
        <v>Malachi Jones</v>
      </c>
    </row>
    <row r="396" spans="1:23">
      <c r="A396" s="1" t="str">
        <f ca="1">IFERROR(__xludf.DUMMYFUNCTION("""COMPUTED_VALUE"""),"Dejan")</f>
        <v>Dejan</v>
      </c>
      <c r="B396" s="1" t="str">
        <f ca="1">IFERROR(__xludf.DUMMYFUNCTION("""COMPUTED_VALUE"""),"Joveljic")</f>
        <v>Joveljic</v>
      </c>
      <c r="C396" s="1" t="str">
        <f ca="1">IFERROR(__xludf.DUMMYFUNCTION("""COMPUTED_VALUE"""),"LA Galaxy")</f>
        <v>LA Galaxy</v>
      </c>
      <c r="D396" s="1" t="str">
        <f ca="1">IFERROR(__xludf.DUMMYFUNCTION("""COMPUTED_VALUE"""),"Center Forward")</f>
        <v>Center Forward</v>
      </c>
      <c r="E396" s="2">
        <f ca="1">IFERROR(__xludf.DUMMYFUNCTION("""COMPUTED_VALUE"""),683750)</f>
        <v>683750</v>
      </c>
      <c r="F396" s="2">
        <f ca="1">IFERROR(__xludf.DUMMYFUNCTION("""COMPUTED_VALUE"""),683750)</f>
        <v>683750</v>
      </c>
      <c r="H396" s="1" t="str">
        <f t="shared" ca="1" si="16"/>
        <v>Center Forward</v>
      </c>
      <c r="I396" s="3" t="str">
        <f t="shared" ca="1" si="17"/>
        <v>Center Forward</v>
      </c>
      <c r="J396" s="1" t="str">
        <f t="shared" ca="1" si="18"/>
        <v>Center Forward</v>
      </c>
      <c r="K396" s="1" t="str">
        <f t="shared" ca="1" si="31"/>
        <v>Center Forward</v>
      </c>
      <c r="L396" s="1" t="str">
        <f t="shared" ca="1" si="19"/>
        <v>Center Forward</v>
      </c>
      <c r="M396" s="1" t="str">
        <f t="shared" ca="1" si="20"/>
        <v>Center Forward</v>
      </c>
      <c r="N396" s="1" t="str">
        <f t="shared" ca="1" si="21"/>
        <v>Center Forward</v>
      </c>
      <c r="O396" s="1" t="str">
        <f t="shared" ca="1" si="22"/>
        <v>F</v>
      </c>
      <c r="P396" s="1" t="str">
        <f t="shared" ca="1" si="23"/>
        <v>F</v>
      </c>
      <c r="Q396" s="1" t="str">
        <f t="shared" ca="1" si="24"/>
        <v>F</v>
      </c>
      <c r="R396" s="1" t="str">
        <f t="shared" ca="1" si="25"/>
        <v>F</v>
      </c>
      <c r="S396" s="1" t="str">
        <f t="shared" ca="1" si="26"/>
        <v>F</v>
      </c>
      <c r="T396" s="1" t="str">
        <f t="shared" ca="1" si="27"/>
        <v>F</v>
      </c>
      <c r="U396" s="1" t="str">
        <f t="shared" ca="1" si="28"/>
        <v>F</v>
      </c>
      <c r="V396" s="1" t="str">
        <f t="shared" ca="1" si="29"/>
        <v>F</v>
      </c>
      <c r="W396" s="1" t="str">
        <f t="shared" ca="1" si="30"/>
        <v>Dejan Joveljic</v>
      </c>
    </row>
    <row r="397" spans="1:23">
      <c r="A397" s="1" t="str">
        <f ca="1">IFERROR(__xludf.DUMMYFUNCTION("""COMPUTED_VALUE"""),"Preston")</f>
        <v>Preston</v>
      </c>
      <c r="B397" s="1" t="str">
        <f ca="1">IFERROR(__xludf.DUMMYFUNCTION("""COMPUTED_VALUE"""),"Judd")</f>
        <v>Judd</v>
      </c>
      <c r="C397" s="1" t="str">
        <f ca="1">IFERROR(__xludf.DUMMYFUNCTION("""COMPUTED_VALUE"""),"San Jose Earthquakes")</f>
        <v>San Jose Earthquakes</v>
      </c>
      <c r="D397" s="1" t="str">
        <f ca="1">IFERROR(__xludf.DUMMYFUNCTION("""COMPUTED_VALUE"""),"Center Forward")</f>
        <v>Center Forward</v>
      </c>
      <c r="E397" s="2">
        <f ca="1">IFERROR(__xludf.DUMMYFUNCTION("""COMPUTED_VALUE"""),89716)</f>
        <v>89716</v>
      </c>
      <c r="F397" s="2">
        <f ca="1">IFERROR(__xludf.DUMMYFUNCTION("""COMPUTED_VALUE"""),89716)</f>
        <v>89716</v>
      </c>
      <c r="H397" s="1" t="str">
        <f t="shared" ca="1" si="16"/>
        <v>Center Forward</v>
      </c>
      <c r="I397" s="3" t="str">
        <f t="shared" ca="1" si="17"/>
        <v>Center Forward</v>
      </c>
      <c r="J397" s="1" t="str">
        <f t="shared" ca="1" si="18"/>
        <v>Center Forward</v>
      </c>
      <c r="K397" s="1" t="str">
        <f t="shared" ca="1" si="31"/>
        <v>Center Forward</v>
      </c>
      <c r="L397" s="1" t="str">
        <f t="shared" ca="1" si="19"/>
        <v>Center Forward</v>
      </c>
      <c r="M397" s="1" t="str">
        <f t="shared" ca="1" si="20"/>
        <v>Center Forward</v>
      </c>
      <c r="N397" s="1" t="str">
        <f t="shared" ca="1" si="21"/>
        <v>Center Forward</v>
      </c>
      <c r="O397" s="1" t="str">
        <f t="shared" ca="1" si="22"/>
        <v>F</v>
      </c>
      <c r="P397" s="1" t="str">
        <f t="shared" ca="1" si="23"/>
        <v>F</v>
      </c>
      <c r="Q397" s="1" t="str">
        <f t="shared" ca="1" si="24"/>
        <v>F</v>
      </c>
      <c r="R397" s="1" t="str">
        <f t="shared" ca="1" si="25"/>
        <v>F</v>
      </c>
      <c r="S397" s="1" t="str">
        <f t="shared" ca="1" si="26"/>
        <v>F</v>
      </c>
      <c r="T397" s="1" t="str">
        <f t="shared" ca="1" si="27"/>
        <v>F</v>
      </c>
      <c r="U397" s="1" t="str">
        <f t="shared" ca="1" si="28"/>
        <v>F</v>
      </c>
      <c r="V397" s="1" t="str">
        <f t="shared" ca="1" si="29"/>
        <v>F</v>
      </c>
      <c r="W397" s="1" t="str">
        <f t="shared" ca="1" si="30"/>
        <v>Preston Judd</v>
      </c>
    </row>
    <row r="398" spans="1:23">
      <c r="A398" s="1" t="str">
        <f ca="1">IFERROR(__xludf.DUMMYFUNCTION("""COMPUTED_VALUE"""),"Anderson")</f>
        <v>Anderson</v>
      </c>
      <c r="B398" s="1" t="str">
        <f ca="1">IFERROR(__xludf.DUMMYFUNCTION("""COMPUTED_VALUE"""),"Julio")</f>
        <v>Julio</v>
      </c>
      <c r="C398" s="1" t="str">
        <f ca="1">IFERROR(__xludf.DUMMYFUNCTION("""COMPUTED_VALUE"""),"Real Salt Lake")</f>
        <v>Real Salt Lake</v>
      </c>
      <c r="D398" s="1" t="str">
        <f ca="1">IFERROR(__xludf.DUMMYFUNCTION("""COMPUTED_VALUE"""),"Right Wing")</f>
        <v>Right Wing</v>
      </c>
      <c r="E398" s="2">
        <f ca="1">IFERROR(__xludf.DUMMYFUNCTION("""COMPUTED_VALUE"""),750000)</f>
        <v>750000</v>
      </c>
      <c r="F398" s="2">
        <f ca="1">IFERROR(__xludf.DUMMYFUNCTION("""COMPUTED_VALUE"""),820000)</f>
        <v>820000</v>
      </c>
      <c r="H398" s="1" t="str">
        <f t="shared" ca="1" si="16"/>
        <v>Right Wing</v>
      </c>
      <c r="I398" s="3" t="str">
        <f t="shared" ca="1" si="17"/>
        <v>Right Wing</v>
      </c>
      <c r="J398" s="1" t="str">
        <f t="shared" ca="1" si="18"/>
        <v>Right Wing</v>
      </c>
      <c r="K398" s="1" t="str">
        <f t="shared" ca="1" si="31"/>
        <v>Right Wing</v>
      </c>
      <c r="L398" s="1" t="str">
        <f t="shared" ca="1" si="19"/>
        <v>Right Wing</v>
      </c>
      <c r="M398" s="1" t="str">
        <f t="shared" ca="1" si="20"/>
        <v>Right Wing</v>
      </c>
      <c r="N398" s="1" t="str">
        <f t="shared" ca="1" si="21"/>
        <v>F</v>
      </c>
      <c r="O398" s="1" t="str">
        <f t="shared" ca="1" si="22"/>
        <v>F</v>
      </c>
      <c r="P398" s="1" t="str">
        <f t="shared" ca="1" si="23"/>
        <v>F</v>
      </c>
      <c r="Q398" s="1" t="str">
        <f t="shared" ca="1" si="24"/>
        <v>F</v>
      </c>
      <c r="R398" s="1" t="str">
        <f t="shared" ca="1" si="25"/>
        <v>F</v>
      </c>
      <c r="S398" s="1" t="str">
        <f t="shared" ca="1" si="26"/>
        <v>F</v>
      </c>
      <c r="T398" s="1" t="str">
        <f t="shared" ca="1" si="27"/>
        <v>F</v>
      </c>
      <c r="U398" s="1" t="str">
        <f t="shared" ca="1" si="28"/>
        <v>F</v>
      </c>
      <c r="V398" s="1" t="str">
        <f t="shared" ca="1" si="29"/>
        <v>F</v>
      </c>
      <c r="W398" s="1" t="str">
        <f t="shared" ca="1" si="30"/>
        <v>Anderson Julio</v>
      </c>
    </row>
    <row r="399" spans="1:23">
      <c r="A399" s="1" t="str">
        <f ca="1">IFERROR(__xludf.DUMMYFUNCTION("""COMPUTED_VALUE"""),"Sam")</f>
        <v>Sam</v>
      </c>
      <c r="B399" s="1" t="str">
        <f ca="1">IFERROR(__xludf.DUMMYFUNCTION("""COMPUTED_VALUE"""),"Junqua")</f>
        <v>Junqua</v>
      </c>
      <c r="C399" s="1" t="str">
        <f ca="1">IFERROR(__xludf.DUMMYFUNCTION("""COMPUTED_VALUE"""),"FC Dallas")</f>
        <v>FC Dallas</v>
      </c>
      <c r="D399" s="1" t="str">
        <f ca="1">IFERROR(__xludf.DUMMYFUNCTION("""COMPUTED_VALUE"""),"Left-back")</f>
        <v>Left-back</v>
      </c>
      <c r="E399" s="2">
        <f ca="1">IFERROR(__xludf.DUMMYFUNCTION("""COMPUTED_VALUE"""),200000)</f>
        <v>200000</v>
      </c>
      <c r="F399" s="2">
        <f ca="1">IFERROR(__xludf.DUMMYFUNCTION("""COMPUTED_VALUE"""),212368)</f>
        <v>212368</v>
      </c>
      <c r="H399" s="1" t="str">
        <f t="shared" ca="1" si="16"/>
        <v>Left-back</v>
      </c>
      <c r="I399" s="3" t="str">
        <f t="shared" ca="1" si="17"/>
        <v>D</v>
      </c>
      <c r="J399" s="1" t="str">
        <f t="shared" ca="1" si="18"/>
        <v>D</v>
      </c>
      <c r="K399" s="1" t="str">
        <f t="shared" ca="1" si="31"/>
        <v>D</v>
      </c>
      <c r="L399" s="1" t="str">
        <f t="shared" ca="1" si="19"/>
        <v>D</v>
      </c>
      <c r="M399" s="1" t="str">
        <f t="shared" ca="1" si="20"/>
        <v>D</v>
      </c>
      <c r="N399" s="1" t="str">
        <f t="shared" ca="1" si="21"/>
        <v>D</v>
      </c>
      <c r="O399" s="1" t="str">
        <f t="shared" ca="1" si="22"/>
        <v>D</v>
      </c>
      <c r="P399" s="1" t="str">
        <f t="shared" ca="1" si="23"/>
        <v>D</v>
      </c>
      <c r="Q399" s="1" t="str">
        <f t="shared" ca="1" si="24"/>
        <v>D</v>
      </c>
      <c r="R399" s="1" t="str">
        <f t="shared" ca="1" si="25"/>
        <v>D</v>
      </c>
      <c r="S399" s="1" t="str">
        <f t="shared" ca="1" si="26"/>
        <v>D</v>
      </c>
      <c r="T399" s="1" t="str">
        <f t="shared" ca="1" si="27"/>
        <v>D</v>
      </c>
      <c r="U399" s="1" t="str">
        <f t="shared" ca="1" si="28"/>
        <v>D</v>
      </c>
      <c r="V399" s="1" t="str">
        <f t="shared" ca="1" si="29"/>
        <v>D</v>
      </c>
      <c r="W399" s="1" t="str">
        <f t="shared" ca="1" si="30"/>
        <v>Sam Junqua</v>
      </c>
    </row>
    <row r="400" spans="1:23">
      <c r="A400" s="1" t="str">
        <f ca="1">IFERROR(__xludf.DUMMYFUNCTION("""COMPUTED_VALUE"""),"Kristijan")</f>
        <v>Kristijan</v>
      </c>
      <c r="B400" s="1" t="str">
        <f ca="1">IFERROR(__xludf.DUMMYFUNCTION("""COMPUTED_VALUE"""),"Kahlina")</f>
        <v>Kahlina</v>
      </c>
      <c r="C400" s="1" t="str">
        <f ca="1">IFERROR(__xludf.DUMMYFUNCTION("""COMPUTED_VALUE"""),"Charlotte FC")</f>
        <v>Charlotte FC</v>
      </c>
      <c r="D400" s="1" t="str">
        <f ca="1">IFERROR(__xludf.DUMMYFUNCTION("""COMPUTED_VALUE"""),"Goalkeeper")</f>
        <v>Goalkeeper</v>
      </c>
      <c r="E400" s="2">
        <f ca="1">IFERROR(__xludf.DUMMYFUNCTION("""COMPUTED_VALUE"""),550000)</f>
        <v>550000</v>
      </c>
      <c r="F400" s="2">
        <f ca="1">IFERROR(__xludf.DUMMYFUNCTION("""COMPUTED_VALUE"""),576875)</f>
        <v>576875</v>
      </c>
      <c r="H400" s="1" t="str">
        <f t="shared" ca="1" si="16"/>
        <v>Goalkeeper</v>
      </c>
      <c r="I400" s="3" t="str">
        <f t="shared" ca="1" si="17"/>
        <v>Goalkeeper</v>
      </c>
      <c r="J400" s="1" t="str">
        <f t="shared" ca="1" si="18"/>
        <v>Goalkeeper</v>
      </c>
      <c r="K400" s="1" t="str">
        <f t="shared" ca="1" si="31"/>
        <v>Goalkeeper</v>
      </c>
      <c r="L400" s="1" t="str">
        <f t="shared" ca="1" si="19"/>
        <v>Goalkeeper</v>
      </c>
      <c r="M400" s="1" t="str">
        <f t="shared" ca="1" si="20"/>
        <v>Goalkeeper</v>
      </c>
      <c r="N400" s="1" t="str">
        <f t="shared" ca="1" si="21"/>
        <v>Goalkeeper</v>
      </c>
      <c r="O400" s="1" t="str">
        <f t="shared" ca="1" si="22"/>
        <v>Goalkeeper</v>
      </c>
      <c r="P400" s="1" t="str">
        <f t="shared" ca="1" si="23"/>
        <v>Goalkeeper</v>
      </c>
      <c r="Q400" s="1" t="str">
        <f t="shared" ca="1" si="24"/>
        <v>Goalkeeper</v>
      </c>
      <c r="R400" s="1" t="str">
        <f t="shared" ca="1" si="25"/>
        <v>GK</v>
      </c>
      <c r="S400" s="1" t="str">
        <f t="shared" ca="1" si="26"/>
        <v>GK</v>
      </c>
      <c r="T400" s="1" t="str">
        <f t="shared" ca="1" si="27"/>
        <v>GK</v>
      </c>
      <c r="U400" s="1" t="str">
        <f t="shared" ca="1" si="28"/>
        <v>GK</v>
      </c>
      <c r="V400" s="1" t="str">
        <f t="shared" ca="1" si="29"/>
        <v>GK</v>
      </c>
      <c r="W400" s="1" t="str">
        <f t="shared" ca="1" si="30"/>
        <v>Kristijan Kahlina</v>
      </c>
    </row>
    <row r="401" spans="1:23">
      <c r="A401" s="1" t="str">
        <f ca="1">IFERROR(__xludf.DUMMYFUNCTION("""COMPUTED_VALUE"""),"Brent")</f>
        <v>Brent</v>
      </c>
      <c r="B401" s="1" t="str">
        <f ca="1">IFERROR(__xludf.DUMMYFUNCTION("""COMPUTED_VALUE"""),"Kallman")</f>
        <v>Kallman</v>
      </c>
      <c r="C401" s="1" t="str">
        <f ca="1">IFERROR(__xludf.DUMMYFUNCTION("""COMPUTED_VALUE"""),"Nashville SC")</f>
        <v>Nashville SC</v>
      </c>
      <c r="D401" s="1" t="str">
        <f ca="1">IFERROR(__xludf.DUMMYFUNCTION("""COMPUTED_VALUE"""),"Center-back")</f>
        <v>Center-back</v>
      </c>
      <c r="E401" s="2">
        <f ca="1">IFERROR(__xludf.DUMMYFUNCTION("""COMPUTED_VALUE"""),89716)</f>
        <v>89716</v>
      </c>
      <c r="F401" s="2">
        <f ca="1">IFERROR(__xludf.DUMMYFUNCTION("""COMPUTED_VALUE"""),89716)</f>
        <v>89716</v>
      </c>
      <c r="H401" s="1" t="str">
        <f t="shared" ca="1" si="16"/>
        <v>D</v>
      </c>
      <c r="I401" s="3" t="str">
        <f t="shared" ca="1" si="17"/>
        <v>D</v>
      </c>
      <c r="J401" s="1" t="str">
        <f t="shared" ca="1" si="18"/>
        <v>D</v>
      </c>
      <c r="K401" s="1" t="str">
        <f t="shared" ca="1" si="31"/>
        <v>D</v>
      </c>
      <c r="L401" s="1" t="str">
        <f t="shared" ca="1" si="19"/>
        <v>D</v>
      </c>
      <c r="M401" s="1" t="str">
        <f t="shared" ca="1" si="20"/>
        <v>D</v>
      </c>
      <c r="N401" s="1" t="str">
        <f t="shared" ca="1" si="21"/>
        <v>D</v>
      </c>
      <c r="O401" s="1" t="str">
        <f t="shared" ca="1" si="22"/>
        <v>D</v>
      </c>
      <c r="P401" s="1" t="str">
        <f t="shared" ca="1" si="23"/>
        <v>D</v>
      </c>
      <c r="Q401" s="1" t="str">
        <f t="shared" ca="1" si="24"/>
        <v>D</v>
      </c>
      <c r="R401" s="1" t="str">
        <f t="shared" ca="1" si="25"/>
        <v>D</v>
      </c>
      <c r="S401" s="1" t="str">
        <f t="shared" ca="1" si="26"/>
        <v>D</v>
      </c>
      <c r="T401" s="1" t="str">
        <f t="shared" ca="1" si="27"/>
        <v>D</v>
      </c>
      <c r="U401" s="1" t="str">
        <f t="shared" ca="1" si="28"/>
        <v>D</v>
      </c>
      <c r="V401" s="1" t="str">
        <f t="shared" ca="1" si="29"/>
        <v>D</v>
      </c>
      <c r="W401" s="1" t="str">
        <f t="shared" ca="1" si="30"/>
        <v>Brent Kallman</v>
      </c>
    </row>
    <row r="402" spans="1:23">
      <c r="A402" s="1" t="str">
        <f ca="1">IFERROR(__xludf.DUMMYFUNCTION("""COMPUTED_VALUE"""),"Kei")</f>
        <v>Kei</v>
      </c>
      <c r="B402" s="1" t="str">
        <f ca="1">IFERROR(__xludf.DUMMYFUNCTION("""COMPUTED_VALUE"""),"Kamara")</f>
        <v>Kamara</v>
      </c>
      <c r="C402" s="1" t="str">
        <f ca="1">IFERROR(__xludf.DUMMYFUNCTION("""COMPUTED_VALUE"""),"LAFC")</f>
        <v>LAFC</v>
      </c>
      <c r="D402" s="1" t="str">
        <f ca="1">IFERROR(__xludf.DUMMYFUNCTION("""COMPUTED_VALUE"""),"Center Forward")</f>
        <v>Center Forward</v>
      </c>
      <c r="E402" s="2">
        <f ca="1">IFERROR(__xludf.DUMMYFUNCTION("""COMPUTED_VALUE"""),89716)</f>
        <v>89716</v>
      </c>
      <c r="F402" s="2">
        <f ca="1">IFERROR(__xludf.DUMMYFUNCTION("""COMPUTED_VALUE"""),89716)</f>
        <v>89716</v>
      </c>
      <c r="H402" s="1" t="str">
        <f t="shared" ca="1" si="16"/>
        <v>Center Forward</v>
      </c>
      <c r="I402" s="3" t="str">
        <f t="shared" ca="1" si="17"/>
        <v>Center Forward</v>
      </c>
      <c r="J402" s="1" t="str">
        <f t="shared" ca="1" si="18"/>
        <v>Center Forward</v>
      </c>
      <c r="K402" s="1" t="str">
        <f t="shared" ca="1" si="31"/>
        <v>Center Forward</v>
      </c>
      <c r="L402" s="1" t="str">
        <f t="shared" ca="1" si="19"/>
        <v>Center Forward</v>
      </c>
      <c r="M402" s="1" t="str">
        <f t="shared" ca="1" si="20"/>
        <v>Center Forward</v>
      </c>
      <c r="N402" s="1" t="str">
        <f t="shared" ca="1" si="21"/>
        <v>Center Forward</v>
      </c>
      <c r="O402" s="1" t="str">
        <f t="shared" ca="1" si="22"/>
        <v>F</v>
      </c>
      <c r="P402" s="1" t="str">
        <f t="shared" ca="1" si="23"/>
        <v>F</v>
      </c>
      <c r="Q402" s="1" t="str">
        <f t="shared" ca="1" si="24"/>
        <v>F</v>
      </c>
      <c r="R402" s="1" t="str">
        <f t="shared" ca="1" si="25"/>
        <v>F</v>
      </c>
      <c r="S402" s="1" t="str">
        <f t="shared" ca="1" si="26"/>
        <v>F</v>
      </c>
      <c r="T402" s="1" t="str">
        <f t="shared" ca="1" si="27"/>
        <v>F</v>
      </c>
      <c r="U402" s="1" t="str">
        <f t="shared" ca="1" si="28"/>
        <v>F</v>
      </c>
      <c r="V402" s="1" t="str">
        <f t="shared" ca="1" si="29"/>
        <v>F</v>
      </c>
      <c r="W402" s="1" t="str">
        <f t="shared" ca="1" si="30"/>
        <v>Kei Kamara</v>
      </c>
    </row>
    <row r="403" spans="1:23">
      <c r="A403" s="1" t="str">
        <f ca="1">IFERROR(__xludf.DUMMYFUNCTION("""COMPUTED_VALUE"""),"Bernard")</f>
        <v>Bernard</v>
      </c>
      <c r="B403" s="1" t="str">
        <f ca="1">IFERROR(__xludf.DUMMYFUNCTION("""COMPUTED_VALUE"""),"Kamungo")</f>
        <v>Kamungo</v>
      </c>
      <c r="C403" s="1" t="str">
        <f ca="1">IFERROR(__xludf.DUMMYFUNCTION("""COMPUTED_VALUE"""),"FC Dallas")</f>
        <v>FC Dallas</v>
      </c>
      <c r="D403" s="1" t="str">
        <f ca="1">IFERROR(__xludf.DUMMYFUNCTION("""COMPUTED_VALUE"""),"Right Wing")</f>
        <v>Right Wing</v>
      </c>
      <c r="E403" s="2">
        <f ca="1">IFERROR(__xludf.DUMMYFUNCTION("""COMPUTED_VALUE"""),89716)</f>
        <v>89716</v>
      </c>
      <c r="F403" s="2">
        <f ca="1">IFERROR(__xludf.DUMMYFUNCTION("""COMPUTED_VALUE"""),89716)</f>
        <v>89716</v>
      </c>
      <c r="H403" s="1" t="str">
        <f t="shared" ca="1" si="16"/>
        <v>Right Wing</v>
      </c>
      <c r="I403" s="3" t="str">
        <f t="shared" ca="1" si="17"/>
        <v>Right Wing</v>
      </c>
      <c r="J403" s="1" t="str">
        <f t="shared" ca="1" si="18"/>
        <v>Right Wing</v>
      </c>
      <c r="K403" s="1" t="str">
        <f t="shared" ca="1" si="31"/>
        <v>Right Wing</v>
      </c>
      <c r="L403" s="1" t="str">
        <f t="shared" ca="1" si="19"/>
        <v>Right Wing</v>
      </c>
      <c r="M403" s="1" t="str">
        <f t="shared" ca="1" si="20"/>
        <v>Right Wing</v>
      </c>
      <c r="N403" s="1" t="str">
        <f t="shared" ca="1" si="21"/>
        <v>F</v>
      </c>
      <c r="O403" s="1" t="str">
        <f t="shared" ca="1" si="22"/>
        <v>F</v>
      </c>
      <c r="P403" s="1" t="str">
        <f t="shared" ca="1" si="23"/>
        <v>F</v>
      </c>
      <c r="Q403" s="1" t="str">
        <f t="shared" ca="1" si="24"/>
        <v>F</v>
      </c>
      <c r="R403" s="1" t="str">
        <f t="shared" ca="1" si="25"/>
        <v>F</v>
      </c>
      <c r="S403" s="1" t="str">
        <f t="shared" ca="1" si="26"/>
        <v>F</v>
      </c>
      <c r="T403" s="1" t="str">
        <f t="shared" ca="1" si="27"/>
        <v>F</v>
      </c>
      <c r="U403" s="1" t="str">
        <f t="shared" ca="1" si="28"/>
        <v>F</v>
      </c>
      <c r="V403" s="1" t="str">
        <f t="shared" ca="1" si="29"/>
        <v>F</v>
      </c>
      <c r="W403" s="1" t="str">
        <f t="shared" ca="1" si="30"/>
        <v>Bernard Kamungo</v>
      </c>
    </row>
    <row r="404" spans="1:23">
      <c r="A404" s="1" t="str">
        <f ca="1">IFERROR(__xludf.DUMMYFUNCTION("""COMPUTED_VALUE"""),"Alec")</f>
        <v>Alec</v>
      </c>
      <c r="B404" s="1" t="str">
        <f ca="1">IFERROR(__xludf.DUMMYFUNCTION("""COMPUTED_VALUE"""),"Kann")</f>
        <v>Kann</v>
      </c>
      <c r="C404" s="1" t="str">
        <f ca="1">IFERROR(__xludf.DUMMYFUNCTION("""COMPUTED_VALUE"""),"FC Cincinnati")</f>
        <v>FC Cincinnati</v>
      </c>
      <c r="D404" s="1" t="str">
        <f ca="1">IFERROR(__xludf.DUMMYFUNCTION("""COMPUTED_VALUE"""),"Goalkeeper")</f>
        <v>Goalkeeper</v>
      </c>
      <c r="E404" s="2">
        <f ca="1">IFERROR(__xludf.DUMMYFUNCTION("""COMPUTED_VALUE"""),250000)</f>
        <v>250000</v>
      </c>
      <c r="F404" s="2">
        <f ca="1">IFERROR(__xludf.DUMMYFUNCTION("""COMPUTED_VALUE"""),270833)</f>
        <v>270833</v>
      </c>
      <c r="H404" s="1" t="str">
        <f t="shared" ca="1" si="16"/>
        <v>Goalkeeper</v>
      </c>
      <c r="I404" s="3" t="str">
        <f t="shared" ca="1" si="17"/>
        <v>Goalkeeper</v>
      </c>
      <c r="J404" s="1" t="str">
        <f t="shared" ca="1" si="18"/>
        <v>Goalkeeper</v>
      </c>
      <c r="K404" s="1" t="str">
        <f t="shared" ca="1" si="31"/>
        <v>Goalkeeper</v>
      </c>
      <c r="L404" s="1" t="str">
        <f t="shared" ca="1" si="19"/>
        <v>Goalkeeper</v>
      </c>
      <c r="M404" s="1" t="str">
        <f t="shared" ca="1" si="20"/>
        <v>Goalkeeper</v>
      </c>
      <c r="N404" s="1" t="str">
        <f t="shared" ca="1" si="21"/>
        <v>Goalkeeper</v>
      </c>
      <c r="O404" s="1" t="str">
        <f t="shared" ca="1" si="22"/>
        <v>Goalkeeper</v>
      </c>
      <c r="P404" s="1" t="str">
        <f t="shared" ca="1" si="23"/>
        <v>Goalkeeper</v>
      </c>
      <c r="Q404" s="1" t="str">
        <f t="shared" ca="1" si="24"/>
        <v>Goalkeeper</v>
      </c>
      <c r="R404" s="1" t="str">
        <f t="shared" ca="1" si="25"/>
        <v>GK</v>
      </c>
      <c r="S404" s="1" t="str">
        <f t="shared" ca="1" si="26"/>
        <v>GK</v>
      </c>
      <c r="T404" s="1" t="str">
        <f t="shared" ca="1" si="27"/>
        <v>GK</v>
      </c>
      <c r="U404" s="1" t="str">
        <f t="shared" ca="1" si="28"/>
        <v>GK</v>
      </c>
      <c r="V404" s="1" t="str">
        <f t="shared" ca="1" si="29"/>
        <v>GK</v>
      </c>
      <c r="W404" s="1" t="str">
        <f t="shared" ca="1" si="30"/>
        <v>Alec Kann</v>
      </c>
    </row>
    <row r="405" spans="1:23">
      <c r="A405" s="1" t="str">
        <f ca="1">IFERROR(__xludf.DUMMYFUNCTION("""COMPUTED_VALUE"""),"Alexandros")</f>
        <v>Alexandros</v>
      </c>
      <c r="B405" s="1" t="str">
        <f ca="1">IFERROR(__xludf.DUMMYFUNCTION("""COMPUTED_VALUE"""),"Katranis")</f>
        <v>Katranis</v>
      </c>
      <c r="C405" s="1" t="str">
        <f ca="1">IFERROR(__xludf.DUMMYFUNCTION("""COMPUTED_VALUE"""),"Real Salt Lake")</f>
        <v>Real Salt Lake</v>
      </c>
      <c r="D405" s="1" t="str">
        <f ca="1">IFERROR(__xludf.DUMMYFUNCTION("""COMPUTED_VALUE"""),"Left-back")</f>
        <v>Left-back</v>
      </c>
      <c r="E405" s="2">
        <f ca="1">IFERROR(__xludf.DUMMYFUNCTION("""COMPUTED_VALUE"""),400000)</f>
        <v>400000</v>
      </c>
      <c r="F405" s="2">
        <f ca="1">IFERROR(__xludf.DUMMYFUNCTION("""COMPUTED_VALUE"""),469875)</f>
        <v>469875</v>
      </c>
      <c r="H405" s="1" t="str">
        <f t="shared" ca="1" si="16"/>
        <v>Left-back</v>
      </c>
      <c r="I405" s="3" t="str">
        <f t="shared" ca="1" si="17"/>
        <v>D</v>
      </c>
      <c r="J405" s="1" t="str">
        <f t="shared" ca="1" si="18"/>
        <v>D</v>
      </c>
      <c r="K405" s="1" t="str">
        <f t="shared" ca="1" si="31"/>
        <v>D</v>
      </c>
      <c r="L405" s="1" t="str">
        <f t="shared" ca="1" si="19"/>
        <v>D</v>
      </c>
      <c r="M405" s="1" t="str">
        <f t="shared" ca="1" si="20"/>
        <v>D</v>
      </c>
      <c r="N405" s="1" t="str">
        <f t="shared" ca="1" si="21"/>
        <v>D</v>
      </c>
      <c r="O405" s="1" t="str">
        <f t="shared" ca="1" si="22"/>
        <v>D</v>
      </c>
      <c r="P405" s="1" t="str">
        <f t="shared" ca="1" si="23"/>
        <v>D</v>
      </c>
      <c r="Q405" s="1" t="str">
        <f t="shared" ca="1" si="24"/>
        <v>D</v>
      </c>
      <c r="R405" s="1" t="str">
        <f t="shared" ca="1" si="25"/>
        <v>D</v>
      </c>
      <c r="S405" s="1" t="str">
        <f t="shared" ca="1" si="26"/>
        <v>D</v>
      </c>
      <c r="T405" s="1" t="str">
        <f t="shared" ca="1" si="27"/>
        <v>D</v>
      </c>
      <c r="U405" s="1" t="str">
        <f t="shared" ca="1" si="28"/>
        <v>D</v>
      </c>
      <c r="V405" s="1" t="str">
        <f t="shared" ca="1" si="29"/>
        <v>D</v>
      </c>
      <c r="W405" s="1" t="str">
        <f t="shared" ca="1" si="30"/>
        <v>Alexandros Katranis</v>
      </c>
    </row>
    <row r="406" spans="1:23">
      <c r="A406" s="1" t="str">
        <f ca="1">IFERROR(__xludf.DUMMYFUNCTION("""COMPUTED_VALUE"""),"Mark-Anthony")</f>
        <v>Mark-Anthony</v>
      </c>
      <c r="B406" s="1" t="str">
        <f ca="1">IFERROR(__xludf.DUMMYFUNCTION("""COMPUTED_VALUE"""),"Kaye")</f>
        <v>Kaye</v>
      </c>
      <c r="C406" s="1" t="str">
        <f ca="1">IFERROR(__xludf.DUMMYFUNCTION("""COMPUTED_VALUE"""),"New England Revolution")</f>
        <v>New England Revolution</v>
      </c>
      <c r="D406" s="1" t="str">
        <f ca="1">IFERROR(__xludf.DUMMYFUNCTION("""COMPUTED_VALUE"""),"Central Midfield")</f>
        <v>Central Midfield</v>
      </c>
      <c r="E406" s="2">
        <f ca="1">IFERROR(__xludf.DUMMYFUNCTION("""COMPUTED_VALUE"""),750000)</f>
        <v>750000</v>
      </c>
      <c r="F406" s="2">
        <f ca="1">IFERROR(__xludf.DUMMYFUNCTION("""COMPUTED_VALUE"""),750000)</f>
        <v>750000</v>
      </c>
      <c r="H406" s="1" t="str">
        <f t="shared" ca="1" si="16"/>
        <v>Central Midfield</v>
      </c>
      <c r="I406" s="3" t="str">
        <f t="shared" ca="1" si="17"/>
        <v>Central Midfield</v>
      </c>
      <c r="J406" s="1" t="str">
        <f t="shared" ca="1" si="18"/>
        <v>Central Midfield</v>
      </c>
      <c r="K406" s="1" t="str">
        <f t="shared" ca="1" si="31"/>
        <v>Central Midfield</v>
      </c>
      <c r="L406" s="1" t="str">
        <f t="shared" ca="1" si="19"/>
        <v>M</v>
      </c>
      <c r="M406" s="1" t="str">
        <f t="shared" ca="1" si="20"/>
        <v>M</v>
      </c>
      <c r="N406" s="1" t="str">
        <f t="shared" ca="1" si="21"/>
        <v>M</v>
      </c>
      <c r="O406" s="1" t="str">
        <f t="shared" ca="1" si="22"/>
        <v>M</v>
      </c>
      <c r="P406" s="1" t="str">
        <f t="shared" ca="1" si="23"/>
        <v>M</v>
      </c>
      <c r="Q406" s="1" t="str">
        <f t="shared" ca="1" si="24"/>
        <v>M</v>
      </c>
      <c r="R406" s="1" t="str">
        <f t="shared" ca="1" si="25"/>
        <v>M</v>
      </c>
      <c r="S406" s="1" t="str">
        <f t="shared" ca="1" si="26"/>
        <v>M</v>
      </c>
      <c r="T406" s="1" t="str">
        <f t="shared" ca="1" si="27"/>
        <v>M</v>
      </c>
      <c r="U406" s="1" t="str">
        <f t="shared" ca="1" si="28"/>
        <v>M</v>
      </c>
      <c r="V406" s="1" t="str">
        <f t="shared" ca="1" si="29"/>
        <v>M</v>
      </c>
      <c r="W406" s="1" t="str">
        <f t="shared" ca="1" si="30"/>
        <v>Mark-Anthony Kaye</v>
      </c>
    </row>
    <row r="407" spans="1:23">
      <c r="A407" s="1" t="str">
        <f ca="1">IFERROR(__xludf.DUMMYFUNCTION("""COMPUTED_VALUE"""),"Axel")</f>
        <v>Axel</v>
      </c>
      <c r="B407" s="1" t="str">
        <f ca="1">IFERROR(__xludf.DUMMYFUNCTION("""COMPUTED_VALUE"""),"Kei")</f>
        <v>Kei</v>
      </c>
      <c r="C407" s="1" t="str">
        <f ca="1">IFERROR(__xludf.DUMMYFUNCTION("""COMPUTED_VALUE"""),"Real Salt Lake")</f>
        <v>Real Salt Lake</v>
      </c>
      <c r="D407" s="1" t="str">
        <f ca="1">IFERROR(__xludf.DUMMYFUNCTION("""COMPUTED_VALUE"""),"Center Forward")</f>
        <v>Center Forward</v>
      </c>
      <c r="E407" s="2">
        <f ca="1">IFERROR(__xludf.DUMMYFUNCTION("""COMPUTED_VALUE"""),110000)</f>
        <v>110000</v>
      </c>
      <c r="F407" s="2">
        <f ca="1">IFERROR(__xludf.DUMMYFUNCTION("""COMPUTED_VALUE"""),126000)</f>
        <v>126000</v>
      </c>
      <c r="H407" s="1" t="str">
        <f t="shared" ca="1" si="16"/>
        <v>Center Forward</v>
      </c>
      <c r="I407" s="3" t="str">
        <f t="shared" ca="1" si="17"/>
        <v>Center Forward</v>
      </c>
      <c r="J407" s="1" t="str">
        <f t="shared" ca="1" si="18"/>
        <v>Center Forward</v>
      </c>
      <c r="K407" s="1" t="str">
        <f t="shared" ca="1" si="31"/>
        <v>Center Forward</v>
      </c>
      <c r="L407" s="1" t="str">
        <f t="shared" ca="1" si="19"/>
        <v>Center Forward</v>
      </c>
      <c r="M407" s="1" t="str">
        <f t="shared" ca="1" si="20"/>
        <v>Center Forward</v>
      </c>
      <c r="N407" s="1" t="str">
        <f t="shared" ca="1" si="21"/>
        <v>Center Forward</v>
      </c>
      <c r="O407" s="1" t="str">
        <f t="shared" ca="1" si="22"/>
        <v>F</v>
      </c>
      <c r="P407" s="1" t="str">
        <f t="shared" ca="1" si="23"/>
        <v>F</v>
      </c>
      <c r="Q407" s="1" t="str">
        <f t="shared" ca="1" si="24"/>
        <v>F</v>
      </c>
      <c r="R407" s="1" t="str">
        <f t="shared" ca="1" si="25"/>
        <v>F</v>
      </c>
      <c r="S407" s="1" t="str">
        <f t="shared" ca="1" si="26"/>
        <v>F</v>
      </c>
      <c r="T407" s="1" t="str">
        <f t="shared" ca="1" si="27"/>
        <v>F</v>
      </c>
      <c r="U407" s="1" t="str">
        <f t="shared" ca="1" si="28"/>
        <v>F</v>
      </c>
      <c r="V407" s="1" t="str">
        <f t="shared" ca="1" si="29"/>
        <v>F</v>
      </c>
      <c r="W407" s="1" t="str">
        <f t="shared" ca="1" si="30"/>
        <v>Axel Kei</v>
      </c>
    </row>
    <row r="408" spans="1:23">
      <c r="A408" s="1" t="str">
        <f ca="1">IFERROR(__xludf.DUMMYFUNCTION("""COMPUTED_VALUE"""),"Aboubacar")</f>
        <v>Aboubacar</v>
      </c>
      <c r="B408" s="1" t="str">
        <f ca="1">IFERROR(__xludf.DUMMYFUNCTION("""COMPUTED_VALUE"""),"Keita")</f>
        <v>Keita</v>
      </c>
      <c r="C408" s="1" t="str">
        <f ca="1">IFERROR(__xludf.DUMMYFUNCTION("""COMPUTED_VALUE"""),"Colorado Rapids")</f>
        <v>Colorado Rapids</v>
      </c>
      <c r="D408" s="1" t="str">
        <f ca="1">IFERROR(__xludf.DUMMYFUNCTION("""COMPUTED_VALUE"""),"Center-back")</f>
        <v>Center-back</v>
      </c>
      <c r="E408" s="2">
        <f ca="1">IFERROR(__xludf.DUMMYFUNCTION("""COMPUTED_VALUE"""),240000)</f>
        <v>240000</v>
      </c>
      <c r="F408" s="2">
        <f ca="1">IFERROR(__xludf.DUMMYFUNCTION("""COMPUTED_VALUE"""),270313)</f>
        <v>270313</v>
      </c>
      <c r="H408" s="1" t="str">
        <f t="shared" ca="1" si="16"/>
        <v>D</v>
      </c>
      <c r="I408" s="3" t="str">
        <f t="shared" ca="1" si="17"/>
        <v>D</v>
      </c>
      <c r="J408" s="1" t="str">
        <f t="shared" ca="1" si="18"/>
        <v>D</v>
      </c>
      <c r="K408" s="1" t="str">
        <f t="shared" ca="1" si="31"/>
        <v>D</v>
      </c>
      <c r="L408" s="1" t="str">
        <f t="shared" ca="1" si="19"/>
        <v>D</v>
      </c>
      <c r="M408" s="1" t="str">
        <f t="shared" ca="1" si="20"/>
        <v>D</v>
      </c>
      <c r="N408" s="1" t="str">
        <f t="shared" ca="1" si="21"/>
        <v>D</v>
      </c>
      <c r="O408" s="1" t="str">
        <f t="shared" ca="1" si="22"/>
        <v>D</v>
      </c>
      <c r="P408" s="1" t="str">
        <f t="shared" ca="1" si="23"/>
        <v>D</v>
      </c>
      <c r="Q408" s="1" t="str">
        <f t="shared" ca="1" si="24"/>
        <v>D</v>
      </c>
      <c r="R408" s="1" t="str">
        <f t="shared" ca="1" si="25"/>
        <v>D</v>
      </c>
      <c r="S408" s="1" t="str">
        <f t="shared" ca="1" si="26"/>
        <v>D</v>
      </c>
      <c r="T408" s="1" t="str">
        <f t="shared" ca="1" si="27"/>
        <v>D</v>
      </c>
      <c r="U408" s="1" t="str">
        <f t="shared" ca="1" si="28"/>
        <v>D</v>
      </c>
      <c r="V408" s="1" t="str">
        <f t="shared" ca="1" si="29"/>
        <v>D</v>
      </c>
      <c r="W408" s="1" t="str">
        <f t="shared" ca="1" si="30"/>
        <v>Aboubacar Keita</v>
      </c>
    </row>
    <row r="409" spans="1:23">
      <c r="A409" s="1" t="str">
        <f ca="1">IFERROR(__xludf.DUMMYFUNCTION("""COMPUTED_VALUE"""),"Kipp")</f>
        <v>Kipp</v>
      </c>
      <c r="B409" s="1" t="str">
        <f ca="1">IFERROR(__xludf.DUMMYFUNCTION("""COMPUTED_VALUE"""),"Keller")</f>
        <v>Keller</v>
      </c>
      <c r="C409" s="1" t="str">
        <f ca="1">IFERROR(__xludf.DUMMYFUNCTION("""COMPUTED_VALUE"""),"FC Cincinnati")</f>
        <v>FC Cincinnati</v>
      </c>
      <c r="D409" s="1" t="str">
        <f ca="1">IFERROR(__xludf.DUMMYFUNCTION("""COMPUTED_VALUE"""),"Center-back")</f>
        <v>Center-back</v>
      </c>
      <c r="E409" s="2">
        <f ca="1">IFERROR(__xludf.DUMMYFUNCTION("""COMPUTED_VALUE"""),89716)</f>
        <v>89716</v>
      </c>
      <c r="F409" s="2">
        <f ca="1">IFERROR(__xludf.DUMMYFUNCTION("""COMPUTED_VALUE"""),99716)</f>
        <v>99716</v>
      </c>
      <c r="H409" s="1" t="str">
        <f t="shared" ca="1" si="16"/>
        <v>D</v>
      </c>
      <c r="I409" s="3" t="str">
        <f t="shared" ca="1" si="17"/>
        <v>D</v>
      </c>
      <c r="J409" s="1" t="str">
        <f t="shared" ca="1" si="18"/>
        <v>D</v>
      </c>
      <c r="K409" s="1" t="str">
        <f t="shared" ca="1" si="31"/>
        <v>D</v>
      </c>
      <c r="L409" s="1" t="str">
        <f t="shared" ca="1" si="19"/>
        <v>D</v>
      </c>
      <c r="M409" s="1" t="str">
        <f t="shared" ca="1" si="20"/>
        <v>D</v>
      </c>
      <c r="N409" s="1" t="str">
        <f t="shared" ca="1" si="21"/>
        <v>D</v>
      </c>
      <c r="O409" s="1" t="str">
        <f t="shared" ca="1" si="22"/>
        <v>D</v>
      </c>
      <c r="P409" s="1" t="str">
        <f t="shared" ca="1" si="23"/>
        <v>D</v>
      </c>
      <c r="Q409" s="1" t="str">
        <f t="shared" ca="1" si="24"/>
        <v>D</v>
      </c>
      <c r="R409" s="1" t="str">
        <f t="shared" ca="1" si="25"/>
        <v>D</v>
      </c>
      <c r="S409" s="1" t="str">
        <f t="shared" ca="1" si="26"/>
        <v>D</v>
      </c>
      <c r="T409" s="1" t="str">
        <f t="shared" ca="1" si="27"/>
        <v>D</v>
      </c>
      <c r="U409" s="1" t="str">
        <f t="shared" ca="1" si="28"/>
        <v>D</v>
      </c>
      <c r="V409" s="1" t="str">
        <f t="shared" ca="1" si="29"/>
        <v>D</v>
      </c>
      <c r="W409" s="1" t="str">
        <f t="shared" ca="1" si="30"/>
        <v>Kipp Keller</v>
      </c>
    </row>
    <row r="410" spans="1:23">
      <c r="A410" s="1" t="str">
        <f ca="1">IFERROR(__xludf.DUMMYFUNCTION("""COMPUTED_VALUE"""),"Deandre")</f>
        <v>Deandre</v>
      </c>
      <c r="B410" s="1" t="str">
        <f ca="1">IFERROR(__xludf.DUMMYFUNCTION("""COMPUTED_VALUE"""),"Kerr")</f>
        <v>Kerr</v>
      </c>
      <c r="C410" s="1" t="str">
        <f ca="1">IFERROR(__xludf.DUMMYFUNCTION("""COMPUTED_VALUE"""),"Toronto FC")</f>
        <v>Toronto FC</v>
      </c>
      <c r="D410" s="1" t="str">
        <f ca="1">IFERROR(__xludf.DUMMYFUNCTION("""COMPUTED_VALUE"""),"Right Wing")</f>
        <v>Right Wing</v>
      </c>
      <c r="E410" s="2">
        <f ca="1">IFERROR(__xludf.DUMMYFUNCTION("""COMPUTED_VALUE"""),100000)</f>
        <v>100000</v>
      </c>
      <c r="F410" s="2">
        <f ca="1">IFERROR(__xludf.DUMMYFUNCTION("""COMPUTED_VALUE"""),105319)</f>
        <v>105319</v>
      </c>
      <c r="H410" s="1" t="str">
        <f t="shared" ca="1" si="16"/>
        <v>Right Wing</v>
      </c>
      <c r="I410" s="3" t="str">
        <f t="shared" ca="1" si="17"/>
        <v>Right Wing</v>
      </c>
      <c r="J410" s="1" t="str">
        <f t="shared" ca="1" si="18"/>
        <v>Right Wing</v>
      </c>
      <c r="K410" s="1" t="str">
        <f t="shared" ca="1" si="31"/>
        <v>Right Wing</v>
      </c>
      <c r="L410" s="1" t="str">
        <f t="shared" ca="1" si="19"/>
        <v>Right Wing</v>
      </c>
      <c r="M410" s="1" t="str">
        <f t="shared" ca="1" si="20"/>
        <v>Right Wing</v>
      </c>
      <c r="N410" s="1" t="str">
        <f t="shared" ca="1" si="21"/>
        <v>F</v>
      </c>
      <c r="O410" s="1" t="str">
        <f t="shared" ca="1" si="22"/>
        <v>F</v>
      </c>
      <c r="P410" s="1" t="str">
        <f t="shared" ca="1" si="23"/>
        <v>F</v>
      </c>
      <c r="Q410" s="1" t="str">
        <f t="shared" ca="1" si="24"/>
        <v>F</v>
      </c>
      <c r="R410" s="1" t="str">
        <f t="shared" ca="1" si="25"/>
        <v>F</v>
      </c>
      <c r="S410" s="1" t="str">
        <f t="shared" ca="1" si="26"/>
        <v>F</v>
      </c>
      <c r="T410" s="1" t="str">
        <f t="shared" ca="1" si="27"/>
        <v>F</v>
      </c>
      <c r="U410" s="1" t="str">
        <f t="shared" ca="1" si="28"/>
        <v>F</v>
      </c>
      <c r="V410" s="1" t="str">
        <f t="shared" ca="1" si="29"/>
        <v>F</v>
      </c>
      <c r="W410" s="1" t="str">
        <f t="shared" ca="1" si="30"/>
        <v>Deandre Kerr</v>
      </c>
    </row>
    <row r="411" spans="1:23">
      <c r="A411" s="1" t="str">
        <f ca="1">IFERROR(__xludf.DUMMYFUNCTION("""COMPUTED_VALUE"""),"Henry")</f>
        <v>Henry</v>
      </c>
      <c r="B411" s="1" t="str">
        <f ca="1">IFERROR(__xludf.DUMMYFUNCTION("""COMPUTED_VALUE"""),"Kessler")</f>
        <v>Kessler</v>
      </c>
      <c r="C411" s="1" t="str">
        <f ca="1">IFERROR(__xludf.DUMMYFUNCTION("""COMPUTED_VALUE"""),"New England Revolution")</f>
        <v>New England Revolution</v>
      </c>
      <c r="D411" s="1" t="str">
        <f ca="1">IFERROR(__xludf.DUMMYFUNCTION("""COMPUTED_VALUE"""),"Center-back")</f>
        <v>Center-back</v>
      </c>
      <c r="E411" s="2">
        <f ca="1">IFERROR(__xludf.DUMMYFUNCTION("""COMPUTED_VALUE"""),1000000)</f>
        <v>1000000</v>
      </c>
      <c r="F411" s="2">
        <f ca="1">IFERROR(__xludf.DUMMYFUNCTION("""COMPUTED_VALUE"""),1033333)</f>
        <v>1033333</v>
      </c>
      <c r="H411" s="1" t="str">
        <f t="shared" ca="1" si="16"/>
        <v>D</v>
      </c>
      <c r="I411" s="3" t="str">
        <f t="shared" ca="1" si="17"/>
        <v>D</v>
      </c>
      <c r="J411" s="1" t="str">
        <f t="shared" ca="1" si="18"/>
        <v>D</v>
      </c>
      <c r="K411" s="1" t="str">
        <f t="shared" ca="1" si="31"/>
        <v>D</v>
      </c>
      <c r="L411" s="1" t="str">
        <f t="shared" ca="1" si="19"/>
        <v>D</v>
      </c>
      <c r="M411" s="1" t="str">
        <f t="shared" ca="1" si="20"/>
        <v>D</v>
      </c>
      <c r="N411" s="1" t="str">
        <f t="shared" ca="1" si="21"/>
        <v>D</v>
      </c>
      <c r="O411" s="1" t="str">
        <f t="shared" ca="1" si="22"/>
        <v>D</v>
      </c>
      <c r="P411" s="1" t="str">
        <f t="shared" ca="1" si="23"/>
        <v>D</v>
      </c>
      <c r="Q411" s="1" t="str">
        <f t="shared" ca="1" si="24"/>
        <v>D</v>
      </c>
      <c r="R411" s="1" t="str">
        <f t="shared" ca="1" si="25"/>
        <v>D</v>
      </c>
      <c r="S411" s="1" t="str">
        <f t="shared" ca="1" si="26"/>
        <v>D</v>
      </c>
      <c r="T411" s="1" t="str">
        <f t="shared" ca="1" si="27"/>
        <v>D</v>
      </c>
      <c r="U411" s="1" t="str">
        <f t="shared" ca="1" si="28"/>
        <v>D</v>
      </c>
      <c r="V411" s="1" t="str">
        <f t="shared" ca="1" si="29"/>
        <v>D</v>
      </c>
      <c r="W411" s="1" t="str">
        <f t="shared" ca="1" si="30"/>
        <v>Henry Kessler</v>
      </c>
    </row>
    <row r="412" spans="1:23">
      <c r="A412" s="1" t="str">
        <f ca="1">IFERROR(__xludf.DUMMYFUNCTION("""COMPUTED_VALUE"""),"Logan")</f>
        <v>Logan</v>
      </c>
      <c r="B412" s="1" t="str">
        <f ca="1">IFERROR(__xludf.DUMMYFUNCTION("""COMPUTED_VALUE"""),"Ketterer")</f>
        <v>Ketterer</v>
      </c>
      <c r="C412" s="1" t="str">
        <f ca="1">IFERROR(__xludf.DUMMYFUNCTION("""COMPUTED_VALUE"""),"CF Montreal")</f>
        <v>CF Montreal</v>
      </c>
      <c r="D412" s="1" t="str">
        <f ca="1">IFERROR(__xludf.DUMMYFUNCTION("""COMPUTED_VALUE"""),"Goalkeeper")</f>
        <v>Goalkeeper</v>
      </c>
      <c r="E412" s="2">
        <f ca="1">IFERROR(__xludf.DUMMYFUNCTION("""COMPUTED_VALUE"""),92610)</f>
        <v>92610</v>
      </c>
      <c r="F412" s="2">
        <f ca="1">IFERROR(__xludf.DUMMYFUNCTION("""COMPUTED_VALUE"""),92610)</f>
        <v>92610</v>
      </c>
      <c r="H412" s="1" t="str">
        <f t="shared" ca="1" si="16"/>
        <v>Goalkeeper</v>
      </c>
      <c r="I412" s="3" t="str">
        <f t="shared" ca="1" si="17"/>
        <v>Goalkeeper</v>
      </c>
      <c r="J412" s="1" t="str">
        <f t="shared" ca="1" si="18"/>
        <v>Goalkeeper</v>
      </c>
      <c r="K412" s="1" t="str">
        <f t="shared" ca="1" si="31"/>
        <v>Goalkeeper</v>
      </c>
      <c r="L412" s="1" t="str">
        <f t="shared" ca="1" si="19"/>
        <v>Goalkeeper</v>
      </c>
      <c r="M412" s="1" t="str">
        <f t="shared" ca="1" si="20"/>
        <v>Goalkeeper</v>
      </c>
      <c r="N412" s="1" t="str">
        <f t="shared" ca="1" si="21"/>
        <v>Goalkeeper</v>
      </c>
      <c r="O412" s="1" t="str">
        <f t="shared" ca="1" si="22"/>
        <v>Goalkeeper</v>
      </c>
      <c r="P412" s="1" t="str">
        <f t="shared" ca="1" si="23"/>
        <v>Goalkeeper</v>
      </c>
      <c r="Q412" s="1" t="str">
        <f t="shared" ca="1" si="24"/>
        <v>Goalkeeper</v>
      </c>
      <c r="R412" s="1" t="str">
        <f t="shared" ca="1" si="25"/>
        <v>GK</v>
      </c>
      <c r="S412" s="1" t="str">
        <f t="shared" ca="1" si="26"/>
        <v>GK</v>
      </c>
      <c r="T412" s="1" t="str">
        <f t="shared" ca="1" si="27"/>
        <v>GK</v>
      </c>
      <c r="U412" s="1" t="str">
        <f t="shared" ca="1" si="28"/>
        <v>GK</v>
      </c>
      <c r="V412" s="1" t="str">
        <f t="shared" ca="1" si="29"/>
        <v>GK</v>
      </c>
      <c r="W412" s="1" t="str">
        <f t="shared" ca="1" si="30"/>
        <v>Logan Ketterer</v>
      </c>
    </row>
    <row r="413" spans="1:23">
      <c r="A413" s="1" t="str">
        <f ca="1">IFERROR(__xludf.DUMMYFUNCTION("""COMPUTED_VALUE"""),"Hosei")</f>
        <v>Hosei</v>
      </c>
      <c r="B413" s="1" t="str">
        <f ca="1">IFERROR(__xludf.DUMMYFUNCTION("""COMPUTED_VALUE"""),"Kijima")</f>
        <v>Kijima</v>
      </c>
      <c r="C413" s="1" t="str">
        <f ca="1">IFERROR(__xludf.DUMMYFUNCTION("""COMPUTED_VALUE"""),"St. Louis City SC")</f>
        <v>St. Louis City SC</v>
      </c>
      <c r="D413" s="1" t="str">
        <f ca="1">IFERROR(__xludf.DUMMYFUNCTION("""COMPUTED_VALUE"""),"Central Midfield")</f>
        <v>Central Midfield</v>
      </c>
      <c r="E413" s="2">
        <f ca="1">IFERROR(__xludf.DUMMYFUNCTION("""COMPUTED_VALUE"""),71401)</f>
        <v>71401</v>
      </c>
      <c r="F413" s="2">
        <f ca="1">IFERROR(__xludf.DUMMYFUNCTION("""COMPUTED_VALUE"""),71401)</f>
        <v>71401</v>
      </c>
      <c r="H413" s="1" t="str">
        <f t="shared" ca="1" si="16"/>
        <v>Central Midfield</v>
      </c>
      <c r="I413" s="3" t="str">
        <f t="shared" ca="1" si="17"/>
        <v>Central Midfield</v>
      </c>
      <c r="J413" s="1" t="str">
        <f t="shared" ca="1" si="18"/>
        <v>Central Midfield</v>
      </c>
      <c r="K413" s="1" t="str">
        <f t="shared" ca="1" si="31"/>
        <v>Central Midfield</v>
      </c>
      <c r="L413" s="1" t="str">
        <f t="shared" ca="1" si="19"/>
        <v>M</v>
      </c>
      <c r="M413" s="1" t="str">
        <f t="shared" ca="1" si="20"/>
        <v>M</v>
      </c>
      <c r="N413" s="1" t="str">
        <f t="shared" ca="1" si="21"/>
        <v>M</v>
      </c>
      <c r="O413" s="1" t="str">
        <f t="shared" ca="1" si="22"/>
        <v>M</v>
      </c>
      <c r="P413" s="1" t="str">
        <f t="shared" ca="1" si="23"/>
        <v>M</v>
      </c>
      <c r="Q413" s="1" t="str">
        <f t="shared" ca="1" si="24"/>
        <v>M</v>
      </c>
      <c r="R413" s="1" t="str">
        <f t="shared" ca="1" si="25"/>
        <v>M</v>
      </c>
      <c r="S413" s="1" t="str">
        <f t="shared" ca="1" si="26"/>
        <v>M</v>
      </c>
      <c r="T413" s="1" t="str">
        <f t="shared" ca="1" si="27"/>
        <v>M</v>
      </c>
      <c r="U413" s="1" t="str">
        <f t="shared" ca="1" si="28"/>
        <v>M</v>
      </c>
      <c r="V413" s="1" t="str">
        <f t="shared" ca="1" si="29"/>
        <v>M</v>
      </c>
      <c r="W413" s="1" t="str">
        <f t="shared" ca="1" si="30"/>
        <v>Hosei Kijima</v>
      </c>
    </row>
    <row r="414" spans="1:23">
      <c r="A414" s="1" t="str">
        <f ca="1">IFERROR(__xludf.DUMMYFUNCTION("""COMPUTED_VALUE"""),"Benjamin")</f>
        <v>Benjamin</v>
      </c>
      <c r="B414" s="1" t="str">
        <f ca="1">IFERROR(__xludf.DUMMYFUNCTION("""COMPUTED_VALUE"""),"Kikanović")</f>
        <v>Kikanović</v>
      </c>
      <c r="C414" s="1" t="str">
        <f ca="1">IFERROR(__xludf.DUMMYFUNCTION("""COMPUTED_VALUE"""),"San Jose Earthquakes")</f>
        <v>San Jose Earthquakes</v>
      </c>
      <c r="D414" s="1" t="str">
        <f ca="1">IFERROR(__xludf.DUMMYFUNCTION("""COMPUTED_VALUE"""),"Left Wing")</f>
        <v>Left Wing</v>
      </c>
      <c r="E414" s="2">
        <f ca="1">IFERROR(__xludf.DUMMYFUNCTION("""COMPUTED_VALUE"""),292000)</f>
        <v>292000</v>
      </c>
      <c r="F414" s="2">
        <f ca="1">IFERROR(__xludf.DUMMYFUNCTION("""COMPUTED_VALUE"""),328700)</f>
        <v>328700</v>
      </c>
      <c r="H414" s="1" t="str">
        <f t="shared" ca="1" si="16"/>
        <v>Left Wing</v>
      </c>
      <c r="I414" s="3" t="str">
        <f t="shared" ca="1" si="17"/>
        <v>Left Wing</v>
      </c>
      <c r="J414" s="1" t="str">
        <f t="shared" ca="1" si="18"/>
        <v>Left Wing</v>
      </c>
      <c r="K414" s="1" t="str">
        <f t="shared" ca="1" si="31"/>
        <v>Left Wing</v>
      </c>
      <c r="L414" s="1" t="str">
        <f t="shared" ca="1" si="19"/>
        <v>Left Wing</v>
      </c>
      <c r="M414" s="1" t="str">
        <f t="shared" ca="1" si="20"/>
        <v>Left Wing</v>
      </c>
      <c r="N414" s="1" t="str">
        <f t="shared" ca="1" si="21"/>
        <v>Left Wing</v>
      </c>
      <c r="O414" s="1" t="str">
        <f t="shared" ca="1" si="22"/>
        <v>Left Wing</v>
      </c>
      <c r="P414" s="1" t="str">
        <f t="shared" ca="1" si="23"/>
        <v>F</v>
      </c>
      <c r="Q414" s="1" t="str">
        <f t="shared" ca="1" si="24"/>
        <v>F</v>
      </c>
      <c r="R414" s="1" t="str">
        <f t="shared" ca="1" si="25"/>
        <v>F</v>
      </c>
      <c r="S414" s="1" t="str">
        <f t="shared" ca="1" si="26"/>
        <v>F</v>
      </c>
      <c r="T414" s="1" t="str">
        <f t="shared" ca="1" si="27"/>
        <v>F</v>
      </c>
      <c r="U414" s="1" t="str">
        <f t="shared" ca="1" si="28"/>
        <v>F</v>
      </c>
      <c r="V414" s="1" t="str">
        <f t="shared" ca="1" si="29"/>
        <v>F</v>
      </c>
      <c r="W414" s="1" t="str">
        <f t="shared" ca="1" si="30"/>
        <v>Benjamin Kikanović</v>
      </c>
    </row>
    <row r="415" spans="1:23">
      <c r="A415" s="1" t="str">
        <f ca="1">IFERROR(__xludf.DUMMYFUNCTION("""COMPUTED_VALUE"""),"Sota")</f>
        <v>Sota</v>
      </c>
      <c r="B415" s="1" t="str">
        <f ca="1">IFERROR(__xludf.DUMMYFUNCTION("""COMPUTED_VALUE"""),"Kitahara")</f>
        <v>Kitahara</v>
      </c>
      <c r="C415" s="1" t="str">
        <f ca="1">IFERROR(__xludf.DUMMYFUNCTION("""COMPUTED_VALUE"""),"Seattle Sounders FC")</f>
        <v>Seattle Sounders FC</v>
      </c>
      <c r="D415" s="1" t="str">
        <f ca="1">IFERROR(__xludf.DUMMYFUNCTION("""COMPUTED_VALUE"""),"Defensive Midfield")</f>
        <v>Defensive Midfield</v>
      </c>
      <c r="E415" s="2">
        <f ca="1">IFERROR(__xludf.DUMMYFUNCTION("""COMPUTED_VALUE"""),71401)</f>
        <v>71401</v>
      </c>
      <c r="F415" s="2">
        <f ca="1">IFERROR(__xludf.DUMMYFUNCTION("""COMPUTED_VALUE"""),73901)</f>
        <v>73901</v>
      </c>
      <c r="H415" s="1" t="str">
        <f t="shared" ca="1" si="16"/>
        <v>Defensive Midfield</v>
      </c>
      <c r="I415" s="3" t="str">
        <f t="shared" ca="1" si="17"/>
        <v>Defensive Midfield</v>
      </c>
      <c r="J415" s="1" t="str">
        <f t="shared" ca="1" si="18"/>
        <v>Defensive Midfield</v>
      </c>
      <c r="K415" s="1" t="str">
        <f t="shared" ca="1" si="31"/>
        <v>M</v>
      </c>
      <c r="L415" s="1" t="str">
        <f t="shared" ca="1" si="19"/>
        <v>M</v>
      </c>
      <c r="M415" s="1" t="str">
        <f t="shared" ca="1" si="20"/>
        <v>M</v>
      </c>
      <c r="N415" s="1" t="str">
        <f t="shared" ca="1" si="21"/>
        <v>M</v>
      </c>
      <c r="O415" s="1" t="str">
        <f t="shared" ca="1" si="22"/>
        <v>M</v>
      </c>
      <c r="P415" s="1" t="str">
        <f t="shared" ca="1" si="23"/>
        <v>M</v>
      </c>
      <c r="Q415" s="1" t="str">
        <f t="shared" ca="1" si="24"/>
        <v>M</v>
      </c>
      <c r="R415" s="1" t="str">
        <f t="shared" ca="1" si="25"/>
        <v>M</v>
      </c>
      <c r="S415" s="1" t="str">
        <f t="shared" ca="1" si="26"/>
        <v>M</v>
      </c>
      <c r="T415" s="1" t="str">
        <f t="shared" ca="1" si="27"/>
        <v>M</v>
      </c>
      <c r="U415" s="1" t="str">
        <f t="shared" ca="1" si="28"/>
        <v>M</v>
      </c>
      <c r="V415" s="1" t="str">
        <f t="shared" ca="1" si="29"/>
        <v>M</v>
      </c>
      <c r="W415" s="1" t="str">
        <f t="shared" ca="1" si="30"/>
        <v>Sota Kitahara</v>
      </c>
    </row>
    <row r="416" spans="1:23">
      <c r="A416" s="1" t="str">
        <f ca="1">IFERROR(__xludf.DUMMYFUNCTION("""COMPUTED_VALUE"""),"João")</f>
        <v>João</v>
      </c>
      <c r="B416" s="1" t="str">
        <f ca="1">IFERROR(__xludf.DUMMYFUNCTION("""COMPUTED_VALUE"""),"Klauss de Mello")</f>
        <v>Klauss de Mello</v>
      </c>
      <c r="C416" s="1" t="str">
        <f ca="1">IFERROR(__xludf.DUMMYFUNCTION("""COMPUTED_VALUE"""),"St. Louis City SC")</f>
        <v>St. Louis City SC</v>
      </c>
      <c r="D416" s="1" t="str">
        <f ca="1">IFERROR(__xludf.DUMMYFUNCTION("""COMPUTED_VALUE"""),"Center Forward")</f>
        <v>Center Forward</v>
      </c>
      <c r="E416" s="2">
        <f ca="1">IFERROR(__xludf.DUMMYFUNCTION("""COMPUTED_VALUE"""),1230000)</f>
        <v>1230000</v>
      </c>
      <c r="F416" s="2">
        <f ca="1">IFERROR(__xludf.DUMMYFUNCTION("""COMPUTED_VALUE"""),1370284)</f>
        <v>1370284</v>
      </c>
      <c r="H416" s="1" t="str">
        <f t="shared" ca="1" si="16"/>
        <v>Center Forward</v>
      </c>
      <c r="I416" s="3" t="str">
        <f t="shared" ca="1" si="17"/>
        <v>Center Forward</v>
      </c>
      <c r="J416" s="1" t="str">
        <f t="shared" ca="1" si="18"/>
        <v>Center Forward</v>
      </c>
      <c r="K416" s="1" t="str">
        <f t="shared" ca="1" si="31"/>
        <v>Center Forward</v>
      </c>
      <c r="L416" s="1" t="str">
        <f t="shared" ca="1" si="19"/>
        <v>Center Forward</v>
      </c>
      <c r="M416" s="1" t="str">
        <f t="shared" ca="1" si="20"/>
        <v>Center Forward</v>
      </c>
      <c r="N416" s="1" t="str">
        <f t="shared" ca="1" si="21"/>
        <v>Center Forward</v>
      </c>
      <c r="O416" s="1" t="str">
        <f t="shared" ca="1" si="22"/>
        <v>F</v>
      </c>
      <c r="P416" s="1" t="str">
        <f t="shared" ca="1" si="23"/>
        <v>F</v>
      </c>
      <c r="Q416" s="1" t="str">
        <f t="shared" ca="1" si="24"/>
        <v>F</v>
      </c>
      <c r="R416" s="1" t="str">
        <f t="shared" ca="1" si="25"/>
        <v>F</v>
      </c>
      <c r="S416" s="1" t="str">
        <f t="shared" ca="1" si="26"/>
        <v>F</v>
      </c>
      <c r="T416" s="1" t="str">
        <f t="shared" ca="1" si="27"/>
        <v>F</v>
      </c>
      <c r="U416" s="1" t="str">
        <f t="shared" ca="1" si="28"/>
        <v>F</v>
      </c>
      <c r="V416" s="1" t="str">
        <f t="shared" ca="1" si="29"/>
        <v>F</v>
      </c>
      <c r="W416" s="1" t="str">
        <f t="shared" ca="1" si="30"/>
        <v>João Klauss de Mello</v>
      </c>
    </row>
    <row r="417" spans="1:23">
      <c r="A417" s="1" t="str">
        <f ca="1">IFERROR(__xludf.DUMMYFUNCTION("""COMPUTED_VALUE"""),"Mateusz")</f>
        <v>Mateusz</v>
      </c>
      <c r="B417" s="1" t="str">
        <f ca="1">IFERROR(__xludf.DUMMYFUNCTION("""COMPUTED_VALUE"""),"Klich")</f>
        <v>Klich</v>
      </c>
      <c r="C417" s="1" t="str">
        <f ca="1">IFERROR(__xludf.DUMMYFUNCTION("""COMPUTED_VALUE"""),"DC United")</f>
        <v>DC United</v>
      </c>
      <c r="D417" s="1" t="str">
        <f ca="1">IFERROR(__xludf.DUMMYFUNCTION("""COMPUTED_VALUE"""),"Central Midfield")</f>
        <v>Central Midfield</v>
      </c>
      <c r="E417" s="2">
        <f ca="1">IFERROR(__xludf.DUMMYFUNCTION("""COMPUTED_VALUE"""),1900000)</f>
        <v>1900000</v>
      </c>
      <c r="F417" s="2">
        <f ca="1">IFERROR(__xludf.DUMMYFUNCTION("""COMPUTED_VALUE"""),2093588)</f>
        <v>2093588</v>
      </c>
      <c r="H417" s="1" t="str">
        <f t="shared" ca="1" si="16"/>
        <v>Central Midfield</v>
      </c>
      <c r="I417" s="3" t="str">
        <f t="shared" ca="1" si="17"/>
        <v>Central Midfield</v>
      </c>
      <c r="J417" s="1" t="str">
        <f t="shared" ca="1" si="18"/>
        <v>Central Midfield</v>
      </c>
      <c r="K417" s="1" t="str">
        <f t="shared" ca="1" si="31"/>
        <v>Central Midfield</v>
      </c>
      <c r="L417" s="1" t="str">
        <f t="shared" ca="1" si="19"/>
        <v>M</v>
      </c>
      <c r="M417" s="1" t="str">
        <f t="shared" ca="1" si="20"/>
        <v>M</v>
      </c>
      <c r="N417" s="1" t="str">
        <f t="shared" ca="1" si="21"/>
        <v>M</v>
      </c>
      <c r="O417" s="1" t="str">
        <f t="shared" ca="1" si="22"/>
        <v>M</v>
      </c>
      <c r="P417" s="1" t="str">
        <f t="shared" ca="1" si="23"/>
        <v>M</v>
      </c>
      <c r="Q417" s="1" t="str">
        <f t="shared" ca="1" si="24"/>
        <v>M</v>
      </c>
      <c r="R417" s="1" t="str">
        <f t="shared" ca="1" si="25"/>
        <v>M</v>
      </c>
      <c r="S417" s="1" t="str">
        <f t="shared" ca="1" si="26"/>
        <v>M</v>
      </c>
      <c r="T417" s="1" t="str">
        <f t="shared" ca="1" si="27"/>
        <v>M</v>
      </c>
      <c r="U417" s="1" t="str">
        <f t="shared" ca="1" si="28"/>
        <v>M</v>
      </c>
      <c r="V417" s="1" t="str">
        <f t="shared" ca="1" si="29"/>
        <v>M</v>
      </c>
      <c r="W417" s="1" t="str">
        <f t="shared" ca="1" si="30"/>
        <v>Mateusz Klich</v>
      </c>
    </row>
    <row r="418" spans="1:23">
      <c r="A418" s="1" t="str">
        <f ca="1">IFERROR(__xludf.DUMMYFUNCTION("""COMPUTED_VALUE"""),"Jeorgio")</f>
        <v>Jeorgio</v>
      </c>
      <c r="B418" s="1" t="str">
        <f ca="1">IFERROR(__xludf.DUMMYFUNCTION("""COMPUTED_VALUE"""),"Kocevski")</f>
        <v>Kocevski</v>
      </c>
      <c r="C418" s="1" t="str">
        <f ca="1">IFERROR(__xludf.DUMMYFUNCTION("""COMPUTED_VALUE"""),"Orlando City SC")</f>
        <v>Orlando City SC</v>
      </c>
      <c r="D418" s="1" t="str">
        <f ca="1">IFERROR(__xludf.DUMMYFUNCTION("""COMPUTED_VALUE"""),"Central Midfield")</f>
        <v>Central Midfield</v>
      </c>
      <c r="E418" s="2">
        <f ca="1">IFERROR(__xludf.DUMMYFUNCTION("""COMPUTED_VALUE"""),71401)</f>
        <v>71401</v>
      </c>
      <c r="F418" s="2">
        <f ca="1">IFERROR(__xludf.DUMMYFUNCTION("""COMPUTED_VALUE"""),71401)</f>
        <v>71401</v>
      </c>
      <c r="H418" s="1" t="str">
        <f t="shared" ca="1" si="16"/>
        <v>Central Midfield</v>
      </c>
      <c r="I418" s="3" t="str">
        <f t="shared" ca="1" si="17"/>
        <v>Central Midfield</v>
      </c>
      <c r="J418" s="1" t="str">
        <f t="shared" ca="1" si="18"/>
        <v>Central Midfield</v>
      </c>
      <c r="K418" s="1" t="str">
        <f t="shared" ca="1" si="31"/>
        <v>Central Midfield</v>
      </c>
      <c r="L418" s="1" t="str">
        <f t="shared" ca="1" si="19"/>
        <v>M</v>
      </c>
      <c r="M418" s="1" t="str">
        <f t="shared" ca="1" si="20"/>
        <v>M</v>
      </c>
      <c r="N418" s="1" t="str">
        <f t="shared" ca="1" si="21"/>
        <v>M</v>
      </c>
      <c r="O418" s="1" t="str">
        <f t="shared" ca="1" si="22"/>
        <v>M</v>
      </c>
      <c r="P418" s="1" t="str">
        <f t="shared" ca="1" si="23"/>
        <v>M</v>
      </c>
      <c r="Q418" s="1" t="str">
        <f t="shared" ca="1" si="24"/>
        <v>M</v>
      </c>
      <c r="R418" s="1" t="str">
        <f t="shared" ca="1" si="25"/>
        <v>M</v>
      </c>
      <c r="S418" s="1" t="str">
        <f t="shared" ca="1" si="26"/>
        <v>M</v>
      </c>
      <c r="T418" s="1" t="str">
        <f t="shared" ca="1" si="27"/>
        <v>M</v>
      </c>
      <c r="U418" s="1" t="str">
        <f t="shared" ca="1" si="28"/>
        <v>M</v>
      </c>
      <c r="V418" s="1" t="str">
        <f t="shared" ca="1" si="29"/>
        <v>M</v>
      </c>
      <c r="W418" s="1" t="str">
        <f t="shared" ca="1" si="30"/>
        <v>Jeorgio Kocevski</v>
      </c>
    </row>
    <row r="419" spans="1:23">
      <c r="A419" s="1" t="str">
        <f ca="1">IFERROR(__xludf.DUMMYFUNCTION("""COMPUTED_VALUE"""),"Zan")</f>
        <v>Zan</v>
      </c>
      <c r="B419" s="1" t="str">
        <f ca="1">IFERROR(__xludf.DUMMYFUNCTION("""COMPUTED_VALUE"""),"Kolmanic")</f>
        <v>Kolmanic</v>
      </c>
      <c r="C419" s="1" t="str">
        <f ca="1">IFERROR(__xludf.DUMMYFUNCTION("""COMPUTED_VALUE"""),"Austin FC")</f>
        <v>Austin FC</v>
      </c>
      <c r="D419" s="1" t="str">
        <f ca="1">IFERROR(__xludf.DUMMYFUNCTION("""COMPUTED_VALUE"""),"Left-back")</f>
        <v>Left-back</v>
      </c>
      <c r="E419" s="2">
        <f ca="1">IFERROR(__xludf.DUMMYFUNCTION("""COMPUTED_VALUE"""),350000)</f>
        <v>350000</v>
      </c>
      <c r="F419" s="2">
        <f ca="1">IFERROR(__xludf.DUMMYFUNCTION("""COMPUTED_VALUE"""),350000)</f>
        <v>350000</v>
      </c>
      <c r="H419" s="1" t="str">
        <f t="shared" ca="1" si="16"/>
        <v>Left-back</v>
      </c>
      <c r="I419" s="3" t="str">
        <f t="shared" ca="1" si="17"/>
        <v>D</v>
      </c>
      <c r="J419" s="1" t="str">
        <f t="shared" ca="1" si="18"/>
        <v>D</v>
      </c>
      <c r="K419" s="1" t="str">
        <f t="shared" ca="1" si="31"/>
        <v>D</v>
      </c>
      <c r="L419" s="1" t="str">
        <f t="shared" ca="1" si="19"/>
        <v>D</v>
      </c>
      <c r="M419" s="1" t="str">
        <f t="shared" ca="1" si="20"/>
        <v>D</v>
      </c>
      <c r="N419" s="1" t="str">
        <f t="shared" ca="1" si="21"/>
        <v>D</v>
      </c>
      <c r="O419" s="1" t="str">
        <f t="shared" ca="1" si="22"/>
        <v>D</v>
      </c>
      <c r="P419" s="1" t="str">
        <f t="shared" ca="1" si="23"/>
        <v>D</v>
      </c>
      <c r="Q419" s="1" t="str">
        <f t="shared" ca="1" si="24"/>
        <v>D</v>
      </c>
      <c r="R419" s="1" t="str">
        <f t="shared" ca="1" si="25"/>
        <v>D</v>
      </c>
      <c r="S419" s="1" t="str">
        <f t="shared" ca="1" si="26"/>
        <v>D</v>
      </c>
      <c r="T419" s="1" t="str">
        <f t="shared" ca="1" si="27"/>
        <v>D</v>
      </c>
      <c r="U419" s="1" t="str">
        <f t="shared" ca="1" si="28"/>
        <v>D</v>
      </c>
      <c r="V419" s="1" t="str">
        <f t="shared" ca="1" si="29"/>
        <v>D</v>
      </c>
      <c r="W419" s="1" t="str">
        <f t="shared" ca="1" si="30"/>
        <v>Zan Kolmanic</v>
      </c>
    </row>
    <row r="420" spans="1:23">
      <c r="A420" s="1" t="str">
        <f ca="1">IFERROR(__xludf.DUMMYFUNCTION("""COMPUTED_VALUE"""),"Amet")</f>
        <v>Amet</v>
      </c>
      <c r="B420" s="1" t="str">
        <f ca="1">IFERROR(__xludf.DUMMYFUNCTION("""COMPUTED_VALUE"""),"Korça")</f>
        <v>Korça</v>
      </c>
      <c r="C420" s="1" t="str">
        <f ca="1">IFERROR(__xludf.DUMMYFUNCTION("""COMPUTED_VALUE"""),"FC Dallas")</f>
        <v>FC Dallas</v>
      </c>
      <c r="D420" s="1" t="str">
        <f ca="1">IFERROR(__xludf.DUMMYFUNCTION("""COMPUTED_VALUE"""),"Center-back")</f>
        <v>Center-back</v>
      </c>
      <c r="E420" s="2">
        <f ca="1">IFERROR(__xludf.DUMMYFUNCTION("""COMPUTED_VALUE"""),71401)</f>
        <v>71401</v>
      </c>
      <c r="F420" s="2">
        <f ca="1">IFERROR(__xludf.DUMMYFUNCTION("""COMPUTED_VALUE"""),71401)</f>
        <v>71401</v>
      </c>
      <c r="H420" s="1" t="str">
        <f t="shared" ca="1" si="16"/>
        <v>D</v>
      </c>
      <c r="I420" s="3" t="str">
        <f t="shared" ca="1" si="17"/>
        <v>D</v>
      </c>
      <c r="J420" s="1" t="str">
        <f t="shared" ca="1" si="18"/>
        <v>D</v>
      </c>
      <c r="K420" s="1" t="str">
        <f t="shared" ca="1" si="31"/>
        <v>D</v>
      </c>
      <c r="L420" s="1" t="str">
        <f t="shared" ca="1" si="19"/>
        <v>D</v>
      </c>
      <c r="M420" s="1" t="str">
        <f t="shared" ca="1" si="20"/>
        <v>D</v>
      </c>
      <c r="N420" s="1" t="str">
        <f t="shared" ca="1" si="21"/>
        <v>D</v>
      </c>
      <c r="O420" s="1" t="str">
        <f t="shared" ca="1" si="22"/>
        <v>D</v>
      </c>
      <c r="P420" s="1" t="str">
        <f t="shared" ca="1" si="23"/>
        <v>D</v>
      </c>
      <c r="Q420" s="1" t="str">
        <f t="shared" ca="1" si="24"/>
        <v>D</v>
      </c>
      <c r="R420" s="1" t="str">
        <f t="shared" ca="1" si="25"/>
        <v>D</v>
      </c>
      <c r="S420" s="1" t="str">
        <f t="shared" ca="1" si="26"/>
        <v>D</v>
      </c>
      <c r="T420" s="1" t="str">
        <f t="shared" ca="1" si="27"/>
        <v>D</v>
      </c>
      <c r="U420" s="1" t="str">
        <f t="shared" ca="1" si="28"/>
        <v>D</v>
      </c>
      <c r="V420" s="1" t="str">
        <f t="shared" ca="1" si="29"/>
        <v>D</v>
      </c>
      <c r="W420" s="1" t="str">
        <f t="shared" ca="1" si="30"/>
        <v>Amet Korça</v>
      </c>
    </row>
    <row r="421" spans="1:23">
      <c r="A421" s="1" t="str">
        <f ca="1">IFERROR(__xludf.DUMMYFUNCTION("""COMPUTED_VALUE"""),"Georgios")</f>
        <v>Georgios</v>
      </c>
      <c r="B421" s="1" t="str">
        <f ca="1">IFERROR(__xludf.DUMMYFUNCTION("""COMPUTED_VALUE"""),"Koutsias")</f>
        <v>Koutsias</v>
      </c>
      <c r="C421" s="1" t="str">
        <f ca="1">IFERROR(__xludf.DUMMYFUNCTION("""COMPUTED_VALUE"""),"Chicago Fire")</f>
        <v>Chicago Fire</v>
      </c>
      <c r="D421" s="1" t="str">
        <f ca="1">IFERROR(__xludf.DUMMYFUNCTION("""COMPUTED_VALUE"""),"Center Forward")</f>
        <v>Center Forward</v>
      </c>
      <c r="E421" s="2">
        <f ca="1">IFERROR(__xludf.DUMMYFUNCTION("""COMPUTED_VALUE"""),470800)</f>
        <v>470800</v>
      </c>
      <c r="F421" s="2">
        <f ca="1">IFERROR(__xludf.DUMMYFUNCTION("""COMPUTED_VALUE"""),470800)</f>
        <v>470800</v>
      </c>
      <c r="H421" s="1" t="str">
        <f t="shared" ca="1" si="16"/>
        <v>Center Forward</v>
      </c>
      <c r="I421" s="3" t="str">
        <f t="shared" ca="1" si="17"/>
        <v>Center Forward</v>
      </c>
      <c r="J421" s="1" t="str">
        <f t="shared" ca="1" si="18"/>
        <v>Center Forward</v>
      </c>
      <c r="K421" s="1" t="str">
        <f t="shared" ca="1" si="31"/>
        <v>Center Forward</v>
      </c>
      <c r="L421" s="1" t="str">
        <f t="shared" ca="1" si="19"/>
        <v>Center Forward</v>
      </c>
      <c r="M421" s="1" t="str">
        <f t="shared" ca="1" si="20"/>
        <v>Center Forward</v>
      </c>
      <c r="N421" s="1" t="str">
        <f t="shared" ca="1" si="21"/>
        <v>Center Forward</v>
      </c>
      <c r="O421" s="1" t="str">
        <f t="shared" ca="1" si="22"/>
        <v>F</v>
      </c>
      <c r="P421" s="1" t="str">
        <f t="shared" ca="1" si="23"/>
        <v>F</v>
      </c>
      <c r="Q421" s="1" t="str">
        <f t="shared" ca="1" si="24"/>
        <v>F</v>
      </c>
      <c r="R421" s="1" t="str">
        <f t="shared" ca="1" si="25"/>
        <v>F</v>
      </c>
      <c r="S421" s="1" t="str">
        <f t="shared" ca="1" si="26"/>
        <v>F</v>
      </c>
      <c r="T421" s="1" t="str">
        <f t="shared" ca="1" si="27"/>
        <v>F</v>
      </c>
      <c r="U421" s="1" t="str">
        <f t="shared" ca="1" si="28"/>
        <v>F</v>
      </c>
      <c r="V421" s="1" t="str">
        <f t="shared" ca="1" si="29"/>
        <v>F</v>
      </c>
      <c r="W421" s="1" t="str">
        <f t="shared" ca="1" si="30"/>
        <v>Georgios Koutsias</v>
      </c>
    </row>
    <row r="422" spans="1:23">
      <c r="A422" s="1" t="str">
        <f ca="1">IFERROR(__xludf.DUMMYFUNCTION("""COMPUTED_VALUE"""),"Sebastian")</f>
        <v>Sebastian</v>
      </c>
      <c r="B422" s="1" t="str">
        <f ca="1">IFERROR(__xludf.DUMMYFUNCTION("""COMPUTED_VALUE"""),"Kowalczyk")</f>
        <v>Kowalczyk</v>
      </c>
      <c r="C422" s="1" t="str">
        <f ca="1">IFERROR(__xludf.DUMMYFUNCTION("""COMPUTED_VALUE"""),"Houston Dynamo")</f>
        <v>Houston Dynamo</v>
      </c>
      <c r="D422" s="1" t="str">
        <f ca="1">IFERROR(__xludf.DUMMYFUNCTION("""COMPUTED_VALUE"""),"Attacking Midfield")</f>
        <v>Attacking Midfield</v>
      </c>
      <c r="E422" s="2">
        <f ca="1">IFERROR(__xludf.DUMMYFUNCTION("""COMPUTED_VALUE"""),461000)</f>
        <v>461000</v>
      </c>
      <c r="F422" s="2">
        <f ca="1">IFERROR(__xludf.DUMMYFUNCTION("""COMPUTED_VALUE"""),530618)</f>
        <v>530618</v>
      </c>
      <c r="H422" s="1" t="str">
        <f t="shared" ca="1" si="16"/>
        <v>Attacking Midfield</v>
      </c>
      <c r="I422" s="3" t="str">
        <f t="shared" ca="1" si="17"/>
        <v>Attacking Midfield</v>
      </c>
      <c r="J422" s="1" t="str">
        <f t="shared" ca="1" si="18"/>
        <v>Attacking Midfield</v>
      </c>
      <c r="K422" s="1" t="str">
        <f t="shared" ca="1" si="31"/>
        <v>Attacking Midfield</v>
      </c>
      <c r="L422" s="1" t="str">
        <f t="shared" ca="1" si="19"/>
        <v>Attacking Midfield</v>
      </c>
      <c r="M422" s="1" t="str">
        <f t="shared" ca="1" si="20"/>
        <v>M</v>
      </c>
      <c r="N422" s="1" t="str">
        <f t="shared" ca="1" si="21"/>
        <v>M</v>
      </c>
      <c r="O422" s="1" t="str">
        <f t="shared" ca="1" si="22"/>
        <v>M</v>
      </c>
      <c r="P422" s="1" t="str">
        <f t="shared" ca="1" si="23"/>
        <v>M</v>
      </c>
      <c r="Q422" s="1" t="str">
        <f t="shared" ca="1" si="24"/>
        <v>M</v>
      </c>
      <c r="R422" s="1" t="str">
        <f t="shared" ca="1" si="25"/>
        <v>M</v>
      </c>
      <c r="S422" s="1" t="str">
        <f t="shared" ca="1" si="26"/>
        <v>M</v>
      </c>
      <c r="T422" s="1" t="str">
        <f t="shared" ca="1" si="27"/>
        <v>M</v>
      </c>
      <c r="U422" s="1" t="str">
        <f t="shared" ca="1" si="28"/>
        <v>M</v>
      </c>
      <c r="V422" s="1" t="str">
        <f t="shared" ca="1" si="29"/>
        <v>M</v>
      </c>
      <c r="W422" s="1" t="str">
        <f t="shared" ca="1" si="30"/>
        <v>Sebastian Kowalczyk</v>
      </c>
    </row>
    <row r="423" spans="1:23">
      <c r="A423" s="1" t="str">
        <f ca="1">IFERROR(__xludf.DUMMYFUNCTION("""COMPUTED_VALUE"""),"Damir")</f>
        <v>Damir</v>
      </c>
      <c r="B423" s="1" t="str">
        <f ca="1">IFERROR(__xludf.DUMMYFUNCTION("""COMPUTED_VALUE"""),"Kreilach")</f>
        <v>Kreilach</v>
      </c>
      <c r="C423" s="1" t="str">
        <f ca="1">IFERROR(__xludf.DUMMYFUNCTION("""COMPUTED_VALUE"""),"Vancouver Whitecaps")</f>
        <v>Vancouver Whitecaps</v>
      </c>
      <c r="D423" s="1" t="str">
        <f ca="1">IFERROR(__xludf.DUMMYFUNCTION("""COMPUTED_VALUE"""),"Central Midfield")</f>
        <v>Central Midfield</v>
      </c>
      <c r="E423" s="2">
        <f ca="1">IFERROR(__xludf.DUMMYFUNCTION("""COMPUTED_VALUE"""),440000)</f>
        <v>440000</v>
      </c>
      <c r="F423" s="2">
        <f ca="1">IFERROR(__xludf.DUMMYFUNCTION("""COMPUTED_VALUE"""),440000)</f>
        <v>440000</v>
      </c>
      <c r="H423" s="1" t="str">
        <f t="shared" ca="1" si="16"/>
        <v>Central Midfield</v>
      </c>
      <c r="I423" s="3" t="str">
        <f t="shared" ca="1" si="17"/>
        <v>Central Midfield</v>
      </c>
      <c r="J423" s="1" t="str">
        <f t="shared" ca="1" si="18"/>
        <v>Central Midfield</v>
      </c>
      <c r="K423" s="1" t="str">
        <f t="shared" ca="1" si="31"/>
        <v>Central Midfield</v>
      </c>
      <c r="L423" s="1" t="str">
        <f t="shared" ca="1" si="19"/>
        <v>M</v>
      </c>
      <c r="M423" s="1" t="str">
        <f t="shared" ca="1" si="20"/>
        <v>M</v>
      </c>
      <c r="N423" s="1" t="str">
        <f t="shared" ca="1" si="21"/>
        <v>M</v>
      </c>
      <c r="O423" s="1" t="str">
        <f t="shared" ca="1" si="22"/>
        <v>M</v>
      </c>
      <c r="P423" s="1" t="str">
        <f t="shared" ca="1" si="23"/>
        <v>M</v>
      </c>
      <c r="Q423" s="1" t="str">
        <f t="shared" ca="1" si="24"/>
        <v>M</v>
      </c>
      <c r="R423" s="1" t="str">
        <f t="shared" ca="1" si="25"/>
        <v>M</v>
      </c>
      <c r="S423" s="1" t="str">
        <f t="shared" ca="1" si="26"/>
        <v>M</v>
      </c>
      <c r="T423" s="1" t="str">
        <f t="shared" ca="1" si="27"/>
        <v>M</v>
      </c>
      <c r="U423" s="1" t="str">
        <f t="shared" ca="1" si="28"/>
        <v>M</v>
      </c>
      <c r="V423" s="1" t="str">
        <f t="shared" ca="1" si="29"/>
        <v>M</v>
      </c>
      <c r="W423" s="1" t="str">
        <f t="shared" ca="1" si="30"/>
        <v>Damir Kreilach</v>
      </c>
    </row>
    <row r="424" spans="1:23">
      <c r="A424" s="1" t="str">
        <f ca="1">IFERROR(__xludf.DUMMYFUNCTION("""COMPUTED_VALUE"""),"Sergiy")</f>
        <v>Sergiy</v>
      </c>
      <c r="B424" s="1" t="str">
        <f ca="1">IFERROR(__xludf.DUMMYFUNCTION("""COMPUTED_VALUE"""),"Kryvtsov")</f>
        <v>Kryvtsov</v>
      </c>
      <c r="C424" s="1" t="str">
        <f ca="1">IFERROR(__xludf.DUMMYFUNCTION("""COMPUTED_VALUE"""),"Inter Miami")</f>
        <v>Inter Miami</v>
      </c>
      <c r="D424" s="1" t="str">
        <f ca="1">IFERROR(__xludf.DUMMYFUNCTION("""COMPUTED_VALUE"""),"Center-back")</f>
        <v>Center-back</v>
      </c>
      <c r="E424" s="2">
        <f ca="1">IFERROR(__xludf.DUMMYFUNCTION("""COMPUTED_VALUE"""),750000)</f>
        <v>750000</v>
      </c>
      <c r="F424" s="2">
        <f ca="1">IFERROR(__xludf.DUMMYFUNCTION("""COMPUTED_VALUE"""),809000)</f>
        <v>809000</v>
      </c>
      <c r="H424" s="1" t="str">
        <f t="shared" ca="1" si="16"/>
        <v>D</v>
      </c>
      <c r="I424" s="3" t="str">
        <f t="shared" ca="1" si="17"/>
        <v>D</v>
      </c>
      <c r="J424" s="1" t="str">
        <f t="shared" ca="1" si="18"/>
        <v>D</v>
      </c>
      <c r="K424" s="1" t="str">
        <f t="shared" ca="1" si="31"/>
        <v>D</v>
      </c>
      <c r="L424" s="1" t="str">
        <f t="shared" ca="1" si="19"/>
        <v>D</v>
      </c>
      <c r="M424" s="1" t="str">
        <f t="shared" ca="1" si="20"/>
        <v>D</v>
      </c>
      <c r="N424" s="1" t="str">
        <f t="shared" ca="1" si="21"/>
        <v>D</v>
      </c>
      <c r="O424" s="1" t="str">
        <f t="shared" ca="1" si="22"/>
        <v>D</v>
      </c>
      <c r="P424" s="1" t="str">
        <f t="shared" ca="1" si="23"/>
        <v>D</v>
      </c>
      <c r="Q424" s="1" t="str">
        <f t="shared" ca="1" si="24"/>
        <v>D</v>
      </c>
      <c r="R424" s="1" t="str">
        <f t="shared" ca="1" si="25"/>
        <v>D</v>
      </c>
      <c r="S424" s="1" t="str">
        <f t="shared" ca="1" si="26"/>
        <v>D</v>
      </c>
      <c r="T424" s="1" t="str">
        <f t="shared" ca="1" si="27"/>
        <v>D</v>
      </c>
      <c r="U424" s="1" t="str">
        <f t="shared" ca="1" si="28"/>
        <v>D</v>
      </c>
      <c r="V424" s="1" t="str">
        <f t="shared" ca="1" si="29"/>
        <v>D</v>
      </c>
      <c r="W424" s="1" t="str">
        <f t="shared" ca="1" si="30"/>
        <v>Sergiy Kryvtsov</v>
      </c>
    </row>
    <row r="425" spans="1:23">
      <c r="A425" s="1" t="str">
        <f ca="1">IFERROR(__xludf.DUMMYFUNCTION("""COMPUTED_VALUE"""),"Theodore")</f>
        <v>Theodore</v>
      </c>
      <c r="B425" s="1" t="str">
        <f ca="1">IFERROR(__xludf.DUMMYFUNCTION("""COMPUTED_VALUE"""),"Ku-DiPietro")</f>
        <v>Ku-DiPietro</v>
      </c>
      <c r="C425" s="1" t="str">
        <f ca="1">IFERROR(__xludf.DUMMYFUNCTION("""COMPUTED_VALUE"""),"DC United")</f>
        <v>DC United</v>
      </c>
      <c r="D425" s="1" t="str">
        <f ca="1">IFERROR(__xludf.DUMMYFUNCTION("""COMPUTED_VALUE"""),"Attacking Midfield")</f>
        <v>Attacking Midfield</v>
      </c>
      <c r="E425" s="2">
        <f ca="1">IFERROR(__xludf.DUMMYFUNCTION("""COMPUTED_VALUE"""),120000)</f>
        <v>120000</v>
      </c>
      <c r="F425" s="2">
        <f ca="1">IFERROR(__xludf.DUMMYFUNCTION("""COMPUTED_VALUE"""),120000)</f>
        <v>120000</v>
      </c>
      <c r="H425" s="1" t="str">
        <f t="shared" ca="1" si="16"/>
        <v>Attacking Midfield</v>
      </c>
      <c r="I425" s="3" t="str">
        <f t="shared" ca="1" si="17"/>
        <v>Attacking Midfield</v>
      </c>
      <c r="J425" s="1" t="str">
        <f t="shared" ca="1" si="18"/>
        <v>Attacking Midfield</v>
      </c>
      <c r="K425" s="1" t="str">
        <f t="shared" ca="1" si="31"/>
        <v>Attacking Midfield</v>
      </c>
      <c r="L425" s="1" t="str">
        <f t="shared" ca="1" si="19"/>
        <v>Attacking Midfield</v>
      </c>
      <c r="M425" s="1" t="str">
        <f t="shared" ca="1" si="20"/>
        <v>M</v>
      </c>
      <c r="N425" s="1" t="str">
        <f t="shared" ca="1" si="21"/>
        <v>M</v>
      </c>
      <c r="O425" s="1" t="str">
        <f t="shared" ca="1" si="22"/>
        <v>M</v>
      </c>
      <c r="P425" s="1" t="str">
        <f t="shared" ca="1" si="23"/>
        <v>M</v>
      </c>
      <c r="Q425" s="1" t="str">
        <f t="shared" ca="1" si="24"/>
        <v>M</v>
      </c>
      <c r="R425" s="1" t="str">
        <f t="shared" ca="1" si="25"/>
        <v>M</v>
      </c>
      <c r="S425" s="1" t="str">
        <f t="shared" ca="1" si="26"/>
        <v>M</v>
      </c>
      <c r="T425" s="1" t="str">
        <f t="shared" ca="1" si="27"/>
        <v>M</v>
      </c>
      <c r="U425" s="1" t="str">
        <f t="shared" ca="1" si="28"/>
        <v>M</v>
      </c>
      <c r="V425" s="1" t="str">
        <f t="shared" ca="1" si="29"/>
        <v>M</v>
      </c>
      <c r="W425" s="1" t="str">
        <f t="shared" ca="1" si="30"/>
        <v>Theodore Ku-DiPietro</v>
      </c>
    </row>
    <row r="426" spans="1:23">
      <c r="A426" s="1" t="str">
        <f ca="1">IFERROR(__xludf.DUMMYFUNCTION("""COMPUTED_VALUE"""),"Yuya")</f>
        <v>Yuya</v>
      </c>
      <c r="B426" s="1" t="str">
        <f ca="1">IFERROR(__xludf.DUMMYFUNCTION("""COMPUTED_VALUE"""),"Kubo")</f>
        <v>Kubo</v>
      </c>
      <c r="C426" s="1" t="str">
        <f ca="1">IFERROR(__xludf.DUMMYFUNCTION("""COMPUTED_VALUE"""),"FC Cincinnati")</f>
        <v>FC Cincinnati</v>
      </c>
      <c r="D426" s="1" t="str">
        <f ca="1">IFERROR(__xludf.DUMMYFUNCTION("""COMPUTED_VALUE"""),"Attacking Midfield")</f>
        <v>Attacking Midfield</v>
      </c>
      <c r="E426" s="2">
        <f ca="1">IFERROR(__xludf.DUMMYFUNCTION("""COMPUTED_VALUE"""),650000.04)</f>
        <v>650000.04</v>
      </c>
      <c r="F426" s="2">
        <f ca="1">IFERROR(__xludf.DUMMYFUNCTION("""COMPUTED_VALUE"""),721667)</f>
        <v>721667</v>
      </c>
      <c r="H426" s="1" t="str">
        <f t="shared" ca="1" si="16"/>
        <v>Attacking Midfield</v>
      </c>
      <c r="I426" s="3" t="str">
        <f t="shared" ca="1" si="17"/>
        <v>Attacking Midfield</v>
      </c>
      <c r="J426" s="1" t="str">
        <f t="shared" ca="1" si="18"/>
        <v>Attacking Midfield</v>
      </c>
      <c r="K426" s="1" t="str">
        <f t="shared" ca="1" si="31"/>
        <v>Attacking Midfield</v>
      </c>
      <c r="L426" s="1" t="str">
        <f t="shared" ca="1" si="19"/>
        <v>Attacking Midfield</v>
      </c>
      <c r="M426" s="1" t="str">
        <f t="shared" ca="1" si="20"/>
        <v>M</v>
      </c>
      <c r="N426" s="1" t="str">
        <f t="shared" ca="1" si="21"/>
        <v>M</v>
      </c>
      <c r="O426" s="1" t="str">
        <f t="shared" ca="1" si="22"/>
        <v>M</v>
      </c>
      <c r="P426" s="1" t="str">
        <f t="shared" ca="1" si="23"/>
        <v>M</v>
      </c>
      <c r="Q426" s="1" t="str">
        <f t="shared" ca="1" si="24"/>
        <v>M</v>
      </c>
      <c r="R426" s="1" t="str">
        <f t="shared" ca="1" si="25"/>
        <v>M</v>
      </c>
      <c r="S426" s="1" t="str">
        <f t="shared" ca="1" si="26"/>
        <v>M</v>
      </c>
      <c r="T426" s="1" t="str">
        <f t="shared" ca="1" si="27"/>
        <v>M</v>
      </c>
      <c r="U426" s="1" t="str">
        <f t="shared" ca="1" si="28"/>
        <v>M</v>
      </c>
      <c r="V426" s="1" t="str">
        <f t="shared" ca="1" si="29"/>
        <v>M</v>
      </c>
      <c r="W426" s="1" t="str">
        <f t="shared" ca="1" si="30"/>
        <v>Yuya Kubo</v>
      </c>
    </row>
    <row r="427" spans="1:23">
      <c r="A427" s="1" t="str">
        <f ca="1">IFERROR(__xludf.DUMMYFUNCTION("""COMPUTED_VALUE"""),"Jasper")</f>
        <v>Jasper</v>
      </c>
      <c r="B427" s="1" t="str">
        <f ca="1">IFERROR(__xludf.DUMMYFUNCTION("""COMPUTED_VALUE"""),"Löffelsend")</f>
        <v>Löffelsend</v>
      </c>
      <c r="C427" s="1" t="str">
        <f ca="1">IFERROR(__xludf.DUMMYFUNCTION("""COMPUTED_VALUE"""),"Colorado Rapids")</f>
        <v>Colorado Rapids</v>
      </c>
      <c r="D427" s="1" t="str">
        <f ca="1">IFERROR(__xludf.DUMMYFUNCTION("""COMPUTED_VALUE"""),"Central Midfield")</f>
        <v>Central Midfield</v>
      </c>
      <c r="E427" s="2">
        <f ca="1">IFERROR(__xludf.DUMMYFUNCTION("""COMPUTED_VALUE"""),230000)</f>
        <v>230000</v>
      </c>
      <c r="F427" s="2">
        <f ca="1">IFERROR(__xludf.DUMMYFUNCTION("""COMPUTED_VALUE"""),255833)</f>
        <v>255833</v>
      </c>
      <c r="H427" s="1" t="str">
        <f t="shared" ca="1" si="16"/>
        <v>Central Midfield</v>
      </c>
      <c r="I427" s="3" t="str">
        <f t="shared" ca="1" si="17"/>
        <v>Central Midfield</v>
      </c>
      <c r="J427" s="1" t="str">
        <f t="shared" ca="1" si="18"/>
        <v>Central Midfield</v>
      </c>
      <c r="K427" s="1" t="str">
        <f t="shared" ca="1" si="31"/>
        <v>Central Midfield</v>
      </c>
      <c r="L427" s="1" t="str">
        <f t="shared" ca="1" si="19"/>
        <v>M</v>
      </c>
      <c r="M427" s="1" t="str">
        <f t="shared" ca="1" si="20"/>
        <v>M</v>
      </c>
      <c r="N427" s="1" t="str">
        <f t="shared" ca="1" si="21"/>
        <v>M</v>
      </c>
      <c r="O427" s="1" t="str">
        <f t="shared" ca="1" si="22"/>
        <v>M</v>
      </c>
      <c r="P427" s="1" t="str">
        <f t="shared" ca="1" si="23"/>
        <v>M</v>
      </c>
      <c r="Q427" s="1" t="str">
        <f t="shared" ca="1" si="24"/>
        <v>M</v>
      </c>
      <c r="R427" s="1" t="str">
        <f t="shared" ca="1" si="25"/>
        <v>M</v>
      </c>
      <c r="S427" s="1" t="str">
        <f t="shared" ca="1" si="26"/>
        <v>M</v>
      </c>
      <c r="T427" s="1" t="str">
        <f t="shared" ca="1" si="27"/>
        <v>M</v>
      </c>
      <c r="U427" s="1" t="str">
        <f t="shared" ca="1" si="28"/>
        <v>M</v>
      </c>
      <c r="V427" s="1" t="str">
        <f t="shared" ca="1" si="29"/>
        <v>M</v>
      </c>
      <c r="W427" s="1" t="str">
        <f t="shared" ca="1" si="30"/>
        <v>Jasper Löffelsend</v>
      </c>
    </row>
    <row r="428" spans="1:23">
      <c r="A428" s="1" t="str">
        <f ca="1">IFERROR(__xludf.DUMMYFUNCTION("""COMPUTED_VALUE"""),"Eduard")</f>
        <v>Eduard</v>
      </c>
      <c r="B428" s="1" t="str">
        <f ca="1">IFERROR(__xludf.DUMMYFUNCTION("""COMPUTED_VALUE"""),"Löwen")</f>
        <v>Löwen</v>
      </c>
      <c r="C428" s="1" t="str">
        <f ca="1">IFERROR(__xludf.DUMMYFUNCTION("""COMPUTED_VALUE"""),"St. Louis City SC")</f>
        <v>St. Louis City SC</v>
      </c>
      <c r="D428" s="1" t="str">
        <f ca="1">IFERROR(__xludf.DUMMYFUNCTION("""COMPUTED_VALUE"""),"Central Midfield")</f>
        <v>Central Midfield</v>
      </c>
      <c r="E428" s="2">
        <f ca="1">IFERROR(__xludf.DUMMYFUNCTION("""COMPUTED_VALUE"""),1200000)</f>
        <v>1200000</v>
      </c>
      <c r="F428" s="2">
        <f ca="1">IFERROR(__xludf.DUMMYFUNCTION("""COMPUTED_VALUE"""),1344250)</f>
        <v>1344250</v>
      </c>
      <c r="H428" s="1" t="str">
        <f t="shared" ca="1" si="16"/>
        <v>Central Midfield</v>
      </c>
      <c r="I428" s="3" t="str">
        <f t="shared" ca="1" si="17"/>
        <v>Central Midfield</v>
      </c>
      <c r="J428" s="1" t="str">
        <f t="shared" ca="1" si="18"/>
        <v>Central Midfield</v>
      </c>
      <c r="K428" s="1" t="str">
        <f t="shared" ca="1" si="31"/>
        <v>Central Midfield</v>
      </c>
      <c r="L428" s="1" t="str">
        <f t="shared" ca="1" si="19"/>
        <v>M</v>
      </c>
      <c r="M428" s="1" t="str">
        <f t="shared" ca="1" si="20"/>
        <v>M</v>
      </c>
      <c r="N428" s="1" t="str">
        <f t="shared" ca="1" si="21"/>
        <v>M</v>
      </c>
      <c r="O428" s="1" t="str">
        <f t="shared" ca="1" si="22"/>
        <v>M</v>
      </c>
      <c r="P428" s="1" t="str">
        <f t="shared" ca="1" si="23"/>
        <v>M</v>
      </c>
      <c r="Q428" s="1" t="str">
        <f t="shared" ca="1" si="24"/>
        <v>M</v>
      </c>
      <c r="R428" s="1" t="str">
        <f t="shared" ca="1" si="25"/>
        <v>M</v>
      </c>
      <c r="S428" s="1" t="str">
        <f t="shared" ca="1" si="26"/>
        <v>M</v>
      </c>
      <c r="T428" s="1" t="str">
        <f t="shared" ca="1" si="27"/>
        <v>M</v>
      </c>
      <c r="U428" s="1" t="str">
        <f t="shared" ca="1" si="28"/>
        <v>M</v>
      </c>
      <c r="V428" s="1" t="str">
        <f t="shared" ca="1" si="29"/>
        <v>M</v>
      </c>
      <c r="W428" s="1" t="str">
        <f t="shared" ca="1" si="30"/>
        <v>Eduard Löwen</v>
      </c>
    </row>
    <row r="429" spans="1:23">
      <c r="A429" s="1" t="str">
        <f ca="1">IFERROR(__xludf.DUMMYFUNCTION("""COMPUTED_VALUE"""),"Mathías")</f>
        <v>Mathías</v>
      </c>
      <c r="B429" s="1" t="str">
        <f ca="1">IFERROR(__xludf.DUMMYFUNCTION("""COMPUTED_VALUE"""),"Laborda")</f>
        <v>Laborda</v>
      </c>
      <c r="C429" s="1" t="str">
        <f ca="1">IFERROR(__xludf.DUMMYFUNCTION("""COMPUTED_VALUE"""),"Vancouver Whitecaps")</f>
        <v>Vancouver Whitecaps</v>
      </c>
      <c r="D429" s="1" t="str">
        <f ca="1">IFERROR(__xludf.DUMMYFUNCTION("""COMPUTED_VALUE"""),"Center-back")</f>
        <v>Center-back</v>
      </c>
      <c r="E429" s="2">
        <f ca="1">IFERROR(__xludf.DUMMYFUNCTION("""COMPUTED_VALUE"""),800000)</f>
        <v>800000</v>
      </c>
      <c r="F429" s="2">
        <f ca="1">IFERROR(__xludf.DUMMYFUNCTION("""COMPUTED_VALUE"""),943625)</f>
        <v>943625</v>
      </c>
      <c r="H429" s="1" t="str">
        <f t="shared" ca="1" si="16"/>
        <v>D</v>
      </c>
      <c r="I429" s="3" t="str">
        <f t="shared" ca="1" si="17"/>
        <v>D</v>
      </c>
      <c r="J429" s="1" t="str">
        <f t="shared" ca="1" si="18"/>
        <v>D</v>
      </c>
      <c r="K429" s="1" t="str">
        <f t="shared" ca="1" si="31"/>
        <v>D</v>
      </c>
      <c r="L429" s="1" t="str">
        <f t="shared" ca="1" si="19"/>
        <v>D</v>
      </c>
      <c r="M429" s="1" t="str">
        <f t="shared" ca="1" si="20"/>
        <v>D</v>
      </c>
      <c r="N429" s="1" t="str">
        <f t="shared" ca="1" si="21"/>
        <v>D</v>
      </c>
      <c r="O429" s="1" t="str">
        <f t="shared" ca="1" si="22"/>
        <v>D</v>
      </c>
      <c r="P429" s="1" t="str">
        <f t="shared" ca="1" si="23"/>
        <v>D</v>
      </c>
      <c r="Q429" s="1" t="str">
        <f t="shared" ca="1" si="24"/>
        <v>D</v>
      </c>
      <c r="R429" s="1" t="str">
        <f t="shared" ca="1" si="25"/>
        <v>D</v>
      </c>
      <c r="S429" s="1" t="str">
        <f t="shared" ca="1" si="26"/>
        <v>D</v>
      </c>
      <c r="T429" s="1" t="str">
        <f t="shared" ca="1" si="27"/>
        <v>D</v>
      </c>
      <c r="U429" s="1" t="str">
        <f t="shared" ca="1" si="28"/>
        <v>D</v>
      </c>
      <c r="V429" s="1" t="str">
        <f t="shared" ca="1" si="29"/>
        <v>D</v>
      </c>
      <c r="W429" s="1" t="str">
        <f t="shared" ca="1" si="30"/>
        <v>Mathías Laborda</v>
      </c>
    </row>
    <row r="430" spans="1:23">
      <c r="A430" s="1" t="str">
        <f ca="1">IFERROR(__xludf.DUMMYFUNCTION("""COMPUTED_VALUE"""),"Kevon")</f>
        <v>Kevon</v>
      </c>
      <c r="B430" s="1" t="str">
        <f ca="1">IFERROR(__xludf.DUMMYFUNCTION("""COMPUTED_VALUE"""),"Lambert")</f>
        <v>Lambert</v>
      </c>
      <c r="C430" s="1" t="str">
        <f ca="1">IFERROR(__xludf.DUMMYFUNCTION("""COMPUTED_VALUE"""),"Real Salt Lake")</f>
        <v>Real Salt Lake</v>
      </c>
      <c r="D430" s="1" t="str">
        <f ca="1">IFERROR(__xludf.DUMMYFUNCTION("""COMPUTED_VALUE"""),"Defensive Midfield")</f>
        <v>Defensive Midfield</v>
      </c>
      <c r="E430" s="2">
        <f ca="1">IFERROR(__xludf.DUMMYFUNCTION("""COMPUTED_VALUE"""),180000)</f>
        <v>180000</v>
      </c>
      <c r="F430" s="2">
        <f ca="1">IFERROR(__xludf.DUMMYFUNCTION("""COMPUTED_VALUE"""),198150)</f>
        <v>198150</v>
      </c>
      <c r="H430" s="1" t="str">
        <f t="shared" ca="1" si="16"/>
        <v>Defensive Midfield</v>
      </c>
      <c r="I430" s="3" t="str">
        <f t="shared" ca="1" si="17"/>
        <v>Defensive Midfield</v>
      </c>
      <c r="J430" s="1" t="str">
        <f t="shared" ca="1" si="18"/>
        <v>Defensive Midfield</v>
      </c>
      <c r="K430" s="1" t="str">
        <f t="shared" ca="1" si="31"/>
        <v>M</v>
      </c>
      <c r="L430" s="1" t="str">
        <f t="shared" ca="1" si="19"/>
        <v>M</v>
      </c>
      <c r="M430" s="1" t="str">
        <f t="shared" ca="1" si="20"/>
        <v>M</v>
      </c>
      <c r="N430" s="1" t="str">
        <f t="shared" ca="1" si="21"/>
        <v>M</v>
      </c>
      <c r="O430" s="1" t="str">
        <f t="shared" ca="1" si="22"/>
        <v>M</v>
      </c>
      <c r="P430" s="1" t="str">
        <f t="shared" ca="1" si="23"/>
        <v>M</v>
      </c>
      <c r="Q430" s="1" t="str">
        <f t="shared" ca="1" si="24"/>
        <v>M</v>
      </c>
      <c r="R430" s="1" t="str">
        <f t="shared" ca="1" si="25"/>
        <v>M</v>
      </c>
      <c r="S430" s="1" t="str">
        <f t="shared" ca="1" si="26"/>
        <v>M</v>
      </c>
      <c r="T430" s="1" t="str">
        <f t="shared" ca="1" si="27"/>
        <v>M</v>
      </c>
      <c r="U430" s="1" t="str">
        <f t="shared" ca="1" si="28"/>
        <v>M</v>
      </c>
      <c r="V430" s="1" t="str">
        <f t="shared" ca="1" si="29"/>
        <v>M</v>
      </c>
      <c r="W430" s="1" t="str">
        <f t="shared" ca="1" si="30"/>
        <v>Kevon Lambert</v>
      </c>
    </row>
    <row r="431" spans="1:23">
      <c r="A431" s="1" t="str">
        <f ca="1">IFERROR(__xludf.DUMMYFUNCTION("""COMPUTED_VALUE"""),"Lassi")</f>
        <v>Lassi</v>
      </c>
      <c r="B431" s="1" t="str">
        <f ca="1">IFERROR(__xludf.DUMMYFUNCTION("""COMPUTED_VALUE"""),"Lappalainen")</f>
        <v>Lappalainen</v>
      </c>
      <c r="C431" s="1" t="str">
        <f ca="1">IFERROR(__xludf.DUMMYFUNCTION("""COMPUTED_VALUE"""),"CF Montreal")</f>
        <v>CF Montreal</v>
      </c>
      <c r="D431" s="1" t="str">
        <f ca="1">IFERROR(__xludf.DUMMYFUNCTION("""COMPUTED_VALUE"""),"Left Wing")</f>
        <v>Left Wing</v>
      </c>
      <c r="E431" s="2">
        <f ca="1">IFERROR(__xludf.DUMMYFUNCTION("""COMPUTED_VALUE"""),720000)</f>
        <v>720000</v>
      </c>
      <c r="F431" s="2">
        <f ca="1">IFERROR(__xludf.DUMMYFUNCTION("""COMPUTED_VALUE"""),750000)</f>
        <v>750000</v>
      </c>
      <c r="H431" s="1" t="str">
        <f t="shared" ca="1" si="16"/>
        <v>Left Wing</v>
      </c>
      <c r="I431" s="3" t="str">
        <f t="shared" ca="1" si="17"/>
        <v>Left Wing</v>
      </c>
      <c r="J431" s="1" t="str">
        <f t="shared" ca="1" si="18"/>
        <v>Left Wing</v>
      </c>
      <c r="K431" s="1" t="str">
        <f t="shared" ca="1" si="31"/>
        <v>Left Wing</v>
      </c>
      <c r="L431" s="1" t="str">
        <f t="shared" ca="1" si="19"/>
        <v>Left Wing</v>
      </c>
      <c r="M431" s="1" t="str">
        <f t="shared" ca="1" si="20"/>
        <v>Left Wing</v>
      </c>
      <c r="N431" s="1" t="str">
        <f t="shared" ca="1" si="21"/>
        <v>Left Wing</v>
      </c>
      <c r="O431" s="1" t="str">
        <f t="shared" ca="1" si="22"/>
        <v>Left Wing</v>
      </c>
      <c r="P431" s="1" t="str">
        <f t="shared" ca="1" si="23"/>
        <v>F</v>
      </c>
      <c r="Q431" s="1" t="str">
        <f t="shared" ca="1" si="24"/>
        <v>F</v>
      </c>
      <c r="R431" s="1" t="str">
        <f t="shared" ca="1" si="25"/>
        <v>F</v>
      </c>
      <c r="S431" s="1" t="str">
        <f t="shared" ca="1" si="26"/>
        <v>F</v>
      </c>
      <c r="T431" s="1" t="str">
        <f t="shared" ca="1" si="27"/>
        <v>F</v>
      </c>
      <c r="U431" s="1" t="str">
        <f t="shared" ca="1" si="28"/>
        <v>F</v>
      </c>
      <c r="V431" s="1" t="str">
        <f t="shared" ca="1" si="29"/>
        <v>F</v>
      </c>
      <c r="W431" s="1" t="str">
        <f t="shared" ca="1" si="30"/>
        <v>Lassi Lappalainen</v>
      </c>
    </row>
    <row r="432" spans="1:23">
      <c r="A432" s="1" t="str">
        <f ca="1">IFERROR(__xludf.DUMMYFUNCTION("""COMPUTED_VALUE"""),"Oliver")</f>
        <v>Oliver</v>
      </c>
      <c r="B432" s="1" t="str">
        <f ca="1">IFERROR(__xludf.DUMMYFUNCTION("""COMPUTED_VALUE"""),"Larraz")</f>
        <v>Larraz</v>
      </c>
      <c r="C432" s="1" t="str">
        <f ca="1">IFERROR(__xludf.DUMMYFUNCTION("""COMPUTED_VALUE"""),"Colorado Rapids")</f>
        <v>Colorado Rapids</v>
      </c>
      <c r="D432" s="1" t="str">
        <f ca="1">IFERROR(__xludf.DUMMYFUNCTION("""COMPUTED_VALUE"""),"Central Midfield")</f>
        <v>Central Midfield</v>
      </c>
      <c r="E432" s="2">
        <f ca="1">IFERROR(__xludf.DUMMYFUNCTION("""COMPUTED_VALUE"""),100000)</f>
        <v>100000</v>
      </c>
      <c r="F432" s="2">
        <f ca="1">IFERROR(__xludf.DUMMYFUNCTION("""COMPUTED_VALUE"""),105375)</f>
        <v>105375</v>
      </c>
      <c r="H432" s="1" t="str">
        <f t="shared" ca="1" si="16"/>
        <v>Central Midfield</v>
      </c>
      <c r="I432" s="3" t="str">
        <f t="shared" ca="1" si="17"/>
        <v>Central Midfield</v>
      </c>
      <c r="J432" s="1" t="str">
        <f t="shared" ca="1" si="18"/>
        <v>Central Midfield</v>
      </c>
      <c r="K432" s="1" t="str">
        <f t="shared" ca="1" si="31"/>
        <v>Central Midfield</v>
      </c>
      <c r="L432" s="1" t="str">
        <f t="shared" ca="1" si="19"/>
        <v>M</v>
      </c>
      <c r="M432" s="1" t="str">
        <f t="shared" ca="1" si="20"/>
        <v>M</v>
      </c>
      <c r="N432" s="1" t="str">
        <f t="shared" ca="1" si="21"/>
        <v>M</v>
      </c>
      <c r="O432" s="1" t="str">
        <f t="shared" ca="1" si="22"/>
        <v>M</v>
      </c>
      <c r="P432" s="1" t="str">
        <f t="shared" ca="1" si="23"/>
        <v>M</v>
      </c>
      <c r="Q432" s="1" t="str">
        <f t="shared" ca="1" si="24"/>
        <v>M</v>
      </c>
      <c r="R432" s="1" t="str">
        <f t="shared" ca="1" si="25"/>
        <v>M</v>
      </c>
      <c r="S432" s="1" t="str">
        <f t="shared" ca="1" si="26"/>
        <v>M</v>
      </c>
      <c r="T432" s="1" t="str">
        <f t="shared" ca="1" si="27"/>
        <v>M</v>
      </c>
      <c r="U432" s="1" t="str">
        <f t="shared" ca="1" si="28"/>
        <v>M</v>
      </c>
      <c r="V432" s="1" t="str">
        <f t="shared" ca="1" si="29"/>
        <v>M</v>
      </c>
      <c r="W432" s="1" t="str">
        <f t="shared" ca="1" si="30"/>
        <v>Oliver Larraz</v>
      </c>
    </row>
    <row r="433" spans="1:23">
      <c r="A433" s="1" t="str">
        <f ca="1">IFERROR(__xludf.DUMMYFUNCTION("""COMPUTED_VALUE"""),"Richie")</f>
        <v>Richie</v>
      </c>
      <c r="B433" s="1" t="str">
        <f ca="1">IFERROR(__xludf.DUMMYFUNCTION("""COMPUTED_VALUE"""),"Laryea")</f>
        <v>Laryea</v>
      </c>
      <c r="C433" s="1" t="str">
        <f ca="1">IFERROR(__xludf.DUMMYFUNCTION("""COMPUTED_VALUE"""),"Toronto FC")</f>
        <v>Toronto FC</v>
      </c>
      <c r="D433" s="1" t="str">
        <f ca="1">IFERROR(__xludf.DUMMYFUNCTION("""COMPUTED_VALUE"""),"Right-back")</f>
        <v>Right-back</v>
      </c>
      <c r="E433" s="2">
        <f ca="1">IFERROR(__xludf.DUMMYFUNCTION("""COMPUTED_VALUE"""),990000)</f>
        <v>990000</v>
      </c>
      <c r="F433" s="2">
        <f ca="1">IFERROR(__xludf.DUMMYFUNCTION("""COMPUTED_VALUE"""),1208188)</f>
        <v>1208188</v>
      </c>
      <c r="H433" s="1" t="str">
        <f t="shared" ca="1" si="16"/>
        <v>Right-back</v>
      </c>
      <c r="I433" s="3" t="str">
        <f t="shared" ca="1" si="17"/>
        <v>Right-back</v>
      </c>
      <c r="J433" s="1" t="str">
        <f t="shared" ca="1" si="18"/>
        <v>D</v>
      </c>
      <c r="K433" s="1" t="str">
        <f t="shared" ca="1" si="31"/>
        <v>D</v>
      </c>
      <c r="L433" s="1" t="str">
        <f t="shared" ca="1" si="19"/>
        <v>D</v>
      </c>
      <c r="M433" s="1" t="str">
        <f t="shared" ca="1" si="20"/>
        <v>D</v>
      </c>
      <c r="N433" s="1" t="str">
        <f t="shared" ca="1" si="21"/>
        <v>D</v>
      </c>
      <c r="O433" s="1" t="str">
        <f t="shared" ca="1" si="22"/>
        <v>D</v>
      </c>
      <c r="P433" s="1" t="str">
        <f t="shared" ca="1" si="23"/>
        <v>D</v>
      </c>
      <c r="Q433" s="1" t="str">
        <f t="shared" ca="1" si="24"/>
        <v>D</v>
      </c>
      <c r="R433" s="1" t="str">
        <f t="shared" ca="1" si="25"/>
        <v>D</v>
      </c>
      <c r="S433" s="1" t="str">
        <f t="shared" ca="1" si="26"/>
        <v>D</v>
      </c>
      <c r="T433" s="1" t="str">
        <f t="shared" ca="1" si="27"/>
        <v>D</v>
      </c>
      <c r="U433" s="1" t="str">
        <f t="shared" ca="1" si="28"/>
        <v>D</v>
      </c>
      <c r="V433" s="1" t="str">
        <f t="shared" ca="1" si="29"/>
        <v>D</v>
      </c>
      <c r="W433" s="1" t="str">
        <f t="shared" ca="1" si="30"/>
        <v>Richie Laryea</v>
      </c>
    </row>
    <row r="434" spans="1:23">
      <c r="A434" s="1" t="str">
        <f ca="1">IFERROR(__xludf.DUMMYFUNCTION("""COMPUTED_VALUE"""),"Damian")</f>
        <v>Damian</v>
      </c>
      <c r="B434" s="1" t="str">
        <f ca="1">IFERROR(__xludf.DUMMYFUNCTION("""COMPUTED_VALUE"""),"Las")</f>
        <v>Las</v>
      </c>
      <c r="C434" s="1" t="str">
        <f ca="1">IFERROR(__xludf.DUMMYFUNCTION("""COMPUTED_VALUE"""),"Austin FC")</f>
        <v>Austin FC</v>
      </c>
      <c r="D434" s="1" t="str">
        <f ca="1">IFERROR(__xludf.DUMMYFUNCTION("""COMPUTED_VALUE"""),"Goalkeeper")</f>
        <v>Goalkeeper</v>
      </c>
      <c r="E434" s="2">
        <f ca="1">IFERROR(__xludf.DUMMYFUNCTION("""COMPUTED_VALUE"""),89716)</f>
        <v>89716</v>
      </c>
      <c r="F434" s="2">
        <f ca="1">IFERROR(__xludf.DUMMYFUNCTION("""COMPUTED_VALUE"""),89716)</f>
        <v>89716</v>
      </c>
      <c r="H434" s="1" t="str">
        <f t="shared" ca="1" si="16"/>
        <v>Goalkeeper</v>
      </c>
      <c r="I434" s="3" t="str">
        <f t="shared" ca="1" si="17"/>
        <v>Goalkeeper</v>
      </c>
      <c r="J434" s="1" t="str">
        <f t="shared" ca="1" si="18"/>
        <v>Goalkeeper</v>
      </c>
      <c r="K434" s="1" t="str">
        <f t="shared" ca="1" si="31"/>
        <v>Goalkeeper</v>
      </c>
      <c r="L434" s="1" t="str">
        <f t="shared" ca="1" si="19"/>
        <v>Goalkeeper</v>
      </c>
      <c r="M434" s="1" t="str">
        <f t="shared" ca="1" si="20"/>
        <v>Goalkeeper</v>
      </c>
      <c r="N434" s="1" t="str">
        <f t="shared" ca="1" si="21"/>
        <v>Goalkeeper</v>
      </c>
      <c r="O434" s="1" t="str">
        <f t="shared" ca="1" si="22"/>
        <v>Goalkeeper</v>
      </c>
      <c r="P434" s="1" t="str">
        <f t="shared" ca="1" si="23"/>
        <v>Goalkeeper</v>
      </c>
      <c r="Q434" s="1" t="str">
        <f t="shared" ca="1" si="24"/>
        <v>Goalkeeper</v>
      </c>
      <c r="R434" s="1" t="str">
        <f t="shared" ca="1" si="25"/>
        <v>GK</v>
      </c>
      <c r="S434" s="1" t="str">
        <f t="shared" ca="1" si="26"/>
        <v>GK</v>
      </c>
      <c r="T434" s="1" t="str">
        <f t="shared" ca="1" si="27"/>
        <v>GK</v>
      </c>
      <c r="U434" s="1" t="str">
        <f t="shared" ca="1" si="28"/>
        <v>GK</v>
      </c>
      <c r="V434" s="1" t="str">
        <f t="shared" ca="1" si="29"/>
        <v>GK</v>
      </c>
      <c r="W434" s="1" t="str">
        <f t="shared" ca="1" si="30"/>
        <v>Damian Las</v>
      </c>
    </row>
    <row r="435" spans="1:23">
      <c r="A435" s="1" t="str">
        <f ca="1">IFERROR(__xludf.DUMMYFUNCTION("""COMPUTED_VALUE"""),"Ariel")</f>
        <v>Ariel</v>
      </c>
      <c r="B435" s="1" t="str">
        <f ca="1">IFERROR(__xludf.DUMMYFUNCTION("""COMPUTED_VALUE"""),"Lassiter")</f>
        <v>Lassiter</v>
      </c>
      <c r="C435" s="1" t="str">
        <f ca="1">IFERROR(__xludf.DUMMYFUNCTION("""COMPUTED_VALUE"""),"CF Montreal")</f>
        <v>CF Montreal</v>
      </c>
      <c r="D435" s="1" t="str">
        <f ca="1">IFERROR(__xludf.DUMMYFUNCTION("""COMPUTED_VALUE"""),"Left Wing")</f>
        <v>Left Wing</v>
      </c>
      <c r="E435" s="2">
        <f ca="1">IFERROR(__xludf.DUMMYFUNCTION("""COMPUTED_VALUE"""),240000)</f>
        <v>240000</v>
      </c>
      <c r="F435" s="2">
        <f ca="1">IFERROR(__xludf.DUMMYFUNCTION("""COMPUTED_VALUE"""),260280)</f>
        <v>260280</v>
      </c>
      <c r="H435" s="1" t="str">
        <f t="shared" ca="1" si="16"/>
        <v>Left Wing</v>
      </c>
      <c r="I435" s="3" t="str">
        <f t="shared" ca="1" si="17"/>
        <v>Left Wing</v>
      </c>
      <c r="J435" s="1" t="str">
        <f t="shared" ca="1" si="18"/>
        <v>Left Wing</v>
      </c>
      <c r="K435" s="1" t="str">
        <f t="shared" ca="1" si="31"/>
        <v>Left Wing</v>
      </c>
      <c r="L435" s="1" t="str">
        <f t="shared" ca="1" si="19"/>
        <v>Left Wing</v>
      </c>
      <c r="M435" s="1" t="str">
        <f t="shared" ca="1" si="20"/>
        <v>Left Wing</v>
      </c>
      <c r="N435" s="1" t="str">
        <f t="shared" ca="1" si="21"/>
        <v>Left Wing</v>
      </c>
      <c r="O435" s="1" t="str">
        <f t="shared" ca="1" si="22"/>
        <v>Left Wing</v>
      </c>
      <c r="P435" s="1" t="str">
        <f t="shared" ca="1" si="23"/>
        <v>F</v>
      </c>
      <c r="Q435" s="1" t="str">
        <f t="shared" ca="1" si="24"/>
        <v>F</v>
      </c>
      <c r="R435" s="1" t="str">
        <f t="shared" ca="1" si="25"/>
        <v>F</v>
      </c>
      <c r="S435" s="1" t="str">
        <f t="shared" ca="1" si="26"/>
        <v>F</v>
      </c>
      <c r="T435" s="1" t="str">
        <f t="shared" ca="1" si="27"/>
        <v>F</v>
      </c>
      <c r="U435" s="1" t="str">
        <f t="shared" ca="1" si="28"/>
        <v>F</v>
      </c>
      <c r="V435" s="1" t="str">
        <f t="shared" ca="1" si="29"/>
        <v>F</v>
      </c>
      <c r="W435" s="1" t="str">
        <f t="shared" ca="1" si="30"/>
        <v>Ariel Lassiter</v>
      </c>
    </row>
    <row r="436" spans="1:23">
      <c r="A436" s="1" t="str">
        <f ca="1">IFERROR(__xludf.DUMMYFUNCTION("""COMPUTED_VALUE"""),"Randall")</f>
        <v>Randall</v>
      </c>
      <c r="B436" s="1" t="str">
        <f ca="1">IFERROR(__xludf.DUMMYFUNCTION("""COMPUTED_VALUE"""),"Leal")</f>
        <v>Leal</v>
      </c>
      <c r="C436" s="1" t="str">
        <f ca="1">IFERROR(__xludf.DUMMYFUNCTION("""COMPUTED_VALUE"""),"Nashville SC")</f>
        <v>Nashville SC</v>
      </c>
      <c r="D436" s="1" t="str">
        <f ca="1">IFERROR(__xludf.DUMMYFUNCTION("""COMPUTED_VALUE"""),"Left Wing")</f>
        <v>Left Wing</v>
      </c>
      <c r="E436" s="2">
        <f ca="1">IFERROR(__xludf.DUMMYFUNCTION("""COMPUTED_VALUE"""),1000000)</f>
        <v>1000000</v>
      </c>
      <c r="F436" s="2">
        <f ca="1">IFERROR(__xludf.DUMMYFUNCTION("""COMPUTED_VALUE"""),1115000)</f>
        <v>1115000</v>
      </c>
      <c r="H436" s="1" t="str">
        <f t="shared" ca="1" si="16"/>
        <v>Left Wing</v>
      </c>
      <c r="I436" s="3" t="str">
        <f t="shared" ca="1" si="17"/>
        <v>Left Wing</v>
      </c>
      <c r="J436" s="1" t="str">
        <f t="shared" ca="1" si="18"/>
        <v>Left Wing</v>
      </c>
      <c r="K436" s="1" t="str">
        <f t="shared" ca="1" si="31"/>
        <v>Left Wing</v>
      </c>
      <c r="L436" s="1" t="str">
        <f t="shared" ca="1" si="19"/>
        <v>Left Wing</v>
      </c>
      <c r="M436" s="1" t="str">
        <f t="shared" ca="1" si="20"/>
        <v>Left Wing</v>
      </c>
      <c r="N436" s="1" t="str">
        <f t="shared" ca="1" si="21"/>
        <v>Left Wing</v>
      </c>
      <c r="O436" s="1" t="str">
        <f t="shared" ca="1" si="22"/>
        <v>Left Wing</v>
      </c>
      <c r="P436" s="1" t="str">
        <f t="shared" ca="1" si="23"/>
        <v>F</v>
      </c>
      <c r="Q436" s="1" t="str">
        <f t="shared" ca="1" si="24"/>
        <v>F</v>
      </c>
      <c r="R436" s="1" t="str">
        <f t="shared" ca="1" si="25"/>
        <v>F</v>
      </c>
      <c r="S436" s="1" t="str">
        <f t="shared" ca="1" si="26"/>
        <v>F</v>
      </c>
      <c r="T436" s="1" t="str">
        <f t="shared" ca="1" si="27"/>
        <v>F</v>
      </c>
      <c r="U436" s="1" t="str">
        <f t="shared" ca="1" si="28"/>
        <v>F</v>
      </c>
      <c r="V436" s="1" t="str">
        <f t="shared" ca="1" si="29"/>
        <v>F</v>
      </c>
      <c r="W436" s="1" t="str">
        <f t="shared" ca="1" si="30"/>
        <v>Randall Leal</v>
      </c>
    </row>
    <row r="437" spans="1:23">
      <c r="A437" s="1" t="str">
        <f ca="1">IFERROR(__xludf.DUMMYFUNCTION("""COMPUTED_VALUE"""),"Isaiah")</f>
        <v>Isaiah</v>
      </c>
      <c r="B437" s="1" t="str">
        <f ca="1">IFERROR(__xludf.DUMMYFUNCTION("""COMPUTED_VALUE"""),"LeFlore")</f>
        <v>LeFlore</v>
      </c>
      <c r="C437" s="1" t="str">
        <f ca="1">IFERROR(__xludf.DUMMYFUNCTION("""COMPUTED_VALUE"""),"Philadelphia Union")</f>
        <v>Philadelphia Union</v>
      </c>
      <c r="D437" s="1" t="str">
        <f ca="1">IFERROR(__xludf.DUMMYFUNCTION("""COMPUTED_VALUE"""),"Left-back")</f>
        <v>Left-back</v>
      </c>
      <c r="E437" s="2">
        <f ca="1">IFERROR(__xludf.DUMMYFUNCTION("""COMPUTED_VALUE"""),71401)</f>
        <v>71401</v>
      </c>
      <c r="F437" s="2">
        <f ca="1">IFERROR(__xludf.DUMMYFUNCTION("""COMPUTED_VALUE"""),80764)</f>
        <v>80764</v>
      </c>
      <c r="H437" s="1" t="str">
        <f t="shared" ca="1" si="16"/>
        <v>Left-back</v>
      </c>
      <c r="I437" s="3" t="str">
        <f t="shared" ca="1" si="17"/>
        <v>D</v>
      </c>
      <c r="J437" s="1" t="str">
        <f t="shared" ca="1" si="18"/>
        <v>D</v>
      </c>
      <c r="K437" s="1" t="str">
        <f t="shared" ca="1" si="31"/>
        <v>D</v>
      </c>
      <c r="L437" s="1" t="str">
        <f t="shared" ca="1" si="19"/>
        <v>D</v>
      </c>
      <c r="M437" s="1" t="str">
        <f t="shared" ca="1" si="20"/>
        <v>D</v>
      </c>
      <c r="N437" s="1" t="str">
        <f t="shared" ca="1" si="21"/>
        <v>D</v>
      </c>
      <c r="O437" s="1" t="str">
        <f t="shared" ca="1" si="22"/>
        <v>D</v>
      </c>
      <c r="P437" s="1" t="str">
        <f t="shared" ca="1" si="23"/>
        <v>D</v>
      </c>
      <c r="Q437" s="1" t="str">
        <f t="shared" ca="1" si="24"/>
        <v>D</v>
      </c>
      <c r="R437" s="1" t="str">
        <f t="shared" ca="1" si="25"/>
        <v>D</v>
      </c>
      <c r="S437" s="1" t="str">
        <f t="shared" ca="1" si="26"/>
        <v>D</v>
      </c>
      <c r="T437" s="1" t="str">
        <f t="shared" ca="1" si="27"/>
        <v>D</v>
      </c>
      <c r="U437" s="1" t="str">
        <f t="shared" ca="1" si="28"/>
        <v>D</v>
      </c>
      <c r="V437" s="1" t="str">
        <f t="shared" ca="1" si="29"/>
        <v>D</v>
      </c>
      <c r="W437" s="1" t="str">
        <f t="shared" ca="1" si="30"/>
        <v>Isaiah LeFlore</v>
      </c>
    </row>
    <row r="438" spans="1:23">
      <c r="A438" s="1" t="str">
        <f ca="1">IFERROR(__xludf.DUMMYFUNCTION("""COMPUTED_VALUE"""),"Tim")</f>
        <v>Tim</v>
      </c>
      <c r="B438" s="1" t="str">
        <f ca="1">IFERROR(__xludf.DUMMYFUNCTION("""COMPUTED_VALUE"""),"Leibold")</f>
        <v>Leibold</v>
      </c>
      <c r="C438" s="1" t="str">
        <f ca="1">IFERROR(__xludf.DUMMYFUNCTION("""COMPUTED_VALUE"""),"Sporting Kansas City")</f>
        <v>Sporting Kansas City</v>
      </c>
      <c r="D438" s="1" t="str">
        <f ca="1">IFERROR(__xludf.DUMMYFUNCTION("""COMPUTED_VALUE"""),"Left-back")</f>
        <v>Left-back</v>
      </c>
      <c r="E438" s="2">
        <f ca="1">IFERROR(__xludf.DUMMYFUNCTION("""COMPUTED_VALUE"""),600000)</f>
        <v>600000</v>
      </c>
      <c r="F438" s="2">
        <f ca="1">IFERROR(__xludf.DUMMYFUNCTION("""COMPUTED_VALUE"""),601050)</f>
        <v>601050</v>
      </c>
      <c r="H438" s="1" t="str">
        <f t="shared" ca="1" si="16"/>
        <v>Left-back</v>
      </c>
      <c r="I438" s="3" t="str">
        <f t="shared" ca="1" si="17"/>
        <v>D</v>
      </c>
      <c r="J438" s="1" t="str">
        <f t="shared" ca="1" si="18"/>
        <v>D</v>
      </c>
      <c r="K438" s="1" t="str">
        <f t="shared" ca="1" si="31"/>
        <v>D</v>
      </c>
      <c r="L438" s="1" t="str">
        <f t="shared" ca="1" si="19"/>
        <v>D</v>
      </c>
      <c r="M438" s="1" t="str">
        <f t="shared" ca="1" si="20"/>
        <v>D</v>
      </c>
      <c r="N438" s="1" t="str">
        <f t="shared" ca="1" si="21"/>
        <v>D</v>
      </c>
      <c r="O438" s="1" t="str">
        <f t="shared" ca="1" si="22"/>
        <v>D</v>
      </c>
      <c r="P438" s="1" t="str">
        <f t="shared" ca="1" si="23"/>
        <v>D</v>
      </c>
      <c r="Q438" s="1" t="str">
        <f t="shared" ca="1" si="24"/>
        <v>D</v>
      </c>
      <c r="R438" s="1" t="str">
        <f t="shared" ca="1" si="25"/>
        <v>D</v>
      </c>
      <c r="S438" s="1" t="str">
        <f t="shared" ca="1" si="26"/>
        <v>D</v>
      </c>
      <c r="T438" s="1" t="str">
        <f t="shared" ca="1" si="27"/>
        <v>D</v>
      </c>
      <c r="U438" s="1" t="str">
        <f t="shared" ca="1" si="28"/>
        <v>D</v>
      </c>
      <c r="V438" s="1" t="str">
        <f t="shared" ca="1" si="29"/>
        <v>D</v>
      </c>
      <c r="W438" s="1" t="str">
        <f t="shared" ca="1" si="30"/>
        <v>Tim Leibold</v>
      </c>
    </row>
    <row r="439" spans="1:23">
      <c r="A439" s="1" t="str">
        <f ca="1">IFERROR(__xludf.DUMMYFUNCTION("""COMPUTED_VALUE"""),"Brooks")</f>
        <v>Brooks</v>
      </c>
      <c r="B439" s="1" t="str">
        <f ca="1">IFERROR(__xludf.DUMMYFUNCTION("""COMPUTED_VALUE"""),"Lennon")</f>
        <v>Lennon</v>
      </c>
      <c r="C439" s="1" t="str">
        <f ca="1">IFERROR(__xludf.DUMMYFUNCTION("""COMPUTED_VALUE"""),"Atlanta United")</f>
        <v>Atlanta United</v>
      </c>
      <c r="D439" s="1" t="str">
        <f ca="1">IFERROR(__xludf.DUMMYFUNCTION("""COMPUTED_VALUE"""),"Right-back")</f>
        <v>Right-back</v>
      </c>
      <c r="E439" s="2">
        <f ca="1">IFERROR(__xludf.DUMMYFUNCTION("""COMPUTED_VALUE"""),740000)</f>
        <v>740000</v>
      </c>
      <c r="F439" s="2">
        <f ca="1">IFERROR(__xludf.DUMMYFUNCTION("""COMPUTED_VALUE"""),740000)</f>
        <v>740000</v>
      </c>
      <c r="H439" s="1" t="str">
        <f t="shared" ca="1" si="16"/>
        <v>Right-back</v>
      </c>
      <c r="I439" s="3" t="str">
        <f t="shared" ca="1" si="17"/>
        <v>Right-back</v>
      </c>
      <c r="J439" s="1" t="str">
        <f t="shared" ca="1" si="18"/>
        <v>D</v>
      </c>
      <c r="K439" s="1" t="str">
        <f t="shared" ca="1" si="31"/>
        <v>D</v>
      </c>
      <c r="L439" s="1" t="str">
        <f t="shared" ca="1" si="19"/>
        <v>D</v>
      </c>
      <c r="M439" s="1" t="str">
        <f t="shared" ca="1" si="20"/>
        <v>D</v>
      </c>
      <c r="N439" s="1" t="str">
        <f t="shared" ca="1" si="21"/>
        <v>D</v>
      </c>
      <c r="O439" s="1" t="str">
        <f t="shared" ca="1" si="22"/>
        <v>D</v>
      </c>
      <c r="P439" s="1" t="str">
        <f t="shared" ca="1" si="23"/>
        <v>D</v>
      </c>
      <c r="Q439" s="1" t="str">
        <f t="shared" ca="1" si="24"/>
        <v>D</v>
      </c>
      <c r="R439" s="1" t="str">
        <f t="shared" ca="1" si="25"/>
        <v>D</v>
      </c>
      <c r="S439" s="1" t="str">
        <f t="shared" ca="1" si="26"/>
        <v>D</v>
      </c>
      <c r="T439" s="1" t="str">
        <f t="shared" ca="1" si="27"/>
        <v>D</v>
      </c>
      <c r="U439" s="1" t="str">
        <f t="shared" ca="1" si="28"/>
        <v>D</v>
      </c>
      <c r="V439" s="1" t="str">
        <f t="shared" ca="1" si="29"/>
        <v>D</v>
      </c>
      <c r="W439" s="1" t="str">
        <f t="shared" ca="1" si="30"/>
        <v>Brooks Lennon</v>
      </c>
    </row>
    <row r="440" spans="1:23">
      <c r="A440" s="1" t="str">
        <f ca="1">IFERROR(__xludf.DUMMYFUNCTION("""COMPUTED_VALUE"""),"Tucker")</f>
        <v>Tucker</v>
      </c>
      <c r="B440" s="1" t="str">
        <f ca="1">IFERROR(__xludf.DUMMYFUNCTION("""COMPUTED_VALUE"""),"Lepley")</f>
        <v>Lepley</v>
      </c>
      <c r="C440" s="1" t="str">
        <f ca="1">IFERROR(__xludf.DUMMYFUNCTION("""COMPUTED_VALUE"""),"LA Galaxy")</f>
        <v>LA Galaxy</v>
      </c>
      <c r="D440" s="1" t="str">
        <f ca="1">IFERROR(__xludf.DUMMYFUNCTION("""COMPUTED_VALUE"""),"Right Wing")</f>
        <v>Right Wing</v>
      </c>
      <c r="E440" s="2">
        <f ca="1">IFERROR(__xludf.DUMMYFUNCTION("""COMPUTED_VALUE"""),71401)</f>
        <v>71401</v>
      </c>
      <c r="F440" s="2">
        <f ca="1">IFERROR(__xludf.DUMMYFUNCTION("""COMPUTED_VALUE"""),73087)</f>
        <v>73087</v>
      </c>
      <c r="H440" s="1" t="str">
        <f t="shared" ca="1" si="16"/>
        <v>Right Wing</v>
      </c>
      <c r="I440" s="3" t="str">
        <f t="shared" ca="1" si="17"/>
        <v>Right Wing</v>
      </c>
      <c r="J440" s="1" t="str">
        <f t="shared" ca="1" si="18"/>
        <v>Right Wing</v>
      </c>
      <c r="K440" s="1" t="str">
        <f t="shared" ca="1" si="31"/>
        <v>Right Wing</v>
      </c>
      <c r="L440" s="1" t="str">
        <f t="shared" ca="1" si="19"/>
        <v>Right Wing</v>
      </c>
      <c r="M440" s="1" t="str">
        <f t="shared" ca="1" si="20"/>
        <v>Right Wing</v>
      </c>
      <c r="N440" s="1" t="str">
        <f t="shared" ca="1" si="21"/>
        <v>F</v>
      </c>
      <c r="O440" s="1" t="str">
        <f t="shared" ca="1" si="22"/>
        <v>F</v>
      </c>
      <c r="P440" s="1" t="str">
        <f t="shared" ca="1" si="23"/>
        <v>F</v>
      </c>
      <c r="Q440" s="1" t="str">
        <f t="shared" ca="1" si="24"/>
        <v>F</v>
      </c>
      <c r="R440" s="1" t="str">
        <f t="shared" ca="1" si="25"/>
        <v>F</v>
      </c>
      <c r="S440" s="1" t="str">
        <f t="shared" ca="1" si="26"/>
        <v>F</v>
      </c>
      <c r="T440" s="1" t="str">
        <f t="shared" ca="1" si="27"/>
        <v>F</v>
      </c>
      <c r="U440" s="1" t="str">
        <f t="shared" ca="1" si="28"/>
        <v>F</v>
      </c>
      <c r="V440" s="1" t="str">
        <f t="shared" ca="1" si="29"/>
        <v>F</v>
      </c>
      <c r="W440" s="1" t="str">
        <f t="shared" ca="1" si="30"/>
        <v>Tucker Lepley</v>
      </c>
    </row>
    <row r="441" spans="1:23">
      <c r="A441" s="1" t="str">
        <f ca="1">IFERROR(__xludf.DUMMYFUNCTION("""COMPUTED_VALUE"""),"Jonathan")</f>
        <v>Jonathan</v>
      </c>
      <c r="B441" s="1" t="str">
        <f ca="1">IFERROR(__xludf.DUMMYFUNCTION("""COMPUTED_VALUE"""),"Lewis")</f>
        <v>Lewis</v>
      </c>
      <c r="C441" s="1" t="str">
        <f ca="1">IFERROR(__xludf.DUMMYFUNCTION("""COMPUTED_VALUE"""),"Colorado Rapids")</f>
        <v>Colorado Rapids</v>
      </c>
      <c r="D441" s="1" t="str">
        <f ca="1">IFERROR(__xludf.DUMMYFUNCTION("""COMPUTED_VALUE"""),"Left Wing")</f>
        <v>Left Wing</v>
      </c>
      <c r="E441" s="2">
        <f ca="1">IFERROR(__xludf.DUMMYFUNCTION("""COMPUTED_VALUE"""),410000)</f>
        <v>410000</v>
      </c>
      <c r="F441" s="2">
        <f ca="1">IFERROR(__xludf.DUMMYFUNCTION("""COMPUTED_VALUE"""),435000)</f>
        <v>435000</v>
      </c>
      <c r="H441" s="1" t="str">
        <f t="shared" ca="1" si="16"/>
        <v>Left Wing</v>
      </c>
      <c r="I441" s="3" t="str">
        <f t="shared" ca="1" si="17"/>
        <v>Left Wing</v>
      </c>
      <c r="J441" s="1" t="str">
        <f t="shared" ca="1" si="18"/>
        <v>Left Wing</v>
      </c>
      <c r="K441" s="1" t="str">
        <f t="shared" ca="1" si="31"/>
        <v>Left Wing</v>
      </c>
      <c r="L441" s="1" t="str">
        <f t="shared" ca="1" si="19"/>
        <v>Left Wing</v>
      </c>
      <c r="M441" s="1" t="str">
        <f t="shared" ca="1" si="20"/>
        <v>Left Wing</v>
      </c>
      <c r="N441" s="1" t="str">
        <f t="shared" ca="1" si="21"/>
        <v>Left Wing</v>
      </c>
      <c r="O441" s="1" t="str">
        <f t="shared" ca="1" si="22"/>
        <v>Left Wing</v>
      </c>
      <c r="P441" s="1" t="str">
        <f t="shared" ca="1" si="23"/>
        <v>F</v>
      </c>
      <c r="Q441" s="1" t="str">
        <f t="shared" ca="1" si="24"/>
        <v>F</v>
      </c>
      <c r="R441" s="1" t="str">
        <f t="shared" ca="1" si="25"/>
        <v>F</v>
      </c>
      <c r="S441" s="1" t="str">
        <f t="shared" ca="1" si="26"/>
        <v>F</v>
      </c>
      <c r="T441" s="1" t="str">
        <f t="shared" ca="1" si="27"/>
        <v>F</v>
      </c>
      <c r="U441" s="1" t="str">
        <f t="shared" ca="1" si="28"/>
        <v>F</v>
      </c>
      <c r="V441" s="1" t="str">
        <f t="shared" ca="1" si="29"/>
        <v>F</v>
      </c>
      <c r="W441" s="1" t="str">
        <f t="shared" ca="1" si="30"/>
        <v>Jonathan Lewis</v>
      </c>
    </row>
    <row r="442" spans="1:23">
      <c r="A442" s="1" t="str">
        <f ca="1">IFERROR(__xludf.DUMMYFUNCTION("""COMPUTED_VALUE"""),"Danny")</f>
        <v>Danny</v>
      </c>
      <c r="B442" s="1" t="str">
        <f ca="1">IFERROR(__xludf.DUMMYFUNCTION("""COMPUTED_VALUE"""),"Leyva")</f>
        <v>Leyva</v>
      </c>
      <c r="C442" s="1" t="str">
        <f ca="1">IFERROR(__xludf.DUMMYFUNCTION("""COMPUTED_VALUE"""),"Seattle Sounders FC")</f>
        <v>Seattle Sounders FC</v>
      </c>
      <c r="D442" s="1" t="str">
        <f ca="1">IFERROR(__xludf.DUMMYFUNCTION("""COMPUTED_VALUE"""),"Defensive Midfield")</f>
        <v>Defensive Midfield</v>
      </c>
      <c r="E442" s="2">
        <f ca="1">IFERROR(__xludf.DUMMYFUNCTION("""COMPUTED_VALUE"""),235000)</f>
        <v>235000</v>
      </c>
      <c r="F442" s="2">
        <f ca="1">IFERROR(__xludf.DUMMYFUNCTION("""COMPUTED_VALUE"""),259900)</f>
        <v>259900</v>
      </c>
      <c r="H442" s="1" t="str">
        <f t="shared" ca="1" si="16"/>
        <v>Defensive Midfield</v>
      </c>
      <c r="I442" s="3" t="str">
        <f t="shared" ca="1" si="17"/>
        <v>Defensive Midfield</v>
      </c>
      <c r="J442" s="1" t="str">
        <f t="shared" ca="1" si="18"/>
        <v>Defensive Midfield</v>
      </c>
      <c r="K442" s="1" t="str">
        <f t="shared" ca="1" si="31"/>
        <v>M</v>
      </c>
      <c r="L442" s="1" t="str">
        <f t="shared" ca="1" si="19"/>
        <v>M</v>
      </c>
      <c r="M442" s="1" t="str">
        <f t="shared" ca="1" si="20"/>
        <v>M</v>
      </c>
      <c r="N442" s="1" t="str">
        <f t="shared" ca="1" si="21"/>
        <v>M</v>
      </c>
      <c r="O442" s="1" t="str">
        <f t="shared" ca="1" si="22"/>
        <v>M</v>
      </c>
      <c r="P442" s="1" t="str">
        <f t="shared" ca="1" si="23"/>
        <v>M</v>
      </c>
      <c r="Q442" s="1" t="str">
        <f t="shared" ca="1" si="24"/>
        <v>M</v>
      </c>
      <c r="R442" s="1" t="str">
        <f t="shared" ca="1" si="25"/>
        <v>M</v>
      </c>
      <c r="S442" s="1" t="str">
        <f t="shared" ca="1" si="26"/>
        <v>M</v>
      </c>
      <c r="T442" s="1" t="str">
        <f t="shared" ca="1" si="27"/>
        <v>M</v>
      </c>
      <c r="U442" s="1" t="str">
        <f t="shared" ca="1" si="28"/>
        <v>M</v>
      </c>
      <c r="V442" s="1" t="str">
        <f t="shared" ca="1" si="29"/>
        <v>M</v>
      </c>
      <c r="W442" s="1" t="str">
        <f t="shared" ca="1" si="30"/>
        <v>Danny Leyva</v>
      </c>
    </row>
    <row r="443" spans="1:23">
      <c r="A443" s="1" t="str">
        <f ca="1">IFERROR(__xludf.DUMMYFUNCTION("""COMPUTED_VALUE"""),"Nick")</f>
        <v>Nick</v>
      </c>
      <c r="B443" s="1" t="str">
        <f ca="1">IFERROR(__xludf.DUMMYFUNCTION("""COMPUTED_VALUE"""),"Lima")</f>
        <v>Lima</v>
      </c>
      <c r="C443" s="1" t="str">
        <f ca="1">IFERROR(__xludf.DUMMYFUNCTION("""COMPUTED_VALUE"""),"New England Revolution")</f>
        <v>New England Revolution</v>
      </c>
      <c r="D443" s="1" t="str">
        <f ca="1">IFERROR(__xludf.DUMMYFUNCTION("""COMPUTED_VALUE"""),"Right-back")</f>
        <v>Right-back</v>
      </c>
      <c r="E443" s="2">
        <f ca="1">IFERROR(__xludf.DUMMYFUNCTION("""COMPUTED_VALUE"""),375000)</f>
        <v>375000</v>
      </c>
      <c r="F443" s="2">
        <f ca="1">IFERROR(__xludf.DUMMYFUNCTION("""COMPUTED_VALUE"""),375000)</f>
        <v>375000</v>
      </c>
      <c r="H443" s="1" t="str">
        <f t="shared" ca="1" si="16"/>
        <v>Right-back</v>
      </c>
      <c r="I443" s="3" t="str">
        <f t="shared" ca="1" si="17"/>
        <v>Right-back</v>
      </c>
      <c r="J443" s="1" t="str">
        <f t="shared" ca="1" si="18"/>
        <v>D</v>
      </c>
      <c r="K443" s="1" t="str">
        <f t="shared" ca="1" si="31"/>
        <v>D</v>
      </c>
      <c r="L443" s="1" t="str">
        <f t="shared" ca="1" si="19"/>
        <v>D</v>
      </c>
      <c r="M443" s="1" t="str">
        <f t="shared" ca="1" si="20"/>
        <v>D</v>
      </c>
      <c r="N443" s="1" t="str">
        <f t="shared" ca="1" si="21"/>
        <v>D</v>
      </c>
      <c r="O443" s="1" t="str">
        <f t="shared" ca="1" si="22"/>
        <v>D</v>
      </c>
      <c r="P443" s="1" t="str">
        <f t="shared" ca="1" si="23"/>
        <v>D</v>
      </c>
      <c r="Q443" s="1" t="str">
        <f t="shared" ca="1" si="24"/>
        <v>D</v>
      </c>
      <c r="R443" s="1" t="str">
        <f t="shared" ca="1" si="25"/>
        <v>D</v>
      </c>
      <c r="S443" s="1" t="str">
        <f t="shared" ca="1" si="26"/>
        <v>D</v>
      </c>
      <c r="T443" s="1" t="str">
        <f t="shared" ca="1" si="27"/>
        <v>D</v>
      </c>
      <c r="U443" s="1" t="str">
        <f t="shared" ca="1" si="28"/>
        <v>D</v>
      </c>
      <c r="V443" s="1" t="str">
        <f t="shared" ca="1" si="29"/>
        <v>D</v>
      </c>
      <c r="W443" s="1" t="str">
        <f t="shared" ca="1" si="30"/>
        <v>Nick Lima</v>
      </c>
    </row>
    <row r="444" spans="1:23">
      <c r="A444" s="1" t="str">
        <f ca="1">IFERROR(__xludf.DUMMYFUNCTION("""COMPUTED_VALUE"""),"Jaylin")</f>
        <v>Jaylin</v>
      </c>
      <c r="B444" s="1" t="str">
        <f ca="1">IFERROR(__xludf.DUMMYFUNCTION("""COMPUTED_VALUE"""),"Lindsey")</f>
        <v>Lindsey</v>
      </c>
      <c r="C444" s="1" t="str">
        <f ca="1">IFERROR(__xludf.DUMMYFUNCTION("""COMPUTED_VALUE"""),"Charlotte FC")</f>
        <v>Charlotte FC</v>
      </c>
      <c r="D444" s="1" t="str">
        <f ca="1">IFERROR(__xludf.DUMMYFUNCTION("""COMPUTED_VALUE"""),"Right-back")</f>
        <v>Right-back</v>
      </c>
      <c r="E444" s="2">
        <f ca="1">IFERROR(__xludf.DUMMYFUNCTION("""COMPUTED_VALUE"""),275000)</f>
        <v>275000</v>
      </c>
      <c r="F444" s="2">
        <f ca="1">IFERROR(__xludf.DUMMYFUNCTION("""COMPUTED_VALUE"""),311875)</f>
        <v>311875</v>
      </c>
      <c r="H444" s="1" t="str">
        <f t="shared" ca="1" si="16"/>
        <v>Right-back</v>
      </c>
      <c r="I444" s="3" t="str">
        <f t="shared" ca="1" si="17"/>
        <v>Right-back</v>
      </c>
      <c r="J444" s="1" t="str">
        <f t="shared" ca="1" si="18"/>
        <v>D</v>
      </c>
      <c r="K444" s="1" t="str">
        <f t="shared" ca="1" si="31"/>
        <v>D</v>
      </c>
      <c r="L444" s="1" t="str">
        <f t="shared" ca="1" si="19"/>
        <v>D</v>
      </c>
      <c r="M444" s="1" t="str">
        <f t="shared" ca="1" si="20"/>
        <v>D</v>
      </c>
      <c r="N444" s="1" t="str">
        <f t="shared" ca="1" si="21"/>
        <v>D</v>
      </c>
      <c r="O444" s="1" t="str">
        <f t="shared" ca="1" si="22"/>
        <v>D</v>
      </c>
      <c r="P444" s="1" t="str">
        <f t="shared" ca="1" si="23"/>
        <v>D</v>
      </c>
      <c r="Q444" s="1" t="str">
        <f t="shared" ca="1" si="24"/>
        <v>D</v>
      </c>
      <c r="R444" s="1" t="str">
        <f t="shared" ca="1" si="25"/>
        <v>D</v>
      </c>
      <c r="S444" s="1" t="str">
        <f t="shared" ca="1" si="26"/>
        <v>D</v>
      </c>
      <c r="T444" s="1" t="str">
        <f t="shared" ca="1" si="27"/>
        <v>D</v>
      </c>
      <c r="U444" s="1" t="str">
        <f t="shared" ca="1" si="28"/>
        <v>D</v>
      </c>
      <c r="V444" s="1" t="str">
        <f t="shared" ca="1" si="29"/>
        <v>D</v>
      </c>
      <c r="W444" s="1" t="str">
        <f t="shared" ca="1" si="30"/>
        <v>Jaylin Lindsey</v>
      </c>
    </row>
    <row r="445" spans="1:23">
      <c r="A445" s="1" t="str">
        <f ca="1">IFERROR(__xludf.DUMMYFUNCTION("""COMPUTED_VALUE"""),"Sebastian")</f>
        <v>Sebastian</v>
      </c>
      <c r="B445" s="1" t="str">
        <f ca="1">IFERROR(__xludf.DUMMYFUNCTION("""COMPUTED_VALUE"""),"Lletget")</f>
        <v>Lletget</v>
      </c>
      <c r="C445" s="1" t="str">
        <f ca="1">IFERROR(__xludf.DUMMYFUNCTION("""COMPUTED_VALUE"""),"FC Dallas")</f>
        <v>FC Dallas</v>
      </c>
      <c r="D445" s="1" t="str">
        <f ca="1">IFERROR(__xludf.DUMMYFUNCTION("""COMPUTED_VALUE"""),"Central Midfield")</f>
        <v>Central Midfield</v>
      </c>
      <c r="E445" s="2">
        <f ca="1">IFERROR(__xludf.DUMMYFUNCTION("""COMPUTED_VALUE"""),750000)</f>
        <v>750000</v>
      </c>
      <c r="F445" s="2">
        <f ca="1">IFERROR(__xludf.DUMMYFUNCTION("""COMPUTED_VALUE"""),841250)</f>
        <v>841250</v>
      </c>
      <c r="H445" s="1" t="str">
        <f t="shared" ca="1" si="16"/>
        <v>Central Midfield</v>
      </c>
      <c r="I445" s="3" t="str">
        <f t="shared" ca="1" si="17"/>
        <v>Central Midfield</v>
      </c>
      <c r="J445" s="1" t="str">
        <f t="shared" ca="1" si="18"/>
        <v>Central Midfield</v>
      </c>
      <c r="K445" s="1" t="str">
        <f t="shared" ca="1" si="31"/>
        <v>Central Midfield</v>
      </c>
      <c r="L445" s="1" t="str">
        <f t="shared" ca="1" si="19"/>
        <v>M</v>
      </c>
      <c r="M445" s="1" t="str">
        <f t="shared" ca="1" si="20"/>
        <v>M</v>
      </c>
      <c r="N445" s="1" t="str">
        <f t="shared" ca="1" si="21"/>
        <v>M</v>
      </c>
      <c r="O445" s="1" t="str">
        <f t="shared" ca="1" si="22"/>
        <v>M</v>
      </c>
      <c r="P445" s="1" t="str">
        <f t="shared" ca="1" si="23"/>
        <v>M</v>
      </c>
      <c r="Q445" s="1" t="str">
        <f t="shared" ca="1" si="24"/>
        <v>M</v>
      </c>
      <c r="R445" s="1" t="str">
        <f t="shared" ca="1" si="25"/>
        <v>M</v>
      </c>
      <c r="S445" s="1" t="str">
        <f t="shared" ca="1" si="26"/>
        <v>M</v>
      </c>
      <c r="T445" s="1" t="str">
        <f t="shared" ca="1" si="27"/>
        <v>M</v>
      </c>
      <c r="U445" s="1" t="str">
        <f t="shared" ca="1" si="28"/>
        <v>M</v>
      </c>
      <c r="V445" s="1" t="str">
        <f t="shared" ca="1" si="29"/>
        <v>M</v>
      </c>
      <c r="W445" s="1" t="str">
        <f t="shared" ca="1" si="30"/>
        <v>Sebastian Lletget</v>
      </c>
    </row>
    <row r="446" spans="1:23">
      <c r="A446" s="1" t="str">
        <f ca="1">IFERROR(__xludf.DUMMYFUNCTION("""COMPUTED_VALUE"""),"Hugo")</f>
        <v>Hugo</v>
      </c>
      <c r="B446" s="1" t="str">
        <f ca="1">IFERROR(__xludf.DUMMYFUNCTION("""COMPUTED_VALUE"""),"Lloris")</f>
        <v>Lloris</v>
      </c>
      <c r="C446" s="1" t="str">
        <f ca="1">IFERROR(__xludf.DUMMYFUNCTION("""COMPUTED_VALUE"""),"LAFC")</f>
        <v>LAFC</v>
      </c>
      <c r="D446" s="1" t="str">
        <f ca="1">IFERROR(__xludf.DUMMYFUNCTION("""COMPUTED_VALUE"""),"Goalkeeper")</f>
        <v>Goalkeeper</v>
      </c>
      <c r="E446" s="2">
        <f ca="1">IFERROR(__xludf.DUMMYFUNCTION("""COMPUTED_VALUE"""),350000)</f>
        <v>350000</v>
      </c>
      <c r="F446" s="2">
        <f ca="1">IFERROR(__xludf.DUMMYFUNCTION("""COMPUTED_VALUE"""),350000)</f>
        <v>350000</v>
      </c>
      <c r="H446" s="1" t="str">
        <f t="shared" ca="1" si="16"/>
        <v>Goalkeeper</v>
      </c>
      <c r="I446" s="3" t="str">
        <f t="shared" ca="1" si="17"/>
        <v>Goalkeeper</v>
      </c>
      <c r="J446" s="1" t="str">
        <f t="shared" ca="1" si="18"/>
        <v>Goalkeeper</v>
      </c>
      <c r="K446" s="1" t="str">
        <f t="shared" ca="1" si="31"/>
        <v>Goalkeeper</v>
      </c>
      <c r="L446" s="1" t="str">
        <f t="shared" ca="1" si="19"/>
        <v>Goalkeeper</v>
      </c>
      <c r="M446" s="1" t="str">
        <f t="shared" ca="1" si="20"/>
        <v>Goalkeeper</v>
      </c>
      <c r="N446" s="1" t="str">
        <f t="shared" ca="1" si="21"/>
        <v>Goalkeeper</v>
      </c>
      <c r="O446" s="1" t="str">
        <f t="shared" ca="1" si="22"/>
        <v>Goalkeeper</v>
      </c>
      <c r="P446" s="1" t="str">
        <f t="shared" ca="1" si="23"/>
        <v>Goalkeeper</v>
      </c>
      <c r="Q446" s="1" t="str">
        <f t="shared" ca="1" si="24"/>
        <v>Goalkeeper</v>
      </c>
      <c r="R446" s="1" t="str">
        <f t="shared" ca="1" si="25"/>
        <v>GK</v>
      </c>
      <c r="S446" s="1" t="str">
        <f t="shared" ca="1" si="26"/>
        <v>GK</v>
      </c>
      <c r="T446" s="1" t="str">
        <f t="shared" ca="1" si="27"/>
        <v>GK</v>
      </c>
      <c r="U446" s="1" t="str">
        <f t="shared" ca="1" si="28"/>
        <v>GK</v>
      </c>
      <c r="V446" s="1" t="str">
        <f t="shared" ca="1" si="29"/>
        <v>GK</v>
      </c>
      <c r="W446" s="1" t="str">
        <f t="shared" ca="1" si="30"/>
        <v>Hugo Lloris</v>
      </c>
    </row>
    <row r="447" spans="1:23">
      <c r="A447" s="1" t="str">
        <f ca="1">IFERROR(__xludf.DUMMYFUNCTION("""COMPUTED_VALUE"""),"Saba")</f>
        <v>Saba</v>
      </c>
      <c r="B447" s="1" t="str">
        <f ca="1">IFERROR(__xludf.DUMMYFUNCTION("""COMPUTED_VALUE"""),"Lobjanidze")</f>
        <v>Lobjanidze</v>
      </c>
      <c r="C447" s="1" t="str">
        <f ca="1">IFERROR(__xludf.DUMMYFUNCTION("""COMPUTED_VALUE"""),"Atlanta United")</f>
        <v>Atlanta United</v>
      </c>
      <c r="D447" s="1" t="str">
        <f ca="1">IFERROR(__xludf.DUMMYFUNCTION("""COMPUTED_VALUE"""),"Left Wing")</f>
        <v>Left Wing</v>
      </c>
      <c r="E447" s="2">
        <f ca="1">IFERROR(__xludf.DUMMYFUNCTION("""COMPUTED_VALUE"""),900000)</f>
        <v>900000</v>
      </c>
      <c r="F447" s="2">
        <f ca="1">IFERROR(__xludf.DUMMYFUNCTION("""COMPUTED_VALUE"""),998750)</f>
        <v>998750</v>
      </c>
      <c r="H447" s="1" t="str">
        <f t="shared" ca="1" si="16"/>
        <v>Left Wing</v>
      </c>
      <c r="I447" s="3" t="str">
        <f t="shared" ca="1" si="17"/>
        <v>Left Wing</v>
      </c>
      <c r="J447" s="1" t="str">
        <f t="shared" ca="1" si="18"/>
        <v>Left Wing</v>
      </c>
      <c r="K447" s="1" t="str">
        <f t="shared" ca="1" si="31"/>
        <v>Left Wing</v>
      </c>
      <c r="L447" s="1" t="str">
        <f t="shared" ca="1" si="19"/>
        <v>Left Wing</v>
      </c>
      <c r="M447" s="1" t="str">
        <f t="shared" ca="1" si="20"/>
        <v>Left Wing</v>
      </c>
      <c r="N447" s="1" t="str">
        <f t="shared" ca="1" si="21"/>
        <v>Left Wing</v>
      </c>
      <c r="O447" s="1" t="str">
        <f t="shared" ca="1" si="22"/>
        <v>Left Wing</v>
      </c>
      <c r="P447" s="1" t="str">
        <f t="shared" ca="1" si="23"/>
        <v>F</v>
      </c>
      <c r="Q447" s="1" t="str">
        <f t="shared" ca="1" si="24"/>
        <v>F</v>
      </c>
      <c r="R447" s="1" t="str">
        <f t="shared" ca="1" si="25"/>
        <v>F</v>
      </c>
      <c r="S447" s="1" t="str">
        <f t="shared" ca="1" si="26"/>
        <v>F</v>
      </c>
      <c r="T447" s="1" t="str">
        <f t="shared" ca="1" si="27"/>
        <v>F</v>
      </c>
      <c r="U447" s="1" t="str">
        <f t="shared" ca="1" si="28"/>
        <v>F</v>
      </c>
      <c r="V447" s="1" t="str">
        <f t="shared" ca="1" si="29"/>
        <v>F</v>
      </c>
      <c r="W447" s="1" t="str">
        <f t="shared" ca="1" si="30"/>
        <v>Saba Lobjanidze</v>
      </c>
    </row>
    <row r="448" spans="1:23">
      <c r="A448" s="1" t="str">
        <f ca="1">IFERROR(__xludf.DUMMYFUNCTION("""COMPUTED_VALUE"""),"Robin")</f>
        <v>Robin</v>
      </c>
      <c r="B448" s="1" t="str">
        <f ca="1">IFERROR(__xludf.DUMMYFUNCTION("""COMPUTED_VALUE"""),"Lod")</f>
        <v>Lod</v>
      </c>
      <c r="C448" s="1" t="str">
        <f ca="1">IFERROR(__xludf.DUMMYFUNCTION("""COMPUTED_VALUE"""),"Minnesota United")</f>
        <v>Minnesota United</v>
      </c>
      <c r="D448" s="1" t="str">
        <f ca="1">IFERROR(__xludf.DUMMYFUNCTION("""COMPUTED_VALUE"""),"Left Midfield")</f>
        <v>Left Midfield</v>
      </c>
      <c r="E448" s="2">
        <f ca="1">IFERROR(__xludf.DUMMYFUNCTION("""COMPUTED_VALUE"""),1500000)</f>
        <v>1500000</v>
      </c>
      <c r="F448" s="2">
        <f ca="1">IFERROR(__xludf.DUMMYFUNCTION("""COMPUTED_VALUE"""),1639375)</f>
        <v>1639375</v>
      </c>
      <c r="H448" s="1" t="str">
        <f t="shared" ca="1" si="16"/>
        <v>Left Midfield</v>
      </c>
      <c r="I448" s="3" t="str">
        <f t="shared" ca="1" si="17"/>
        <v>Left Midfield</v>
      </c>
      <c r="J448" s="1" t="str">
        <f t="shared" ca="1" si="18"/>
        <v>Left Midfield</v>
      </c>
      <c r="K448" s="1" t="str">
        <f t="shared" ca="1" si="31"/>
        <v>Left Midfield</v>
      </c>
      <c r="L448" s="1" t="str">
        <f t="shared" ca="1" si="19"/>
        <v>Left Midfield</v>
      </c>
      <c r="M448" s="1" t="str">
        <f t="shared" ca="1" si="20"/>
        <v>Left Midfield</v>
      </c>
      <c r="N448" s="1" t="str">
        <f t="shared" ca="1" si="21"/>
        <v>Left Midfield</v>
      </c>
      <c r="O448" s="1" t="str">
        <f t="shared" ca="1" si="22"/>
        <v>Left Midfield</v>
      </c>
      <c r="P448" s="1" t="str">
        <f t="shared" ca="1" si="23"/>
        <v>Left Midfield</v>
      </c>
      <c r="Q448" s="1" t="str">
        <f t="shared" ca="1" si="24"/>
        <v>Left Midfield</v>
      </c>
      <c r="R448" s="1" t="str">
        <f t="shared" ca="1" si="25"/>
        <v>Left Midfield</v>
      </c>
      <c r="S448" s="1" t="str">
        <f t="shared" ca="1" si="26"/>
        <v>M</v>
      </c>
      <c r="T448" s="1" t="str">
        <f t="shared" ca="1" si="27"/>
        <v>M</v>
      </c>
      <c r="U448" s="1" t="str">
        <f t="shared" ca="1" si="28"/>
        <v>M</v>
      </c>
      <c r="V448" s="1" t="str">
        <f t="shared" ca="1" si="29"/>
        <v>M</v>
      </c>
      <c r="W448" s="1" t="str">
        <f t="shared" ca="1" si="30"/>
        <v>Robin Lod</v>
      </c>
    </row>
    <row r="449" spans="1:23">
      <c r="A449" s="1" t="str">
        <f ca="1">IFERROR(__xludf.DUMMYFUNCTION("""COMPUTED_VALUE"""),"Nicolás")</f>
        <v>Nicolás</v>
      </c>
      <c r="B449" s="1" t="str">
        <f ca="1">IFERROR(__xludf.DUMMYFUNCTION("""COMPUTED_VALUE"""),"Lodeiro")</f>
        <v>Lodeiro</v>
      </c>
      <c r="C449" s="1" t="str">
        <f ca="1">IFERROR(__xludf.DUMMYFUNCTION("""COMPUTED_VALUE"""),"Orlando City SC")</f>
        <v>Orlando City SC</v>
      </c>
      <c r="D449" s="1" t="str">
        <f ca="1">IFERROR(__xludf.DUMMYFUNCTION("""COMPUTED_VALUE"""),"Attacking Midfield")</f>
        <v>Attacking Midfield</v>
      </c>
      <c r="E449" s="2">
        <f ca="1">IFERROR(__xludf.DUMMYFUNCTION("""COMPUTED_VALUE"""),800000)</f>
        <v>800000</v>
      </c>
      <c r="F449" s="2">
        <f ca="1">IFERROR(__xludf.DUMMYFUNCTION("""COMPUTED_VALUE"""),800000)</f>
        <v>800000</v>
      </c>
      <c r="H449" s="1" t="str">
        <f t="shared" ca="1" si="16"/>
        <v>Attacking Midfield</v>
      </c>
      <c r="I449" s="3" t="str">
        <f t="shared" ca="1" si="17"/>
        <v>Attacking Midfield</v>
      </c>
      <c r="J449" s="1" t="str">
        <f t="shared" ca="1" si="18"/>
        <v>Attacking Midfield</v>
      </c>
      <c r="K449" s="1" t="str">
        <f t="shared" ca="1" si="31"/>
        <v>Attacking Midfield</v>
      </c>
      <c r="L449" s="1" t="str">
        <f t="shared" ca="1" si="19"/>
        <v>Attacking Midfield</v>
      </c>
      <c r="M449" s="1" t="str">
        <f t="shared" ca="1" si="20"/>
        <v>M</v>
      </c>
      <c r="N449" s="1" t="str">
        <f t="shared" ca="1" si="21"/>
        <v>M</v>
      </c>
      <c r="O449" s="1" t="str">
        <f t="shared" ca="1" si="22"/>
        <v>M</v>
      </c>
      <c r="P449" s="1" t="str">
        <f t="shared" ca="1" si="23"/>
        <v>M</v>
      </c>
      <c r="Q449" s="1" t="str">
        <f t="shared" ca="1" si="24"/>
        <v>M</v>
      </c>
      <c r="R449" s="1" t="str">
        <f t="shared" ca="1" si="25"/>
        <v>M</v>
      </c>
      <c r="S449" s="1" t="str">
        <f t="shared" ca="1" si="26"/>
        <v>M</v>
      </c>
      <c r="T449" s="1" t="str">
        <f t="shared" ca="1" si="27"/>
        <v>M</v>
      </c>
      <c r="U449" s="1" t="str">
        <f t="shared" ca="1" si="28"/>
        <v>M</v>
      </c>
      <c r="V449" s="1" t="str">
        <f t="shared" ca="1" si="29"/>
        <v>M</v>
      </c>
      <c r="W449" s="1" t="str">
        <f t="shared" ca="1" si="30"/>
        <v>Nicolás Lodeiro</v>
      </c>
    </row>
    <row r="450" spans="1:23">
      <c r="A450" s="1" t="str">
        <f ca="1">IFERROR(__xludf.DUMMYFUNCTION("""COMPUTED_VALUE"""),"Aaron")</f>
        <v>Aaron</v>
      </c>
      <c r="B450" s="1" t="str">
        <f ca="1">IFERROR(__xludf.DUMMYFUNCTION("""COMPUTED_VALUE"""),"Long")</f>
        <v>Long</v>
      </c>
      <c r="C450" s="1" t="str">
        <f ca="1">IFERROR(__xludf.DUMMYFUNCTION("""COMPUTED_VALUE"""),"LAFC")</f>
        <v>LAFC</v>
      </c>
      <c r="D450" s="1" t="str">
        <f ca="1">IFERROR(__xludf.DUMMYFUNCTION("""COMPUTED_VALUE"""),"Center-back")</f>
        <v>Center-back</v>
      </c>
      <c r="E450" s="2">
        <f ca="1">IFERROR(__xludf.DUMMYFUNCTION("""COMPUTED_VALUE"""),1259760)</f>
        <v>1259760</v>
      </c>
      <c r="F450" s="2">
        <f ca="1">IFERROR(__xludf.DUMMYFUNCTION("""COMPUTED_VALUE"""),1303044)</f>
        <v>1303044</v>
      </c>
      <c r="H450" s="1" t="str">
        <f t="shared" ca="1" si="16"/>
        <v>D</v>
      </c>
      <c r="I450" s="3" t="str">
        <f t="shared" ca="1" si="17"/>
        <v>D</v>
      </c>
      <c r="J450" s="1" t="str">
        <f t="shared" ca="1" si="18"/>
        <v>D</v>
      </c>
      <c r="K450" s="1" t="str">
        <f t="shared" ca="1" si="31"/>
        <v>D</v>
      </c>
      <c r="L450" s="1" t="str">
        <f t="shared" ca="1" si="19"/>
        <v>D</v>
      </c>
      <c r="M450" s="1" t="str">
        <f t="shared" ca="1" si="20"/>
        <v>D</v>
      </c>
      <c r="N450" s="1" t="str">
        <f t="shared" ca="1" si="21"/>
        <v>D</v>
      </c>
      <c r="O450" s="1" t="str">
        <f t="shared" ca="1" si="22"/>
        <v>D</v>
      </c>
      <c r="P450" s="1" t="str">
        <f t="shared" ca="1" si="23"/>
        <v>D</v>
      </c>
      <c r="Q450" s="1" t="str">
        <f t="shared" ca="1" si="24"/>
        <v>D</v>
      </c>
      <c r="R450" s="1" t="str">
        <f t="shared" ca="1" si="25"/>
        <v>D</v>
      </c>
      <c r="S450" s="1" t="str">
        <f t="shared" ca="1" si="26"/>
        <v>D</v>
      </c>
      <c r="T450" s="1" t="str">
        <f t="shared" ca="1" si="27"/>
        <v>D</v>
      </c>
      <c r="U450" s="1" t="str">
        <f t="shared" ca="1" si="28"/>
        <v>D</v>
      </c>
      <c r="V450" s="1" t="str">
        <f t="shared" ca="1" si="29"/>
        <v>D</v>
      </c>
      <c r="W450" s="1" t="str">
        <f t="shared" ca="1" si="30"/>
        <v>Aaron Long</v>
      </c>
    </row>
    <row r="451" spans="1:23">
      <c r="A451" s="1" t="str">
        <f ca="1">IFERROR(__xludf.DUMMYFUNCTION("""COMPUTED_VALUE"""),"Kevin")</f>
        <v>Kevin</v>
      </c>
      <c r="B451" s="1" t="str">
        <f ca="1">IFERROR(__xludf.DUMMYFUNCTION("""COMPUTED_VALUE"""),"Long")</f>
        <v>Long</v>
      </c>
      <c r="C451" s="1" t="str">
        <f ca="1">IFERROR(__xludf.DUMMYFUNCTION("""COMPUTED_VALUE"""),"Toronto FC")</f>
        <v>Toronto FC</v>
      </c>
      <c r="D451" s="1" t="str">
        <f ca="1">IFERROR(__xludf.DUMMYFUNCTION("""COMPUTED_VALUE"""),"Center-back")</f>
        <v>Center-back</v>
      </c>
      <c r="E451" s="2">
        <f ca="1">IFERROR(__xludf.DUMMYFUNCTION("""COMPUTED_VALUE"""),250000)</f>
        <v>250000</v>
      </c>
      <c r="F451" s="2">
        <f ca="1">IFERROR(__xludf.DUMMYFUNCTION("""COMPUTED_VALUE"""),277500)</f>
        <v>277500</v>
      </c>
      <c r="H451" s="1" t="str">
        <f t="shared" ca="1" si="16"/>
        <v>D</v>
      </c>
      <c r="I451" s="3" t="str">
        <f t="shared" ca="1" si="17"/>
        <v>D</v>
      </c>
      <c r="J451" s="1" t="str">
        <f t="shared" ca="1" si="18"/>
        <v>D</v>
      </c>
      <c r="K451" s="1" t="str">
        <f t="shared" ca="1" si="31"/>
        <v>D</v>
      </c>
      <c r="L451" s="1" t="str">
        <f t="shared" ca="1" si="19"/>
        <v>D</v>
      </c>
      <c r="M451" s="1" t="str">
        <f t="shared" ca="1" si="20"/>
        <v>D</v>
      </c>
      <c r="N451" s="1" t="str">
        <f t="shared" ca="1" si="21"/>
        <v>D</v>
      </c>
      <c r="O451" s="1" t="str">
        <f t="shared" ca="1" si="22"/>
        <v>D</v>
      </c>
      <c r="P451" s="1" t="str">
        <f t="shared" ca="1" si="23"/>
        <v>D</v>
      </c>
      <c r="Q451" s="1" t="str">
        <f t="shared" ca="1" si="24"/>
        <v>D</v>
      </c>
      <c r="R451" s="1" t="str">
        <f t="shared" ca="1" si="25"/>
        <v>D</v>
      </c>
      <c r="S451" s="1" t="str">
        <f t="shared" ca="1" si="26"/>
        <v>D</v>
      </c>
      <c r="T451" s="1" t="str">
        <f t="shared" ca="1" si="27"/>
        <v>D</v>
      </c>
      <c r="U451" s="1" t="str">
        <f t="shared" ca="1" si="28"/>
        <v>D</v>
      </c>
      <c r="V451" s="1" t="str">
        <f t="shared" ca="1" si="29"/>
        <v>D</v>
      </c>
      <c r="W451" s="1" t="str">
        <f t="shared" ca="1" si="30"/>
        <v>Kevin Long</v>
      </c>
    </row>
    <row r="452" spans="1:23">
      <c r="A452" s="1" t="str">
        <f ca="1">IFERROR(__xludf.DUMMYFUNCTION("""COMPUTED_VALUE"""),"Matty")</f>
        <v>Matty</v>
      </c>
      <c r="B452" s="1" t="str">
        <f ca="1">IFERROR(__xludf.DUMMYFUNCTION("""COMPUTED_VALUE"""),"Longstaff")</f>
        <v>Longstaff</v>
      </c>
      <c r="C452" s="1" t="str">
        <f ca="1">IFERROR(__xludf.DUMMYFUNCTION("""COMPUTED_VALUE"""),"Toronto FC")</f>
        <v>Toronto FC</v>
      </c>
      <c r="D452" s="1" t="str">
        <f ca="1">IFERROR(__xludf.DUMMYFUNCTION("""COMPUTED_VALUE"""),"Central Midfield")</f>
        <v>Central Midfield</v>
      </c>
      <c r="E452" s="2">
        <f ca="1">IFERROR(__xludf.DUMMYFUNCTION("""COMPUTED_VALUE"""),197000)</f>
        <v>197000</v>
      </c>
      <c r="F452" s="2">
        <f ca="1">IFERROR(__xludf.DUMMYFUNCTION("""COMPUTED_VALUE"""),216376)</f>
        <v>216376</v>
      </c>
      <c r="H452" s="1" t="str">
        <f t="shared" ca="1" si="16"/>
        <v>Central Midfield</v>
      </c>
      <c r="I452" s="3" t="str">
        <f t="shared" ca="1" si="17"/>
        <v>Central Midfield</v>
      </c>
      <c r="J452" s="1" t="str">
        <f t="shared" ca="1" si="18"/>
        <v>Central Midfield</v>
      </c>
      <c r="K452" s="1" t="str">
        <f t="shared" ca="1" si="31"/>
        <v>Central Midfield</v>
      </c>
      <c r="L452" s="1" t="str">
        <f t="shared" ca="1" si="19"/>
        <v>M</v>
      </c>
      <c r="M452" s="1" t="str">
        <f t="shared" ca="1" si="20"/>
        <v>M</v>
      </c>
      <c r="N452" s="1" t="str">
        <f t="shared" ca="1" si="21"/>
        <v>M</v>
      </c>
      <c r="O452" s="1" t="str">
        <f t="shared" ca="1" si="22"/>
        <v>M</v>
      </c>
      <c r="P452" s="1" t="str">
        <f t="shared" ca="1" si="23"/>
        <v>M</v>
      </c>
      <c r="Q452" s="1" t="str">
        <f t="shared" ca="1" si="24"/>
        <v>M</v>
      </c>
      <c r="R452" s="1" t="str">
        <f t="shared" ca="1" si="25"/>
        <v>M</v>
      </c>
      <c r="S452" s="1" t="str">
        <f t="shared" ca="1" si="26"/>
        <v>M</v>
      </c>
      <c r="T452" s="1" t="str">
        <f t="shared" ca="1" si="27"/>
        <v>M</v>
      </c>
      <c r="U452" s="1" t="str">
        <f t="shared" ca="1" si="28"/>
        <v>M</v>
      </c>
      <c r="V452" s="1" t="str">
        <f t="shared" ca="1" si="29"/>
        <v>M</v>
      </c>
      <c r="W452" s="1" t="str">
        <f t="shared" ca="1" si="30"/>
        <v>Matty Longstaff</v>
      </c>
    </row>
    <row r="453" spans="1:23">
      <c r="A453" s="1" t="str">
        <f ca="1">IFERROR(__xludf.DUMMYFUNCTION("""COMPUTED_VALUE"""),"Marvin")</f>
        <v>Marvin</v>
      </c>
      <c r="B453" s="1" t="str">
        <f ca="1">IFERROR(__xludf.DUMMYFUNCTION("""COMPUTED_VALUE"""),"Loría")</f>
        <v>Loría</v>
      </c>
      <c r="C453" s="1" t="str">
        <f ca="1">IFERROR(__xludf.DUMMYFUNCTION("""COMPUTED_VALUE"""),"Portland Timbers")</f>
        <v>Portland Timbers</v>
      </c>
      <c r="D453" s="1" t="str">
        <f ca="1">IFERROR(__xludf.DUMMYFUNCTION("""COMPUTED_VALUE"""),"Right Wing")</f>
        <v>Right Wing</v>
      </c>
      <c r="E453" s="2">
        <f ca="1">IFERROR(__xludf.DUMMYFUNCTION("""COMPUTED_VALUE"""),275000)</f>
        <v>275000</v>
      </c>
      <c r="F453" s="2">
        <f ca="1">IFERROR(__xludf.DUMMYFUNCTION("""COMPUTED_VALUE"""),315000)</f>
        <v>315000</v>
      </c>
      <c r="H453" s="1" t="str">
        <f t="shared" ca="1" si="16"/>
        <v>Right Wing</v>
      </c>
      <c r="I453" s="3" t="str">
        <f t="shared" ca="1" si="17"/>
        <v>Right Wing</v>
      </c>
      <c r="J453" s="1" t="str">
        <f t="shared" ca="1" si="18"/>
        <v>Right Wing</v>
      </c>
      <c r="K453" s="1" t="str">
        <f t="shared" ca="1" si="31"/>
        <v>Right Wing</v>
      </c>
      <c r="L453" s="1" t="str">
        <f t="shared" ca="1" si="19"/>
        <v>Right Wing</v>
      </c>
      <c r="M453" s="1" t="str">
        <f t="shared" ca="1" si="20"/>
        <v>Right Wing</v>
      </c>
      <c r="N453" s="1" t="str">
        <f t="shared" ca="1" si="21"/>
        <v>F</v>
      </c>
      <c r="O453" s="1" t="str">
        <f t="shared" ca="1" si="22"/>
        <v>F</v>
      </c>
      <c r="P453" s="1" t="str">
        <f t="shared" ca="1" si="23"/>
        <v>F</v>
      </c>
      <c r="Q453" s="1" t="str">
        <f t="shared" ca="1" si="24"/>
        <v>F</v>
      </c>
      <c r="R453" s="1" t="str">
        <f t="shared" ca="1" si="25"/>
        <v>F</v>
      </c>
      <c r="S453" s="1" t="str">
        <f t="shared" ca="1" si="26"/>
        <v>F</v>
      </c>
      <c r="T453" s="1" t="str">
        <f t="shared" ca="1" si="27"/>
        <v>F</v>
      </c>
      <c r="U453" s="1" t="str">
        <f t="shared" ca="1" si="28"/>
        <v>F</v>
      </c>
      <c r="V453" s="1" t="str">
        <f t="shared" ca="1" si="29"/>
        <v>F</v>
      </c>
      <c r="W453" s="1" t="str">
        <f t="shared" ca="1" si="30"/>
        <v>Marvin Loría</v>
      </c>
    </row>
    <row r="454" spans="1:23">
      <c r="A454" s="1" t="str">
        <f ca="1">IFERROR(__xludf.DUMMYFUNCTION("""COMPUTED_VALUE"""),"Evan")</f>
        <v>Evan</v>
      </c>
      <c r="B454" s="1" t="str">
        <f ca="1">IFERROR(__xludf.DUMMYFUNCTION("""COMPUTED_VALUE"""),"Louro")</f>
        <v>Louro</v>
      </c>
      <c r="C454" s="1" t="str">
        <f ca="1">IFERROR(__xludf.DUMMYFUNCTION("""COMPUTED_VALUE"""),"FC Cincinnati")</f>
        <v>FC Cincinnati</v>
      </c>
      <c r="D454" s="1" t="str">
        <f ca="1">IFERROR(__xludf.DUMMYFUNCTION("""COMPUTED_VALUE"""),"Goalkeeper")</f>
        <v>Goalkeeper</v>
      </c>
      <c r="E454" s="2">
        <f ca="1">IFERROR(__xludf.DUMMYFUNCTION("""COMPUTED_VALUE"""),89716)</f>
        <v>89716</v>
      </c>
      <c r="F454" s="2">
        <f ca="1">IFERROR(__xludf.DUMMYFUNCTION("""COMPUTED_VALUE"""),94716)</f>
        <v>94716</v>
      </c>
      <c r="H454" s="1" t="str">
        <f t="shared" ca="1" si="16"/>
        <v>Goalkeeper</v>
      </c>
      <c r="I454" s="3" t="str">
        <f t="shared" ca="1" si="17"/>
        <v>Goalkeeper</v>
      </c>
      <c r="J454" s="1" t="str">
        <f t="shared" ca="1" si="18"/>
        <v>Goalkeeper</v>
      </c>
      <c r="K454" s="1" t="str">
        <f t="shared" ca="1" si="31"/>
        <v>Goalkeeper</v>
      </c>
      <c r="L454" s="1" t="str">
        <f t="shared" ca="1" si="19"/>
        <v>Goalkeeper</v>
      </c>
      <c r="M454" s="1" t="str">
        <f t="shared" ca="1" si="20"/>
        <v>Goalkeeper</v>
      </c>
      <c r="N454" s="1" t="str">
        <f t="shared" ca="1" si="21"/>
        <v>Goalkeeper</v>
      </c>
      <c r="O454" s="1" t="str">
        <f t="shared" ca="1" si="22"/>
        <v>Goalkeeper</v>
      </c>
      <c r="P454" s="1" t="str">
        <f t="shared" ca="1" si="23"/>
        <v>Goalkeeper</v>
      </c>
      <c r="Q454" s="1" t="str">
        <f t="shared" ca="1" si="24"/>
        <v>Goalkeeper</v>
      </c>
      <c r="R454" s="1" t="str">
        <f t="shared" ca="1" si="25"/>
        <v>GK</v>
      </c>
      <c r="S454" s="1" t="str">
        <f t="shared" ca="1" si="26"/>
        <v>GK</v>
      </c>
      <c r="T454" s="1" t="str">
        <f t="shared" ca="1" si="27"/>
        <v>GK</v>
      </c>
      <c r="U454" s="1" t="str">
        <f t="shared" ca="1" si="28"/>
        <v>GK</v>
      </c>
      <c r="V454" s="1" t="str">
        <f t="shared" ca="1" si="29"/>
        <v>GK</v>
      </c>
      <c r="W454" s="1" t="str">
        <f t="shared" ca="1" si="30"/>
        <v>Evan Louro</v>
      </c>
    </row>
    <row r="455" spans="1:23">
      <c r="A455" s="1" t="str">
        <f ca="1">IFERROR(__xludf.DUMMYFUNCTION("""COMPUTED_VALUE"""),"Daniel")</f>
        <v>Daniel</v>
      </c>
      <c r="B455" s="1" t="str">
        <f ca="1">IFERROR(__xludf.DUMMYFUNCTION("""COMPUTED_VALUE"""),"Lovitz")</f>
        <v>Lovitz</v>
      </c>
      <c r="C455" s="1" t="str">
        <f ca="1">IFERROR(__xludf.DUMMYFUNCTION("""COMPUTED_VALUE"""),"Nashville SC")</f>
        <v>Nashville SC</v>
      </c>
      <c r="D455" s="1" t="str">
        <f ca="1">IFERROR(__xludf.DUMMYFUNCTION("""COMPUTED_VALUE"""),"Left-back")</f>
        <v>Left-back</v>
      </c>
      <c r="E455" s="2">
        <f ca="1">IFERROR(__xludf.DUMMYFUNCTION("""COMPUTED_VALUE"""),556244)</f>
        <v>556244</v>
      </c>
      <c r="F455" s="2">
        <f ca="1">IFERROR(__xludf.DUMMYFUNCTION("""COMPUTED_VALUE"""),573744)</f>
        <v>573744</v>
      </c>
      <c r="H455" s="1" t="str">
        <f t="shared" ca="1" si="16"/>
        <v>Left-back</v>
      </c>
      <c r="I455" s="3" t="str">
        <f t="shared" ca="1" si="17"/>
        <v>D</v>
      </c>
      <c r="J455" s="1" t="str">
        <f t="shared" ca="1" si="18"/>
        <v>D</v>
      </c>
      <c r="K455" s="1" t="str">
        <f t="shared" ca="1" si="31"/>
        <v>D</v>
      </c>
      <c r="L455" s="1" t="str">
        <f t="shared" ca="1" si="19"/>
        <v>D</v>
      </c>
      <c r="M455" s="1" t="str">
        <f t="shared" ca="1" si="20"/>
        <v>D</v>
      </c>
      <c r="N455" s="1" t="str">
        <f t="shared" ca="1" si="21"/>
        <v>D</v>
      </c>
      <c r="O455" s="1" t="str">
        <f t="shared" ca="1" si="22"/>
        <v>D</v>
      </c>
      <c r="P455" s="1" t="str">
        <f t="shared" ca="1" si="23"/>
        <v>D</v>
      </c>
      <c r="Q455" s="1" t="str">
        <f t="shared" ca="1" si="24"/>
        <v>D</v>
      </c>
      <c r="R455" s="1" t="str">
        <f t="shared" ca="1" si="25"/>
        <v>D</v>
      </c>
      <c r="S455" s="1" t="str">
        <f t="shared" ca="1" si="26"/>
        <v>D</v>
      </c>
      <c r="T455" s="1" t="str">
        <f t="shared" ca="1" si="27"/>
        <v>D</v>
      </c>
      <c r="U455" s="1" t="str">
        <f t="shared" ca="1" si="28"/>
        <v>D</v>
      </c>
      <c r="V455" s="1" t="str">
        <f t="shared" ca="1" si="29"/>
        <v>D</v>
      </c>
      <c r="W455" s="1" t="str">
        <f t="shared" ca="1" si="30"/>
        <v>Daniel Lovitz</v>
      </c>
    </row>
    <row r="456" spans="1:23">
      <c r="A456" s="1" t="str">
        <f ca="1">IFERROR(__xludf.DUMMYFUNCTION("""COMPUTED_VALUE"""),"Damion")</f>
        <v>Damion</v>
      </c>
      <c r="B456" s="1" t="str">
        <f ca="1">IFERROR(__xludf.DUMMYFUNCTION("""COMPUTED_VALUE"""),"Lowe")</f>
        <v>Lowe</v>
      </c>
      <c r="C456" s="1" t="str">
        <f ca="1">IFERROR(__xludf.DUMMYFUNCTION("""COMPUTED_VALUE"""),"Philadelphia Union")</f>
        <v>Philadelphia Union</v>
      </c>
      <c r="D456" s="1" t="str">
        <f ca="1">IFERROR(__xludf.DUMMYFUNCTION("""COMPUTED_VALUE"""),"Center-back")</f>
        <v>Center-back</v>
      </c>
      <c r="E456" s="2">
        <f ca="1">IFERROR(__xludf.DUMMYFUNCTION("""COMPUTED_VALUE"""),300000)</f>
        <v>300000</v>
      </c>
      <c r="F456" s="2">
        <f ca="1">IFERROR(__xludf.DUMMYFUNCTION("""COMPUTED_VALUE"""),343333)</f>
        <v>343333</v>
      </c>
      <c r="H456" s="1" t="str">
        <f t="shared" ca="1" si="16"/>
        <v>D</v>
      </c>
      <c r="I456" s="3" t="str">
        <f t="shared" ca="1" si="17"/>
        <v>D</v>
      </c>
      <c r="J456" s="1" t="str">
        <f t="shared" ca="1" si="18"/>
        <v>D</v>
      </c>
      <c r="K456" s="1" t="str">
        <f t="shared" ca="1" si="31"/>
        <v>D</v>
      </c>
      <c r="L456" s="1" t="str">
        <f t="shared" ca="1" si="19"/>
        <v>D</v>
      </c>
      <c r="M456" s="1" t="str">
        <f t="shared" ca="1" si="20"/>
        <v>D</v>
      </c>
      <c r="N456" s="1" t="str">
        <f t="shared" ca="1" si="21"/>
        <v>D</v>
      </c>
      <c r="O456" s="1" t="str">
        <f t="shared" ca="1" si="22"/>
        <v>D</v>
      </c>
      <c r="P456" s="1" t="str">
        <f t="shared" ca="1" si="23"/>
        <v>D</v>
      </c>
      <c r="Q456" s="1" t="str">
        <f t="shared" ca="1" si="24"/>
        <v>D</v>
      </c>
      <c r="R456" s="1" t="str">
        <f t="shared" ca="1" si="25"/>
        <v>D</v>
      </c>
      <c r="S456" s="1" t="str">
        <f t="shared" ca="1" si="26"/>
        <v>D</v>
      </c>
      <c r="T456" s="1" t="str">
        <f t="shared" ca="1" si="27"/>
        <v>D</v>
      </c>
      <c r="U456" s="1" t="str">
        <f t="shared" ca="1" si="28"/>
        <v>D</v>
      </c>
      <c r="V456" s="1" t="str">
        <f t="shared" ca="1" si="29"/>
        <v>D</v>
      </c>
      <c r="W456" s="1" t="str">
        <f t="shared" ca="1" si="30"/>
        <v>Damion Lowe</v>
      </c>
    </row>
    <row r="457" spans="1:23">
      <c r="A457" s="1" t="str">
        <f ca="1">IFERROR(__xludf.DUMMYFUNCTION("""COMPUTED_VALUE"""),"Favian")</f>
        <v>Favian</v>
      </c>
      <c r="B457" s="1" t="str">
        <f ca="1">IFERROR(__xludf.DUMMYFUNCTION("""COMPUTED_VALUE"""),"Loyola")</f>
        <v>Loyola</v>
      </c>
      <c r="C457" s="1" t="str">
        <f ca="1">IFERROR(__xludf.DUMMYFUNCTION("""COMPUTED_VALUE"""),"Orlando City SC")</f>
        <v>Orlando City SC</v>
      </c>
      <c r="D457" s="1" t="str">
        <f ca="1">IFERROR(__xludf.DUMMYFUNCTION("""COMPUTED_VALUE"""),"Center Forward")</f>
        <v>Center Forward</v>
      </c>
      <c r="E457" s="2">
        <f ca="1">IFERROR(__xludf.DUMMYFUNCTION("""COMPUTED_VALUE"""),71401)</f>
        <v>71401</v>
      </c>
      <c r="F457" s="2">
        <f ca="1">IFERROR(__xludf.DUMMYFUNCTION("""COMPUTED_VALUE"""),73536)</f>
        <v>73536</v>
      </c>
      <c r="H457" s="1" t="str">
        <f t="shared" ca="1" si="16"/>
        <v>Center Forward</v>
      </c>
      <c r="I457" s="3" t="str">
        <f t="shared" ca="1" si="17"/>
        <v>Center Forward</v>
      </c>
      <c r="J457" s="1" t="str">
        <f t="shared" ca="1" si="18"/>
        <v>Center Forward</v>
      </c>
      <c r="K457" s="1" t="str">
        <f t="shared" ca="1" si="31"/>
        <v>Center Forward</v>
      </c>
      <c r="L457" s="1" t="str">
        <f t="shared" ca="1" si="19"/>
        <v>Center Forward</v>
      </c>
      <c r="M457" s="1" t="str">
        <f t="shared" ca="1" si="20"/>
        <v>Center Forward</v>
      </c>
      <c r="N457" s="1" t="str">
        <f t="shared" ca="1" si="21"/>
        <v>Center Forward</v>
      </c>
      <c r="O457" s="1" t="str">
        <f t="shared" ca="1" si="22"/>
        <v>F</v>
      </c>
      <c r="P457" s="1" t="str">
        <f t="shared" ca="1" si="23"/>
        <v>F</v>
      </c>
      <c r="Q457" s="1" t="str">
        <f t="shared" ca="1" si="24"/>
        <v>F</v>
      </c>
      <c r="R457" s="1" t="str">
        <f t="shared" ca="1" si="25"/>
        <v>F</v>
      </c>
      <c r="S457" s="1" t="str">
        <f t="shared" ca="1" si="26"/>
        <v>F</v>
      </c>
      <c r="T457" s="1" t="str">
        <f t="shared" ca="1" si="27"/>
        <v>F</v>
      </c>
      <c r="U457" s="1" t="str">
        <f t="shared" ca="1" si="28"/>
        <v>F</v>
      </c>
      <c r="V457" s="1" t="str">
        <f t="shared" ca="1" si="29"/>
        <v>F</v>
      </c>
      <c r="W457" s="1" t="str">
        <f t="shared" ca="1" si="30"/>
        <v>Favian Loyola</v>
      </c>
    </row>
    <row r="458" spans="1:23">
      <c r="A458" s="1" t="str">
        <f ca="1">IFERROR(__xludf.DUMMYFUNCTION("""COMPUTED_VALUE"""),"Rafael")</f>
        <v>Rafael</v>
      </c>
      <c r="B458" s="1" t="str">
        <f ca="1">IFERROR(__xludf.DUMMYFUNCTION("""COMPUTED_VALUE"""),"Lucas Cardoso dos Santos")</f>
        <v>Lucas Cardoso dos Santos</v>
      </c>
      <c r="C458" s="1" t="str">
        <f ca="1">IFERROR(__xludf.DUMMYFUNCTION("""COMPUTED_VALUE"""),"Orlando City SC")</f>
        <v>Orlando City SC</v>
      </c>
      <c r="D458" s="1" t="str">
        <f ca="1">IFERROR(__xludf.DUMMYFUNCTION("""COMPUTED_VALUE"""),"Left-back")</f>
        <v>Left-back</v>
      </c>
      <c r="E458" s="2">
        <f ca="1">IFERROR(__xludf.DUMMYFUNCTION("""COMPUTED_VALUE"""),324996)</f>
        <v>324996</v>
      </c>
      <c r="F458" s="2">
        <f ca="1">IFERROR(__xludf.DUMMYFUNCTION("""COMPUTED_VALUE"""),351184)</f>
        <v>351184</v>
      </c>
      <c r="H458" s="1" t="str">
        <f t="shared" ca="1" si="16"/>
        <v>Left-back</v>
      </c>
      <c r="I458" s="3" t="str">
        <f t="shared" ca="1" si="17"/>
        <v>D</v>
      </c>
      <c r="J458" s="1" t="str">
        <f t="shared" ca="1" si="18"/>
        <v>D</v>
      </c>
      <c r="K458" s="1" t="str">
        <f t="shared" ca="1" si="31"/>
        <v>D</v>
      </c>
      <c r="L458" s="1" t="str">
        <f t="shared" ca="1" si="19"/>
        <v>D</v>
      </c>
      <c r="M458" s="1" t="str">
        <f t="shared" ca="1" si="20"/>
        <v>D</v>
      </c>
      <c r="N458" s="1" t="str">
        <f t="shared" ca="1" si="21"/>
        <v>D</v>
      </c>
      <c r="O458" s="1" t="str">
        <f t="shared" ca="1" si="22"/>
        <v>D</v>
      </c>
      <c r="P458" s="1" t="str">
        <f t="shared" ca="1" si="23"/>
        <v>D</v>
      </c>
      <c r="Q458" s="1" t="str">
        <f t="shared" ca="1" si="24"/>
        <v>D</v>
      </c>
      <c r="R458" s="1" t="str">
        <f t="shared" ca="1" si="25"/>
        <v>D</v>
      </c>
      <c r="S458" s="1" t="str">
        <f t="shared" ca="1" si="26"/>
        <v>D</v>
      </c>
      <c r="T458" s="1" t="str">
        <f t="shared" ca="1" si="27"/>
        <v>D</v>
      </c>
      <c r="U458" s="1" t="str">
        <f t="shared" ca="1" si="28"/>
        <v>D</v>
      </c>
      <c r="V458" s="1" t="str">
        <f t="shared" ca="1" si="29"/>
        <v>D</v>
      </c>
      <c r="W458" s="1" t="str">
        <f t="shared" ca="1" si="30"/>
        <v>Rafael Lucas Cardoso dos Santos</v>
      </c>
    </row>
    <row r="459" spans="1:23">
      <c r="A459" s="1" t="str">
        <f ca="1">IFERROR(__xludf.DUMMYFUNCTION("""COMPUTED_VALUE"""),"Diego")</f>
        <v>Diego</v>
      </c>
      <c r="B459" s="1" t="str">
        <f ca="1">IFERROR(__xludf.DUMMYFUNCTION("""COMPUTED_VALUE"""),"Luna")</f>
        <v>Luna</v>
      </c>
      <c r="C459" s="1" t="str">
        <f ca="1">IFERROR(__xludf.DUMMYFUNCTION("""COMPUTED_VALUE"""),"Real Salt Lake")</f>
        <v>Real Salt Lake</v>
      </c>
      <c r="D459" s="1" t="str">
        <f ca="1">IFERROR(__xludf.DUMMYFUNCTION("""COMPUTED_VALUE"""),"Left Midfield")</f>
        <v>Left Midfield</v>
      </c>
      <c r="E459" s="2">
        <f ca="1">IFERROR(__xludf.DUMMYFUNCTION("""COMPUTED_VALUE"""),400000)</f>
        <v>400000</v>
      </c>
      <c r="F459" s="2">
        <f ca="1">IFERROR(__xludf.DUMMYFUNCTION("""COMPUTED_VALUE"""),448833)</f>
        <v>448833</v>
      </c>
      <c r="H459" s="1" t="str">
        <f t="shared" ca="1" si="16"/>
        <v>Left Midfield</v>
      </c>
      <c r="I459" s="3" t="str">
        <f t="shared" ca="1" si="17"/>
        <v>Left Midfield</v>
      </c>
      <c r="J459" s="1" t="str">
        <f t="shared" ca="1" si="18"/>
        <v>Left Midfield</v>
      </c>
      <c r="K459" s="1" t="str">
        <f t="shared" ca="1" si="31"/>
        <v>Left Midfield</v>
      </c>
      <c r="L459" s="1" t="str">
        <f t="shared" ca="1" si="19"/>
        <v>Left Midfield</v>
      </c>
      <c r="M459" s="1" t="str">
        <f t="shared" ca="1" si="20"/>
        <v>Left Midfield</v>
      </c>
      <c r="N459" s="1" t="str">
        <f t="shared" ca="1" si="21"/>
        <v>Left Midfield</v>
      </c>
      <c r="O459" s="1" t="str">
        <f t="shared" ca="1" si="22"/>
        <v>Left Midfield</v>
      </c>
      <c r="P459" s="1" t="str">
        <f t="shared" ca="1" si="23"/>
        <v>Left Midfield</v>
      </c>
      <c r="Q459" s="1" t="str">
        <f t="shared" ca="1" si="24"/>
        <v>Left Midfield</v>
      </c>
      <c r="R459" s="1" t="str">
        <f t="shared" ca="1" si="25"/>
        <v>Left Midfield</v>
      </c>
      <c r="S459" s="1" t="str">
        <f t="shared" ca="1" si="26"/>
        <v>M</v>
      </c>
      <c r="T459" s="1" t="str">
        <f t="shared" ca="1" si="27"/>
        <v>M</v>
      </c>
      <c r="U459" s="1" t="str">
        <f t="shared" ca="1" si="28"/>
        <v>M</v>
      </c>
      <c r="V459" s="1" t="str">
        <f t="shared" ca="1" si="29"/>
        <v>M</v>
      </c>
      <c r="W459" s="1" t="str">
        <f t="shared" ca="1" si="30"/>
        <v>Diego Luna</v>
      </c>
    </row>
    <row r="460" spans="1:23">
      <c r="A460" s="1" t="str">
        <f ca="1">IFERROR(__xludf.DUMMYFUNCTION("""COMPUTED_VALUE"""),"Ben")</f>
        <v>Ben</v>
      </c>
      <c r="B460" s="1" t="str">
        <f ca="1">IFERROR(__xludf.DUMMYFUNCTION("""COMPUTED_VALUE"""),"Lundt")</f>
        <v>Lundt</v>
      </c>
      <c r="C460" s="1" t="str">
        <f ca="1">IFERROR(__xludf.DUMMYFUNCTION("""COMPUTED_VALUE"""),"St. Louis City SC")</f>
        <v>St. Louis City SC</v>
      </c>
      <c r="D460" s="1" t="str">
        <f ca="1">IFERROR(__xludf.DUMMYFUNCTION("""COMPUTED_VALUE"""),"Goalkeeper")</f>
        <v>Goalkeeper</v>
      </c>
      <c r="E460" s="2">
        <f ca="1">IFERROR(__xludf.DUMMYFUNCTION("""COMPUTED_VALUE"""),125000)</f>
        <v>125000</v>
      </c>
      <c r="F460" s="2">
        <f ca="1">IFERROR(__xludf.DUMMYFUNCTION("""COMPUTED_VALUE"""),137833)</f>
        <v>137833</v>
      </c>
      <c r="H460" s="1" t="str">
        <f t="shared" ca="1" si="16"/>
        <v>Goalkeeper</v>
      </c>
      <c r="I460" s="3" t="str">
        <f t="shared" ca="1" si="17"/>
        <v>Goalkeeper</v>
      </c>
      <c r="J460" s="1" t="str">
        <f t="shared" ca="1" si="18"/>
        <v>Goalkeeper</v>
      </c>
      <c r="K460" s="1" t="str">
        <f t="shared" ca="1" si="31"/>
        <v>Goalkeeper</v>
      </c>
      <c r="L460" s="1" t="str">
        <f t="shared" ca="1" si="19"/>
        <v>Goalkeeper</v>
      </c>
      <c r="M460" s="1" t="str">
        <f t="shared" ca="1" si="20"/>
        <v>Goalkeeper</v>
      </c>
      <c r="N460" s="1" t="str">
        <f t="shared" ca="1" si="21"/>
        <v>Goalkeeper</v>
      </c>
      <c r="O460" s="1" t="str">
        <f t="shared" ca="1" si="22"/>
        <v>Goalkeeper</v>
      </c>
      <c r="P460" s="1" t="str">
        <f t="shared" ca="1" si="23"/>
        <v>Goalkeeper</v>
      </c>
      <c r="Q460" s="1" t="str">
        <f t="shared" ca="1" si="24"/>
        <v>Goalkeeper</v>
      </c>
      <c r="R460" s="1" t="str">
        <f t="shared" ca="1" si="25"/>
        <v>GK</v>
      </c>
      <c r="S460" s="1" t="str">
        <f t="shared" ca="1" si="26"/>
        <v>GK</v>
      </c>
      <c r="T460" s="1" t="str">
        <f t="shared" ca="1" si="27"/>
        <v>GK</v>
      </c>
      <c r="U460" s="1" t="str">
        <f t="shared" ca="1" si="28"/>
        <v>GK</v>
      </c>
      <c r="V460" s="1" t="str">
        <f t="shared" ca="1" si="29"/>
        <v>GK</v>
      </c>
      <c r="W460" s="1" t="str">
        <f t="shared" ca="1" si="30"/>
        <v>Ben Lundt</v>
      </c>
    </row>
    <row r="461" spans="1:23">
      <c r="A461" s="1" t="str">
        <f ca="1">IFERROR(__xludf.DUMMYFUNCTION("""COMPUTED_VALUE"""),"Jack")</f>
        <v>Jack</v>
      </c>
      <c r="B461" s="1" t="str">
        <f ca="1">IFERROR(__xludf.DUMMYFUNCTION("""COMPUTED_VALUE"""),"Lynn")</f>
        <v>Lynn</v>
      </c>
      <c r="C461" s="1" t="str">
        <f ca="1">IFERROR(__xludf.DUMMYFUNCTION("""COMPUTED_VALUE"""),"Orlando City SC")</f>
        <v>Orlando City SC</v>
      </c>
      <c r="D461" s="1" t="str">
        <f ca="1">IFERROR(__xludf.DUMMYFUNCTION("""COMPUTED_VALUE"""),"Center Forward")</f>
        <v>Center Forward</v>
      </c>
      <c r="E461" s="2">
        <f ca="1">IFERROR(__xludf.DUMMYFUNCTION("""COMPUTED_VALUE"""),89716)</f>
        <v>89716</v>
      </c>
      <c r="F461" s="2">
        <f ca="1">IFERROR(__xludf.DUMMYFUNCTION("""COMPUTED_VALUE"""),89716)</f>
        <v>89716</v>
      </c>
      <c r="H461" s="1" t="str">
        <f t="shared" ca="1" si="16"/>
        <v>Center Forward</v>
      </c>
      <c r="I461" s="3" t="str">
        <f t="shared" ca="1" si="17"/>
        <v>Center Forward</v>
      </c>
      <c r="J461" s="1" t="str">
        <f t="shared" ca="1" si="18"/>
        <v>Center Forward</v>
      </c>
      <c r="K461" s="1" t="str">
        <f t="shared" ca="1" si="31"/>
        <v>Center Forward</v>
      </c>
      <c r="L461" s="1" t="str">
        <f t="shared" ca="1" si="19"/>
        <v>Center Forward</v>
      </c>
      <c r="M461" s="1" t="str">
        <f t="shared" ca="1" si="20"/>
        <v>Center Forward</v>
      </c>
      <c r="N461" s="1" t="str">
        <f t="shared" ca="1" si="21"/>
        <v>Center Forward</v>
      </c>
      <c r="O461" s="1" t="str">
        <f t="shared" ca="1" si="22"/>
        <v>F</v>
      </c>
      <c r="P461" s="1" t="str">
        <f t="shared" ca="1" si="23"/>
        <v>F</v>
      </c>
      <c r="Q461" s="1" t="str">
        <f t="shared" ca="1" si="24"/>
        <v>F</v>
      </c>
      <c r="R461" s="1" t="str">
        <f t="shared" ca="1" si="25"/>
        <v>F</v>
      </c>
      <c r="S461" s="1" t="str">
        <f t="shared" ca="1" si="26"/>
        <v>F</v>
      </c>
      <c r="T461" s="1" t="str">
        <f t="shared" ca="1" si="27"/>
        <v>F</v>
      </c>
      <c r="U461" s="1" t="str">
        <f t="shared" ca="1" si="28"/>
        <v>F</v>
      </c>
      <c r="V461" s="1" t="str">
        <f t="shared" ca="1" si="29"/>
        <v>F</v>
      </c>
      <c r="W461" s="1" t="str">
        <f t="shared" ca="1" si="30"/>
        <v>Jack Lynn</v>
      </c>
    </row>
    <row r="462" spans="1:23">
      <c r="A462" s="1" t="str">
        <f ca="1">IFERROR(__xludf.DUMMYFUNCTION("""COMPUTED_VALUE"""),"Larrys")</f>
        <v>Larrys</v>
      </c>
      <c r="B462" s="1" t="str">
        <f ca="1">IFERROR(__xludf.DUMMYFUNCTION("""COMPUTED_VALUE"""),"Mabiala")</f>
        <v>Mabiala</v>
      </c>
      <c r="C462" s="1" t="str">
        <f ca="1">IFERROR(__xludf.DUMMYFUNCTION("""COMPUTED_VALUE"""),"Portland Timbers")</f>
        <v>Portland Timbers</v>
      </c>
      <c r="D462" s="1" t="str">
        <f ca="1">IFERROR(__xludf.DUMMYFUNCTION("""COMPUTED_VALUE"""),"Center-back")</f>
        <v>Center-back</v>
      </c>
      <c r="E462" s="2">
        <f ca="1">IFERROR(__xludf.DUMMYFUNCTION("""COMPUTED_VALUE"""),350000)</f>
        <v>350000</v>
      </c>
      <c r="F462" s="2">
        <f ca="1">IFERROR(__xludf.DUMMYFUNCTION("""COMPUTED_VALUE"""),362500)</f>
        <v>362500</v>
      </c>
      <c r="H462" s="1" t="str">
        <f t="shared" ca="1" si="16"/>
        <v>D</v>
      </c>
      <c r="I462" s="3" t="str">
        <f t="shared" ca="1" si="17"/>
        <v>D</v>
      </c>
      <c r="J462" s="1" t="str">
        <f t="shared" ca="1" si="18"/>
        <v>D</v>
      </c>
      <c r="K462" s="1" t="str">
        <f t="shared" ca="1" si="31"/>
        <v>D</v>
      </c>
      <c r="L462" s="1" t="str">
        <f t="shared" ca="1" si="19"/>
        <v>D</v>
      </c>
      <c r="M462" s="1" t="str">
        <f t="shared" ca="1" si="20"/>
        <v>D</v>
      </c>
      <c r="N462" s="1" t="str">
        <f t="shared" ca="1" si="21"/>
        <v>D</v>
      </c>
      <c r="O462" s="1" t="str">
        <f t="shared" ca="1" si="22"/>
        <v>D</v>
      </c>
      <c r="P462" s="1" t="str">
        <f t="shared" ca="1" si="23"/>
        <v>D</v>
      </c>
      <c r="Q462" s="1" t="str">
        <f t="shared" ca="1" si="24"/>
        <v>D</v>
      </c>
      <c r="R462" s="1" t="str">
        <f t="shared" ca="1" si="25"/>
        <v>D</v>
      </c>
      <c r="S462" s="1" t="str">
        <f t="shared" ca="1" si="26"/>
        <v>D</v>
      </c>
      <c r="T462" s="1" t="str">
        <f t="shared" ca="1" si="27"/>
        <v>D</v>
      </c>
      <c r="U462" s="1" t="str">
        <f t="shared" ca="1" si="28"/>
        <v>D</v>
      </c>
      <c r="V462" s="1" t="str">
        <f t="shared" ca="1" si="29"/>
        <v>D</v>
      </c>
      <c r="W462" s="1" t="str">
        <f t="shared" ca="1" si="30"/>
        <v>Larrys Mabiala</v>
      </c>
    </row>
    <row r="463" spans="1:23">
      <c r="A463" s="1" t="str">
        <f ca="1">IFERROR(__xludf.DUMMYFUNCTION("""COMPUTED_VALUE"""),"Aimé")</f>
        <v>Aimé</v>
      </c>
      <c r="B463" s="1" t="str">
        <f ca="1">IFERROR(__xludf.DUMMYFUNCTION("""COMPUTED_VALUE"""),"Mabika")</f>
        <v>Mabika</v>
      </c>
      <c r="C463" s="1" t="str">
        <f ca="1">IFERROR(__xludf.DUMMYFUNCTION("""COMPUTED_VALUE"""),"Toronto FC")</f>
        <v>Toronto FC</v>
      </c>
      <c r="D463" s="1" t="str">
        <f ca="1">IFERROR(__xludf.DUMMYFUNCTION("""COMPUTED_VALUE"""),"Center-back")</f>
        <v>Center-back</v>
      </c>
      <c r="E463" s="2">
        <f ca="1">IFERROR(__xludf.DUMMYFUNCTION("""COMPUTED_VALUE"""),125000)</f>
        <v>125000</v>
      </c>
      <c r="F463" s="2">
        <f ca="1">IFERROR(__xludf.DUMMYFUNCTION("""COMPUTED_VALUE"""),133125)</f>
        <v>133125</v>
      </c>
      <c r="H463" s="1" t="str">
        <f t="shared" ca="1" si="16"/>
        <v>D</v>
      </c>
      <c r="I463" s="3" t="str">
        <f t="shared" ca="1" si="17"/>
        <v>D</v>
      </c>
      <c r="J463" s="1" t="str">
        <f t="shared" ca="1" si="18"/>
        <v>D</v>
      </c>
      <c r="K463" s="1" t="str">
        <f t="shared" ca="1" si="31"/>
        <v>D</v>
      </c>
      <c r="L463" s="1" t="str">
        <f t="shared" ca="1" si="19"/>
        <v>D</v>
      </c>
      <c r="M463" s="1" t="str">
        <f t="shared" ca="1" si="20"/>
        <v>D</v>
      </c>
      <c r="N463" s="1" t="str">
        <f t="shared" ca="1" si="21"/>
        <v>D</v>
      </c>
      <c r="O463" s="1" t="str">
        <f t="shared" ca="1" si="22"/>
        <v>D</v>
      </c>
      <c r="P463" s="1" t="str">
        <f t="shared" ca="1" si="23"/>
        <v>D</v>
      </c>
      <c r="Q463" s="1" t="str">
        <f t="shared" ca="1" si="24"/>
        <v>D</v>
      </c>
      <c r="R463" s="1" t="str">
        <f t="shared" ca="1" si="25"/>
        <v>D</v>
      </c>
      <c r="S463" s="1" t="str">
        <f t="shared" ca="1" si="26"/>
        <v>D</v>
      </c>
      <c r="T463" s="1" t="str">
        <f t="shared" ca="1" si="27"/>
        <v>D</v>
      </c>
      <c r="U463" s="1" t="str">
        <f t="shared" ca="1" si="28"/>
        <v>D</v>
      </c>
      <c r="V463" s="1" t="str">
        <f t="shared" ca="1" si="29"/>
        <v>D</v>
      </c>
      <c r="W463" s="1" t="str">
        <f t="shared" ca="1" si="30"/>
        <v>Aimé Mabika</v>
      </c>
    </row>
    <row r="464" spans="1:23">
      <c r="A464" s="1" t="str">
        <f ca="1">IFERROR(__xludf.DUMMYFUNCTION("""COMPUTED_VALUE"""),"Zac")</f>
        <v>Zac</v>
      </c>
      <c r="B464" s="1" t="str">
        <f ca="1">IFERROR(__xludf.DUMMYFUNCTION("""COMPUTED_VALUE"""),"MacMath")</f>
        <v>MacMath</v>
      </c>
      <c r="C464" s="1" t="str">
        <f ca="1">IFERROR(__xludf.DUMMYFUNCTION("""COMPUTED_VALUE"""),"Real Salt Lake")</f>
        <v>Real Salt Lake</v>
      </c>
      <c r="D464" s="1" t="str">
        <f ca="1">IFERROR(__xludf.DUMMYFUNCTION("""COMPUTED_VALUE"""),"Goalkeeper")</f>
        <v>Goalkeeper</v>
      </c>
      <c r="E464" s="2">
        <f ca="1">IFERROR(__xludf.DUMMYFUNCTION("""COMPUTED_VALUE"""),350000)</f>
        <v>350000</v>
      </c>
      <c r="F464" s="2">
        <f ca="1">IFERROR(__xludf.DUMMYFUNCTION("""COMPUTED_VALUE"""),350000)</f>
        <v>350000</v>
      </c>
      <c r="H464" s="1" t="str">
        <f t="shared" ca="1" si="16"/>
        <v>Goalkeeper</v>
      </c>
      <c r="I464" s="3" t="str">
        <f t="shared" ca="1" si="17"/>
        <v>Goalkeeper</v>
      </c>
      <c r="J464" s="1" t="str">
        <f t="shared" ca="1" si="18"/>
        <v>Goalkeeper</v>
      </c>
      <c r="K464" s="1" t="str">
        <f t="shared" ca="1" si="31"/>
        <v>Goalkeeper</v>
      </c>
      <c r="L464" s="1" t="str">
        <f t="shared" ca="1" si="19"/>
        <v>Goalkeeper</v>
      </c>
      <c r="M464" s="1" t="str">
        <f t="shared" ca="1" si="20"/>
        <v>Goalkeeper</v>
      </c>
      <c r="N464" s="1" t="str">
        <f t="shared" ca="1" si="21"/>
        <v>Goalkeeper</v>
      </c>
      <c r="O464" s="1" t="str">
        <f t="shared" ca="1" si="22"/>
        <v>Goalkeeper</v>
      </c>
      <c r="P464" s="1" t="str">
        <f t="shared" ca="1" si="23"/>
        <v>Goalkeeper</v>
      </c>
      <c r="Q464" s="1" t="str">
        <f t="shared" ca="1" si="24"/>
        <v>Goalkeeper</v>
      </c>
      <c r="R464" s="1" t="str">
        <f t="shared" ca="1" si="25"/>
        <v>GK</v>
      </c>
      <c r="S464" s="1" t="str">
        <f t="shared" ca="1" si="26"/>
        <v>GK</v>
      </c>
      <c r="T464" s="1" t="str">
        <f t="shared" ca="1" si="27"/>
        <v>GK</v>
      </c>
      <c r="U464" s="1" t="str">
        <f t="shared" ca="1" si="28"/>
        <v>GK</v>
      </c>
      <c r="V464" s="1" t="str">
        <f t="shared" ca="1" si="29"/>
        <v>GK</v>
      </c>
      <c r="W464" s="1" t="str">
        <f t="shared" ca="1" si="30"/>
        <v>Zac MacMath</v>
      </c>
    </row>
    <row r="465" spans="1:23">
      <c r="A465" s="1" t="str">
        <f ca="1">IFERROR(__xludf.DUMMYFUNCTION("""COMPUTED_VALUE"""),"Lukas")</f>
        <v>Lukas</v>
      </c>
      <c r="B465" s="1" t="str">
        <f ca="1">IFERROR(__xludf.DUMMYFUNCTION("""COMPUTED_VALUE"""),"MacNaughton")</f>
        <v>MacNaughton</v>
      </c>
      <c r="C465" s="1" t="str">
        <f ca="1">IFERROR(__xludf.DUMMYFUNCTION("""COMPUTED_VALUE"""),"Nashville SC")</f>
        <v>Nashville SC</v>
      </c>
      <c r="D465" s="1" t="str">
        <f ca="1">IFERROR(__xludf.DUMMYFUNCTION("""COMPUTED_VALUE"""),"Center-back")</f>
        <v>Center-back</v>
      </c>
      <c r="E465" s="2">
        <f ca="1">IFERROR(__xludf.DUMMYFUNCTION("""COMPUTED_VALUE"""),100000)</f>
        <v>100000</v>
      </c>
      <c r="F465" s="2">
        <f ca="1">IFERROR(__xludf.DUMMYFUNCTION("""COMPUTED_VALUE"""),102100)</f>
        <v>102100</v>
      </c>
      <c r="H465" s="1" t="str">
        <f t="shared" ca="1" si="16"/>
        <v>D</v>
      </c>
      <c r="I465" s="3" t="str">
        <f t="shared" ca="1" si="17"/>
        <v>D</v>
      </c>
      <c r="J465" s="1" t="str">
        <f t="shared" ca="1" si="18"/>
        <v>D</v>
      </c>
      <c r="K465" s="1" t="str">
        <f t="shared" ca="1" si="31"/>
        <v>D</v>
      </c>
      <c r="L465" s="1" t="str">
        <f t="shared" ca="1" si="19"/>
        <v>D</v>
      </c>
      <c r="M465" s="1" t="str">
        <f t="shared" ca="1" si="20"/>
        <v>D</v>
      </c>
      <c r="N465" s="1" t="str">
        <f t="shared" ca="1" si="21"/>
        <v>D</v>
      </c>
      <c r="O465" s="1" t="str">
        <f t="shared" ca="1" si="22"/>
        <v>D</v>
      </c>
      <c r="P465" s="1" t="str">
        <f t="shared" ca="1" si="23"/>
        <v>D</v>
      </c>
      <c r="Q465" s="1" t="str">
        <f t="shared" ca="1" si="24"/>
        <v>D</v>
      </c>
      <c r="R465" s="1" t="str">
        <f t="shared" ca="1" si="25"/>
        <v>D</v>
      </c>
      <c r="S465" s="1" t="str">
        <f t="shared" ca="1" si="26"/>
        <v>D</v>
      </c>
      <c r="T465" s="1" t="str">
        <f t="shared" ca="1" si="27"/>
        <v>D</v>
      </c>
      <c r="U465" s="1" t="str">
        <f t="shared" ca="1" si="28"/>
        <v>D</v>
      </c>
      <c r="V465" s="1" t="str">
        <f t="shared" ca="1" si="29"/>
        <v>D</v>
      </c>
      <c r="W465" s="1" t="str">
        <f t="shared" ca="1" si="30"/>
        <v>Lukas MacNaughton</v>
      </c>
    </row>
    <row r="466" spans="1:23">
      <c r="A466" s="1" t="str">
        <f ca="1">IFERROR(__xludf.DUMMYFUNCTION("""COMPUTED_VALUE"""),"Jack")</f>
        <v>Jack</v>
      </c>
      <c r="B466" s="1" t="str">
        <f ca="1">IFERROR(__xludf.DUMMYFUNCTION("""COMPUTED_VALUE"""),"Maher")</f>
        <v>Maher</v>
      </c>
      <c r="C466" s="1" t="str">
        <f ca="1">IFERROR(__xludf.DUMMYFUNCTION("""COMPUTED_VALUE"""),"Nashville SC")</f>
        <v>Nashville SC</v>
      </c>
      <c r="D466" s="1" t="str">
        <f ca="1">IFERROR(__xludf.DUMMYFUNCTION("""COMPUTED_VALUE"""),"Center-back")</f>
        <v>Center-back</v>
      </c>
      <c r="E466" s="2">
        <f ca="1">IFERROR(__xludf.DUMMYFUNCTION("""COMPUTED_VALUE"""),700000)</f>
        <v>700000</v>
      </c>
      <c r="F466" s="2">
        <f ca="1">IFERROR(__xludf.DUMMYFUNCTION("""COMPUTED_VALUE"""),795467)</f>
        <v>795467</v>
      </c>
      <c r="H466" s="1" t="str">
        <f t="shared" ca="1" si="16"/>
        <v>D</v>
      </c>
      <c r="I466" s="3" t="str">
        <f t="shared" ca="1" si="17"/>
        <v>D</v>
      </c>
      <c r="J466" s="1" t="str">
        <f t="shared" ca="1" si="18"/>
        <v>D</v>
      </c>
      <c r="K466" s="1" t="str">
        <f t="shared" ca="1" si="31"/>
        <v>D</v>
      </c>
      <c r="L466" s="1" t="str">
        <f t="shared" ca="1" si="19"/>
        <v>D</v>
      </c>
      <c r="M466" s="1" t="str">
        <f t="shared" ca="1" si="20"/>
        <v>D</v>
      </c>
      <c r="N466" s="1" t="str">
        <f t="shared" ca="1" si="21"/>
        <v>D</v>
      </c>
      <c r="O466" s="1" t="str">
        <f t="shared" ca="1" si="22"/>
        <v>D</v>
      </c>
      <c r="P466" s="1" t="str">
        <f t="shared" ca="1" si="23"/>
        <v>D</v>
      </c>
      <c r="Q466" s="1" t="str">
        <f t="shared" ca="1" si="24"/>
        <v>D</v>
      </c>
      <c r="R466" s="1" t="str">
        <f t="shared" ca="1" si="25"/>
        <v>D</v>
      </c>
      <c r="S466" s="1" t="str">
        <f t="shared" ca="1" si="26"/>
        <v>D</v>
      </c>
      <c r="T466" s="1" t="str">
        <f t="shared" ca="1" si="27"/>
        <v>D</v>
      </c>
      <c r="U466" s="1" t="str">
        <f t="shared" ca="1" si="28"/>
        <v>D</v>
      </c>
      <c r="V466" s="1" t="str">
        <f t="shared" ca="1" si="29"/>
        <v>D</v>
      </c>
      <c r="W466" s="1" t="str">
        <f t="shared" ca="1" si="30"/>
        <v>Jack Maher</v>
      </c>
    </row>
    <row r="467" spans="1:23">
      <c r="A467" s="1" t="str">
        <f ca="1">IFERROR(__xludf.DUMMYFUNCTION("""COMPUTED_VALUE"""),"Cassius")</f>
        <v>Cassius</v>
      </c>
      <c r="B467" s="1" t="str">
        <f ca="1">IFERROR(__xludf.DUMMYFUNCTION("""COMPUTED_VALUE"""),"Mailula")</f>
        <v>Mailula</v>
      </c>
      <c r="C467" s="1" t="str">
        <f ca="1">IFERROR(__xludf.DUMMYFUNCTION("""COMPUTED_VALUE"""),"Toronto FC")</f>
        <v>Toronto FC</v>
      </c>
      <c r="D467" s="1" t="str">
        <f ca="1">IFERROR(__xludf.DUMMYFUNCTION("""COMPUTED_VALUE"""),"Right Wing")</f>
        <v>Right Wing</v>
      </c>
      <c r="E467" s="2">
        <f ca="1">IFERROR(__xludf.DUMMYFUNCTION("""COMPUTED_VALUE"""),300000)</f>
        <v>300000</v>
      </c>
      <c r="F467" s="2">
        <f ca="1">IFERROR(__xludf.DUMMYFUNCTION("""COMPUTED_VALUE"""),316003)</f>
        <v>316003</v>
      </c>
      <c r="H467" s="1" t="str">
        <f t="shared" ca="1" si="16"/>
        <v>Right Wing</v>
      </c>
      <c r="I467" s="3" t="str">
        <f t="shared" ca="1" si="17"/>
        <v>Right Wing</v>
      </c>
      <c r="J467" s="1" t="str">
        <f t="shared" ca="1" si="18"/>
        <v>Right Wing</v>
      </c>
      <c r="K467" s="1" t="str">
        <f t="shared" ca="1" si="31"/>
        <v>Right Wing</v>
      </c>
      <c r="L467" s="1" t="str">
        <f t="shared" ca="1" si="19"/>
        <v>Right Wing</v>
      </c>
      <c r="M467" s="1" t="str">
        <f t="shared" ca="1" si="20"/>
        <v>Right Wing</v>
      </c>
      <c r="N467" s="1" t="str">
        <f t="shared" ca="1" si="21"/>
        <v>F</v>
      </c>
      <c r="O467" s="1" t="str">
        <f t="shared" ca="1" si="22"/>
        <v>F</v>
      </c>
      <c r="P467" s="1" t="str">
        <f t="shared" ca="1" si="23"/>
        <v>F</v>
      </c>
      <c r="Q467" s="1" t="str">
        <f t="shared" ca="1" si="24"/>
        <v>F</v>
      </c>
      <c r="R467" s="1" t="str">
        <f t="shared" ca="1" si="25"/>
        <v>F</v>
      </c>
      <c r="S467" s="1" t="str">
        <f t="shared" ca="1" si="26"/>
        <v>F</v>
      </c>
      <c r="T467" s="1" t="str">
        <f t="shared" ca="1" si="27"/>
        <v>F</v>
      </c>
      <c r="U467" s="1" t="str">
        <f t="shared" ca="1" si="28"/>
        <v>F</v>
      </c>
      <c r="V467" s="1" t="str">
        <f t="shared" ca="1" si="29"/>
        <v>F</v>
      </c>
      <c r="W467" s="1" t="str">
        <f t="shared" ca="1" si="30"/>
        <v>Cassius Mailula</v>
      </c>
    </row>
    <row r="468" spans="1:23">
      <c r="A468" s="1" t="str">
        <f ca="1">IFERROR(__xludf.DUMMYFUNCTION("""COMPUTED_VALUE"""),"Olwethu")</f>
        <v>Olwethu</v>
      </c>
      <c r="B468" s="1" t="str">
        <f ca="1">IFERROR(__xludf.DUMMYFUNCTION("""COMPUTED_VALUE"""),"Makhanya")</f>
        <v>Makhanya</v>
      </c>
      <c r="C468" s="1" t="str">
        <f ca="1">IFERROR(__xludf.DUMMYFUNCTION("""COMPUTED_VALUE"""),"Philadelphia Union")</f>
        <v>Philadelphia Union</v>
      </c>
      <c r="D468" s="1" t="str">
        <f ca="1">IFERROR(__xludf.DUMMYFUNCTION("""COMPUTED_VALUE"""),"Center-back")</f>
        <v>Center-back</v>
      </c>
      <c r="E468" s="2">
        <f ca="1">IFERROR(__xludf.DUMMYFUNCTION("""COMPUTED_VALUE"""),225000)</f>
        <v>225000</v>
      </c>
      <c r="F468" s="2">
        <f ca="1">IFERROR(__xludf.DUMMYFUNCTION("""COMPUTED_VALUE"""),263875)</f>
        <v>263875</v>
      </c>
      <c r="H468" s="1" t="str">
        <f t="shared" ca="1" si="16"/>
        <v>D</v>
      </c>
      <c r="I468" s="3" t="str">
        <f t="shared" ca="1" si="17"/>
        <v>D</v>
      </c>
      <c r="J468" s="1" t="str">
        <f t="shared" ca="1" si="18"/>
        <v>D</v>
      </c>
      <c r="K468" s="1" t="str">
        <f t="shared" ca="1" si="31"/>
        <v>D</v>
      </c>
      <c r="L468" s="1" t="str">
        <f t="shared" ca="1" si="19"/>
        <v>D</v>
      </c>
      <c r="M468" s="1" t="str">
        <f t="shared" ca="1" si="20"/>
        <v>D</v>
      </c>
      <c r="N468" s="1" t="str">
        <f t="shared" ca="1" si="21"/>
        <v>D</v>
      </c>
      <c r="O468" s="1" t="str">
        <f t="shared" ca="1" si="22"/>
        <v>D</v>
      </c>
      <c r="P468" s="1" t="str">
        <f t="shared" ca="1" si="23"/>
        <v>D</v>
      </c>
      <c r="Q468" s="1" t="str">
        <f t="shared" ca="1" si="24"/>
        <v>D</v>
      </c>
      <c r="R468" s="1" t="str">
        <f t="shared" ca="1" si="25"/>
        <v>D</v>
      </c>
      <c r="S468" s="1" t="str">
        <f t="shared" ca="1" si="26"/>
        <v>D</v>
      </c>
      <c r="T468" s="1" t="str">
        <f t="shared" ca="1" si="27"/>
        <v>D</v>
      </c>
      <c r="U468" s="1" t="str">
        <f t="shared" ca="1" si="28"/>
        <v>D</v>
      </c>
      <c r="V468" s="1" t="str">
        <f t="shared" ca="1" si="29"/>
        <v>D</v>
      </c>
      <c r="W468" s="1" t="str">
        <f t="shared" ca="1" si="30"/>
        <v>Olwethu Makhanya</v>
      </c>
    </row>
    <row r="469" spans="1:23">
      <c r="A469" s="1" t="str">
        <f ca="1">IFERROR(__xludf.DUMMYFUNCTION("""COMPUTED_VALUE"""),"Adilson")</f>
        <v>Adilson</v>
      </c>
      <c r="B469" s="1" t="str">
        <f ca="1">IFERROR(__xludf.DUMMYFUNCTION("""COMPUTED_VALUE"""),"Malanda")</f>
        <v>Malanda</v>
      </c>
      <c r="C469" s="1" t="str">
        <f ca="1">IFERROR(__xludf.DUMMYFUNCTION("""COMPUTED_VALUE"""),"Charlotte FC")</f>
        <v>Charlotte FC</v>
      </c>
      <c r="D469" s="1" t="str">
        <f ca="1">IFERROR(__xludf.DUMMYFUNCTION("""COMPUTED_VALUE"""),"Center-back")</f>
        <v>Center-back</v>
      </c>
      <c r="E469" s="2">
        <f ca="1">IFERROR(__xludf.DUMMYFUNCTION("""COMPUTED_VALUE"""),325000)</f>
        <v>325000</v>
      </c>
      <c r="F469" s="2">
        <f ca="1">IFERROR(__xludf.DUMMYFUNCTION("""COMPUTED_VALUE"""),353083)</f>
        <v>353083</v>
      </c>
      <c r="H469" s="1" t="str">
        <f t="shared" ca="1" si="16"/>
        <v>D</v>
      </c>
      <c r="I469" s="3" t="str">
        <f t="shared" ca="1" si="17"/>
        <v>D</v>
      </c>
      <c r="J469" s="1" t="str">
        <f t="shared" ca="1" si="18"/>
        <v>D</v>
      </c>
      <c r="K469" s="1" t="str">
        <f t="shared" ca="1" si="31"/>
        <v>D</v>
      </c>
      <c r="L469" s="1" t="str">
        <f t="shared" ca="1" si="19"/>
        <v>D</v>
      </c>
      <c r="M469" s="1" t="str">
        <f t="shared" ca="1" si="20"/>
        <v>D</v>
      </c>
      <c r="N469" s="1" t="str">
        <f t="shared" ca="1" si="21"/>
        <v>D</v>
      </c>
      <c r="O469" s="1" t="str">
        <f t="shared" ca="1" si="22"/>
        <v>D</v>
      </c>
      <c r="P469" s="1" t="str">
        <f t="shared" ca="1" si="23"/>
        <v>D</v>
      </c>
      <c r="Q469" s="1" t="str">
        <f t="shared" ca="1" si="24"/>
        <v>D</v>
      </c>
      <c r="R469" s="1" t="str">
        <f t="shared" ca="1" si="25"/>
        <v>D</v>
      </c>
      <c r="S469" s="1" t="str">
        <f t="shared" ca="1" si="26"/>
        <v>D</v>
      </c>
      <c r="T469" s="1" t="str">
        <f t="shared" ca="1" si="27"/>
        <v>D</v>
      </c>
      <c r="U469" s="1" t="str">
        <f t="shared" ca="1" si="28"/>
        <v>D</v>
      </c>
      <c r="V469" s="1" t="str">
        <f t="shared" ca="1" si="29"/>
        <v>D</v>
      </c>
      <c r="W469" s="1" t="str">
        <f t="shared" ca="1" si="30"/>
        <v>Adilson Malanda</v>
      </c>
    </row>
    <row r="470" spans="1:23">
      <c r="A470" s="1" t="str">
        <f ca="1">IFERROR(__xludf.DUMMYFUNCTION("""COMPUTED_VALUE"""),"Elias")</f>
        <v>Elias</v>
      </c>
      <c r="B470" s="1" t="str">
        <f ca="1">IFERROR(__xludf.DUMMYFUNCTION("""COMPUTED_VALUE"""),"Manoel Alves de Paula")</f>
        <v>Manoel Alves de Paula</v>
      </c>
      <c r="C470" s="1" t="str">
        <f ca="1">IFERROR(__xludf.DUMMYFUNCTION("""COMPUTED_VALUE"""),"New York Red Bulls")</f>
        <v>New York Red Bulls</v>
      </c>
      <c r="D470" s="1" t="str">
        <f ca="1">IFERROR(__xludf.DUMMYFUNCTION("""COMPUTED_VALUE"""),"Center Forward")</f>
        <v>Center Forward</v>
      </c>
      <c r="E470" s="2">
        <f ca="1">IFERROR(__xludf.DUMMYFUNCTION("""COMPUTED_VALUE"""),480000)</f>
        <v>480000</v>
      </c>
      <c r="F470" s="2">
        <f ca="1">IFERROR(__xludf.DUMMYFUNCTION("""COMPUTED_VALUE"""),557250)</f>
        <v>557250</v>
      </c>
      <c r="H470" s="1" t="str">
        <f t="shared" ca="1" si="16"/>
        <v>Center Forward</v>
      </c>
      <c r="I470" s="3" t="str">
        <f t="shared" ca="1" si="17"/>
        <v>Center Forward</v>
      </c>
      <c r="J470" s="1" t="str">
        <f t="shared" ca="1" si="18"/>
        <v>Center Forward</v>
      </c>
      <c r="K470" s="1" t="str">
        <f t="shared" ca="1" si="31"/>
        <v>Center Forward</v>
      </c>
      <c r="L470" s="1" t="str">
        <f t="shared" ca="1" si="19"/>
        <v>Center Forward</v>
      </c>
      <c r="M470" s="1" t="str">
        <f t="shared" ca="1" si="20"/>
        <v>Center Forward</v>
      </c>
      <c r="N470" s="1" t="str">
        <f t="shared" ca="1" si="21"/>
        <v>Center Forward</v>
      </c>
      <c r="O470" s="1" t="str">
        <f t="shared" ca="1" si="22"/>
        <v>F</v>
      </c>
      <c r="P470" s="1" t="str">
        <f t="shared" ca="1" si="23"/>
        <v>F</v>
      </c>
      <c r="Q470" s="1" t="str">
        <f t="shared" ca="1" si="24"/>
        <v>F</v>
      </c>
      <c r="R470" s="1" t="str">
        <f t="shared" ca="1" si="25"/>
        <v>F</v>
      </c>
      <c r="S470" s="1" t="str">
        <f t="shared" ca="1" si="26"/>
        <v>F</v>
      </c>
      <c r="T470" s="1" t="str">
        <f t="shared" ca="1" si="27"/>
        <v>F</v>
      </c>
      <c r="U470" s="1" t="str">
        <f t="shared" ca="1" si="28"/>
        <v>F</v>
      </c>
      <c r="V470" s="1" t="str">
        <f t="shared" ca="1" si="29"/>
        <v>F</v>
      </c>
      <c r="W470" s="1" t="str">
        <f t="shared" ca="1" si="30"/>
        <v>Elias Manoel Alves de Paula</v>
      </c>
    </row>
    <row r="471" spans="1:23">
      <c r="A471" s="1" t="str">
        <f ca="1">IFERROR(__xludf.DUMMYFUNCTION("""COMPUTED_VALUE"""),"JT")</f>
        <v>JT</v>
      </c>
      <c r="B471" s="1" t="str">
        <f ca="1">IFERROR(__xludf.DUMMYFUNCTION("""COMPUTED_VALUE"""),"Marcinkowski")</f>
        <v>Marcinkowski</v>
      </c>
      <c r="C471" s="1" t="str">
        <f ca="1">IFERROR(__xludf.DUMMYFUNCTION("""COMPUTED_VALUE"""),"San Jose Earthquakes")</f>
        <v>San Jose Earthquakes</v>
      </c>
      <c r="D471" s="1" t="str">
        <f ca="1">IFERROR(__xludf.DUMMYFUNCTION("""COMPUTED_VALUE"""),"Goalkeeper")</f>
        <v>Goalkeeper</v>
      </c>
      <c r="E471" s="2">
        <f ca="1">IFERROR(__xludf.DUMMYFUNCTION("""COMPUTED_VALUE"""),400000)</f>
        <v>400000</v>
      </c>
      <c r="F471" s="2">
        <f ca="1">IFERROR(__xludf.DUMMYFUNCTION("""COMPUTED_VALUE"""),400000)</f>
        <v>400000</v>
      </c>
      <c r="H471" s="1" t="str">
        <f t="shared" ca="1" si="16"/>
        <v>Goalkeeper</v>
      </c>
      <c r="I471" s="3" t="str">
        <f t="shared" ca="1" si="17"/>
        <v>Goalkeeper</v>
      </c>
      <c r="J471" s="1" t="str">
        <f t="shared" ca="1" si="18"/>
        <v>Goalkeeper</v>
      </c>
      <c r="K471" s="1" t="str">
        <f t="shared" ca="1" si="31"/>
        <v>Goalkeeper</v>
      </c>
      <c r="L471" s="1" t="str">
        <f t="shared" ca="1" si="19"/>
        <v>Goalkeeper</v>
      </c>
      <c r="M471" s="1" t="str">
        <f t="shared" ca="1" si="20"/>
        <v>Goalkeeper</v>
      </c>
      <c r="N471" s="1" t="str">
        <f t="shared" ca="1" si="21"/>
        <v>Goalkeeper</v>
      </c>
      <c r="O471" s="1" t="str">
        <f t="shared" ca="1" si="22"/>
        <v>Goalkeeper</v>
      </c>
      <c r="P471" s="1" t="str">
        <f t="shared" ca="1" si="23"/>
        <v>Goalkeeper</v>
      </c>
      <c r="Q471" s="1" t="str">
        <f t="shared" ca="1" si="24"/>
        <v>Goalkeeper</v>
      </c>
      <c r="R471" s="1" t="str">
        <f t="shared" ca="1" si="25"/>
        <v>GK</v>
      </c>
      <c r="S471" s="1" t="str">
        <f t="shared" ca="1" si="26"/>
        <v>GK</v>
      </c>
      <c r="T471" s="1" t="str">
        <f t="shared" ca="1" si="27"/>
        <v>GK</v>
      </c>
      <c r="U471" s="1" t="str">
        <f t="shared" ca="1" si="28"/>
        <v>GK</v>
      </c>
      <c r="V471" s="1" t="str">
        <f t="shared" ca="1" si="29"/>
        <v>GK</v>
      </c>
      <c r="W471" s="1" t="str">
        <f t="shared" ca="1" si="30"/>
        <v>JT Marcinkowski</v>
      </c>
    </row>
    <row r="472" spans="1:23">
      <c r="A472" s="1" t="str">
        <f ca="1">IFERROR(__xludf.DUMMYFUNCTION("""COMPUTED_VALUE"""),"AJ")</f>
        <v>AJ</v>
      </c>
      <c r="B472" s="1" t="str">
        <f ca="1">IFERROR(__xludf.DUMMYFUNCTION("""COMPUTED_VALUE"""),"Marcucci")</f>
        <v>Marcucci</v>
      </c>
      <c r="C472" s="1" t="str">
        <f ca="1">IFERROR(__xludf.DUMMYFUNCTION("""COMPUTED_VALUE"""),"New York Red Bulls")</f>
        <v>New York Red Bulls</v>
      </c>
      <c r="D472" s="1" t="str">
        <f ca="1">IFERROR(__xludf.DUMMYFUNCTION("""COMPUTED_VALUE"""),"Goalkeeper")</f>
        <v>Goalkeeper</v>
      </c>
      <c r="E472" s="2">
        <f ca="1">IFERROR(__xludf.DUMMYFUNCTION("""COMPUTED_VALUE"""),110000)</f>
        <v>110000</v>
      </c>
      <c r="F472" s="2">
        <f ca="1">IFERROR(__xludf.DUMMYFUNCTION("""COMPUTED_VALUE"""),127425)</f>
        <v>127425</v>
      </c>
      <c r="H472" s="1" t="str">
        <f t="shared" ca="1" si="16"/>
        <v>Goalkeeper</v>
      </c>
      <c r="I472" s="3" t="str">
        <f t="shared" ca="1" si="17"/>
        <v>Goalkeeper</v>
      </c>
      <c r="J472" s="1" t="str">
        <f t="shared" ca="1" si="18"/>
        <v>Goalkeeper</v>
      </c>
      <c r="K472" s="1" t="str">
        <f t="shared" ca="1" si="31"/>
        <v>Goalkeeper</v>
      </c>
      <c r="L472" s="1" t="str">
        <f t="shared" ca="1" si="19"/>
        <v>Goalkeeper</v>
      </c>
      <c r="M472" s="1" t="str">
        <f t="shared" ca="1" si="20"/>
        <v>Goalkeeper</v>
      </c>
      <c r="N472" s="1" t="str">
        <f t="shared" ca="1" si="21"/>
        <v>Goalkeeper</v>
      </c>
      <c r="O472" s="1" t="str">
        <f t="shared" ca="1" si="22"/>
        <v>Goalkeeper</v>
      </c>
      <c r="P472" s="1" t="str">
        <f t="shared" ca="1" si="23"/>
        <v>Goalkeeper</v>
      </c>
      <c r="Q472" s="1" t="str">
        <f t="shared" ca="1" si="24"/>
        <v>Goalkeeper</v>
      </c>
      <c r="R472" s="1" t="str">
        <f t="shared" ca="1" si="25"/>
        <v>GK</v>
      </c>
      <c r="S472" s="1" t="str">
        <f t="shared" ca="1" si="26"/>
        <v>GK</v>
      </c>
      <c r="T472" s="1" t="str">
        <f t="shared" ca="1" si="27"/>
        <v>GK</v>
      </c>
      <c r="U472" s="1" t="str">
        <f t="shared" ca="1" si="28"/>
        <v>GK</v>
      </c>
      <c r="V472" s="1" t="str">
        <f t="shared" ca="1" si="29"/>
        <v>GK</v>
      </c>
      <c r="W472" s="1" t="str">
        <f t="shared" ca="1" si="30"/>
        <v>AJ Marcucci</v>
      </c>
    </row>
    <row r="473" spans="1:23">
      <c r="A473" s="1" t="str">
        <f ca="1">IFERROR(__xludf.DUMMYFUNCTION("""COMPUTED_VALUE"""),"Paul")</f>
        <v>Paul</v>
      </c>
      <c r="B473" s="1" t="str">
        <f ca="1">IFERROR(__xludf.DUMMYFUNCTION("""COMPUTED_VALUE"""),"Marie")</f>
        <v>Marie</v>
      </c>
      <c r="C473" s="1" t="str">
        <f ca="1">IFERROR(__xludf.DUMMYFUNCTION("""COMPUTED_VALUE"""),"San Jose Earthquakes")</f>
        <v>San Jose Earthquakes</v>
      </c>
      <c r="D473" s="1" t="str">
        <f ca="1">IFERROR(__xludf.DUMMYFUNCTION("""COMPUTED_VALUE"""),"Right-back")</f>
        <v>Right-back</v>
      </c>
      <c r="E473" s="2">
        <f ca="1">IFERROR(__xludf.DUMMYFUNCTION("""COMPUTED_VALUE"""),300000)</f>
        <v>300000</v>
      </c>
      <c r="F473" s="2">
        <f ca="1">IFERROR(__xludf.DUMMYFUNCTION("""COMPUTED_VALUE"""),332500)</f>
        <v>332500</v>
      </c>
      <c r="H473" s="1" t="str">
        <f t="shared" ca="1" si="16"/>
        <v>Right-back</v>
      </c>
      <c r="I473" s="3" t="str">
        <f t="shared" ca="1" si="17"/>
        <v>Right-back</v>
      </c>
      <c r="J473" s="1" t="str">
        <f t="shared" ca="1" si="18"/>
        <v>D</v>
      </c>
      <c r="K473" s="1" t="str">
        <f t="shared" ca="1" si="31"/>
        <v>D</v>
      </c>
      <c r="L473" s="1" t="str">
        <f t="shared" ca="1" si="19"/>
        <v>D</v>
      </c>
      <c r="M473" s="1" t="str">
        <f t="shared" ca="1" si="20"/>
        <v>D</v>
      </c>
      <c r="N473" s="1" t="str">
        <f t="shared" ca="1" si="21"/>
        <v>D</v>
      </c>
      <c r="O473" s="1" t="str">
        <f t="shared" ca="1" si="22"/>
        <v>D</v>
      </c>
      <c r="P473" s="1" t="str">
        <f t="shared" ca="1" si="23"/>
        <v>D</v>
      </c>
      <c r="Q473" s="1" t="str">
        <f t="shared" ca="1" si="24"/>
        <v>D</v>
      </c>
      <c r="R473" s="1" t="str">
        <f t="shared" ca="1" si="25"/>
        <v>D</v>
      </c>
      <c r="S473" s="1" t="str">
        <f t="shared" ca="1" si="26"/>
        <v>D</v>
      </c>
      <c r="T473" s="1" t="str">
        <f t="shared" ca="1" si="27"/>
        <v>D</v>
      </c>
      <c r="U473" s="1" t="str">
        <f t="shared" ca="1" si="28"/>
        <v>D</v>
      </c>
      <c r="V473" s="1" t="str">
        <f t="shared" ca="1" si="29"/>
        <v>D</v>
      </c>
      <c r="W473" s="1" t="str">
        <f t="shared" ca="1" si="30"/>
        <v>Paul Marie</v>
      </c>
    </row>
    <row r="474" spans="1:23">
      <c r="A474" s="1" t="str">
        <f ca="1">IFERROR(__xludf.DUMMYFUNCTION("""COMPUTED_VALUE"""),"Anthony")</f>
        <v>Anthony</v>
      </c>
      <c r="B474" s="1" t="str">
        <f ca="1">IFERROR(__xludf.DUMMYFUNCTION("""COMPUTED_VALUE"""),"Markanich")</f>
        <v>Markanich</v>
      </c>
      <c r="C474" s="1" t="str">
        <f ca="1">IFERROR(__xludf.DUMMYFUNCTION("""COMPUTED_VALUE"""),"St. Louis City SC")</f>
        <v>St. Louis City SC</v>
      </c>
      <c r="D474" s="1" t="str">
        <f ca="1">IFERROR(__xludf.DUMMYFUNCTION("""COMPUTED_VALUE"""),"Left-back")</f>
        <v>Left-back</v>
      </c>
      <c r="E474" s="2">
        <f ca="1">IFERROR(__xludf.DUMMYFUNCTION("""COMPUTED_VALUE"""),89716)</f>
        <v>89716</v>
      </c>
      <c r="F474" s="2">
        <f ca="1">IFERROR(__xludf.DUMMYFUNCTION("""COMPUTED_VALUE"""),89716)</f>
        <v>89716</v>
      </c>
      <c r="H474" s="1" t="str">
        <f t="shared" ca="1" si="16"/>
        <v>Left-back</v>
      </c>
      <c r="I474" s="3" t="str">
        <f t="shared" ca="1" si="17"/>
        <v>D</v>
      </c>
      <c r="J474" s="1" t="str">
        <f t="shared" ca="1" si="18"/>
        <v>D</v>
      </c>
      <c r="K474" s="1" t="str">
        <f t="shared" ca="1" si="31"/>
        <v>D</v>
      </c>
      <c r="L474" s="1" t="str">
        <f t="shared" ca="1" si="19"/>
        <v>D</v>
      </c>
      <c r="M474" s="1" t="str">
        <f t="shared" ca="1" si="20"/>
        <v>D</v>
      </c>
      <c r="N474" s="1" t="str">
        <f t="shared" ca="1" si="21"/>
        <v>D</v>
      </c>
      <c r="O474" s="1" t="str">
        <f t="shared" ca="1" si="22"/>
        <v>D</v>
      </c>
      <c r="P474" s="1" t="str">
        <f t="shared" ca="1" si="23"/>
        <v>D</v>
      </c>
      <c r="Q474" s="1" t="str">
        <f t="shared" ca="1" si="24"/>
        <v>D</v>
      </c>
      <c r="R474" s="1" t="str">
        <f t="shared" ca="1" si="25"/>
        <v>D</v>
      </c>
      <c r="S474" s="1" t="str">
        <f t="shared" ca="1" si="26"/>
        <v>D</v>
      </c>
      <c r="T474" s="1" t="str">
        <f t="shared" ca="1" si="27"/>
        <v>D</v>
      </c>
      <c r="U474" s="1" t="str">
        <f t="shared" ca="1" si="28"/>
        <v>D</v>
      </c>
      <c r="V474" s="1" t="str">
        <f t="shared" ca="1" si="29"/>
        <v>D</v>
      </c>
      <c r="W474" s="1" t="str">
        <f t="shared" ca="1" si="30"/>
        <v>Anthony Markanich</v>
      </c>
    </row>
    <row r="475" spans="1:23">
      <c r="A475" s="1" t="str">
        <f ca="1">IFERROR(__xludf.DUMMYFUNCTION("""COMPUTED_VALUE"""),"George")</f>
        <v>George</v>
      </c>
      <c r="B475" s="1" t="str">
        <f ca="1">IFERROR(__xludf.DUMMYFUNCTION("""COMPUTED_VALUE"""),"Marks")</f>
        <v>Marks</v>
      </c>
      <c r="C475" s="1" t="str">
        <f ca="1">IFERROR(__xludf.DUMMYFUNCTION("""COMPUTED_VALUE"""),"Charlotte FC")</f>
        <v>Charlotte FC</v>
      </c>
      <c r="D475" s="1" t="str">
        <f ca="1">IFERROR(__xludf.DUMMYFUNCTION("""COMPUTED_VALUE"""),"Goalkeeper")</f>
        <v>Goalkeeper</v>
      </c>
      <c r="E475" s="2">
        <f ca="1">IFERROR(__xludf.DUMMYFUNCTION("""COMPUTED_VALUE"""),89716)</f>
        <v>89716</v>
      </c>
      <c r="F475" s="2">
        <f ca="1">IFERROR(__xludf.DUMMYFUNCTION("""COMPUTED_VALUE"""),89716)</f>
        <v>89716</v>
      </c>
      <c r="H475" s="1" t="str">
        <f t="shared" ca="1" si="16"/>
        <v>Goalkeeper</v>
      </c>
      <c r="I475" s="3" t="str">
        <f t="shared" ca="1" si="17"/>
        <v>Goalkeeper</v>
      </c>
      <c r="J475" s="1" t="str">
        <f t="shared" ca="1" si="18"/>
        <v>Goalkeeper</v>
      </c>
      <c r="K475" s="1" t="str">
        <f t="shared" ca="1" si="31"/>
        <v>Goalkeeper</v>
      </c>
      <c r="L475" s="1" t="str">
        <f t="shared" ca="1" si="19"/>
        <v>Goalkeeper</v>
      </c>
      <c r="M475" s="1" t="str">
        <f t="shared" ca="1" si="20"/>
        <v>Goalkeeper</v>
      </c>
      <c r="N475" s="1" t="str">
        <f t="shared" ca="1" si="21"/>
        <v>Goalkeeper</v>
      </c>
      <c r="O475" s="1" t="str">
        <f t="shared" ca="1" si="22"/>
        <v>Goalkeeper</v>
      </c>
      <c r="P475" s="1" t="str">
        <f t="shared" ca="1" si="23"/>
        <v>Goalkeeper</v>
      </c>
      <c r="Q475" s="1" t="str">
        <f t="shared" ca="1" si="24"/>
        <v>Goalkeeper</v>
      </c>
      <c r="R475" s="1" t="str">
        <f t="shared" ca="1" si="25"/>
        <v>GK</v>
      </c>
      <c r="S475" s="1" t="str">
        <f t="shared" ca="1" si="26"/>
        <v>GK</v>
      </c>
      <c r="T475" s="1" t="str">
        <f t="shared" ca="1" si="27"/>
        <v>GK</v>
      </c>
      <c r="U475" s="1" t="str">
        <f t="shared" ca="1" si="28"/>
        <v>GK</v>
      </c>
      <c r="V475" s="1" t="str">
        <f t="shared" ca="1" si="29"/>
        <v>GK</v>
      </c>
      <c r="W475" s="1" t="str">
        <f t="shared" ca="1" si="30"/>
        <v>George Marks</v>
      </c>
    </row>
    <row r="476" spans="1:23">
      <c r="A476" s="1" t="str">
        <f ca="1">IFERROR(__xludf.DUMMYFUNCTION("""COMPUTED_VALUE"""),"Mikael")</f>
        <v>Mikael</v>
      </c>
      <c r="B476" s="1" t="str">
        <f ca="1">IFERROR(__xludf.DUMMYFUNCTION("""COMPUTED_VALUE"""),"Marqués")</f>
        <v>Marqués</v>
      </c>
      <c r="C476" s="1" t="str">
        <f ca="1">IFERROR(__xludf.DUMMYFUNCTION("""COMPUTED_VALUE"""),"Minnesota United")</f>
        <v>Minnesota United</v>
      </c>
      <c r="D476" s="1" t="str">
        <f ca="1">IFERROR(__xludf.DUMMYFUNCTION("""COMPUTED_VALUE"""),"Center-back")</f>
        <v>Center-back</v>
      </c>
      <c r="E476" s="2">
        <f ca="1">IFERROR(__xludf.DUMMYFUNCTION("""COMPUTED_VALUE"""),125000)</f>
        <v>125000</v>
      </c>
      <c r="F476" s="2">
        <f ca="1">IFERROR(__xludf.DUMMYFUNCTION("""COMPUTED_VALUE"""),141250)</f>
        <v>141250</v>
      </c>
      <c r="H476" s="1" t="str">
        <f t="shared" ca="1" si="16"/>
        <v>D</v>
      </c>
      <c r="I476" s="3" t="str">
        <f t="shared" ca="1" si="17"/>
        <v>D</v>
      </c>
      <c r="J476" s="1" t="str">
        <f t="shared" ca="1" si="18"/>
        <v>D</v>
      </c>
      <c r="K476" s="1" t="str">
        <f t="shared" ca="1" si="31"/>
        <v>D</v>
      </c>
      <c r="L476" s="1" t="str">
        <f t="shared" ca="1" si="19"/>
        <v>D</v>
      </c>
      <c r="M476" s="1" t="str">
        <f t="shared" ca="1" si="20"/>
        <v>D</v>
      </c>
      <c r="N476" s="1" t="str">
        <f t="shared" ca="1" si="21"/>
        <v>D</v>
      </c>
      <c r="O476" s="1" t="str">
        <f t="shared" ca="1" si="22"/>
        <v>D</v>
      </c>
      <c r="P476" s="1" t="str">
        <f t="shared" ca="1" si="23"/>
        <v>D</v>
      </c>
      <c r="Q476" s="1" t="str">
        <f t="shared" ca="1" si="24"/>
        <v>D</v>
      </c>
      <c r="R476" s="1" t="str">
        <f t="shared" ca="1" si="25"/>
        <v>D</v>
      </c>
      <c r="S476" s="1" t="str">
        <f t="shared" ca="1" si="26"/>
        <v>D</v>
      </c>
      <c r="T476" s="1" t="str">
        <f t="shared" ca="1" si="27"/>
        <v>D</v>
      </c>
      <c r="U476" s="1" t="str">
        <f t="shared" ca="1" si="28"/>
        <v>D</v>
      </c>
      <c r="V476" s="1" t="str">
        <f t="shared" ca="1" si="29"/>
        <v>D</v>
      </c>
      <c r="W476" s="1" t="str">
        <f t="shared" ca="1" si="30"/>
        <v>Mikael Marqués</v>
      </c>
    </row>
    <row r="477" spans="1:23">
      <c r="A477" s="1" t="str">
        <f ca="1">IFERROR(__xludf.DUMMYFUNCTION("""COMPUTED_VALUE"""),"Jahkeele")</f>
        <v>Jahkeele</v>
      </c>
      <c r="B477" s="1" t="str">
        <f ca="1">IFERROR(__xludf.DUMMYFUNCTION("""COMPUTED_VALUE"""),"Marshall-Rutty")</f>
        <v>Marshall-Rutty</v>
      </c>
      <c r="C477" s="1" t="str">
        <f ca="1">IFERROR(__xludf.DUMMYFUNCTION("""COMPUTED_VALUE"""),"Toronto FC")</f>
        <v>Toronto FC</v>
      </c>
      <c r="D477" s="1" t="str">
        <f ca="1">IFERROR(__xludf.DUMMYFUNCTION("""COMPUTED_VALUE"""),"Right-back")</f>
        <v>Right-back</v>
      </c>
      <c r="E477" s="2">
        <f ca="1">IFERROR(__xludf.DUMMYFUNCTION("""COMPUTED_VALUE"""),175000)</f>
        <v>175000</v>
      </c>
      <c r="F477" s="2">
        <f ca="1">IFERROR(__xludf.DUMMYFUNCTION("""COMPUTED_VALUE"""),181813)</f>
        <v>181813</v>
      </c>
      <c r="H477" s="1" t="str">
        <f t="shared" ca="1" si="16"/>
        <v>Right-back</v>
      </c>
      <c r="I477" s="3" t="str">
        <f t="shared" ca="1" si="17"/>
        <v>Right-back</v>
      </c>
      <c r="J477" s="1" t="str">
        <f t="shared" ca="1" si="18"/>
        <v>D</v>
      </c>
      <c r="K477" s="1" t="str">
        <f t="shared" ca="1" si="31"/>
        <v>D</v>
      </c>
      <c r="L477" s="1" t="str">
        <f t="shared" ca="1" si="19"/>
        <v>D</v>
      </c>
      <c r="M477" s="1" t="str">
        <f t="shared" ca="1" si="20"/>
        <v>D</v>
      </c>
      <c r="N477" s="1" t="str">
        <f t="shared" ca="1" si="21"/>
        <v>D</v>
      </c>
      <c r="O477" s="1" t="str">
        <f t="shared" ca="1" si="22"/>
        <v>D</v>
      </c>
      <c r="P477" s="1" t="str">
        <f t="shared" ca="1" si="23"/>
        <v>D</v>
      </c>
      <c r="Q477" s="1" t="str">
        <f t="shared" ca="1" si="24"/>
        <v>D</v>
      </c>
      <c r="R477" s="1" t="str">
        <f t="shared" ca="1" si="25"/>
        <v>D</v>
      </c>
      <c r="S477" s="1" t="str">
        <f t="shared" ca="1" si="26"/>
        <v>D</v>
      </c>
      <c r="T477" s="1" t="str">
        <f t="shared" ca="1" si="27"/>
        <v>D</v>
      </c>
      <c r="U477" s="1" t="str">
        <f t="shared" ca="1" si="28"/>
        <v>D</v>
      </c>
      <c r="V477" s="1" t="str">
        <f t="shared" ca="1" si="29"/>
        <v>D</v>
      </c>
      <c r="W477" s="1" t="str">
        <f t="shared" ca="1" si="30"/>
        <v>Jahkeele Marshall-Rutty</v>
      </c>
    </row>
    <row r="478" spans="1:23">
      <c r="A478" s="1" t="str">
        <f ca="1">IFERROR(__xludf.DUMMYFUNCTION("""COMPUTED_VALUE"""),"David")</f>
        <v>David</v>
      </c>
      <c r="B478" s="1" t="str">
        <f ca="1">IFERROR(__xludf.DUMMYFUNCTION("""COMPUTED_VALUE"""),"Martínez")</f>
        <v>Martínez</v>
      </c>
      <c r="C478" s="1" t="str">
        <f ca="1">IFERROR(__xludf.DUMMYFUNCTION("""COMPUTED_VALUE"""),"LAFC")</f>
        <v>LAFC</v>
      </c>
      <c r="D478" s="1" t="str">
        <f ca="1">IFERROR(__xludf.DUMMYFUNCTION("""COMPUTED_VALUE"""),"Right Wing")</f>
        <v>Right Wing</v>
      </c>
      <c r="E478" s="2">
        <f ca="1">IFERROR(__xludf.DUMMYFUNCTION("""COMPUTED_VALUE"""),500000)</f>
        <v>500000</v>
      </c>
      <c r="F478" s="2">
        <f ca="1">IFERROR(__xludf.DUMMYFUNCTION("""COMPUTED_VALUE"""),500000)</f>
        <v>500000</v>
      </c>
      <c r="H478" s="1" t="str">
        <f t="shared" ca="1" si="16"/>
        <v>Right Wing</v>
      </c>
      <c r="I478" s="3" t="str">
        <f t="shared" ca="1" si="17"/>
        <v>Right Wing</v>
      </c>
      <c r="J478" s="1" t="str">
        <f t="shared" ca="1" si="18"/>
        <v>Right Wing</v>
      </c>
      <c r="K478" s="1" t="str">
        <f t="shared" ca="1" si="31"/>
        <v>Right Wing</v>
      </c>
      <c r="L478" s="1" t="str">
        <f t="shared" ca="1" si="19"/>
        <v>Right Wing</v>
      </c>
      <c r="M478" s="1" t="str">
        <f t="shared" ca="1" si="20"/>
        <v>Right Wing</v>
      </c>
      <c r="N478" s="1" t="str">
        <f t="shared" ca="1" si="21"/>
        <v>F</v>
      </c>
      <c r="O478" s="1" t="str">
        <f t="shared" ca="1" si="22"/>
        <v>F</v>
      </c>
      <c r="P478" s="1" t="str">
        <f t="shared" ca="1" si="23"/>
        <v>F</v>
      </c>
      <c r="Q478" s="1" t="str">
        <f t="shared" ca="1" si="24"/>
        <v>F</v>
      </c>
      <c r="R478" s="1" t="str">
        <f t="shared" ca="1" si="25"/>
        <v>F</v>
      </c>
      <c r="S478" s="1" t="str">
        <f t="shared" ca="1" si="26"/>
        <v>F</v>
      </c>
      <c r="T478" s="1" t="str">
        <f t="shared" ca="1" si="27"/>
        <v>F</v>
      </c>
      <c r="U478" s="1" t="str">
        <f t="shared" ca="1" si="28"/>
        <v>F</v>
      </c>
      <c r="V478" s="1" t="str">
        <f t="shared" ca="1" si="29"/>
        <v>F</v>
      </c>
      <c r="W478" s="1" t="str">
        <f t="shared" ca="1" si="30"/>
        <v>David Martínez</v>
      </c>
    </row>
    <row r="479" spans="1:23">
      <c r="A479" s="1" t="str">
        <f ca="1">IFERROR(__xludf.DUMMYFUNCTION("""COMPUTED_VALUE"""),"Alonso")</f>
        <v>Alonso</v>
      </c>
      <c r="B479" s="1" t="str">
        <f ca="1">IFERROR(__xludf.DUMMYFUNCTION("""COMPUTED_VALUE"""),"Martínez")</f>
        <v>Martínez</v>
      </c>
      <c r="C479" s="1" t="str">
        <f ca="1">IFERROR(__xludf.DUMMYFUNCTION("""COMPUTED_VALUE"""),"New York City FC")</f>
        <v>New York City FC</v>
      </c>
      <c r="D479" s="1" t="str">
        <f ca="1">IFERROR(__xludf.DUMMYFUNCTION("""COMPUTED_VALUE"""),"Right Wing")</f>
        <v>Right Wing</v>
      </c>
      <c r="E479" s="2">
        <f ca="1">IFERROR(__xludf.DUMMYFUNCTION("""COMPUTED_VALUE"""),300000)</f>
        <v>300000</v>
      </c>
      <c r="F479" s="2">
        <f ca="1">IFERROR(__xludf.DUMMYFUNCTION("""COMPUTED_VALUE"""),328483)</f>
        <v>328483</v>
      </c>
      <c r="H479" s="1" t="str">
        <f t="shared" ca="1" si="16"/>
        <v>Right Wing</v>
      </c>
      <c r="I479" s="3" t="str">
        <f t="shared" ca="1" si="17"/>
        <v>Right Wing</v>
      </c>
      <c r="J479" s="1" t="str">
        <f t="shared" ca="1" si="18"/>
        <v>Right Wing</v>
      </c>
      <c r="K479" s="1" t="str">
        <f t="shared" ca="1" si="31"/>
        <v>Right Wing</v>
      </c>
      <c r="L479" s="1" t="str">
        <f t="shared" ca="1" si="19"/>
        <v>Right Wing</v>
      </c>
      <c r="M479" s="1" t="str">
        <f t="shared" ca="1" si="20"/>
        <v>Right Wing</v>
      </c>
      <c r="N479" s="1" t="str">
        <f t="shared" ca="1" si="21"/>
        <v>F</v>
      </c>
      <c r="O479" s="1" t="str">
        <f t="shared" ca="1" si="22"/>
        <v>F</v>
      </c>
      <c r="P479" s="1" t="str">
        <f t="shared" ca="1" si="23"/>
        <v>F</v>
      </c>
      <c r="Q479" s="1" t="str">
        <f t="shared" ca="1" si="24"/>
        <v>F</v>
      </c>
      <c r="R479" s="1" t="str">
        <f t="shared" ca="1" si="25"/>
        <v>F</v>
      </c>
      <c r="S479" s="1" t="str">
        <f t="shared" ca="1" si="26"/>
        <v>F</v>
      </c>
      <c r="T479" s="1" t="str">
        <f t="shared" ca="1" si="27"/>
        <v>F</v>
      </c>
      <c r="U479" s="1" t="str">
        <f t="shared" ca="1" si="28"/>
        <v>F</v>
      </c>
      <c r="V479" s="1" t="str">
        <f t="shared" ca="1" si="29"/>
        <v>F</v>
      </c>
      <c r="W479" s="1" t="str">
        <f t="shared" ca="1" si="30"/>
        <v>Alonso Martínez</v>
      </c>
    </row>
    <row r="480" spans="1:23">
      <c r="A480" s="1" t="str">
        <f ca="1">IFERROR(__xludf.DUMMYFUNCTION("""COMPUTED_VALUE"""),"Josef")</f>
        <v>Josef</v>
      </c>
      <c r="B480" s="1" t="str">
        <f ca="1">IFERROR(__xludf.DUMMYFUNCTION("""COMPUTED_VALUE"""),"Martínez")</f>
        <v>Martínez</v>
      </c>
      <c r="C480" s="1" t="str">
        <f ca="1">IFERROR(__xludf.DUMMYFUNCTION("""COMPUTED_VALUE"""),"CF Montreal")</f>
        <v>CF Montreal</v>
      </c>
      <c r="D480" s="1" t="str">
        <f ca="1">IFERROR(__xludf.DUMMYFUNCTION("""COMPUTED_VALUE"""),"Center Forward")</f>
        <v>Center Forward</v>
      </c>
      <c r="E480" s="2">
        <f ca="1">IFERROR(__xludf.DUMMYFUNCTION("""COMPUTED_VALUE"""),1309091)</f>
        <v>1309091</v>
      </c>
      <c r="F480" s="2">
        <f ca="1">IFERROR(__xludf.DUMMYFUNCTION("""COMPUTED_VALUE"""),1309091)</f>
        <v>1309091</v>
      </c>
      <c r="H480" s="1" t="str">
        <f t="shared" ca="1" si="16"/>
        <v>Center Forward</v>
      </c>
      <c r="I480" s="3" t="str">
        <f t="shared" ca="1" si="17"/>
        <v>Center Forward</v>
      </c>
      <c r="J480" s="1" t="str">
        <f t="shared" ca="1" si="18"/>
        <v>Center Forward</v>
      </c>
      <c r="K480" s="1" t="str">
        <f t="shared" ca="1" si="31"/>
        <v>Center Forward</v>
      </c>
      <c r="L480" s="1" t="str">
        <f t="shared" ca="1" si="19"/>
        <v>Center Forward</v>
      </c>
      <c r="M480" s="1" t="str">
        <f t="shared" ca="1" si="20"/>
        <v>Center Forward</v>
      </c>
      <c r="N480" s="1" t="str">
        <f t="shared" ca="1" si="21"/>
        <v>Center Forward</v>
      </c>
      <c r="O480" s="1" t="str">
        <f t="shared" ca="1" si="22"/>
        <v>F</v>
      </c>
      <c r="P480" s="1" t="str">
        <f t="shared" ca="1" si="23"/>
        <v>F</v>
      </c>
      <c r="Q480" s="1" t="str">
        <f t="shared" ca="1" si="24"/>
        <v>F</v>
      </c>
      <c r="R480" s="1" t="str">
        <f t="shared" ca="1" si="25"/>
        <v>F</v>
      </c>
      <c r="S480" s="1" t="str">
        <f t="shared" ca="1" si="26"/>
        <v>F</v>
      </c>
      <c r="T480" s="1" t="str">
        <f t="shared" ca="1" si="27"/>
        <v>F</v>
      </c>
      <c r="U480" s="1" t="str">
        <f t="shared" ca="1" si="28"/>
        <v>F</v>
      </c>
      <c r="V480" s="1" t="str">
        <f t="shared" ca="1" si="29"/>
        <v>F</v>
      </c>
      <c r="W480" s="1" t="str">
        <f t="shared" ca="1" si="30"/>
        <v>Josef Martínez</v>
      </c>
    </row>
    <row r="481" spans="1:23">
      <c r="A481" s="1" t="str">
        <f ca="1">IFERROR(__xludf.DUMMYFUNCTION("""COMPUTED_VALUE"""),"José")</f>
        <v>José</v>
      </c>
      <c r="B481" s="1" t="str">
        <f ca="1">IFERROR(__xludf.DUMMYFUNCTION("""COMPUTED_VALUE"""),"Martínez")</f>
        <v>Martínez</v>
      </c>
      <c r="C481" s="1" t="str">
        <f ca="1">IFERROR(__xludf.DUMMYFUNCTION("""COMPUTED_VALUE"""),"Philadelphia Union")</f>
        <v>Philadelphia Union</v>
      </c>
      <c r="D481" s="1" t="str">
        <f ca="1">IFERROR(__xludf.DUMMYFUNCTION("""COMPUTED_VALUE"""),"Defensive Midfield")</f>
        <v>Defensive Midfield</v>
      </c>
      <c r="E481" s="2">
        <f ca="1">IFERROR(__xludf.DUMMYFUNCTION("""COMPUTED_VALUE"""),600000)</f>
        <v>600000</v>
      </c>
      <c r="F481" s="2">
        <f ca="1">IFERROR(__xludf.DUMMYFUNCTION("""COMPUTED_VALUE"""),674167)</f>
        <v>674167</v>
      </c>
      <c r="H481" s="1" t="str">
        <f t="shared" ca="1" si="16"/>
        <v>Defensive Midfield</v>
      </c>
      <c r="I481" s="3" t="str">
        <f t="shared" ca="1" si="17"/>
        <v>Defensive Midfield</v>
      </c>
      <c r="J481" s="1" t="str">
        <f t="shared" ca="1" si="18"/>
        <v>Defensive Midfield</v>
      </c>
      <c r="K481" s="1" t="str">
        <f t="shared" ca="1" si="31"/>
        <v>M</v>
      </c>
      <c r="L481" s="1" t="str">
        <f t="shared" ca="1" si="19"/>
        <v>M</v>
      </c>
      <c r="M481" s="1" t="str">
        <f t="shared" ca="1" si="20"/>
        <v>M</v>
      </c>
      <c r="N481" s="1" t="str">
        <f t="shared" ca="1" si="21"/>
        <v>M</v>
      </c>
      <c r="O481" s="1" t="str">
        <f t="shared" ca="1" si="22"/>
        <v>M</v>
      </c>
      <c r="P481" s="1" t="str">
        <f t="shared" ca="1" si="23"/>
        <v>M</v>
      </c>
      <c r="Q481" s="1" t="str">
        <f t="shared" ca="1" si="24"/>
        <v>M</v>
      </c>
      <c r="R481" s="1" t="str">
        <f t="shared" ca="1" si="25"/>
        <v>M</v>
      </c>
      <c r="S481" s="1" t="str">
        <f t="shared" ca="1" si="26"/>
        <v>M</v>
      </c>
      <c r="T481" s="1" t="str">
        <f t="shared" ca="1" si="27"/>
        <v>M</v>
      </c>
      <c r="U481" s="1" t="str">
        <f t="shared" ca="1" si="28"/>
        <v>M</v>
      </c>
      <c r="V481" s="1" t="str">
        <f t="shared" ca="1" si="29"/>
        <v>M</v>
      </c>
      <c r="W481" s="1" t="str">
        <f t="shared" ca="1" si="30"/>
        <v>José Martínez</v>
      </c>
    </row>
    <row r="482" spans="1:23">
      <c r="A482" s="1" t="str">
        <f ca="1">IFERROR(__xludf.DUMMYFUNCTION("""COMPUTED_VALUE"""),"Ben")</f>
        <v>Ben</v>
      </c>
      <c r="B482" s="1" t="str">
        <f ca="1">IFERROR(__xludf.DUMMYFUNCTION("""COMPUTED_VALUE"""),"Martino")</f>
        <v>Martino</v>
      </c>
      <c r="C482" s="1" t="str">
        <f ca="1">IFERROR(__xludf.DUMMYFUNCTION("""COMPUTED_VALUE"""),"Nashville SC")</f>
        <v>Nashville SC</v>
      </c>
      <c r="D482" s="1" t="str">
        <f ca="1">IFERROR(__xludf.DUMMYFUNCTION("""COMPUTED_VALUE"""),"Goalkeeper")</f>
        <v>Goalkeeper</v>
      </c>
      <c r="E482" s="2">
        <f ca="1">IFERROR(__xludf.DUMMYFUNCTION("""COMPUTED_VALUE"""),89716)</f>
        <v>89716</v>
      </c>
      <c r="F482" s="2">
        <f ca="1">IFERROR(__xludf.DUMMYFUNCTION("""COMPUTED_VALUE"""),109966)</f>
        <v>109966</v>
      </c>
      <c r="H482" s="1" t="str">
        <f t="shared" ca="1" si="16"/>
        <v>Goalkeeper</v>
      </c>
      <c r="I482" s="3" t="str">
        <f t="shared" ca="1" si="17"/>
        <v>Goalkeeper</v>
      </c>
      <c r="J482" s="1" t="str">
        <f t="shared" ca="1" si="18"/>
        <v>Goalkeeper</v>
      </c>
      <c r="K482" s="1" t="str">
        <f t="shared" ca="1" si="31"/>
        <v>Goalkeeper</v>
      </c>
      <c r="L482" s="1" t="str">
        <f t="shared" ca="1" si="19"/>
        <v>Goalkeeper</v>
      </c>
      <c r="M482" s="1" t="str">
        <f t="shared" ca="1" si="20"/>
        <v>Goalkeeper</v>
      </c>
      <c r="N482" s="1" t="str">
        <f t="shared" ca="1" si="21"/>
        <v>Goalkeeper</v>
      </c>
      <c r="O482" s="1" t="str">
        <f t="shared" ca="1" si="22"/>
        <v>Goalkeeper</v>
      </c>
      <c r="P482" s="1" t="str">
        <f t="shared" ca="1" si="23"/>
        <v>Goalkeeper</v>
      </c>
      <c r="Q482" s="1" t="str">
        <f t="shared" ca="1" si="24"/>
        <v>Goalkeeper</v>
      </c>
      <c r="R482" s="1" t="str">
        <f t="shared" ca="1" si="25"/>
        <v>GK</v>
      </c>
      <c r="S482" s="1" t="str">
        <f t="shared" ca="1" si="26"/>
        <v>GK</v>
      </c>
      <c r="T482" s="1" t="str">
        <f t="shared" ca="1" si="27"/>
        <v>GK</v>
      </c>
      <c r="U482" s="1" t="str">
        <f t="shared" ca="1" si="28"/>
        <v>GK</v>
      </c>
      <c r="V482" s="1" t="str">
        <f t="shared" ca="1" si="29"/>
        <v>GK</v>
      </c>
      <c r="W482" s="1" t="str">
        <f t="shared" ca="1" si="30"/>
        <v>Ben Martino</v>
      </c>
    </row>
    <row r="483" spans="1:23">
      <c r="A483" s="1" t="str">
        <f ca="1">IFERROR(__xludf.DUMMYFUNCTION("""COMPUTED_VALUE"""),"Thiago")</f>
        <v>Thiago</v>
      </c>
      <c r="B483" s="1" t="str">
        <f ca="1">IFERROR(__xludf.DUMMYFUNCTION("""COMPUTED_VALUE"""),"Martins")</f>
        <v>Martins</v>
      </c>
      <c r="C483" s="1" t="str">
        <f ca="1">IFERROR(__xludf.DUMMYFUNCTION("""COMPUTED_VALUE"""),"New York City FC")</f>
        <v>New York City FC</v>
      </c>
      <c r="D483" s="1" t="str">
        <f ca="1">IFERROR(__xludf.DUMMYFUNCTION("""COMPUTED_VALUE"""),"Center-back")</f>
        <v>Center-back</v>
      </c>
      <c r="E483" s="2">
        <f ca="1">IFERROR(__xludf.DUMMYFUNCTION("""COMPUTED_VALUE"""),2000000)</f>
        <v>2000000</v>
      </c>
      <c r="F483" s="2">
        <f ca="1">IFERROR(__xludf.DUMMYFUNCTION("""COMPUTED_VALUE"""),2462000)</f>
        <v>2462000</v>
      </c>
      <c r="H483" s="1" t="str">
        <f t="shared" ca="1" si="16"/>
        <v>D</v>
      </c>
      <c r="I483" s="3" t="str">
        <f t="shared" ca="1" si="17"/>
        <v>D</v>
      </c>
      <c r="J483" s="1" t="str">
        <f t="shared" ca="1" si="18"/>
        <v>D</v>
      </c>
      <c r="K483" s="1" t="str">
        <f t="shared" ca="1" si="31"/>
        <v>D</v>
      </c>
      <c r="L483" s="1" t="str">
        <f t="shared" ca="1" si="19"/>
        <v>D</v>
      </c>
      <c r="M483" s="1" t="str">
        <f t="shared" ca="1" si="20"/>
        <v>D</v>
      </c>
      <c r="N483" s="1" t="str">
        <f t="shared" ca="1" si="21"/>
        <v>D</v>
      </c>
      <c r="O483" s="1" t="str">
        <f t="shared" ca="1" si="22"/>
        <v>D</v>
      </c>
      <c r="P483" s="1" t="str">
        <f t="shared" ca="1" si="23"/>
        <v>D</v>
      </c>
      <c r="Q483" s="1" t="str">
        <f t="shared" ca="1" si="24"/>
        <v>D</v>
      </c>
      <c r="R483" s="1" t="str">
        <f t="shared" ca="1" si="25"/>
        <v>D</v>
      </c>
      <c r="S483" s="1" t="str">
        <f t="shared" ca="1" si="26"/>
        <v>D</v>
      </c>
      <c r="T483" s="1" t="str">
        <f t="shared" ca="1" si="27"/>
        <v>D</v>
      </c>
      <c r="U483" s="1" t="str">
        <f t="shared" ca="1" si="28"/>
        <v>D</v>
      </c>
      <c r="V483" s="1" t="str">
        <f t="shared" ca="1" si="29"/>
        <v>D</v>
      </c>
      <c r="W483" s="1" t="str">
        <f t="shared" ca="1" si="30"/>
        <v>Thiago Martins</v>
      </c>
    </row>
    <row r="484" spans="1:23">
      <c r="A484" s="1" t="str">
        <f ca="1">IFERROR(__xludf.DUMMYFUNCTION("""COMPUTED_VALUE"""),"Felipe")</f>
        <v>Felipe</v>
      </c>
      <c r="B484" s="1" t="str">
        <f ca="1">IFERROR(__xludf.DUMMYFUNCTION("""COMPUTED_VALUE"""),"Martins")</f>
        <v>Martins</v>
      </c>
      <c r="C484" s="1" t="str">
        <f ca="1">IFERROR(__xludf.DUMMYFUNCTION("""COMPUTED_VALUE"""),"Orlando City SC")</f>
        <v>Orlando City SC</v>
      </c>
      <c r="D484" s="1" t="str">
        <f ca="1">IFERROR(__xludf.DUMMYFUNCTION("""COMPUTED_VALUE"""),"Central Midfield")</f>
        <v>Central Midfield</v>
      </c>
      <c r="E484" s="2">
        <f ca="1">IFERROR(__xludf.DUMMYFUNCTION("""COMPUTED_VALUE"""),150000)</f>
        <v>150000</v>
      </c>
      <c r="F484" s="2">
        <f ca="1">IFERROR(__xludf.DUMMYFUNCTION("""COMPUTED_VALUE"""),150000)</f>
        <v>150000</v>
      </c>
      <c r="H484" s="1" t="str">
        <f t="shared" ca="1" si="16"/>
        <v>Central Midfield</v>
      </c>
      <c r="I484" s="3" t="str">
        <f t="shared" ca="1" si="17"/>
        <v>Central Midfield</v>
      </c>
      <c r="J484" s="1" t="str">
        <f t="shared" ca="1" si="18"/>
        <v>Central Midfield</v>
      </c>
      <c r="K484" s="1" t="str">
        <f t="shared" ca="1" si="31"/>
        <v>Central Midfield</v>
      </c>
      <c r="L484" s="1" t="str">
        <f t="shared" ca="1" si="19"/>
        <v>M</v>
      </c>
      <c r="M484" s="1" t="str">
        <f t="shared" ca="1" si="20"/>
        <v>M</v>
      </c>
      <c r="N484" s="1" t="str">
        <f t="shared" ca="1" si="21"/>
        <v>M</v>
      </c>
      <c r="O484" s="1" t="str">
        <f t="shared" ca="1" si="22"/>
        <v>M</v>
      </c>
      <c r="P484" s="1" t="str">
        <f t="shared" ca="1" si="23"/>
        <v>M</v>
      </c>
      <c r="Q484" s="1" t="str">
        <f t="shared" ca="1" si="24"/>
        <v>M</v>
      </c>
      <c r="R484" s="1" t="str">
        <f t="shared" ca="1" si="25"/>
        <v>M</v>
      </c>
      <c r="S484" s="1" t="str">
        <f t="shared" ca="1" si="26"/>
        <v>M</v>
      </c>
      <c r="T484" s="1" t="str">
        <f t="shared" ca="1" si="27"/>
        <v>M</v>
      </c>
      <c r="U484" s="1" t="str">
        <f t="shared" ca="1" si="28"/>
        <v>M</v>
      </c>
      <c r="V484" s="1" t="str">
        <f t="shared" ca="1" si="29"/>
        <v>M</v>
      </c>
      <c r="W484" s="1" t="str">
        <f t="shared" ca="1" si="30"/>
        <v>Felipe Martins</v>
      </c>
    </row>
    <row r="485" spans="1:23">
      <c r="A485" s="1" t="str">
        <f ca="1">IFERROR(__xludf.DUMMYFUNCTION("""COMPUTED_VALUE"""),"Luís")</f>
        <v>Luís</v>
      </c>
      <c r="B485" s="1" t="str">
        <f ca="1">IFERROR(__xludf.DUMMYFUNCTION("""COMPUTED_VALUE"""),"Martins")</f>
        <v>Martins</v>
      </c>
      <c r="C485" s="1" t="str">
        <f ca="1">IFERROR(__xludf.DUMMYFUNCTION("""COMPUTED_VALUE"""),"Vancouver Whitecaps")</f>
        <v>Vancouver Whitecaps</v>
      </c>
      <c r="D485" s="1" t="str">
        <f ca="1">IFERROR(__xludf.DUMMYFUNCTION("""COMPUTED_VALUE"""),"Left-back")</f>
        <v>Left-back</v>
      </c>
      <c r="E485" s="2">
        <f ca="1">IFERROR(__xludf.DUMMYFUNCTION("""COMPUTED_VALUE"""),300000)</f>
        <v>300000</v>
      </c>
      <c r="F485" s="2">
        <f ca="1">IFERROR(__xludf.DUMMYFUNCTION("""COMPUTED_VALUE"""),300000)</f>
        <v>300000</v>
      </c>
      <c r="H485" s="1" t="str">
        <f t="shared" ca="1" si="16"/>
        <v>Left-back</v>
      </c>
      <c r="I485" s="3" t="str">
        <f t="shared" ca="1" si="17"/>
        <v>D</v>
      </c>
      <c r="J485" s="1" t="str">
        <f t="shared" ca="1" si="18"/>
        <v>D</v>
      </c>
      <c r="K485" s="1" t="str">
        <f t="shared" ca="1" si="31"/>
        <v>D</v>
      </c>
      <c r="L485" s="1" t="str">
        <f t="shared" ca="1" si="19"/>
        <v>D</v>
      </c>
      <c r="M485" s="1" t="str">
        <f t="shared" ca="1" si="20"/>
        <v>D</v>
      </c>
      <c r="N485" s="1" t="str">
        <f t="shared" ca="1" si="21"/>
        <v>D</v>
      </c>
      <c r="O485" s="1" t="str">
        <f t="shared" ca="1" si="22"/>
        <v>D</v>
      </c>
      <c r="P485" s="1" t="str">
        <f t="shared" ca="1" si="23"/>
        <v>D</v>
      </c>
      <c r="Q485" s="1" t="str">
        <f t="shared" ca="1" si="24"/>
        <v>D</v>
      </c>
      <c r="R485" s="1" t="str">
        <f t="shared" ca="1" si="25"/>
        <v>D</v>
      </c>
      <c r="S485" s="1" t="str">
        <f t="shared" ca="1" si="26"/>
        <v>D</v>
      </c>
      <c r="T485" s="1" t="str">
        <f t="shared" ca="1" si="27"/>
        <v>D</v>
      </c>
      <c r="U485" s="1" t="str">
        <f t="shared" ca="1" si="28"/>
        <v>D</v>
      </c>
      <c r="V485" s="1" t="str">
        <f t="shared" ca="1" si="29"/>
        <v>D</v>
      </c>
      <c r="W485" s="1" t="str">
        <f t="shared" ca="1" si="30"/>
        <v>Luís Martins</v>
      </c>
    </row>
    <row r="486" spans="1:23">
      <c r="A486" s="1" t="str">
        <f ca="1">IFERROR(__xludf.DUMMYFUNCTION("""COMPUTED_VALUE"""),"Alexandru")</f>
        <v>Alexandru</v>
      </c>
      <c r="B486" s="1" t="str">
        <f ca="1">IFERROR(__xludf.DUMMYFUNCTION("""COMPUTED_VALUE"""),"Matan")</f>
        <v>Matan</v>
      </c>
      <c r="C486" s="1" t="str">
        <f ca="1">IFERROR(__xludf.DUMMYFUNCTION("""COMPUTED_VALUE"""),"Columbus Crew")</f>
        <v>Columbus Crew</v>
      </c>
      <c r="D486" s="1" t="str">
        <f ca="1">IFERROR(__xludf.DUMMYFUNCTION("""COMPUTED_VALUE"""),"Left Wing")</f>
        <v>Left Wing</v>
      </c>
      <c r="E486" s="2">
        <f ca="1">IFERROR(__xludf.DUMMYFUNCTION("""COMPUTED_VALUE"""),450000)</f>
        <v>450000</v>
      </c>
      <c r="F486" s="2">
        <f ca="1">IFERROR(__xludf.DUMMYFUNCTION("""COMPUTED_VALUE"""),483250)</f>
        <v>483250</v>
      </c>
      <c r="H486" s="1" t="str">
        <f t="shared" ca="1" si="16"/>
        <v>Left Wing</v>
      </c>
      <c r="I486" s="3" t="str">
        <f t="shared" ca="1" si="17"/>
        <v>Left Wing</v>
      </c>
      <c r="J486" s="1" t="str">
        <f t="shared" ca="1" si="18"/>
        <v>Left Wing</v>
      </c>
      <c r="K486" s="1" t="str">
        <f t="shared" ca="1" si="31"/>
        <v>Left Wing</v>
      </c>
      <c r="L486" s="1" t="str">
        <f t="shared" ca="1" si="19"/>
        <v>Left Wing</v>
      </c>
      <c r="M486" s="1" t="str">
        <f t="shared" ca="1" si="20"/>
        <v>Left Wing</v>
      </c>
      <c r="N486" s="1" t="str">
        <f t="shared" ca="1" si="21"/>
        <v>Left Wing</v>
      </c>
      <c r="O486" s="1" t="str">
        <f t="shared" ca="1" si="22"/>
        <v>Left Wing</v>
      </c>
      <c r="P486" s="1" t="str">
        <f t="shared" ca="1" si="23"/>
        <v>F</v>
      </c>
      <c r="Q486" s="1" t="str">
        <f t="shared" ca="1" si="24"/>
        <v>F</v>
      </c>
      <c r="R486" s="1" t="str">
        <f t="shared" ca="1" si="25"/>
        <v>F</v>
      </c>
      <c r="S486" s="1" t="str">
        <f t="shared" ca="1" si="26"/>
        <v>F</v>
      </c>
      <c r="T486" s="1" t="str">
        <f t="shared" ca="1" si="27"/>
        <v>F</v>
      </c>
      <c r="U486" s="1" t="str">
        <f t="shared" ca="1" si="28"/>
        <v>F</v>
      </c>
      <c r="V486" s="1" t="str">
        <f t="shared" ca="1" si="29"/>
        <v>F</v>
      </c>
      <c r="W486" s="1" t="str">
        <f t="shared" ca="1" si="30"/>
        <v>Alexandru Matan</v>
      </c>
    </row>
    <row r="487" spans="1:23">
      <c r="A487" s="1" t="str">
        <f ca="1">IFERROR(__xludf.DUMMYFUNCTION("""COMPUTED_VALUE"""),"Jimmy")</f>
        <v>Jimmy</v>
      </c>
      <c r="B487" s="1" t="str">
        <f ca="1">IFERROR(__xludf.DUMMYFUNCTION("""COMPUTED_VALUE"""),"Maurer")</f>
        <v>Maurer</v>
      </c>
      <c r="C487" s="1" t="str">
        <f ca="1">IFERROR(__xludf.DUMMYFUNCTION("""COMPUTED_VALUE"""),"FC Dallas")</f>
        <v>FC Dallas</v>
      </c>
      <c r="D487" s="1" t="str">
        <f ca="1">IFERROR(__xludf.DUMMYFUNCTION("""COMPUTED_VALUE"""),"Goalkeeper")</f>
        <v>Goalkeeper</v>
      </c>
      <c r="E487" s="2">
        <f ca="1">IFERROR(__xludf.DUMMYFUNCTION("""COMPUTED_VALUE"""),89716)</f>
        <v>89716</v>
      </c>
      <c r="F487" s="2">
        <f ca="1">IFERROR(__xludf.DUMMYFUNCTION("""COMPUTED_VALUE"""),113716)</f>
        <v>113716</v>
      </c>
      <c r="H487" s="1" t="str">
        <f t="shared" ca="1" si="16"/>
        <v>Goalkeeper</v>
      </c>
      <c r="I487" s="3" t="str">
        <f t="shared" ca="1" si="17"/>
        <v>Goalkeeper</v>
      </c>
      <c r="J487" s="1" t="str">
        <f t="shared" ca="1" si="18"/>
        <v>Goalkeeper</v>
      </c>
      <c r="K487" s="1" t="str">
        <f t="shared" ca="1" si="31"/>
        <v>Goalkeeper</v>
      </c>
      <c r="L487" s="1" t="str">
        <f t="shared" ca="1" si="19"/>
        <v>Goalkeeper</v>
      </c>
      <c r="M487" s="1" t="str">
        <f t="shared" ca="1" si="20"/>
        <v>Goalkeeper</v>
      </c>
      <c r="N487" s="1" t="str">
        <f t="shared" ca="1" si="21"/>
        <v>Goalkeeper</v>
      </c>
      <c r="O487" s="1" t="str">
        <f t="shared" ca="1" si="22"/>
        <v>Goalkeeper</v>
      </c>
      <c r="P487" s="1" t="str">
        <f t="shared" ca="1" si="23"/>
        <v>Goalkeeper</v>
      </c>
      <c r="Q487" s="1" t="str">
        <f t="shared" ca="1" si="24"/>
        <v>Goalkeeper</v>
      </c>
      <c r="R487" s="1" t="str">
        <f t="shared" ca="1" si="25"/>
        <v>GK</v>
      </c>
      <c r="S487" s="1" t="str">
        <f t="shared" ca="1" si="26"/>
        <v>GK</v>
      </c>
      <c r="T487" s="1" t="str">
        <f t="shared" ca="1" si="27"/>
        <v>GK</v>
      </c>
      <c r="U487" s="1" t="str">
        <f t="shared" ca="1" si="28"/>
        <v>GK</v>
      </c>
      <c r="V487" s="1" t="str">
        <f t="shared" ca="1" si="29"/>
        <v>GK</v>
      </c>
      <c r="W487" s="1" t="str">
        <f t="shared" ca="1" si="30"/>
        <v>Jimmy Maurer</v>
      </c>
    </row>
    <row r="488" spans="1:23">
      <c r="A488" s="1" t="str">
        <f ca="1">IFERROR(__xludf.DUMMYFUNCTION("""COMPUTED_VALUE"""),"Chris")</f>
        <v>Chris</v>
      </c>
      <c r="B488" s="1" t="str">
        <f ca="1">IFERROR(__xludf.DUMMYFUNCTION("""COMPUTED_VALUE"""),"Mavinga")</f>
        <v>Mavinga</v>
      </c>
      <c r="C488" s="1" t="str">
        <f ca="1">IFERROR(__xludf.DUMMYFUNCTION("""COMPUTED_VALUE"""),"MLS Pool")</f>
        <v>MLS Pool</v>
      </c>
      <c r="D488" s="1" t="str">
        <f ca="1">IFERROR(__xludf.DUMMYFUNCTION("""COMPUTED_VALUE"""),"Center-back")</f>
        <v>Center-back</v>
      </c>
      <c r="E488" s="2">
        <f ca="1">IFERROR(__xludf.DUMMYFUNCTION("""COMPUTED_VALUE"""),650000)</f>
        <v>650000</v>
      </c>
      <c r="F488" s="2">
        <f ca="1">IFERROR(__xludf.DUMMYFUNCTION("""COMPUTED_VALUE"""),702500)</f>
        <v>702500</v>
      </c>
      <c r="H488" s="1" t="str">
        <f t="shared" ca="1" si="16"/>
        <v>D</v>
      </c>
      <c r="I488" s="3" t="str">
        <f t="shared" ca="1" si="17"/>
        <v>D</v>
      </c>
      <c r="J488" s="1" t="str">
        <f t="shared" ca="1" si="18"/>
        <v>D</v>
      </c>
      <c r="K488" s="1" t="str">
        <f t="shared" ca="1" si="31"/>
        <v>D</v>
      </c>
      <c r="L488" s="1" t="str">
        <f t="shared" ca="1" si="19"/>
        <v>D</v>
      </c>
      <c r="M488" s="1" t="str">
        <f t="shared" ca="1" si="20"/>
        <v>D</v>
      </c>
      <c r="N488" s="1" t="str">
        <f t="shared" ca="1" si="21"/>
        <v>D</v>
      </c>
      <c r="O488" s="1" t="str">
        <f t="shared" ca="1" si="22"/>
        <v>D</v>
      </c>
      <c r="P488" s="1" t="str">
        <f t="shared" ca="1" si="23"/>
        <v>D</v>
      </c>
      <c r="Q488" s="1" t="str">
        <f t="shared" ca="1" si="24"/>
        <v>D</v>
      </c>
      <c r="R488" s="1" t="str">
        <f t="shared" ca="1" si="25"/>
        <v>D</v>
      </c>
      <c r="S488" s="1" t="str">
        <f t="shared" ca="1" si="26"/>
        <v>D</v>
      </c>
      <c r="T488" s="1" t="str">
        <f t="shared" ca="1" si="27"/>
        <v>D</v>
      </c>
      <c r="U488" s="1" t="str">
        <f t="shared" ca="1" si="28"/>
        <v>D</v>
      </c>
      <c r="V488" s="1" t="str">
        <f t="shared" ca="1" si="29"/>
        <v>D</v>
      </c>
      <c r="W488" s="1" t="str">
        <f t="shared" ca="1" si="30"/>
        <v>Chris Mavinga</v>
      </c>
    </row>
    <row r="489" spans="1:23">
      <c r="A489" s="1" t="str">
        <f ca="1">IFERROR(__xludf.DUMMYFUNCTION("""COMPUTED_VALUE"""),"Andreas")</f>
        <v>Andreas</v>
      </c>
      <c r="B489" s="1" t="str">
        <f ca="1">IFERROR(__xludf.DUMMYFUNCTION("""COMPUTED_VALUE"""),"Maxsø")</f>
        <v>Maxsø</v>
      </c>
      <c r="C489" s="1" t="str">
        <f ca="1">IFERROR(__xludf.DUMMYFUNCTION("""COMPUTED_VALUE"""),"Colorado Rapids")</f>
        <v>Colorado Rapids</v>
      </c>
      <c r="D489" s="1" t="str">
        <f ca="1">IFERROR(__xludf.DUMMYFUNCTION("""COMPUTED_VALUE"""),"Center-back")</f>
        <v>Center-back</v>
      </c>
      <c r="E489" s="2">
        <f ca="1">IFERROR(__xludf.DUMMYFUNCTION("""COMPUTED_VALUE"""),1150000)</f>
        <v>1150000</v>
      </c>
      <c r="F489" s="2">
        <f ca="1">IFERROR(__xludf.DUMMYFUNCTION("""COMPUTED_VALUE"""),1342500)</f>
        <v>1342500</v>
      </c>
      <c r="H489" s="1" t="str">
        <f t="shared" ca="1" si="16"/>
        <v>D</v>
      </c>
      <c r="I489" s="3" t="str">
        <f t="shared" ca="1" si="17"/>
        <v>D</v>
      </c>
      <c r="J489" s="1" t="str">
        <f t="shared" ca="1" si="18"/>
        <v>D</v>
      </c>
      <c r="K489" s="1" t="str">
        <f t="shared" ca="1" si="31"/>
        <v>D</v>
      </c>
      <c r="L489" s="1" t="str">
        <f t="shared" ca="1" si="19"/>
        <v>D</v>
      </c>
      <c r="M489" s="1" t="str">
        <f t="shared" ca="1" si="20"/>
        <v>D</v>
      </c>
      <c r="N489" s="1" t="str">
        <f t="shared" ca="1" si="21"/>
        <v>D</v>
      </c>
      <c r="O489" s="1" t="str">
        <f t="shared" ca="1" si="22"/>
        <v>D</v>
      </c>
      <c r="P489" s="1" t="str">
        <f t="shared" ca="1" si="23"/>
        <v>D</v>
      </c>
      <c r="Q489" s="1" t="str">
        <f t="shared" ca="1" si="24"/>
        <v>D</v>
      </c>
      <c r="R489" s="1" t="str">
        <f t="shared" ca="1" si="25"/>
        <v>D</v>
      </c>
      <c r="S489" s="1" t="str">
        <f t="shared" ca="1" si="26"/>
        <v>D</v>
      </c>
      <c r="T489" s="1" t="str">
        <f t="shared" ca="1" si="27"/>
        <v>D</v>
      </c>
      <c r="U489" s="1" t="str">
        <f t="shared" ca="1" si="28"/>
        <v>D</v>
      </c>
      <c r="V489" s="1" t="str">
        <f t="shared" ca="1" si="29"/>
        <v>D</v>
      </c>
      <c r="W489" s="1" t="str">
        <f t="shared" ca="1" si="30"/>
        <v>Andreas Maxsø</v>
      </c>
    </row>
    <row r="490" spans="1:23">
      <c r="A490" s="1" t="str">
        <f ca="1">IFERROR(__xludf.DUMMYFUNCTION("""COMPUTED_VALUE"""),"Mamadou")</f>
        <v>Mamadou</v>
      </c>
      <c r="B490" s="1" t="str">
        <f ca="1">IFERROR(__xludf.DUMMYFUNCTION("""COMPUTED_VALUE"""),"Mbacke")</f>
        <v>Mbacke</v>
      </c>
      <c r="C490" s="1" t="str">
        <f ca="1">IFERROR(__xludf.DUMMYFUNCTION("""COMPUTED_VALUE"""),"LAFC")</f>
        <v>LAFC</v>
      </c>
      <c r="D490" s="1" t="str">
        <f ca="1">IFERROR(__xludf.DUMMYFUNCTION("""COMPUTED_VALUE"""),"Center-back")</f>
        <v>Center-back</v>
      </c>
      <c r="E490" s="2">
        <f ca="1">IFERROR(__xludf.DUMMYFUNCTION("""COMPUTED_VALUE"""),175000)</f>
        <v>175000</v>
      </c>
      <c r="F490" s="2">
        <f ca="1">IFERROR(__xludf.DUMMYFUNCTION("""COMPUTED_VALUE"""),187750)</f>
        <v>187750</v>
      </c>
      <c r="H490" s="1" t="str">
        <f t="shared" ca="1" si="16"/>
        <v>D</v>
      </c>
      <c r="I490" s="3" t="str">
        <f t="shared" ca="1" si="17"/>
        <v>D</v>
      </c>
      <c r="J490" s="1" t="str">
        <f t="shared" ca="1" si="18"/>
        <v>D</v>
      </c>
      <c r="K490" s="1" t="str">
        <f t="shared" ca="1" si="31"/>
        <v>D</v>
      </c>
      <c r="L490" s="1" t="str">
        <f t="shared" ca="1" si="19"/>
        <v>D</v>
      </c>
      <c r="M490" s="1" t="str">
        <f t="shared" ca="1" si="20"/>
        <v>D</v>
      </c>
      <c r="N490" s="1" t="str">
        <f t="shared" ca="1" si="21"/>
        <v>D</v>
      </c>
      <c r="O490" s="1" t="str">
        <f t="shared" ca="1" si="22"/>
        <v>D</v>
      </c>
      <c r="P490" s="1" t="str">
        <f t="shared" ca="1" si="23"/>
        <v>D</v>
      </c>
      <c r="Q490" s="1" t="str">
        <f t="shared" ca="1" si="24"/>
        <v>D</v>
      </c>
      <c r="R490" s="1" t="str">
        <f t="shared" ca="1" si="25"/>
        <v>D</v>
      </c>
      <c r="S490" s="1" t="str">
        <f t="shared" ca="1" si="26"/>
        <v>D</v>
      </c>
      <c r="T490" s="1" t="str">
        <f t="shared" ca="1" si="27"/>
        <v>D</v>
      </c>
      <c r="U490" s="1" t="str">
        <f t="shared" ca="1" si="28"/>
        <v>D</v>
      </c>
      <c r="V490" s="1" t="str">
        <f t="shared" ca="1" si="29"/>
        <v>D</v>
      </c>
      <c r="W490" s="1" t="str">
        <f t="shared" ca="1" si="30"/>
        <v>Mamadou Mbacke</v>
      </c>
    </row>
    <row r="491" spans="1:23">
      <c r="A491" s="1" t="str">
        <f ca="1">IFERROR(__xludf.DUMMYFUNCTION("""COMPUTED_VALUE"""),"Olivier")</f>
        <v>Olivier</v>
      </c>
      <c r="B491" s="1" t="str">
        <f ca="1">IFERROR(__xludf.DUMMYFUNCTION("""COMPUTED_VALUE"""),"Mbaizo")</f>
        <v>Mbaizo</v>
      </c>
      <c r="C491" s="1" t="str">
        <f ca="1">IFERROR(__xludf.DUMMYFUNCTION("""COMPUTED_VALUE"""),"Philadelphia Union")</f>
        <v>Philadelphia Union</v>
      </c>
      <c r="D491" s="1" t="str">
        <f ca="1">IFERROR(__xludf.DUMMYFUNCTION("""COMPUTED_VALUE"""),"Right-back")</f>
        <v>Right-back</v>
      </c>
      <c r="E491" s="2">
        <f ca="1">IFERROR(__xludf.DUMMYFUNCTION("""COMPUTED_VALUE"""),350000)</f>
        <v>350000</v>
      </c>
      <c r="F491" s="2">
        <f ca="1">IFERROR(__xludf.DUMMYFUNCTION("""COMPUTED_VALUE"""),423589)</f>
        <v>423589</v>
      </c>
      <c r="H491" s="1" t="str">
        <f t="shared" ca="1" si="16"/>
        <v>Right-back</v>
      </c>
      <c r="I491" s="3" t="str">
        <f t="shared" ca="1" si="17"/>
        <v>Right-back</v>
      </c>
      <c r="J491" s="1" t="str">
        <f t="shared" ca="1" si="18"/>
        <v>D</v>
      </c>
      <c r="K491" s="1" t="str">
        <f t="shared" ca="1" si="31"/>
        <v>D</v>
      </c>
      <c r="L491" s="1" t="str">
        <f t="shared" ca="1" si="19"/>
        <v>D</v>
      </c>
      <c r="M491" s="1" t="str">
        <f t="shared" ca="1" si="20"/>
        <v>D</v>
      </c>
      <c r="N491" s="1" t="str">
        <f t="shared" ca="1" si="21"/>
        <v>D</v>
      </c>
      <c r="O491" s="1" t="str">
        <f t="shared" ca="1" si="22"/>
        <v>D</v>
      </c>
      <c r="P491" s="1" t="str">
        <f t="shared" ca="1" si="23"/>
        <v>D</v>
      </c>
      <c r="Q491" s="1" t="str">
        <f t="shared" ca="1" si="24"/>
        <v>D</v>
      </c>
      <c r="R491" s="1" t="str">
        <f t="shared" ca="1" si="25"/>
        <v>D</v>
      </c>
      <c r="S491" s="1" t="str">
        <f t="shared" ca="1" si="26"/>
        <v>D</v>
      </c>
      <c r="T491" s="1" t="str">
        <f t="shared" ca="1" si="27"/>
        <v>D</v>
      </c>
      <c r="U491" s="1" t="str">
        <f t="shared" ca="1" si="28"/>
        <v>D</v>
      </c>
      <c r="V491" s="1" t="str">
        <f t="shared" ca="1" si="29"/>
        <v>D</v>
      </c>
      <c r="W491" s="1" t="str">
        <f t="shared" ca="1" si="30"/>
        <v>Olivier Mbaizo</v>
      </c>
    </row>
    <row r="492" spans="1:23">
      <c r="A492" s="1" t="str">
        <f ca="1">IFERROR(__xludf.DUMMYFUNCTION("""COMPUTED_VALUE"""),"Hugo")</f>
        <v>Hugo</v>
      </c>
      <c r="B492" s="1" t="str">
        <f ca="1">IFERROR(__xludf.DUMMYFUNCTION("""COMPUTED_VALUE"""),"Mbongue")</f>
        <v>Mbongue</v>
      </c>
      <c r="C492" s="1" t="str">
        <f ca="1">IFERROR(__xludf.DUMMYFUNCTION("""COMPUTED_VALUE"""),"Toronto FC")</f>
        <v>Toronto FC</v>
      </c>
      <c r="D492" s="1" t="str">
        <f ca="1">IFERROR(__xludf.DUMMYFUNCTION("""COMPUTED_VALUE"""),"Center Forward")</f>
        <v>Center Forward</v>
      </c>
      <c r="E492" s="2">
        <f ca="1">IFERROR(__xludf.DUMMYFUNCTION("""COMPUTED_VALUE"""),89716)</f>
        <v>89716</v>
      </c>
      <c r="F492" s="2">
        <f ca="1">IFERROR(__xludf.DUMMYFUNCTION("""COMPUTED_VALUE"""),101143)</f>
        <v>101143</v>
      </c>
      <c r="H492" s="1" t="str">
        <f t="shared" ca="1" si="16"/>
        <v>Center Forward</v>
      </c>
      <c r="I492" s="3" t="str">
        <f t="shared" ca="1" si="17"/>
        <v>Center Forward</v>
      </c>
      <c r="J492" s="1" t="str">
        <f t="shared" ca="1" si="18"/>
        <v>Center Forward</v>
      </c>
      <c r="K492" s="1" t="str">
        <f t="shared" ca="1" si="31"/>
        <v>Center Forward</v>
      </c>
      <c r="L492" s="1" t="str">
        <f t="shared" ca="1" si="19"/>
        <v>Center Forward</v>
      </c>
      <c r="M492" s="1" t="str">
        <f t="shared" ca="1" si="20"/>
        <v>Center Forward</v>
      </c>
      <c r="N492" s="1" t="str">
        <f t="shared" ca="1" si="21"/>
        <v>Center Forward</v>
      </c>
      <c r="O492" s="1" t="str">
        <f t="shared" ca="1" si="22"/>
        <v>F</v>
      </c>
      <c r="P492" s="1" t="str">
        <f t="shared" ca="1" si="23"/>
        <v>F</v>
      </c>
      <c r="Q492" s="1" t="str">
        <f t="shared" ca="1" si="24"/>
        <v>F</v>
      </c>
      <c r="R492" s="1" t="str">
        <f t="shared" ca="1" si="25"/>
        <v>F</v>
      </c>
      <c r="S492" s="1" t="str">
        <f t="shared" ca="1" si="26"/>
        <v>F</v>
      </c>
      <c r="T492" s="1" t="str">
        <f t="shared" ca="1" si="27"/>
        <v>F</v>
      </c>
      <c r="U492" s="1" t="str">
        <f t="shared" ca="1" si="28"/>
        <v>F</v>
      </c>
      <c r="V492" s="1" t="str">
        <f t="shared" ca="1" si="29"/>
        <v>F</v>
      </c>
      <c r="W492" s="1" t="str">
        <f t="shared" ca="1" si="30"/>
        <v>Hugo Mbongue</v>
      </c>
    </row>
    <row r="493" spans="1:23">
      <c r="A493" s="1" t="str">
        <f ca="1">IFERROR(__xludf.DUMMYFUNCTION("""COMPUTED_VALUE"""),"John")</f>
        <v>John</v>
      </c>
      <c r="B493" s="1" t="str">
        <f ca="1">IFERROR(__xludf.DUMMYFUNCTION("""COMPUTED_VALUE"""),"McCarthy")</f>
        <v>McCarthy</v>
      </c>
      <c r="C493" s="1" t="str">
        <f ca="1">IFERROR(__xludf.DUMMYFUNCTION("""COMPUTED_VALUE"""),"LA Galaxy")</f>
        <v>LA Galaxy</v>
      </c>
      <c r="D493" s="1" t="str">
        <f ca="1">IFERROR(__xludf.DUMMYFUNCTION("""COMPUTED_VALUE"""),"Goalkeeper")</f>
        <v>Goalkeeper</v>
      </c>
      <c r="E493" s="2">
        <f ca="1">IFERROR(__xludf.DUMMYFUNCTION("""COMPUTED_VALUE"""),275000)</f>
        <v>275000</v>
      </c>
      <c r="F493" s="2">
        <f ca="1">IFERROR(__xludf.DUMMYFUNCTION("""COMPUTED_VALUE"""),290000)</f>
        <v>290000</v>
      </c>
      <c r="H493" s="1" t="str">
        <f t="shared" ca="1" si="16"/>
        <v>Goalkeeper</v>
      </c>
      <c r="I493" s="3" t="str">
        <f t="shared" ca="1" si="17"/>
        <v>Goalkeeper</v>
      </c>
      <c r="J493" s="1" t="str">
        <f t="shared" ca="1" si="18"/>
        <v>Goalkeeper</v>
      </c>
      <c r="K493" s="1" t="str">
        <f t="shared" ca="1" si="31"/>
        <v>Goalkeeper</v>
      </c>
      <c r="L493" s="1" t="str">
        <f t="shared" ca="1" si="19"/>
        <v>Goalkeeper</v>
      </c>
      <c r="M493" s="1" t="str">
        <f t="shared" ca="1" si="20"/>
        <v>Goalkeeper</v>
      </c>
      <c r="N493" s="1" t="str">
        <f t="shared" ca="1" si="21"/>
        <v>Goalkeeper</v>
      </c>
      <c r="O493" s="1" t="str">
        <f t="shared" ca="1" si="22"/>
        <v>Goalkeeper</v>
      </c>
      <c r="P493" s="1" t="str">
        <f t="shared" ca="1" si="23"/>
        <v>Goalkeeper</v>
      </c>
      <c r="Q493" s="1" t="str">
        <f t="shared" ca="1" si="24"/>
        <v>Goalkeeper</v>
      </c>
      <c r="R493" s="1" t="str">
        <f t="shared" ca="1" si="25"/>
        <v>GK</v>
      </c>
      <c r="S493" s="1" t="str">
        <f t="shared" ca="1" si="26"/>
        <v>GK</v>
      </c>
      <c r="T493" s="1" t="str">
        <f t="shared" ca="1" si="27"/>
        <v>GK</v>
      </c>
      <c r="U493" s="1" t="str">
        <f t="shared" ca="1" si="28"/>
        <v>GK</v>
      </c>
      <c r="V493" s="1" t="str">
        <f t="shared" ca="1" si="29"/>
        <v>GK</v>
      </c>
      <c r="W493" s="1" t="str">
        <f t="shared" ca="1" si="30"/>
        <v>John McCarthy</v>
      </c>
    </row>
    <row r="494" spans="1:23">
      <c r="A494" s="1" t="str">
        <f ca="1">IFERROR(__xludf.DUMMYFUNCTION("""COMPUTED_VALUE"""),"Dax")</f>
        <v>Dax</v>
      </c>
      <c r="B494" s="1" t="str">
        <f ca="1">IFERROR(__xludf.DUMMYFUNCTION("""COMPUTED_VALUE"""),"McCarty")</f>
        <v>McCarty</v>
      </c>
      <c r="C494" s="1" t="str">
        <f ca="1">IFERROR(__xludf.DUMMYFUNCTION("""COMPUTED_VALUE"""),"Atlanta United")</f>
        <v>Atlanta United</v>
      </c>
      <c r="D494" s="1" t="str">
        <f ca="1">IFERROR(__xludf.DUMMYFUNCTION("""COMPUTED_VALUE"""),"Central Midfield")</f>
        <v>Central Midfield</v>
      </c>
      <c r="E494" s="2">
        <f ca="1">IFERROR(__xludf.DUMMYFUNCTION("""COMPUTED_VALUE"""),225000)</f>
        <v>225000</v>
      </c>
      <c r="F494" s="2">
        <f ca="1">IFERROR(__xludf.DUMMYFUNCTION("""COMPUTED_VALUE"""),256250)</f>
        <v>256250</v>
      </c>
      <c r="H494" s="1" t="str">
        <f t="shared" ca="1" si="16"/>
        <v>Central Midfield</v>
      </c>
      <c r="I494" s="3" t="str">
        <f t="shared" ca="1" si="17"/>
        <v>Central Midfield</v>
      </c>
      <c r="J494" s="1" t="str">
        <f t="shared" ca="1" si="18"/>
        <v>Central Midfield</v>
      </c>
      <c r="K494" s="1" t="str">
        <f t="shared" ca="1" si="31"/>
        <v>Central Midfield</v>
      </c>
      <c r="L494" s="1" t="str">
        <f t="shared" ca="1" si="19"/>
        <v>M</v>
      </c>
      <c r="M494" s="1" t="str">
        <f t="shared" ca="1" si="20"/>
        <v>M</v>
      </c>
      <c r="N494" s="1" t="str">
        <f t="shared" ca="1" si="21"/>
        <v>M</v>
      </c>
      <c r="O494" s="1" t="str">
        <f t="shared" ca="1" si="22"/>
        <v>M</v>
      </c>
      <c r="P494" s="1" t="str">
        <f t="shared" ca="1" si="23"/>
        <v>M</v>
      </c>
      <c r="Q494" s="1" t="str">
        <f t="shared" ca="1" si="24"/>
        <v>M</v>
      </c>
      <c r="R494" s="1" t="str">
        <f t="shared" ca="1" si="25"/>
        <v>M</v>
      </c>
      <c r="S494" s="1" t="str">
        <f t="shared" ca="1" si="26"/>
        <v>M</v>
      </c>
      <c r="T494" s="1" t="str">
        <f t="shared" ca="1" si="27"/>
        <v>M</v>
      </c>
      <c r="U494" s="1" t="str">
        <f t="shared" ca="1" si="28"/>
        <v>M</v>
      </c>
      <c r="V494" s="1" t="str">
        <f t="shared" ca="1" si="29"/>
        <v>M</v>
      </c>
      <c r="W494" s="1" t="str">
        <f t="shared" ca="1" si="30"/>
        <v>Dax McCarty</v>
      </c>
    </row>
    <row r="495" spans="1:23">
      <c r="A495" s="1" t="str">
        <f ca="1">IFERROR(__xludf.DUMMYFUNCTION("""COMPUTED_VALUE"""),"Aiden")</f>
        <v>Aiden</v>
      </c>
      <c r="B495" s="1" t="str">
        <f ca="1">IFERROR(__xludf.DUMMYFUNCTION("""COMPUTED_VALUE"""),"McFadden")</f>
        <v>McFadden</v>
      </c>
      <c r="C495" s="1" t="str">
        <f ca="1">IFERROR(__xludf.DUMMYFUNCTION("""COMPUTED_VALUE"""),"Atlanta United")</f>
        <v>Atlanta United</v>
      </c>
      <c r="D495" s="1" t="str">
        <f ca="1">IFERROR(__xludf.DUMMYFUNCTION("""COMPUTED_VALUE"""),"Right-back")</f>
        <v>Right-back</v>
      </c>
      <c r="E495" s="2">
        <f ca="1">IFERROR(__xludf.DUMMYFUNCTION("""COMPUTED_VALUE"""),89716)</f>
        <v>89716</v>
      </c>
      <c r="F495" s="2">
        <f ca="1">IFERROR(__xludf.DUMMYFUNCTION("""COMPUTED_VALUE"""),89716)</f>
        <v>89716</v>
      </c>
      <c r="H495" s="1" t="str">
        <f t="shared" ca="1" si="16"/>
        <v>Right-back</v>
      </c>
      <c r="I495" s="3" t="str">
        <f t="shared" ca="1" si="17"/>
        <v>Right-back</v>
      </c>
      <c r="J495" s="1" t="str">
        <f t="shared" ca="1" si="18"/>
        <v>D</v>
      </c>
      <c r="K495" s="1" t="str">
        <f t="shared" ca="1" si="31"/>
        <v>D</v>
      </c>
      <c r="L495" s="1" t="str">
        <f t="shared" ca="1" si="19"/>
        <v>D</v>
      </c>
      <c r="M495" s="1" t="str">
        <f t="shared" ca="1" si="20"/>
        <v>D</v>
      </c>
      <c r="N495" s="1" t="str">
        <f t="shared" ca="1" si="21"/>
        <v>D</v>
      </c>
      <c r="O495" s="1" t="str">
        <f t="shared" ca="1" si="22"/>
        <v>D</v>
      </c>
      <c r="P495" s="1" t="str">
        <f t="shared" ca="1" si="23"/>
        <v>D</v>
      </c>
      <c r="Q495" s="1" t="str">
        <f t="shared" ca="1" si="24"/>
        <v>D</v>
      </c>
      <c r="R495" s="1" t="str">
        <f t="shared" ca="1" si="25"/>
        <v>D</v>
      </c>
      <c r="S495" s="1" t="str">
        <f t="shared" ca="1" si="26"/>
        <v>D</v>
      </c>
      <c r="T495" s="1" t="str">
        <f t="shared" ca="1" si="27"/>
        <v>D</v>
      </c>
      <c r="U495" s="1" t="str">
        <f t="shared" ca="1" si="28"/>
        <v>D</v>
      </c>
      <c r="V495" s="1" t="str">
        <f t="shared" ca="1" si="29"/>
        <v>D</v>
      </c>
      <c r="W495" s="1" t="str">
        <f t="shared" ca="1" si="30"/>
        <v>Aiden McFadden</v>
      </c>
    </row>
    <row r="496" spans="1:23">
      <c r="A496" s="1" t="str">
        <f ca="1">IFERROR(__xludf.DUMMYFUNCTION("""COMPUTED_VALUE"""),"Christian")</f>
        <v>Christian</v>
      </c>
      <c r="B496" s="1" t="str">
        <f ca="1">IFERROR(__xludf.DUMMYFUNCTION("""COMPUTED_VALUE"""),"McFarlane")</f>
        <v>McFarlane</v>
      </c>
      <c r="C496" s="1" t="str">
        <f ca="1">IFERROR(__xludf.DUMMYFUNCTION("""COMPUTED_VALUE"""),"New York City FC")</f>
        <v>New York City FC</v>
      </c>
      <c r="D496" s="1" t="str">
        <f ca="1">IFERROR(__xludf.DUMMYFUNCTION("""COMPUTED_VALUE"""),"Left-back")</f>
        <v>Left-back</v>
      </c>
      <c r="E496" s="2">
        <f ca="1">IFERROR(__xludf.DUMMYFUNCTION("""COMPUTED_VALUE"""),89716)</f>
        <v>89716</v>
      </c>
      <c r="F496" s="2">
        <f ca="1">IFERROR(__xludf.DUMMYFUNCTION("""COMPUTED_VALUE"""),112972)</f>
        <v>112972</v>
      </c>
      <c r="H496" s="1" t="str">
        <f t="shared" ca="1" si="16"/>
        <v>Left-back</v>
      </c>
      <c r="I496" s="3" t="str">
        <f t="shared" ca="1" si="17"/>
        <v>D</v>
      </c>
      <c r="J496" s="1" t="str">
        <f t="shared" ca="1" si="18"/>
        <v>D</v>
      </c>
      <c r="K496" s="1" t="str">
        <f t="shared" ca="1" si="31"/>
        <v>D</v>
      </c>
      <c r="L496" s="1" t="str">
        <f t="shared" ca="1" si="19"/>
        <v>D</v>
      </c>
      <c r="M496" s="1" t="str">
        <f t="shared" ca="1" si="20"/>
        <v>D</v>
      </c>
      <c r="N496" s="1" t="str">
        <f t="shared" ca="1" si="21"/>
        <v>D</v>
      </c>
      <c r="O496" s="1" t="str">
        <f t="shared" ca="1" si="22"/>
        <v>D</v>
      </c>
      <c r="P496" s="1" t="str">
        <f t="shared" ca="1" si="23"/>
        <v>D</v>
      </c>
      <c r="Q496" s="1" t="str">
        <f t="shared" ca="1" si="24"/>
        <v>D</v>
      </c>
      <c r="R496" s="1" t="str">
        <f t="shared" ca="1" si="25"/>
        <v>D</v>
      </c>
      <c r="S496" s="1" t="str">
        <f t="shared" ca="1" si="26"/>
        <v>D</v>
      </c>
      <c r="T496" s="1" t="str">
        <f t="shared" ca="1" si="27"/>
        <v>D</v>
      </c>
      <c r="U496" s="1" t="str">
        <f t="shared" ca="1" si="28"/>
        <v>D</v>
      </c>
      <c r="V496" s="1" t="str">
        <f t="shared" ca="1" si="29"/>
        <v>D</v>
      </c>
      <c r="W496" s="1" t="str">
        <f t="shared" ca="1" si="30"/>
        <v>Christian McFarlane</v>
      </c>
    </row>
    <row r="497" spans="1:23">
      <c r="A497" s="1" t="str">
        <f ca="1">IFERROR(__xludf.DUMMYFUNCTION("""COMPUTED_VALUE"""),"Jack")</f>
        <v>Jack</v>
      </c>
      <c r="B497" s="1" t="str">
        <f ca="1">IFERROR(__xludf.DUMMYFUNCTION("""COMPUTED_VALUE"""),"McGlynn")</f>
        <v>McGlynn</v>
      </c>
      <c r="C497" s="1" t="str">
        <f ca="1">IFERROR(__xludf.DUMMYFUNCTION("""COMPUTED_VALUE"""),"Philadelphia Union")</f>
        <v>Philadelphia Union</v>
      </c>
      <c r="D497" s="1" t="str">
        <f ca="1">IFERROR(__xludf.DUMMYFUNCTION("""COMPUTED_VALUE"""),"Central Midfield")</f>
        <v>Central Midfield</v>
      </c>
      <c r="E497" s="2">
        <f ca="1">IFERROR(__xludf.DUMMYFUNCTION("""COMPUTED_VALUE"""),200000)</f>
        <v>200000</v>
      </c>
      <c r="F497" s="2">
        <f ca="1">IFERROR(__xludf.DUMMYFUNCTION("""COMPUTED_VALUE"""),226533)</f>
        <v>226533</v>
      </c>
      <c r="H497" s="1" t="str">
        <f t="shared" ca="1" si="16"/>
        <v>Central Midfield</v>
      </c>
      <c r="I497" s="3" t="str">
        <f t="shared" ca="1" si="17"/>
        <v>Central Midfield</v>
      </c>
      <c r="J497" s="1" t="str">
        <f t="shared" ca="1" si="18"/>
        <v>Central Midfield</v>
      </c>
      <c r="K497" s="1" t="str">
        <f t="shared" ca="1" si="31"/>
        <v>Central Midfield</v>
      </c>
      <c r="L497" s="1" t="str">
        <f t="shared" ca="1" si="19"/>
        <v>M</v>
      </c>
      <c r="M497" s="1" t="str">
        <f t="shared" ca="1" si="20"/>
        <v>M</v>
      </c>
      <c r="N497" s="1" t="str">
        <f t="shared" ca="1" si="21"/>
        <v>M</v>
      </c>
      <c r="O497" s="1" t="str">
        <f t="shared" ca="1" si="22"/>
        <v>M</v>
      </c>
      <c r="P497" s="1" t="str">
        <f t="shared" ca="1" si="23"/>
        <v>M</v>
      </c>
      <c r="Q497" s="1" t="str">
        <f t="shared" ca="1" si="24"/>
        <v>M</v>
      </c>
      <c r="R497" s="1" t="str">
        <f t="shared" ca="1" si="25"/>
        <v>M</v>
      </c>
      <c r="S497" s="1" t="str">
        <f t="shared" ca="1" si="26"/>
        <v>M</v>
      </c>
      <c r="T497" s="1" t="str">
        <f t="shared" ca="1" si="27"/>
        <v>M</v>
      </c>
      <c r="U497" s="1" t="str">
        <f t="shared" ca="1" si="28"/>
        <v>M</v>
      </c>
      <c r="V497" s="1" t="str">
        <f t="shared" ca="1" si="29"/>
        <v>M</v>
      </c>
      <c r="W497" s="1" t="str">
        <f t="shared" ca="1" si="30"/>
        <v>Jack McGlynn</v>
      </c>
    </row>
    <row r="498" spans="1:23">
      <c r="A498" s="1" t="str">
        <f ca="1">IFERROR(__xludf.DUMMYFUNCTION("""COMPUTED_VALUE"""),"Zac")</f>
        <v>Zac</v>
      </c>
      <c r="B498" s="1" t="str">
        <f ca="1">IFERROR(__xludf.DUMMYFUNCTION("""COMPUTED_VALUE"""),"McGraw")</f>
        <v>McGraw</v>
      </c>
      <c r="C498" s="1" t="str">
        <f ca="1">IFERROR(__xludf.DUMMYFUNCTION("""COMPUTED_VALUE"""),"Portland Timbers")</f>
        <v>Portland Timbers</v>
      </c>
      <c r="D498" s="1" t="str">
        <f ca="1">IFERROR(__xludf.DUMMYFUNCTION("""COMPUTED_VALUE"""),"Center-back")</f>
        <v>Center-back</v>
      </c>
      <c r="E498" s="2">
        <f ca="1">IFERROR(__xludf.DUMMYFUNCTION("""COMPUTED_VALUE"""),150000)</f>
        <v>150000</v>
      </c>
      <c r="F498" s="2">
        <f ca="1">IFERROR(__xludf.DUMMYFUNCTION("""COMPUTED_VALUE"""),171875)</f>
        <v>171875</v>
      </c>
      <c r="H498" s="1" t="str">
        <f t="shared" ca="1" si="16"/>
        <v>D</v>
      </c>
      <c r="I498" s="3" t="str">
        <f t="shared" ca="1" si="17"/>
        <v>D</v>
      </c>
      <c r="J498" s="1" t="str">
        <f t="shared" ca="1" si="18"/>
        <v>D</v>
      </c>
      <c r="K498" s="1" t="str">
        <f t="shared" ca="1" si="31"/>
        <v>D</v>
      </c>
      <c r="L498" s="1" t="str">
        <f t="shared" ca="1" si="19"/>
        <v>D</v>
      </c>
      <c r="M498" s="1" t="str">
        <f t="shared" ca="1" si="20"/>
        <v>D</v>
      </c>
      <c r="N498" s="1" t="str">
        <f t="shared" ca="1" si="21"/>
        <v>D</v>
      </c>
      <c r="O498" s="1" t="str">
        <f t="shared" ca="1" si="22"/>
        <v>D</v>
      </c>
      <c r="P498" s="1" t="str">
        <f t="shared" ca="1" si="23"/>
        <v>D</v>
      </c>
      <c r="Q498" s="1" t="str">
        <f t="shared" ca="1" si="24"/>
        <v>D</v>
      </c>
      <c r="R498" s="1" t="str">
        <f t="shared" ca="1" si="25"/>
        <v>D</v>
      </c>
      <c r="S498" s="1" t="str">
        <f t="shared" ca="1" si="26"/>
        <v>D</v>
      </c>
      <c r="T498" s="1" t="str">
        <f t="shared" ca="1" si="27"/>
        <v>D</v>
      </c>
      <c r="U498" s="1" t="str">
        <f t="shared" ca="1" si="28"/>
        <v>D</v>
      </c>
      <c r="V498" s="1" t="str">
        <f t="shared" ca="1" si="29"/>
        <v>D</v>
      </c>
      <c r="W498" s="1" t="str">
        <f t="shared" ca="1" si="30"/>
        <v>Zac McGraw</v>
      </c>
    </row>
    <row r="499" spans="1:23">
      <c r="A499" s="1" t="str">
        <f ca="1">IFERROR(__xludf.DUMMYFUNCTION("""COMPUTED_VALUE"""),"Duncan")</f>
        <v>Duncan</v>
      </c>
      <c r="B499" s="1" t="str">
        <f ca="1">IFERROR(__xludf.DUMMYFUNCTION("""COMPUTED_VALUE"""),"McGuire")</f>
        <v>McGuire</v>
      </c>
      <c r="C499" s="1" t="str">
        <f ca="1">IFERROR(__xludf.DUMMYFUNCTION("""COMPUTED_VALUE"""),"Orlando City SC")</f>
        <v>Orlando City SC</v>
      </c>
      <c r="D499" s="1" t="str">
        <f ca="1">IFERROR(__xludf.DUMMYFUNCTION("""COMPUTED_VALUE"""),"Center Forward")</f>
        <v>Center Forward</v>
      </c>
      <c r="E499" s="2">
        <f ca="1">IFERROR(__xludf.DUMMYFUNCTION("""COMPUTED_VALUE"""),89716)</f>
        <v>89716</v>
      </c>
      <c r="F499" s="2">
        <f ca="1">IFERROR(__xludf.DUMMYFUNCTION("""COMPUTED_VALUE"""),99716)</f>
        <v>99716</v>
      </c>
      <c r="H499" s="1" t="str">
        <f t="shared" ca="1" si="16"/>
        <v>Center Forward</v>
      </c>
      <c r="I499" s="3" t="str">
        <f t="shared" ca="1" si="17"/>
        <v>Center Forward</v>
      </c>
      <c r="J499" s="1" t="str">
        <f t="shared" ca="1" si="18"/>
        <v>Center Forward</v>
      </c>
      <c r="K499" s="1" t="str">
        <f t="shared" ca="1" si="31"/>
        <v>Center Forward</v>
      </c>
      <c r="L499" s="1" t="str">
        <f t="shared" ca="1" si="19"/>
        <v>Center Forward</v>
      </c>
      <c r="M499" s="1" t="str">
        <f t="shared" ca="1" si="20"/>
        <v>Center Forward</v>
      </c>
      <c r="N499" s="1" t="str">
        <f t="shared" ca="1" si="21"/>
        <v>Center Forward</v>
      </c>
      <c r="O499" s="1" t="str">
        <f t="shared" ca="1" si="22"/>
        <v>F</v>
      </c>
      <c r="P499" s="1" t="str">
        <f t="shared" ca="1" si="23"/>
        <v>F</v>
      </c>
      <c r="Q499" s="1" t="str">
        <f t="shared" ca="1" si="24"/>
        <v>F</v>
      </c>
      <c r="R499" s="1" t="str">
        <f t="shared" ca="1" si="25"/>
        <v>F</v>
      </c>
      <c r="S499" s="1" t="str">
        <f t="shared" ca="1" si="26"/>
        <v>F</v>
      </c>
      <c r="T499" s="1" t="str">
        <f t="shared" ca="1" si="27"/>
        <v>F</v>
      </c>
      <c r="U499" s="1" t="str">
        <f t="shared" ca="1" si="28"/>
        <v>F</v>
      </c>
      <c r="V499" s="1" t="str">
        <f t="shared" ca="1" si="29"/>
        <v>F</v>
      </c>
      <c r="W499" s="1" t="str">
        <f t="shared" ca="1" si="30"/>
        <v>Duncan McGuire</v>
      </c>
    </row>
    <row r="500" spans="1:23">
      <c r="A500" s="1" t="str">
        <f ca="1">IFERROR(__xludf.DUMMYFUNCTION("""COMPUTED_VALUE"""),"Tommy")</f>
        <v>Tommy</v>
      </c>
      <c r="B500" s="1" t="str">
        <f ca="1">IFERROR(__xludf.DUMMYFUNCTION("""COMPUTED_VALUE"""),"McNamara")</f>
        <v>McNamara</v>
      </c>
      <c r="C500" s="1" t="str">
        <f ca="1">IFERROR(__xludf.DUMMYFUNCTION("""COMPUTED_VALUE"""),"New England Revolution")</f>
        <v>New England Revolution</v>
      </c>
      <c r="D500" s="1" t="str">
        <f ca="1">IFERROR(__xludf.DUMMYFUNCTION("""COMPUTED_VALUE"""),"Left Wing")</f>
        <v>Left Wing</v>
      </c>
      <c r="E500" s="2">
        <f ca="1">IFERROR(__xludf.DUMMYFUNCTION("""COMPUTED_VALUE"""),435000)</f>
        <v>435000</v>
      </c>
      <c r="F500" s="2">
        <f ca="1">IFERROR(__xludf.DUMMYFUNCTION("""COMPUTED_VALUE"""),435000)</f>
        <v>435000</v>
      </c>
      <c r="H500" s="1" t="str">
        <f t="shared" ca="1" si="16"/>
        <v>Left Wing</v>
      </c>
      <c r="I500" s="3" t="str">
        <f t="shared" ca="1" si="17"/>
        <v>Left Wing</v>
      </c>
      <c r="J500" s="1" t="str">
        <f t="shared" ca="1" si="18"/>
        <v>Left Wing</v>
      </c>
      <c r="K500" s="1" t="str">
        <f t="shared" ca="1" si="31"/>
        <v>Left Wing</v>
      </c>
      <c r="L500" s="1" t="str">
        <f t="shared" ca="1" si="19"/>
        <v>Left Wing</v>
      </c>
      <c r="M500" s="1" t="str">
        <f t="shared" ca="1" si="20"/>
        <v>Left Wing</v>
      </c>
      <c r="N500" s="1" t="str">
        <f t="shared" ca="1" si="21"/>
        <v>Left Wing</v>
      </c>
      <c r="O500" s="1" t="str">
        <f t="shared" ca="1" si="22"/>
        <v>Left Wing</v>
      </c>
      <c r="P500" s="1" t="str">
        <f t="shared" ca="1" si="23"/>
        <v>F</v>
      </c>
      <c r="Q500" s="1" t="str">
        <f t="shared" ca="1" si="24"/>
        <v>F</v>
      </c>
      <c r="R500" s="1" t="str">
        <f t="shared" ca="1" si="25"/>
        <v>F</v>
      </c>
      <c r="S500" s="1" t="str">
        <f t="shared" ca="1" si="26"/>
        <v>F</v>
      </c>
      <c r="T500" s="1" t="str">
        <f t="shared" ca="1" si="27"/>
        <v>F</v>
      </c>
      <c r="U500" s="1" t="str">
        <f t="shared" ca="1" si="28"/>
        <v>F</v>
      </c>
      <c r="V500" s="1" t="str">
        <f t="shared" ca="1" si="29"/>
        <v>F</v>
      </c>
      <c r="W500" s="1" t="str">
        <f t="shared" ca="1" si="30"/>
        <v>Tommy McNamara</v>
      </c>
    </row>
    <row r="501" spans="1:23">
      <c r="A501" s="1" t="str">
        <f ca="1">IFERROR(__xludf.DUMMYFUNCTION("""COMPUTED_VALUE"""),"Christopher")</f>
        <v>Christopher</v>
      </c>
      <c r="B501" s="1" t="str">
        <f ca="1">IFERROR(__xludf.DUMMYFUNCTION("""COMPUTED_VALUE"""),"McVey")</f>
        <v>McVey</v>
      </c>
      <c r="C501" s="1" t="str">
        <f ca="1">IFERROR(__xludf.DUMMYFUNCTION("""COMPUTED_VALUE"""),"DC United")</f>
        <v>DC United</v>
      </c>
      <c r="D501" s="1" t="str">
        <f ca="1">IFERROR(__xludf.DUMMYFUNCTION("""COMPUTED_VALUE"""),"Center-back")</f>
        <v>Center-back</v>
      </c>
      <c r="E501" s="2">
        <f ca="1">IFERROR(__xludf.DUMMYFUNCTION("""COMPUTED_VALUE"""),252000)</f>
        <v>252000</v>
      </c>
      <c r="F501" s="2">
        <f ca="1">IFERROR(__xludf.DUMMYFUNCTION("""COMPUTED_VALUE"""),276300)</f>
        <v>276300</v>
      </c>
      <c r="H501" s="1" t="str">
        <f t="shared" ca="1" si="16"/>
        <v>D</v>
      </c>
      <c r="I501" s="3" t="str">
        <f t="shared" ca="1" si="17"/>
        <v>D</v>
      </c>
      <c r="J501" s="1" t="str">
        <f t="shared" ca="1" si="18"/>
        <v>D</v>
      </c>
      <c r="K501" s="1" t="str">
        <f t="shared" ca="1" si="31"/>
        <v>D</v>
      </c>
      <c r="L501" s="1" t="str">
        <f t="shared" ca="1" si="19"/>
        <v>D</v>
      </c>
      <c r="M501" s="1" t="str">
        <f t="shared" ca="1" si="20"/>
        <v>D</v>
      </c>
      <c r="N501" s="1" t="str">
        <f t="shared" ca="1" si="21"/>
        <v>D</v>
      </c>
      <c r="O501" s="1" t="str">
        <f t="shared" ca="1" si="22"/>
        <v>D</v>
      </c>
      <c r="P501" s="1" t="str">
        <f t="shared" ca="1" si="23"/>
        <v>D</v>
      </c>
      <c r="Q501" s="1" t="str">
        <f t="shared" ca="1" si="24"/>
        <v>D</v>
      </c>
      <c r="R501" s="1" t="str">
        <f t="shared" ca="1" si="25"/>
        <v>D</v>
      </c>
      <c r="S501" s="1" t="str">
        <f t="shared" ca="1" si="26"/>
        <v>D</v>
      </c>
      <c r="T501" s="1" t="str">
        <f t="shared" ca="1" si="27"/>
        <v>D</v>
      </c>
      <c r="U501" s="1" t="str">
        <f t="shared" ca="1" si="28"/>
        <v>D</v>
      </c>
      <c r="V501" s="1" t="str">
        <f t="shared" ca="1" si="29"/>
        <v>D</v>
      </c>
      <c r="W501" s="1" t="str">
        <f t="shared" ca="1" si="30"/>
        <v>Christopher McVey</v>
      </c>
    </row>
    <row r="502" spans="1:23">
      <c r="A502" s="1" t="str">
        <f ca="1">IFERROR(__xludf.DUMMYFUNCTION("""COMPUTED_VALUE"""),"Ryan")</f>
        <v>Ryan</v>
      </c>
      <c r="B502" s="1" t="str">
        <f ca="1">IFERROR(__xludf.DUMMYFUNCTION("""COMPUTED_VALUE"""),"Meara")</f>
        <v>Meara</v>
      </c>
      <c r="C502" s="1" t="str">
        <f ca="1">IFERROR(__xludf.DUMMYFUNCTION("""COMPUTED_VALUE"""),"New York Red Bulls")</f>
        <v>New York Red Bulls</v>
      </c>
      <c r="D502" s="1" t="str">
        <f ca="1">IFERROR(__xludf.DUMMYFUNCTION("""COMPUTED_VALUE"""),"Goalkeeper")</f>
        <v>Goalkeeper</v>
      </c>
      <c r="E502" s="2">
        <f ca="1">IFERROR(__xludf.DUMMYFUNCTION("""COMPUTED_VALUE"""),294000)</f>
        <v>294000</v>
      </c>
      <c r="F502" s="2">
        <f ca="1">IFERROR(__xludf.DUMMYFUNCTION("""COMPUTED_VALUE"""),294000)</f>
        <v>294000</v>
      </c>
      <c r="H502" s="1" t="str">
        <f t="shared" ca="1" si="16"/>
        <v>Goalkeeper</v>
      </c>
      <c r="I502" s="3" t="str">
        <f t="shared" ca="1" si="17"/>
        <v>Goalkeeper</v>
      </c>
      <c r="J502" s="1" t="str">
        <f t="shared" ca="1" si="18"/>
        <v>Goalkeeper</v>
      </c>
      <c r="K502" s="1" t="str">
        <f t="shared" ca="1" si="31"/>
        <v>Goalkeeper</v>
      </c>
      <c r="L502" s="1" t="str">
        <f t="shared" ca="1" si="19"/>
        <v>Goalkeeper</v>
      </c>
      <c r="M502" s="1" t="str">
        <f t="shared" ca="1" si="20"/>
        <v>Goalkeeper</v>
      </c>
      <c r="N502" s="1" t="str">
        <f t="shared" ca="1" si="21"/>
        <v>Goalkeeper</v>
      </c>
      <c r="O502" s="1" t="str">
        <f t="shared" ca="1" si="22"/>
        <v>Goalkeeper</v>
      </c>
      <c r="P502" s="1" t="str">
        <f t="shared" ca="1" si="23"/>
        <v>Goalkeeper</v>
      </c>
      <c r="Q502" s="1" t="str">
        <f t="shared" ca="1" si="24"/>
        <v>Goalkeeper</v>
      </c>
      <c r="R502" s="1" t="str">
        <f t="shared" ca="1" si="25"/>
        <v>GK</v>
      </c>
      <c r="S502" s="1" t="str">
        <f t="shared" ca="1" si="26"/>
        <v>GK</v>
      </c>
      <c r="T502" s="1" t="str">
        <f t="shared" ca="1" si="27"/>
        <v>GK</v>
      </c>
      <c r="U502" s="1" t="str">
        <f t="shared" ca="1" si="28"/>
        <v>GK</v>
      </c>
      <c r="V502" s="1" t="str">
        <f t="shared" ca="1" si="29"/>
        <v>GK</v>
      </c>
      <c r="W502" s="1" t="str">
        <f t="shared" ca="1" si="30"/>
        <v>Ryan Meara</v>
      </c>
    </row>
    <row r="503" spans="1:23">
      <c r="A503" s="1" t="str">
        <f ca="1">IFERROR(__xludf.DUMMYFUNCTION("""COMPUTED_VALUE"""),"Cruz")</f>
        <v>Cruz</v>
      </c>
      <c r="B503" s="1" t="str">
        <f ca="1">IFERROR(__xludf.DUMMYFUNCTION("""COMPUTED_VALUE"""),"Medina")</f>
        <v>Medina</v>
      </c>
      <c r="C503" s="1" t="str">
        <f ca="1">IFERROR(__xludf.DUMMYFUNCTION("""COMPUTED_VALUE"""),"San Jose Earthquakes")</f>
        <v>San Jose Earthquakes</v>
      </c>
      <c r="D503" s="1" t="str">
        <f ca="1">IFERROR(__xludf.DUMMYFUNCTION("""COMPUTED_VALUE"""),"Attacking Midfield")</f>
        <v>Attacking Midfield</v>
      </c>
      <c r="E503" s="2">
        <f ca="1">IFERROR(__xludf.DUMMYFUNCTION("""COMPUTED_VALUE"""),110000)</f>
        <v>110000</v>
      </c>
      <c r="F503" s="2">
        <f ca="1">IFERROR(__xludf.DUMMYFUNCTION("""COMPUTED_VALUE"""),128394)</f>
        <v>128394</v>
      </c>
      <c r="H503" s="1" t="str">
        <f t="shared" ca="1" si="16"/>
        <v>Attacking Midfield</v>
      </c>
      <c r="I503" s="3" t="str">
        <f t="shared" ca="1" si="17"/>
        <v>Attacking Midfield</v>
      </c>
      <c r="J503" s="1" t="str">
        <f t="shared" ca="1" si="18"/>
        <v>Attacking Midfield</v>
      </c>
      <c r="K503" s="1" t="str">
        <f t="shared" ca="1" si="31"/>
        <v>Attacking Midfield</v>
      </c>
      <c r="L503" s="1" t="str">
        <f t="shared" ca="1" si="19"/>
        <v>Attacking Midfield</v>
      </c>
      <c r="M503" s="1" t="str">
        <f t="shared" ca="1" si="20"/>
        <v>M</v>
      </c>
      <c r="N503" s="1" t="str">
        <f t="shared" ca="1" si="21"/>
        <v>M</v>
      </c>
      <c r="O503" s="1" t="str">
        <f t="shared" ca="1" si="22"/>
        <v>M</v>
      </c>
      <c r="P503" s="1" t="str">
        <f t="shared" ca="1" si="23"/>
        <v>M</v>
      </c>
      <c r="Q503" s="1" t="str">
        <f t="shared" ca="1" si="24"/>
        <v>M</v>
      </c>
      <c r="R503" s="1" t="str">
        <f t="shared" ca="1" si="25"/>
        <v>M</v>
      </c>
      <c r="S503" s="1" t="str">
        <f t="shared" ca="1" si="26"/>
        <v>M</v>
      </c>
      <c r="T503" s="1" t="str">
        <f t="shared" ca="1" si="27"/>
        <v>M</v>
      </c>
      <c r="U503" s="1" t="str">
        <f t="shared" ca="1" si="28"/>
        <v>M</v>
      </c>
      <c r="V503" s="1" t="str">
        <f t="shared" ca="1" si="29"/>
        <v>M</v>
      </c>
      <c r="W503" s="1" t="str">
        <f t="shared" ca="1" si="30"/>
        <v>Cruz Medina</v>
      </c>
    </row>
    <row r="504" spans="1:23">
      <c r="A504" s="1" t="str">
        <f ca="1">IFERROR(__xludf.DUMMYFUNCTION("""COMPUTED_VALUE"""),"Tim")</f>
        <v>Tim</v>
      </c>
      <c r="B504" s="1" t="str">
        <f ca="1">IFERROR(__xludf.DUMMYFUNCTION("""COMPUTED_VALUE"""),"Melia")</f>
        <v>Melia</v>
      </c>
      <c r="C504" s="1" t="str">
        <f ca="1">IFERROR(__xludf.DUMMYFUNCTION("""COMPUTED_VALUE"""),"Sporting Kansas City")</f>
        <v>Sporting Kansas City</v>
      </c>
      <c r="D504" s="1" t="str">
        <f ca="1">IFERROR(__xludf.DUMMYFUNCTION("""COMPUTED_VALUE"""),"Goalkeeper")</f>
        <v>Goalkeeper</v>
      </c>
      <c r="E504" s="2">
        <f ca="1">IFERROR(__xludf.DUMMYFUNCTION("""COMPUTED_VALUE"""),625000)</f>
        <v>625000</v>
      </c>
      <c r="F504" s="2">
        <f ca="1">IFERROR(__xludf.DUMMYFUNCTION("""COMPUTED_VALUE"""),637500)</f>
        <v>637500</v>
      </c>
      <c r="H504" s="1" t="str">
        <f t="shared" ca="1" si="16"/>
        <v>Goalkeeper</v>
      </c>
      <c r="I504" s="3" t="str">
        <f t="shared" ca="1" si="17"/>
        <v>Goalkeeper</v>
      </c>
      <c r="J504" s="1" t="str">
        <f t="shared" ca="1" si="18"/>
        <v>Goalkeeper</v>
      </c>
      <c r="K504" s="1" t="str">
        <f t="shared" ca="1" si="31"/>
        <v>Goalkeeper</v>
      </c>
      <c r="L504" s="1" t="str">
        <f t="shared" ca="1" si="19"/>
        <v>Goalkeeper</v>
      </c>
      <c r="M504" s="1" t="str">
        <f t="shared" ca="1" si="20"/>
        <v>Goalkeeper</v>
      </c>
      <c r="N504" s="1" t="str">
        <f t="shared" ca="1" si="21"/>
        <v>Goalkeeper</v>
      </c>
      <c r="O504" s="1" t="str">
        <f t="shared" ca="1" si="22"/>
        <v>Goalkeeper</v>
      </c>
      <c r="P504" s="1" t="str">
        <f t="shared" ca="1" si="23"/>
        <v>Goalkeeper</v>
      </c>
      <c r="Q504" s="1" t="str">
        <f t="shared" ca="1" si="24"/>
        <v>Goalkeeper</v>
      </c>
      <c r="R504" s="1" t="str">
        <f t="shared" ca="1" si="25"/>
        <v>GK</v>
      </c>
      <c r="S504" s="1" t="str">
        <f t="shared" ca="1" si="26"/>
        <v>GK</v>
      </c>
      <c r="T504" s="1" t="str">
        <f t="shared" ca="1" si="27"/>
        <v>GK</v>
      </c>
      <c r="U504" s="1" t="str">
        <f t="shared" ca="1" si="28"/>
        <v>GK</v>
      </c>
      <c r="V504" s="1" t="str">
        <f t="shared" ca="1" si="29"/>
        <v>GK</v>
      </c>
      <c r="W504" s="1" t="str">
        <f t="shared" ca="1" si="30"/>
        <v>Tim Melia</v>
      </c>
    </row>
    <row r="505" spans="1:23">
      <c r="A505" s="1" t="str">
        <f ca="1">IFERROR(__xludf.DUMMYFUNCTION("""COMPUTED_VALUE"""),"Edwyn")</f>
        <v>Edwyn</v>
      </c>
      <c r="B505" s="1" t="str">
        <f ca="1">IFERROR(__xludf.DUMMYFUNCTION("""COMPUTED_VALUE"""),"Mendoza")</f>
        <v>Mendoza</v>
      </c>
      <c r="C505" s="1" t="str">
        <f ca="1">IFERROR(__xludf.DUMMYFUNCTION("""COMPUTED_VALUE"""),"San Jose Earthquakes")</f>
        <v>San Jose Earthquakes</v>
      </c>
      <c r="D505" s="1" t="str">
        <f ca="1">IFERROR(__xludf.DUMMYFUNCTION("""COMPUTED_VALUE"""),"Defensive Midfield")</f>
        <v>Defensive Midfield</v>
      </c>
      <c r="E505" s="2">
        <f ca="1">IFERROR(__xludf.DUMMYFUNCTION("""COMPUTED_VALUE"""),71401)</f>
        <v>71401</v>
      </c>
      <c r="F505" s="2">
        <f ca="1">IFERROR(__xludf.DUMMYFUNCTION("""COMPUTED_VALUE"""),83841)</f>
        <v>83841</v>
      </c>
      <c r="H505" s="1" t="str">
        <f t="shared" ca="1" si="16"/>
        <v>Defensive Midfield</v>
      </c>
      <c r="I505" s="3" t="str">
        <f t="shared" ca="1" si="17"/>
        <v>Defensive Midfield</v>
      </c>
      <c r="J505" s="1" t="str">
        <f t="shared" ca="1" si="18"/>
        <v>Defensive Midfield</v>
      </c>
      <c r="K505" s="1" t="str">
        <f t="shared" ca="1" si="31"/>
        <v>M</v>
      </c>
      <c r="L505" s="1" t="str">
        <f t="shared" ca="1" si="19"/>
        <v>M</v>
      </c>
      <c r="M505" s="1" t="str">
        <f t="shared" ca="1" si="20"/>
        <v>M</v>
      </c>
      <c r="N505" s="1" t="str">
        <f t="shared" ca="1" si="21"/>
        <v>M</v>
      </c>
      <c r="O505" s="1" t="str">
        <f t="shared" ca="1" si="22"/>
        <v>M</v>
      </c>
      <c r="P505" s="1" t="str">
        <f t="shared" ca="1" si="23"/>
        <v>M</v>
      </c>
      <c r="Q505" s="1" t="str">
        <f t="shared" ca="1" si="24"/>
        <v>M</v>
      </c>
      <c r="R505" s="1" t="str">
        <f t="shared" ca="1" si="25"/>
        <v>M</v>
      </c>
      <c r="S505" s="1" t="str">
        <f t="shared" ca="1" si="26"/>
        <v>M</v>
      </c>
      <c r="T505" s="1" t="str">
        <f t="shared" ca="1" si="27"/>
        <v>M</v>
      </c>
      <c r="U505" s="1" t="str">
        <f t="shared" ca="1" si="28"/>
        <v>M</v>
      </c>
      <c r="V505" s="1" t="str">
        <f t="shared" ca="1" si="29"/>
        <v>M</v>
      </c>
      <c r="W505" s="1" t="str">
        <f t="shared" ca="1" si="30"/>
        <v>Edwyn Mendoza</v>
      </c>
    </row>
    <row r="506" spans="1:23">
      <c r="A506" s="1" t="str">
        <f ca="1">IFERROR(__xludf.DUMMYFUNCTION("""COMPUTED_VALUE"""),"Jonathan")</f>
        <v>Jonathan</v>
      </c>
      <c r="B506" s="1" t="str">
        <f ca="1">IFERROR(__xludf.DUMMYFUNCTION("""COMPUTED_VALUE"""),"Mensah")</f>
        <v>Mensah</v>
      </c>
      <c r="C506" s="1" t="str">
        <f ca="1">IFERROR(__xludf.DUMMYFUNCTION("""COMPUTED_VALUE"""),"New England Revolution")</f>
        <v>New England Revolution</v>
      </c>
      <c r="D506" s="1" t="str">
        <f ca="1">IFERROR(__xludf.DUMMYFUNCTION("""COMPUTED_VALUE"""),"Center-back")</f>
        <v>Center-back</v>
      </c>
      <c r="E506" s="2">
        <f ca="1">IFERROR(__xludf.DUMMYFUNCTION("""COMPUTED_VALUE"""),450000)</f>
        <v>450000</v>
      </c>
      <c r="F506" s="2">
        <f ca="1">IFERROR(__xludf.DUMMYFUNCTION("""COMPUTED_VALUE"""),512500)</f>
        <v>512500</v>
      </c>
      <c r="H506" s="1" t="str">
        <f t="shared" ca="1" si="16"/>
        <v>D</v>
      </c>
      <c r="I506" s="3" t="str">
        <f t="shared" ca="1" si="17"/>
        <v>D</v>
      </c>
      <c r="J506" s="1" t="str">
        <f t="shared" ca="1" si="18"/>
        <v>D</v>
      </c>
      <c r="K506" s="1" t="str">
        <f t="shared" ca="1" si="31"/>
        <v>D</v>
      </c>
      <c r="L506" s="1" t="str">
        <f t="shared" ca="1" si="19"/>
        <v>D</v>
      </c>
      <c r="M506" s="1" t="str">
        <f t="shared" ca="1" si="20"/>
        <v>D</v>
      </c>
      <c r="N506" s="1" t="str">
        <f t="shared" ca="1" si="21"/>
        <v>D</v>
      </c>
      <c r="O506" s="1" t="str">
        <f t="shared" ca="1" si="22"/>
        <v>D</v>
      </c>
      <c r="P506" s="1" t="str">
        <f t="shared" ca="1" si="23"/>
        <v>D</v>
      </c>
      <c r="Q506" s="1" t="str">
        <f t="shared" ca="1" si="24"/>
        <v>D</v>
      </c>
      <c r="R506" s="1" t="str">
        <f t="shared" ca="1" si="25"/>
        <v>D</v>
      </c>
      <c r="S506" s="1" t="str">
        <f t="shared" ca="1" si="26"/>
        <v>D</v>
      </c>
      <c r="T506" s="1" t="str">
        <f t="shared" ca="1" si="27"/>
        <v>D</v>
      </c>
      <c r="U506" s="1" t="str">
        <f t="shared" ca="1" si="28"/>
        <v>D</v>
      </c>
      <c r="V506" s="1" t="str">
        <f t="shared" ca="1" si="29"/>
        <v>D</v>
      </c>
      <c r="W506" s="1" t="str">
        <f t="shared" ca="1" si="30"/>
        <v>Jonathan Mensah</v>
      </c>
    </row>
    <row r="507" spans="1:23">
      <c r="A507" s="1" t="str">
        <f ca="1">IFERROR(__xludf.DUMMYFUNCTION("""COMPUTED_VALUE"""),"Lionel")</f>
        <v>Lionel</v>
      </c>
      <c r="B507" s="1" t="str">
        <f ca="1">IFERROR(__xludf.DUMMYFUNCTION("""COMPUTED_VALUE"""),"Messi")</f>
        <v>Messi</v>
      </c>
      <c r="C507" s="1" t="str">
        <f ca="1">IFERROR(__xludf.DUMMYFUNCTION("""COMPUTED_VALUE"""),"Inter Miami")</f>
        <v>Inter Miami</v>
      </c>
      <c r="D507" s="1" t="str">
        <f ca="1">IFERROR(__xludf.DUMMYFUNCTION("""COMPUTED_VALUE"""),"Right Wing")</f>
        <v>Right Wing</v>
      </c>
      <c r="E507" s="2">
        <f ca="1">IFERROR(__xludf.DUMMYFUNCTION("""COMPUTED_VALUE"""),12000000)</f>
        <v>12000000</v>
      </c>
      <c r="F507" s="2">
        <f ca="1">IFERROR(__xludf.DUMMYFUNCTION("""COMPUTED_VALUE"""),20446667)</f>
        <v>20446667</v>
      </c>
      <c r="H507" s="1" t="str">
        <f t="shared" ca="1" si="16"/>
        <v>Right Wing</v>
      </c>
      <c r="I507" s="3" t="str">
        <f t="shared" ca="1" si="17"/>
        <v>Right Wing</v>
      </c>
      <c r="J507" s="1" t="str">
        <f t="shared" ca="1" si="18"/>
        <v>Right Wing</v>
      </c>
      <c r="K507" s="1" t="str">
        <f t="shared" ca="1" si="31"/>
        <v>Right Wing</v>
      </c>
      <c r="L507" s="1" t="str">
        <f t="shared" ca="1" si="19"/>
        <v>Right Wing</v>
      </c>
      <c r="M507" s="1" t="str">
        <f t="shared" ca="1" si="20"/>
        <v>Right Wing</v>
      </c>
      <c r="N507" s="1" t="str">
        <f t="shared" ca="1" si="21"/>
        <v>F</v>
      </c>
      <c r="O507" s="1" t="str">
        <f t="shared" ca="1" si="22"/>
        <v>F</v>
      </c>
      <c r="P507" s="1" t="str">
        <f t="shared" ca="1" si="23"/>
        <v>F</v>
      </c>
      <c r="Q507" s="1" t="str">
        <f t="shared" ca="1" si="24"/>
        <v>F</v>
      </c>
      <c r="R507" s="1" t="str">
        <f t="shared" ca="1" si="25"/>
        <v>F</v>
      </c>
      <c r="S507" s="1" t="str">
        <f t="shared" ca="1" si="26"/>
        <v>F</v>
      </c>
      <c r="T507" s="1" t="str">
        <f t="shared" ca="1" si="27"/>
        <v>F</v>
      </c>
      <c r="U507" s="1" t="str">
        <f t="shared" ca="1" si="28"/>
        <v>F</v>
      </c>
      <c r="V507" s="1" t="str">
        <f t="shared" ca="1" si="29"/>
        <v>F</v>
      </c>
      <c r="W507" s="1" t="str">
        <f t="shared" ca="1" si="30"/>
        <v>Lionel Messi</v>
      </c>
    </row>
    <row r="508" spans="1:23">
      <c r="A508" s="1" t="str">
        <f ca="1">IFERROR(__xludf.DUMMYFUNCTION("""COMPUTED_VALUE"""),"Matt")</f>
        <v>Matt</v>
      </c>
      <c r="B508" s="1" t="str">
        <f ca="1">IFERROR(__xludf.DUMMYFUNCTION("""COMPUTED_VALUE"""),"Miazga")</f>
        <v>Miazga</v>
      </c>
      <c r="C508" s="1" t="str">
        <f ca="1">IFERROR(__xludf.DUMMYFUNCTION("""COMPUTED_VALUE"""),"FC Cincinnati")</f>
        <v>FC Cincinnati</v>
      </c>
      <c r="D508" s="1" t="str">
        <f ca="1">IFERROR(__xludf.DUMMYFUNCTION("""COMPUTED_VALUE"""),"Center-back")</f>
        <v>Center-back</v>
      </c>
      <c r="E508" s="2">
        <f ca="1">IFERROR(__xludf.DUMMYFUNCTION("""COMPUTED_VALUE"""),1525000)</f>
        <v>1525000</v>
      </c>
      <c r="F508" s="2">
        <f ca="1">IFERROR(__xludf.DUMMYFUNCTION("""COMPUTED_VALUE"""),1525000)</f>
        <v>1525000</v>
      </c>
      <c r="H508" s="1" t="str">
        <f t="shared" ca="1" si="16"/>
        <v>D</v>
      </c>
      <c r="I508" s="3" t="str">
        <f t="shared" ca="1" si="17"/>
        <v>D</v>
      </c>
      <c r="J508" s="1" t="str">
        <f t="shared" ca="1" si="18"/>
        <v>D</v>
      </c>
      <c r="K508" s="1" t="str">
        <f t="shared" ca="1" si="31"/>
        <v>D</v>
      </c>
      <c r="L508" s="1" t="str">
        <f t="shared" ca="1" si="19"/>
        <v>D</v>
      </c>
      <c r="M508" s="1" t="str">
        <f t="shared" ca="1" si="20"/>
        <v>D</v>
      </c>
      <c r="N508" s="1" t="str">
        <f t="shared" ca="1" si="21"/>
        <v>D</v>
      </c>
      <c r="O508" s="1" t="str">
        <f t="shared" ca="1" si="22"/>
        <v>D</v>
      </c>
      <c r="P508" s="1" t="str">
        <f t="shared" ca="1" si="23"/>
        <v>D</v>
      </c>
      <c r="Q508" s="1" t="str">
        <f t="shared" ca="1" si="24"/>
        <v>D</v>
      </c>
      <c r="R508" s="1" t="str">
        <f t="shared" ca="1" si="25"/>
        <v>D</v>
      </c>
      <c r="S508" s="1" t="str">
        <f t="shared" ca="1" si="26"/>
        <v>D</v>
      </c>
      <c r="T508" s="1" t="str">
        <f t="shared" ca="1" si="27"/>
        <v>D</v>
      </c>
      <c r="U508" s="1" t="str">
        <f t="shared" ca="1" si="28"/>
        <v>D</v>
      </c>
      <c r="V508" s="1" t="str">
        <f t="shared" ca="1" si="29"/>
        <v>D</v>
      </c>
      <c r="W508" s="1" t="str">
        <f t="shared" ca="1" si="30"/>
        <v>Matt Miazga</v>
      </c>
    </row>
    <row r="509" spans="1:23">
      <c r="A509" s="1" t="str">
        <f ca="1">IFERROR(__xludf.DUMMYFUNCTION("""COMPUTED_VALUE"""),"Novak")</f>
        <v>Novak</v>
      </c>
      <c r="B509" s="1" t="str">
        <f ca="1">IFERROR(__xludf.DUMMYFUNCTION("""COMPUTED_VALUE"""),"Micovic")</f>
        <v>Micovic</v>
      </c>
      <c r="C509" s="1" t="str">
        <f ca="1">IFERROR(__xludf.DUMMYFUNCTION("""COMPUTED_VALUE"""),"LA Galaxy")</f>
        <v>LA Galaxy</v>
      </c>
      <c r="D509" s="1" t="str">
        <f ca="1">IFERROR(__xludf.DUMMYFUNCTION("""COMPUTED_VALUE"""),"Goalkeeper")</f>
        <v>Goalkeeper</v>
      </c>
      <c r="E509" s="2">
        <f ca="1">IFERROR(__xludf.DUMMYFUNCTION("""COMPUTED_VALUE"""),150000)</f>
        <v>150000</v>
      </c>
      <c r="F509" s="2">
        <f ca="1">IFERROR(__xludf.DUMMYFUNCTION("""COMPUTED_VALUE"""),150000)</f>
        <v>150000</v>
      </c>
      <c r="H509" s="1" t="str">
        <f t="shared" ca="1" si="16"/>
        <v>Goalkeeper</v>
      </c>
      <c r="I509" s="3" t="str">
        <f t="shared" ca="1" si="17"/>
        <v>Goalkeeper</v>
      </c>
      <c r="J509" s="1" t="str">
        <f t="shared" ca="1" si="18"/>
        <v>Goalkeeper</v>
      </c>
      <c r="K509" s="1" t="str">
        <f t="shared" ca="1" si="31"/>
        <v>Goalkeeper</v>
      </c>
      <c r="L509" s="1" t="str">
        <f t="shared" ca="1" si="19"/>
        <v>Goalkeeper</v>
      </c>
      <c r="M509" s="1" t="str">
        <f t="shared" ca="1" si="20"/>
        <v>Goalkeeper</v>
      </c>
      <c r="N509" s="1" t="str">
        <f t="shared" ca="1" si="21"/>
        <v>Goalkeeper</v>
      </c>
      <c r="O509" s="1" t="str">
        <f t="shared" ca="1" si="22"/>
        <v>Goalkeeper</v>
      </c>
      <c r="P509" s="1" t="str">
        <f t="shared" ca="1" si="23"/>
        <v>Goalkeeper</v>
      </c>
      <c r="Q509" s="1" t="str">
        <f t="shared" ca="1" si="24"/>
        <v>Goalkeeper</v>
      </c>
      <c r="R509" s="1" t="str">
        <f t="shared" ca="1" si="25"/>
        <v>GK</v>
      </c>
      <c r="S509" s="1" t="str">
        <f t="shared" ca="1" si="26"/>
        <v>GK</v>
      </c>
      <c r="T509" s="1" t="str">
        <f t="shared" ca="1" si="27"/>
        <v>GK</v>
      </c>
      <c r="U509" s="1" t="str">
        <f t="shared" ca="1" si="28"/>
        <v>GK</v>
      </c>
      <c r="V509" s="1" t="str">
        <f t="shared" ca="1" si="29"/>
        <v>GK</v>
      </c>
      <c r="W509" s="1" t="str">
        <f t="shared" ca="1" si="30"/>
        <v>Novak Micovic</v>
      </c>
    </row>
    <row r="510" spans="1:23">
      <c r="A510" s="1" t="str">
        <f ca="1">IFERROR(__xludf.DUMMYFUNCTION("""COMPUTED_VALUE"""),"Djordje")</f>
        <v>Djordje</v>
      </c>
      <c r="B510" s="1" t="str">
        <f ca="1">IFERROR(__xludf.DUMMYFUNCTION("""COMPUTED_VALUE"""),"Mihailovic")</f>
        <v>Mihailovic</v>
      </c>
      <c r="C510" s="1" t="str">
        <f ca="1">IFERROR(__xludf.DUMMYFUNCTION("""COMPUTED_VALUE"""),"Colorado Rapids")</f>
        <v>Colorado Rapids</v>
      </c>
      <c r="D510" s="1" t="str">
        <f ca="1">IFERROR(__xludf.DUMMYFUNCTION("""COMPUTED_VALUE"""),"Attacking Midfield")</f>
        <v>Attacking Midfield</v>
      </c>
      <c r="E510" s="2">
        <f ca="1">IFERROR(__xludf.DUMMYFUNCTION("""COMPUTED_VALUE"""),1350000)</f>
        <v>1350000</v>
      </c>
      <c r="F510" s="2">
        <f ca="1">IFERROR(__xludf.DUMMYFUNCTION("""COMPUTED_VALUE"""),1675000)</f>
        <v>1675000</v>
      </c>
      <c r="H510" s="1" t="str">
        <f t="shared" ca="1" si="16"/>
        <v>Attacking Midfield</v>
      </c>
      <c r="I510" s="3" t="str">
        <f t="shared" ca="1" si="17"/>
        <v>Attacking Midfield</v>
      </c>
      <c r="J510" s="1" t="str">
        <f t="shared" ca="1" si="18"/>
        <v>Attacking Midfield</v>
      </c>
      <c r="K510" s="1" t="str">
        <f t="shared" ca="1" si="31"/>
        <v>Attacking Midfield</v>
      </c>
      <c r="L510" s="1" t="str">
        <f t="shared" ca="1" si="19"/>
        <v>Attacking Midfield</v>
      </c>
      <c r="M510" s="1" t="str">
        <f t="shared" ca="1" si="20"/>
        <v>M</v>
      </c>
      <c r="N510" s="1" t="str">
        <f t="shared" ca="1" si="21"/>
        <v>M</v>
      </c>
      <c r="O510" s="1" t="str">
        <f t="shared" ca="1" si="22"/>
        <v>M</v>
      </c>
      <c r="P510" s="1" t="str">
        <f t="shared" ca="1" si="23"/>
        <v>M</v>
      </c>
      <c r="Q510" s="1" t="str">
        <f t="shared" ca="1" si="24"/>
        <v>M</v>
      </c>
      <c r="R510" s="1" t="str">
        <f t="shared" ca="1" si="25"/>
        <v>M</v>
      </c>
      <c r="S510" s="1" t="str">
        <f t="shared" ca="1" si="26"/>
        <v>M</v>
      </c>
      <c r="T510" s="1" t="str">
        <f t="shared" ca="1" si="27"/>
        <v>M</v>
      </c>
      <c r="U510" s="1" t="str">
        <f t="shared" ca="1" si="28"/>
        <v>M</v>
      </c>
      <c r="V510" s="1" t="str">
        <f t="shared" ca="1" si="29"/>
        <v>M</v>
      </c>
      <c r="W510" s="1" t="str">
        <f t="shared" ca="1" si="30"/>
        <v>Djordje Mihailovic</v>
      </c>
    </row>
    <row r="511" spans="1:23">
      <c r="A511" s="1" t="str">
        <f ca="1">IFERROR(__xludf.DUMMYFUNCTION("""COMPUTED_VALUE"""),"Jovan")</f>
        <v>Jovan</v>
      </c>
      <c r="B511" s="1" t="str">
        <f ca="1">IFERROR(__xludf.DUMMYFUNCTION("""COMPUTED_VALUE"""),"Mijatovic")</f>
        <v>Mijatovic</v>
      </c>
      <c r="C511" s="1" t="str">
        <f ca="1">IFERROR(__xludf.DUMMYFUNCTION("""COMPUTED_VALUE"""),"New York City FC")</f>
        <v>New York City FC</v>
      </c>
      <c r="D511" s="1" t="str">
        <f ca="1">IFERROR(__xludf.DUMMYFUNCTION("""COMPUTED_VALUE"""),"Center Forward")</f>
        <v>Center Forward</v>
      </c>
      <c r="E511" s="2">
        <f ca="1">IFERROR(__xludf.DUMMYFUNCTION("""COMPUTED_VALUE"""),650000)</f>
        <v>650000</v>
      </c>
      <c r="F511" s="2">
        <f ca="1">IFERROR(__xludf.DUMMYFUNCTION("""COMPUTED_VALUE"""),687500)</f>
        <v>687500</v>
      </c>
      <c r="H511" s="1" t="str">
        <f t="shared" ca="1" si="16"/>
        <v>Center Forward</v>
      </c>
      <c r="I511" s="3" t="str">
        <f t="shared" ca="1" si="17"/>
        <v>Center Forward</v>
      </c>
      <c r="J511" s="1" t="str">
        <f t="shared" ca="1" si="18"/>
        <v>Center Forward</v>
      </c>
      <c r="K511" s="1" t="str">
        <f t="shared" ca="1" si="31"/>
        <v>Center Forward</v>
      </c>
      <c r="L511" s="1" t="str">
        <f t="shared" ca="1" si="19"/>
        <v>Center Forward</v>
      </c>
      <c r="M511" s="1" t="str">
        <f t="shared" ca="1" si="20"/>
        <v>Center Forward</v>
      </c>
      <c r="N511" s="1" t="str">
        <f t="shared" ca="1" si="21"/>
        <v>Center Forward</v>
      </c>
      <c r="O511" s="1" t="str">
        <f t="shared" ca="1" si="22"/>
        <v>F</v>
      </c>
      <c r="P511" s="1" t="str">
        <f t="shared" ca="1" si="23"/>
        <v>F</v>
      </c>
      <c r="Q511" s="1" t="str">
        <f t="shared" ca="1" si="24"/>
        <v>F</v>
      </c>
      <c r="R511" s="1" t="str">
        <f t="shared" ca="1" si="25"/>
        <v>F</v>
      </c>
      <c r="S511" s="1" t="str">
        <f t="shared" ca="1" si="26"/>
        <v>F</v>
      </c>
      <c r="T511" s="1" t="str">
        <f t="shared" ca="1" si="27"/>
        <v>F</v>
      </c>
      <c r="U511" s="1" t="str">
        <f t="shared" ca="1" si="28"/>
        <v>F</v>
      </c>
      <c r="V511" s="1" t="str">
        <f t="shared" ca="1" si="29"/>
        <v>F</v>
      </c>
      <c r="W511" s="1" t="str">
        <f t="shared" ca="1" si="30"/>
        <v>Jovan Mijatovic</v>
      </c>
    </row>
    <row r="512" spans="1:23">
      <c r="A512" s="1" t="str">
        <f ca="1">IFERROR(__xludf.DUMMYFUNCTION("""COMPUTED_VALUE"""),"Kamal")</f>
        <v>Kamal</v>
      </c>
      <c r="B512" s="1" t="str">
        <f ca="1">IFERROR(__xludf.DUMMYFUNCTION("""COMPUTED_VALUE"""),"Miller")</f>
        <v>Miller</v>
      </c>
      <c r="C512" s="1" t="str">
        <f ca="1">IFERROR(__xludf.DUMMYFUNCTION("""COMPUTED_VALUE"""),"Portland Timbers")</f>
        <v>Portland Timbers</v>
      </c>
      <c r="D512" s="1" t="str">
        <f ca="1">IFERROR(__xludf.DUMMYFUNCTION("""COMPUTED_VALUE"""),"Center-back")</f>
        <v>Center-back</v>
      </c>
      <c r="E512" s="2">
        <f ca="1">IFERROR(__xludf.DUMMYFUNCTION("""COMPUTED_VALUE"""),742500)</f>
        <v>742500</v>
      </c>
      <c r="F512" s="2">
        <f ca="1">IFERROR(__xludf.DUMMYFUNCTION("""COMPUTED_VALUE"""),767500)</f>
        <v>767500</v>
      </c>
      <c r="H512" s="1" t="str">
        <f t="shared" ref="H512:H766" ca="1" si="32">SUBSTITUTE(D:D,"Center-back","D")</f>
        <v>D</v>
      </c>
      <c r="I512" s="3" t="str">
        <f t="shared" ref="I512:I766" ca="1" si="33">SUBSTITUTE(H:H,"Left-back","D")</f>
        <v>D</v>
      </c>
      <c r="J512" s="1" t="str">
        <f t="shared" ref="J512:J766" ca="1" si="34">SUBSTITUTE(I:I,"Right-back","D")</f>
        <v>D</v>
      </c>
      <c r="K512" s="1" t="str">
        <f t="shared" ca="1" si="31"/>
        <v>D</v>
      </c>
      <c r="L512" s="1" t="str">
        <f t="shared" ref="L512:L766" ca="1" si="35">SUBSTITUTE(K:K,"Central Midfield","M")</f>
        <v>D</v>
      </c>
      <c r="M512" s="1" t="str">
        <f t="shared" ref="M512:M766" ca="1" si="36">SUBSTITUTE(L:L,"Attacking Midfield","M")</f>
        <v>D</v>
      </c>
      <c r="N512" s="1" t="str">
        <f t="shared" ref="N512:N766" ca="1" si="37">SUBSTITUTE(M:M,"Right Wing","F")</f>
        <v>D</v>
      </c>
      <c r="O512" s="1" t="str">
        <f t="shared" ref="O512:O766" ca="1" si="38">SUBSTITUTE(N:N,"Center Forward","F")</f>
        <v>D</v>
      </c>
      <c r="P512" s="1" t="str">
        <f t="shared" ref="P512:P766" ca="1" si="39">SUBSTITUTE(O:O,"Left Wing","F")</f>
        <v>D</v>
      </c>
      <c r="Q512" s="1" t="str">
        <f t="shared" ref="Q512:Q766" ca="1" si="40">SUBSTITUTE(P:P,"Forward","F")</f>
        <v>D</v>
      </c>
      <c r="R512" s="1" t="str">
        <f t="shared" ref="R512:R766" ca="1" si="41">SUBSTITUTE(Q:Q,"Goalkeeper","GK")</f>
        <v>D</v>
      </c>
      <c r="S512" s="1" t="str">
        <f t="shared" ref="S512:S766" ca="1" si="42">SUBSTITUTE(R:R,"Left Midfield","M")</f>
        <v>D</v>
      </c>
      <c r="T512" s="1" t="str">
        <f t="shared" ref="T512:T766" ca="1" si="43">SUBSTITUTE(S:S,"Right Midfield","M")</f>
        <v>D</v>
      </c>
      <c r="U512" s="1" t="str">
        <f t="shared" ref="U512:U766" ca="1" si="44">SUBSTITUTE(T:T,"Midfielder","M")</f>
        <v>D</v>
      </c>
      <c r="V512" s="1" t="str">
        <f t="shared" ref="V512:V766" ca="1" si="45">SUBSTITUTE(U:U,"Defender","D")</f>
        <v>D</v>
      </c>
      <c r="W512" s="1" t="str">
        <f t="shared" ref="W512:W766" ca="1" si="46">CONCATENATE($A512," ",$B512)</f>
        <v>Kamal Miller</v>
      </c>
    </row>
    <row r="513" spans="1:23">
      <c r="A513" s="1" t="str">
        <f ca="1">IFERROR(__xludf.DUMMYFUNCTION("""COMPUTED_VALUE"""),"Eric")</f>
        <v>Eric</v>
      </c>
      <c r="B513" s="1" t="str">
        <f ca="1">IFERROR(__xludf.DUMMYFUNCTION("""COMPUTED_VALUE"""),"Miller")</f>
        <v>Miller</v>
      </c>
      <c r="C513" s="1" t="str">
        <f ca="1">IFERROR(__xludf.DUMMYFUNCTION("""COMPUTED_VALUE"""),"Portland Timbers")</f>
        <v>Portland Timbers</v>
      </c>
      <c r="D513" s="1" t="str">
        <f ca="1">IFERROR(__xludf.DUMMYFUNCTION("""COMPUTED_VALUE"""),"Right-back")</f>
        <v>Right-back</v>
      </c>
      <c r="E513" s="2">
        <f ca="1">IFERROR(__xludf.DUMMYFUNCTION("""COMPUTED_VALUE"""),89716)</f>
        <v>89716</v>
      </c>
      <c r="F513" s="2">
        <f ca="1">IFERROR(__xludf.DUMMYFUNCTION("""COMPUTED_VALUE"""),89716)</f>
        <v>89716</v>
      </c>
      <c r="H513" s="1" t="str">
        <f t="shared" ca="1" si="32"/>
        <v>Right-back</v>
      </c>
      <c r="I513" s="3" t="str">
        <f t="shared" ca="1" si="33"/>
        <v>Right-back</v>
      </c>
      <c r="J513" s="1" t="str">
        <f t="shared" ca="1" si="34"/>
        <v>D</v>
      </c>
      <c r="K513" s="1" t="str">
        <f t="shared" ref="K513:K767" ca="1" si="47">SUBSTITUTE(J:J,"Defensive Midfield","M")</f>
        <v>D</v>
      </c>
      <c r="L513" s="1" t="str">
        <f t="shared" ca="1" si="35"/>
        <v>D</v>
      </c>
      <c r="M513" s="1" t="str">
        <f t="shared" ca="1" si="36"/>
        <v>D</v>
      </c>
      <c r="N513" s="1" t="str">
        <f t="shared" ca="1" si="37"/>
        <v>D</v>
      </c>
      <c r="O513" s="1" t="str">
        <f t="shared" ca="1" si="38"/>
        <v>D</v>
      </c>
      <c r="P513" s="1" t="str">
        <f t="shared" ca="1" si="39"/>
        <v>D</v>
      </c>
      <c r="Q513" s="1" t="str">
        <f t="shared" ca="1" si="40"/>
        <v>D</v>
      </c>
      <c r="R513" s="1" t="str">
        <f t="shared" ca="1" si="41"/>
        <v>D</v>
      </c>
      <c r="S513" s="1" t="str">
        <f t="shared" ca="1" si="42"/>
        <v>D</v>
      </c>
      <c r="T513" s="1" t="str">
        <f t="shared" ca="1" si="43"/>
        <v>D</v>
      </c>
      <c r="U513" s="1" t="str">
        <f t="shared" ca="1" si="44"/>
        <v>D</v>
      </c>
      <c r="V513" s="1" t="str">
        <f t="shared" ca="1" si="45"/>
        <v>D</v>
      </c>
      <c r="W513" s="1" t="str">
        <f t="shared" ca="1" si="46"/>
        <v>Eric Miller</v>
      </c>
    </row>
    <row r="514" spans="1:23">
      <c r="A514" s="1" t="str">
        <f ca="1">IFERROR(__xludf.DUMMYFUNCTION("""COMPUTED_VALUE"""),"Tyler")</f>
        <v>Tyler</v>
      </c>
      <c r="B514" s="1" t="str">
        <f ca="1">IFERROR(__xludf.DUMMYFUNCTION("""COMPUTED_VALUE"""),"Miller")</f>
        <v>Miller</v>
      </c>
      <c r="C514" s="1" t="str">
        <f ca="1">IFERROR(__xludf.DUMMYFUNCTION("""COMPUTED_VALUE"""),"DC United")</f>
        <v>DC United</v>
      </c>
      <c r="D514" s="1" t="str">
        <f ca="1">IFERROR(__xludf.DUMMYFUNCTION("""COMPUTED_VALUE"""),"Goalkeeper")</f>
        <v>Goalkeeper</v>
      </c>
      <c r="E514" s="2">
        <f ca="1">IFERROR(__xludf.DUMMYFUNCTION("""COMPUTED_VALUE"""),425000)</f>
        <v>425000</v>
      </c>
      <c r="F514" s="2">
        <f ca="1">IFERROR(__xludf.DUMMYFUNCTION("""COMPUTED_VALUE"""),450000)</f>
        <v>450000</v>
      </c>
      <c r="H514" s="1" t="str">
        <f t="shared" ca="1" si="32"/>
        <v>Goalkeeper</v>
      </c>
      <c r="I514" s="3" t="str">
        <f t="shared" ca="1" si="33"/>
        <v>Goalkeeper</v>
      </c>
      <c r="J514" s="1" t="str">
        <f t="shared" ca="1" si="34"/>
        <v>Goalkeeper</v>
      </c>
      <c r="K514" s="1" t="str">
        <f t="shared" ca="1" si="47"/>
        <v>Goalkeeper</v>
      </c>
      <c r="L514" s="1" t="str">
        <f t="shared" ca="1" si="35"/>
        <v>Goalkeeper</v>
      </c>
      <c r="M514" s="1" t="str">
        <f t="shared" ca="1" si="36"/>
        <v>Goalkeeper</v>
      </c>
      <c r="N514" s="1" t="str">
        <f t="shared" ca="1" si="37"/>
        <v>Goalkeeper</v>
      </c>
      <c r="O514" s="1" t="str">
        <f t="shared" ca="1" si="38"/>
        <v>Goalkeeper</v>
      </c>
      <c r="P514" s="1" t="str">
        <f t="shared" ca="1" si="39"/>
        <v>Goalkeeper</v>
      </c>
      <c r="Q514" s="1" t="str">
        <f t="shared" ca="1" si="40"/>
        <v>Goalkeeper</v>
      </c>
      <c r="R514" s="1" t="str">
        <f t="shared" ca="1" si="41"/>
        <v>GK</v>
      </c>
      <c r="S514" s="1" t="str">
        <f t="shared" ca="1" si="42"/>
        <v>GK</v>
      </c>
      <c r="T514" s="1" t="str">
        <f t="shared" ca="1" si="43"/>
        <v>GK</v>
      </c>
      <c r="U514" s="1" t="str">
        <f t="shared" ca="1" si="44"/>
        <v>GK</v>
      </c>
      <c r="V514" s="1" t="str">
        <f t="shared" ca="1" si="45"/>
        <v>GK</v>
      </c>
      <c r="W514" s="1" t="str">
        <f t="shared" ca="1" si="46"/>
        <v>Tyler Miller</v>
      </c>
    </row>
    <row r="515" spans="1:23">
      <c r="A515" s="1" t="str">
        <f ca="1">IFERROR(__xludf.DUMMYFUNCTION("""COMPUTED_VALUE"""),"Peyton")</f>
        <v>Peyton</v>
      </c>
      <c r="B515" s="1" t="str">
        <f ca="1">IFERROR(__xludf.DUMMYFUNCTION("""COMPUTED_VALUE"""),"Miller")</f>
        <v>Miller</v>
      </c>
      <c r="C515" s="1" t="str">
        <f ca="1">IFERROR(__xludf.DUMMYFUNCTION("""COMPUTED_VALUE"""),"New England Revolution")</f>
        <v>New England Revolution</v>
      </c>
      <c r="D515" s="1" t="str">
        <f ca="1">IFERROR(__xludf.DUMMYFUNCTION("""COMPUTED_VALUE"""),"Left-back")</f>
        <v>Left-back</v>
      </c>
      <c r="E515" s="2">
        <f ca="1">IFERROR(__xludf.DUMMYFUNCTION("""COMPUTED_VALUE"""),71401)</f>
        <v>71401</v>
      </c>
      <c r="F515" s="2">
        <f ca="1">IFERROR(__xludf.DUMMYFUNCTION("""COMPUTED_VALUE"""),73401)</f>
        <v>73401</v>
      </c>
      <c r="H515" s="1" t="str">
        <f t="shared" ca="1" si="32"/>
        <v>Left-back</v>
      </c>
      <c r="I515" s="3" t="str">
        <f t="shared" ca="1" si="33"/>
        <v>D</v>
      </c>
      <c r="J515" s="1" t="str">
        <f t="shared" ca="1" si="34"/>
        <v>D</v>
      </c>
      <c r="K515" s="1" t="str">
        <f t="shared" ca="1" si="47"/>
        <v>D</v>
      </c>
      <c r="L515" s="1" t="str">
        <f t="shared" ca="1" si="35"/>
        <v>D</v>
      </c>
      <c r="M515" s="1" t="str">
        <f t="shared" ca="1" si="36"/>
        <v>D</v>
      </c>
      <c r="N515" s="1" t="str">
        <f t="shared" ca="1" si="37"/>
        <v>D</v>
      </c>
      <c r="O515" s="1" t="str">
        <f t="shared" ca="1" si="38"/>
        <v>D</v>
      </c>
      <c r="P515" s="1" t="str">
        <f t="shared" ca="1" si="39"/>
        <v>D</v>
      </c>
      <c r="Q515" s="1" t="str">
        <f t="shared" ca="1" si="40"/>
        <v>D</v>
      </c>
      <c r="R515" s="1" t="str">
        <f t="shared" ca="1" si="41"/>
        <v>D</v>
      </c>
      <c r="S515" s="1" t="str">
        <f t="shared" ca="1" si="42"/>
        <v>D</v>
      </c>
      <c r="T515" s="1" t="str">
        <f t="shared" ca="1" si="43"/>
        <v>D</v>
      </c>
      <c r="U515" s="1" t="str">
        <f t="shared" ca="1" si="44"/>
        <v>D</v>
      </c>
      <c r="V515" s="1" t="str">
        <f t="shared" ca="1" si="45"/>
        <v>D</v>
      </c>
      <c r="W515" s="1" t="str">
        <f t="shared" ca="1" si="46"/>
        <v>Peyton Miller</v>
      </c>
    </row>
    <row r="516" spans="1:23">
      <c r="A516" s="1" t="str">
        <f ca="1">IFERROR(__xludf.DUMMYFUNCTION("""COMPUTED_VALUE"""),"Juan")</f>
        <v>Juan</v>
      </c>
      <c r="B516" s="1" t="str">
        <f ca="1">IFERROR(__xludf.DUMMYFUNCTION("""COMPUTED_VALUE"""),"Mina")</f>
        <v>Mina</v>
      </c>
      <c r="C516" s="1" t="str">
        <f ca="1">IFERROR(__xludf.DUMMYFUNCTION("""COMPUTED_VALUE"""),"New York Red Bulls")</f>
        <v>New York Red Bulls</v>
      </c>
      <c r="D516" s="1" t="str">
        <f ca="1">IFERROR(__xludf.DUMMYFUNCTION("""COMPUTED_VALUE"""),"Right-back")</f>
        <v>Right-back</v>
      </c>
      <c r="E516" s="2">
        <f ca="1">IFERROR(__xludf.DUMMYFUNCTION("""COMPUTED_VALUE"""),150000)</f>
        <v>150000</v>
      </c>
      <c r="F516" s="2">
        <f ca="1">IFERROR(__xludf.DUMMYFUNCTION("""COMPUTED_VALUE"""),165432)</f>
        <v>165432</v>
      </c>
      <c r="H516" s="1" t="str">
        <f t="shared" ca="1" si="32"/>
        <v>Right-back</v>
      </c>
      <c r="I516" s="3" t="str">
        <f t="shared" ca="1" si="33"/>
        <v>Right-back</v>
      </c>
      <c r="J516" s="1" t="str">
        <f t="shared" ca="1" si="34"/>
        <v>D</v>
      </c>
      <c r="K516" s="1" t="str">
        <f t="shared" ca="1" si="47"/>
        <v>D</v>
      </c>
      <c r="L516" s="1" t="str">
        <f t="shared" ca="1" si="35"/>
        <v>D</v>
      </c>
      <c r="M516" s="1" t="str">
        <f t="shared" ca="1" si="36"/>
        <v>D</v>
      </c>
      <c r="N516" s="1" t="str">
        <f t="shared" ca="1" si="37"/>
        <v>D</v>
      </c>
      <c r="O516" s="1" t="str">
        <f t="shared" ca="1" si="38"/>
        <v>D</v>
      </c>
      <c r="P516" s="1" t="str">
        <f t="shared" ca="1" si="39"/>
        <v>D</v>
      </c>
      <c r="Q516" s="1" t="str">
        <f t="shared" ca="1" si="40"/>
        <v>D</v>
      </c>
      <c r="R516" s="1" t="str">
        <f t="shared" ca="1" si="41"/>
        <v>D</v>
      </c>
      <c r="S516" s="1" t="str">
        <f t="shared" ca="1" si="42"/>
        <v>D</v>
      </c>
      <c r="T516" s="1" t="str">
        <f t="shared" ca="1" si="43"/>
        <v>D</v>
      </c>
      <c r="U516" s="1" t="str">
        <f t="shared" ca="1" si="44"/>
        <v>D</v>
      </c>
      <c r="V516" s="1" t="str">
        <f t="shared" ca="1" si="45"/>
        <v>D</v>
      </c>
      <c r="W516" s="1" t="str">
        <f t="shared" ca="1" si="46"/>
        <v>Juan Mina</v>
      </c>
    </row>
    <row r="517" spans="1:23">
      <c r="A517" s="1" t="str">
        <f ca="1">IFERROR(__xludf.DUMMYFUNCTION("""COMPUTED_VALUE"""),"João Paulo")</f>
        <v>João Paulo</v>
      </c>
      <c r="B517" s="1" t="str">
        <f ca="1">IFERROR(__xludf.DUMMYFUNCTION("""COMPUTED_VALUE"""),"Mior")</f>
        <v>Mior</v>
      </c>
      <c r="C517" s="1" t="str">
        <f ca="1">IFERROR(__xludf.DUMMYFUNCTION("""COMPUTED_VALUE"""),"Seattle Sounders FC")</f>
        <v>Seattle Sounders FC</v>
      </c>
      <c r="D517" s="1" t="str">
        <f ca="1">IFERROR(__xludf.DUMMYFUNCTION("""COMPUTED_VALUE"""),"Central Midfield")</f>
        <v>Central Midfield</v>
      </c>
      <c r="E517" s="2">
        <f ca="1">IFERROR(__xludf.DUMMYFUNCTION("""COMPUTED_VALUE"""),1400000)</f>
        <v>1400000</v>
      </c>
      <c r="F517" s="2">
        <f ca="1">IFERROR(__xludf.DUMMYFUNCTION("""COMPUTED_VALUE"""),1483333)</f>
        <v>1483333</v>
      </c>
      <c r="H517" s="1" t="str">
        <f t="shared" ca="1" si="32"/>
        <v>Central Midfield</v>
      </c>
      <c r="I517" s="3" t="str">
        <f t="shared" ca="1" si="33"/>
        <v>Central Midfield</v>
      </c>
      <c r="J517" s="1" t="str">
        <f t="shared" ca="1" si="34"/>
        <v>Central Midfield</v>
      </c>
      <c r="K517" s="1" t="str">
        <f t="shared" ca="1" si="47"/>
        <v>Central Midfield</v>
      </c>
      <c r="L517" s="1" t="str">
        <f t="shared" ca="1" si="35"/>
        <v>M</v>
      </c>
      <c r="M517" s="1" t="str">
        <f t="shared" ca="1" si="36"/>
        <v>M</v>
      </c>
      <c r="N517" s="1" t="str">
        <f t="shared" ca="1" si="37"/>
        <v>M</v>
      </c>
      <c r="O517" s="1" t="str">
        <f t="shared" ca="1" si="38"/>
        <v>M</v>
      </c>
      <c r="P517" s="1" t="str">
        <f t="shared" ca="1" si="39"/>
        <v>M</v>
      </c>
      <c r="Q517" s="1" t="str">
        <f t="shared" ca="1" si="40"/>
        <v>M</v>
      </c>
      <c r="R517" s="1" t="str">
        <f t="shared" ca="1" si="41"/>
        <v>M</v>
      </c>
      <c r="S517" s="1" t="str">
        <f t="shared" ca="1" si="42"/>
        <v>M</v>
      </c>
      <c r="T517" s="1" t="str">
        <f t="shared" ca="1" si="43"/>
        <v>M</v>
      </c>
      <c r="U517" s="1" t="str">
        <f t="shared" ca="1" si="44"/>
        <v>M</v>
      </c>
      <c r="V517" s="1" t="str">
        <f t="shared" ca="1" si="45"/>
        <v>M</v>
      </c>
      <c r="W517" s="1" t="str">
        <f t="shared" ca="1" si="46"/>
        <v>João Paulo Mior</v>
      </c>
    </row>
    <row r="518" spans="1:23">
      <c r="A518" s="1" t="str">
        <f ca="1">IFERROR(__xludf.DUMMYFUNCTION("""COMPUTED_VALUE"""),"Roald")</f>
        <v>Roald</v>
      </c>
      <c r="B518" s="1" t="str">
        <f ca="1">IFERROR(__xludf.DUMMYFUNCTION("""COMPUTED_VALUE"""),"Mitchell")</f>
        <v>Mitchell</v>
      </c>
      <c r="C518" s="1" t="str">
        <f ca="1">IFERROR(__xludf.DUMMYFUNCTION("""COMPUTED_VALUE"""),"New York Red Bulls")</f>
        <v>New York Red Bulls</v>
      </c>
      <c r="D518" s="1" t="str">
        <f ca="1">IFERROR(__xludf.DUMMYFUNCTION("""COMPUTED_VALUE"""),"Center Forward")</f>
        <v>Center Forward</v>
      </c>
      <c r="E518" s="2">
        <f ca="1">IFERROR(__xludf.DUMMYFUNCTION("""COMPUTED_VALUE"""),71401)</f>
        <v>71401</v>
      </c>
      <c r="F518" s="2">
        <f ca="1">IFERROR(__xludf.DUMMYFUNCTION("""COMPUTED_VALUE"""),91809)</f>
        <v>91809</v>
      </c>
      <c r="H518" s="1" t="str">
        <f t="shared" ca="1" si="32"/>
        <v>Center Forward</v>
      </c>
      <c r="I518" s="3" t="str">
        <f t="shared" ca="1" si="33"/>
        <v>Center Forward</v>
      </c>
      <c r="J518" s="1" t="str">
        <f t="shared" ca="1" si="34"/>
        <v>Center Forward</v>
      </c>
      <c r="K518" s="1" t="str">
        <f t="shared" ca="1" si="47"/>
        <v>Center Forward</v>
      </c>
      <c r="L518" s="1" t="str">
        <f t="shared" ca="1" si="35"/>
        <v>Center Forward</v>
      </c>
      <c r="M518" s="1" t="str">
        <f t="shared" ca="1" si="36"/>
        <v>Center Forward</v>
      </c>
      <c r="N518" s="1" t="str">
        <f t="shared" ca="1" si="37"/>
        <v>Center Forward</v>
      </c>
      <c r="O518" s="1" t="str">
        <f t="shared" ca="1" si="38"/>
        <v>F</v>
      </c>
      <c r="P518" s="1" t="str">
        <f t="shared" ca="1" si="39"/>
        <v>F</v>
      </c>
      <c r="Q518" s="1" t="str">
        <f t="shared" ca="1" si="40"/>
        <v>F</v>
      </c>
      <c r="R518" s="1" t="str">
        <f t="shared" ca="1" si="41"/>
        <v>F</v>
      </c>
      <c r="S518" s="1" t="str">
        <f t="shared" ca="1" si="42"/>
        <v>F</v>
      </c>
      <c r="T518" s="1" t="str">
        <f t="shared" ca="1" si="43"/>
        <v>F</v>
      </c>
      <c r="U518" s="1" t="str">
        <f t="shared" ca="1" si="44"/>
        <v>F</v>
      </c>
      <c r="V518" s="1" t="str">
        <f t="shared" ca="1" si="45"/>
        <v>F</v>
      </c>
      <c r="W518" s="1" t="str">
        <f t="shared" ca="1" si="46"/>
        <v>Roald Mitchell</v>
      </c>
    </row>
    <row r="519" spans="1:23">
      <c r="A519" s="1" t="str">
        <f ca="1">IFERROR(__xludf.DUMMYFUNCTION("""COMPUTED_VALUE"""),"Shak")</f>
        <v>Shak</v>
      </c>
      <c r="B519" s="1" t="str">
        <f ca="1">IFERROR(__xludf.DUMMYFUNCTION("""COMPUTED_VALUE"""),"Mohammed")</f>
        <v>Mohammed</v>
      </c>
      <c r="C519" s="1" t="str">
        <f ca="1">IFERROR(__xludf.DUMMYFUNCTION("""COMPUTED_VALUE"""),"Orlando City SC")</f>
        <v>Orlando City SC</v>
      </c>
      <c r="D519" s="1" t="str">
        <f ca="1">IFERROR(__xludf.DUMMYFUNCTION("""COMPUTED_VALUE"""),"Right Wing")</f>
        <v>Right Wing</v>
      </c>
      <c r="E519" s="2">
        <f ca="1">IFERROR(__xludf.DUMMYFUNCTION("""COMPUTED_VALUE"""),89716)</f>
        <v>89716</v>
      </c>
      <c r="F519" s="2">
        <f ca="1">IFERROR(__xludf.DUMMYFUNCTION("""COMPUTED_VALUE"""),95716)</f>
        <v>95716</v>
      </c>
      <c r="H519" s="1" t="str">
        <f t="shared" ca="1" si="32"/>
        <v>Right Wing</v>
      </c>
      <c r="I519" s="3" t="str">
        <f t="shared" ca="1" si="33"/>
        <v>Right Wing</v>
      </c>
      <c r="J519" s="1" t="str">
        <f t="shared" ca="1" si="34"/>
        <v>Right Wing</v>
      </c>
      <c r="K519" s="1" t="str">
        <f t="shared" ca="1" si="47"/>
        <v>Right Wing</v>
      </c>
      <c r="L519" s="1" t="str">
        <f t="shared" ca="1" si="35"/>
        <v>Right Wing</v>
      </c>
      <c r="M519" s="1" t="str">
        <f t="shared" ca="1" si="36"/>
        <v>Right Wing</v>
      </c>
      <c r="N519" s="1" t="str">
        <f t="shared" ca="1" si="37"/>
        <v>F</v>
      </c>
      <c r="O519" s="1" t="str">
        <f t="shared" ca="1" si="38"/>
        <v>F</v>
      </c>
      <c r="P519" s="1" t="str">
        <f t="shared" ca="1" si="39"/>
        <v>F</v>
      </c>
      <c r="Q519" s="1" t="str">
        <f t="shared" ca="1" si="40"/>
        <v>F</v>
      </c>
      <c r="R519" s="1" t="str">
        <f t="shared" ca="1" si="41"/>
        <v>F</v>
      </c>
      <c r="S519" s="1" t="str">
        <f t="shared" ca="1" si="42"/>
        <v>F</v>
      </c>
      <c r="T519" s="1" t="str">
        <f t="shared" ca="1" si="43"/>
        <v>F</v>
      </c>
      <c r="U519" s="1" t="str">
        <f t="shared" ca="1" si="44"/>
        <v>F</v>
      </c>
      <c r="V519" s="1" t="str">
        <f t="shared" ca="1" si="45"/>
        <v>F</v>
      </c>
      <c r="W519" s="1" t="str">
        <f t="shared" ca="1" si="46"/>
        <v>Shak Mohammed</v>
      </c>
    </row>
    <row r="520" spans="1:23">
      <c r="A520" s="1" t="str">
        <f ca="1">IFERROR(__xludf.DUMMYFUNCTION("""COMPUTED_VALUE"""),"Luca")</f>
        <v>Luca</v>
      </c>
      <c r="B520" s="1" t="str">
        <f ca="1">IFERROR(__xludf.DUMMYFUNCTION("""COMPUTED_VALUE"""),"Moisa")</f>
        <v>Moisa</v>
      </c>
      <c r="C520" s="1" t="str">
        <f ca="1">IFERROR(__xludf.DUMMYFUNCTION("""COMPUTED_VALUE"""),"Real Salt Lake")</f>
        <v>Real Salt Lake</v>
      </c>
      <c r="D520" s="1" t="str">
        <f ca="1">IFERROR(__xludf.DUMMYFUNCTION("""COMPUTED_VALUE"""),"Central Midfield")</f>
        <v>Central Midfield</v>
      </c>
      <c r="E520" s="2">
        <f ca="1">IFERROR(__xludf.DUMMYFUNCTION("""COMPUTED_VALUE"""),71401)</f>
        <v>71401</v>
      </c>
      <c r="F520" s="2">
        <f ca="1">IFERROR(__xludf.DUMMYFUNCTION("""COMPUTED_VALUE"""),71401)</f>
        <v>71401</v>
      </c>
      <c r="H520" s="1" t="str">
        <f t="shared" ca="1" si="32"/>
        <v>Central Midfield</v>
      </c>
      <c r="I520" s="3" t="str">
        <f t="shared" ca="1" si="33"/>
        <v>Central Midfield</v>
      </c>
      <c r="J520" s="1" t="str">
        <f t="shared" ca="1" si="34"/>
        <v>Central Midfield</v>
      </c>
      <c r="K520" s="1" t="str">
        <f t="shared" ca="1" si="47"/>
        <v>Central Midfield</v>
      </c>
      <c r="L520" s="1" t="str">
        <f t="shared" ca="1" si="35"/>
        <v>M</v>
      </c>
      <c r="M520" s="1" t="str">
        <f t="shared" ca="1" si="36"/>
        <v>M</v>
      </c>
      <c r="N520" s="1" t="str">
        <f t="shared" ca="1" si="37"/>
        <v>M</v>
      </c>
      <c r="O520" s="1" t="str">
        <f t="shared" ca="1" si="38"/>
        <v>M</v>
      </c>
      <c r="P520" s="1" t="str">
        <f t="shared" ca="1" si="39"/>
        <v>M</v>
      </c>
      <c r="Q520" s="1" t="str">
        <f t="shared" ca="1" si="40"/>
        <v>M</v>
      </c>
      <c r="R520" s="1" t="str">
        <f t="shared" ca="1" si="41"/>
        <v>M</v>
      </c>
      <c r="S520" s="1" t="str">
        <f t="shared" ca="1" si="42"/>
        <v>M</v>
      </c>
      <c r="T520" s="1" t="str">
        <f t="shared" ca="1" si="43"/>
        <v>M</v>
      </c>
      <c r="U520" s="1" t="str">
        <f t="shared" ca="1" si="44"/>
        <v>M</v>
      </c>
      <c r="V520" s="1" t="str">
        <f t="shared" ca="1" si="45"/>
        <v>M</v>
      </c>
      <c r="W520" s="1" t="str">
        <f t="shared" ca="1" si="46"/>
        <v>Luca Moisa</v>
      </c>
    </row>
    <row r="521" spans="1:23">
      <c r="A521" s="1" t="str">
        <f ca="1">IFERROR(__xludf.DUMMYFUNCTION("""COMPUTED_VALUE"""),"Shaq")</f>
        <v>Shaq</v>
      </c>
      <c r="B521" s="1" t="str">
        <f ca="1">IFERROR(__xludf.DUMMYFUNCTION("""COMPUTED_VALUE"""),"Moore")</f>
        <v>Moore</v>
      </c>
      <c r="C521" s="1" t="str">
        <f ca="1">IFERROR(__xludf.DUMMYFUNCTION("""COMPUTED_VALUE"""),"Nashville SC")</f>
        <v>Nashville SC</v>
      </c>
      <c r="D521" s="1" t="str">
        <f ca="1">IFERROR(__xludf.DUMMYFUNCTION("""COMPUTED_VALUE"""),"Right-back")</f>
        <v>Right-back</v>
      </c>
      <c r="E521" s="2">
        <f ca="1">IFERROR(__xludf.DUMMYFUNCTION("""COMPUTED_VALUE"""),800000)</f>
        <v>800000</v>
      </c>
      <c r="F521" s="2">
        <f ca="1">IFERROR(__xludf.DUMMYFUNCTION("""COMPUTED_VALUE"""),881500)</f>
        <v>881500</v>
      </c>
      <c r="H521" s="1" t="str">
        <f t="shared" ca="1" si="32"/>
        <v>Right-back</v>
      </c>
      <c r="I521" s="3" t="str">
        <f t="shared" ca="1" si="33"/>
        <v>Right-back</v>
      </c>
      <c r="J521" s="1" t="str">
        <f t="shared" ca="1" si="34"/>
        <v>D</v>
      </c>
      <c r="K521" s="1" t="str">
        <f t="shared" ca="1" si="47"/>
        <v>D</v>
      </c>
      <c r="L521" s="1" t="str">
        <f t="shared" ca="1" si="35"/>
        <v>D</v>
      </c>
      <c r="M521" s="1" t="str">
        <f t="shared" ca="1" si="36"/>
        <v>D</v>
      </c>
      <c r="N521" s="1" t="str">
        <f t="shared" ca="1" si="37"/>
        <v>D</v>
      </c>
      <c r="O521" s="1" t="str">
        <f t="shared" ca="1" si="38"/>
        <v>D</v>
      </c>
      <c r="P521" s="1" t="str">
        <f t="shared" ca="1" si="39"/>
        <v>D</v>
      </c>
      <c r="Q521" s="1" t="str">
        <f t="shared" ca="1" si="40"/>
        <v>D</v>
      </c>
      <c r="R521" s="1" t="str">
        <f t="shared" ca="1" si="41"/>
        <v>D</v>
      </c>
      <c r="S521" s="1" t="str">
        <f t="shared" ca="1" si="42"/>
        <v>D</v>
      </c>
      <c r="T521" s="1" t="str">
        <f t="shared" ca="1" si="43"/>
        <v>D</v>
      </c>
      <c r="U521" s="1" t="str">
        <f t="shared" ca="1" si="44"/>
        <v>D</v>
      </c>
      <c r="V521" s="1" t="str">
        <f t="shared" ca="1" si="45"/>
        <v>D</v>
      </c>
      <c r="W521" s="1" t="str">
        <f t="shared" ca="1" si="46"/>
        <v>Shaq Moore</v>
      </c>
    </row>
    <row r="522" spans="1:23">
      <c r="A522" s="1" t="str">
        <f ca="1">IFERROR(__xludf.DUMMYFUNCTION("""COMPUTED_VALUE"""),"Felipe")</f>
        <v>Felipe</v>
      </c>
      <c r="B522" s="1" t="str">
        <f ca="1">IFERROR(__xludf.DUMMYFUNCTION("""COMPUTED_VALUE"""),"Mora")</f>
        <v>Mora</v>
      </c>
      <c r="C522" s="1" t="str">
        <f ca="1">IFERROR(__xludf.DUMMYFUNCTION("""COMPUTED_VALUE"""),"Portland Timbers")</f>
        <v>Portland Timbers</v>
      </c>
      <c r="D522" s="1" t="str">
        <f ca="1">IFERROR(__xludf.DUMMYFUNCTION("""COMPUTED_VALUE"""),"Center Forward")</f>
        <v>Center Forward</v>
      </c>
      <c r="E522" s="2">
        <f ca="1">IFERROR(__xludf.DUMMYFUNCTION("""COMPUTED_VALUE"""),1275000)</f>
        <v>1275000</v>
      </c>
      <c r="F522" s="2">
        <f ca="1">IFERROR(__xludf.DUMMYFUNCTION("""COMPUTED_VALUE"""),1472750)</f>
        <v>1472750</v>
      </c>
      <c r="H522" s="1" t="str">
        <f t="shared" ca="1" si="32"/>
        <v>Center Forward</v>
      </c>
      <c r="I522" s="3" t="str">
        <f t="shared" ca="1" si="33"/>
        <v>Center Forward</v>
      </c>
      <c r="J522" s="1" t="str">
        <f t="shared" ca="1" si="34"/>
        <v>Center Forward</v>
      </c>
      <c r="K522" s="1" t="str">
        <f t="shared" ca="1" si="47"/>
        <v>Center Forward</v>
      </c>
      <c r="L522" s="1" t="str">
        <f t="shared" ca="1" si="35"/>
        <v>Center Forward</v>
      </c>
      <c r="M522" s="1" t="str">
        <f t="shared" ca="1" si="36"/>
        <v>Center Forward</v>
      </c>
      <c r="N522" s="1" t="str">
        <f t="shared" ca="1" si="37"/>
        <v>Center Forward</v>
      </c>
      <c r="O522" s="1" t="str">
        <f t="shared" ca="1" si="38"/>
        <v>F</v>
      </c>
      <c r="P522" s="1" t="str">
        <f t="shared" ca="1" si="39"/>
        <v>F</v>
      </c>
      <c r="Q522" s="1" t="str">
        <f t="shared" ca="1" si="40"/>
        <v>F</v>
      </c>
      <c r="R522" s="1" t="str">
        <f t="shared" ca="1" si="41"/>
        <v>F</v>
      </c>
      <c r="S522" s="1" t="str">
        <f t="shared" ca="1" si="42"/>
        <v>F</v>
      </c>
      <c r="T522" s="1" t="str">
        <f t="shared" ca="1" si="43"/>
        <v>F</v>
      </c>
      <c r="U522" s="1" t="str">
        <f t="shared" ca="1" si="44"/>
        <v>F</v>
      </c>
      <c r="V522" s="1" t="str">
        <f t="shared" ca="1" si="45"/>
        <v>F</v>
      </c>
      <c r="W522" s="1" t="str">
        <f t="shared" ca="1" si="46"/>
        <v>Felipe Mora</v>
      </c>
    </row>
    <row r="523" spans="1:23">
      <c r="A523" s="1" t="str">
        <f ca="1">IFERROR(__xludf.DUMMYFUNCTION("""COMPUTED_VALUE"""),"Alfredo")</f>
        <v>Alfredo</v>
      </c>
      <c r="B523" s="1" t="str">
        <f ca="1">IFERROR(__xludf.DUMMYFUNCTION("""COMPUTED_VALUE"""),"Morales")</f>
        <v>Morales</v>
      </c>
      <c r="C523" s="1" t="str">
        <f ca="1">IFERROR(__xludf.DUMMYFUNCTION("""COMPUTED_VALUE"""),"San Jose Earthquakes")</f>
        <v>San Jose Earthquakes</v>
      </c>
      <c r="D523" s="1" t="str">
        <f ca="1">IFERROR(__xludf.DUMMYFUNCTION("""COMPUTED_VALUE"""),"Central Midfield")</f>
        <v>Central Midfield</v>
      </c>
      <c r="E523" s="2">
        <f ca="1">IFERROR(__xludf.DUMMYFUNCTION("""COMPUTED_VALUE"""),300000)</f>
        <v>300000</v>
      </c>
      <c r="F523" s="2">
        <f ca="1">IFERROR(__xludf.DUMMYFUNCTION("""COMPUTED_VALUE"""),335500)</f>
        <v>335500</v>
      </c>
      <c r="H523" s="1" t="str">
        <f t="shared" ca="1" si="32"/>
        <v>Central Midfield</v>
      </c>
      <c r="I523" s="3" t="str">
        <f t="shared" ca="1" si="33"/>
        <v>Central Midfield</v>
      </c>
      <c r="J523" s="1" t="str">
        <f t="shared" ca="1" si="34"/>
        <v>Central Midfield</v>
      </c>
      <c r="K523" s="1" t="str">
        <f t="shared" ca="1" si="47"/>
        <v>Central Midfield</v>
      </c>
      <c r="L523" s="1" t="str">
        <f t="shared" ca="1" si="35"/>
        <v>M</v>
      </c>
      <c r="M523" s="1" t="str">
        <f t="shared" ca="1" si="36"/>
        <v>M</v>
      </c>
      <c r="N523" s="1" t="str">
        <f t="shared" ca="1" si="37"/>
        <v>M</v>
      </c>
      <c r="O523" s="1" t="str">
        <f t="shared" ca="1" si="38"/>
        <v>M</v>
      </c>
      <c r="P523" s="1" t="str">
        <f t="shared" ca="1" si="39"/>
        <v>M</v>
      </c>
      <c r="Q523" s="1" t="str">
        <f t="shared" ca="1" si="40"/>
        <v>M</v>
      </c>
      <c r="R523" s="1" t="str">
        <f t="shared" ca="1" si="41"/>
        <v>M</v>
      </c>
      <c r="S523" s="1" t="str">
        <f t="shared" ca="1" si="42"/>
        <v>M</v>
      </c>
      <c r="T523" s="1" t="str">
        <f t="shared" ca="1" si="43"/>
        <v>M</v>
      </c>
      <c r="U523" s="1" t="str">
        <f t="shared" ca="1" si="44"/>
        <v>M</v>
      </c>
      <c r="V523" s="1" t="str">
        <f t="shared" ca="1" si="45"/>
        <v>M</v>
      </c>
      <c r="W523" s="1" t="str">
        <f t="shared" ca="1" si="46"/>
        <v>Alfredo Morales</v>
      </c>
    </row>
    <row r="524" spans="1:23">
      <c r="A524" s="1" t="str">
        <f ca="1">IFERROR(__xludf.DUMMYFUNCTION("""COMPUTED_VALUE"""),"Efraín")</f>
        <v>Efraín</v>
      </c>
      <c r="B524" s="1" t="str">
        <f ca="1">IFERROR(__xludf.DUMMYFUNCTION("""COMPUTED_VALUE"""),"Morales")</f>
        <v>Morales</v>
      </c>
      <c r="C524" s="1" t="str">
        <f ca="1">IFERROR(__xludf.DUMMYFUNCTION("""COMPUTED_VALUE"""),"Atlanta United")</f>
        <v>Atlanta United</v>
      </c>
      <c r="D524" s="1" t="str">
        <f ca="1">IFERROR(__xludf.DUMMYFUNCTION("""COMPUTED_VALUE"""),"Center-back")</f>
        <v>Center-back</v>
      </c>
      <c r="E524" s="2">
        <f ca="1">IFERROR(__xludf.DUMMYFUNCTION("""COMPUTED_VALUE"""),89716)</f>
        <v>89716</v>
      </c>
      <c r="F524" s="2">
        <f ca="1">IFERROR(__xludf.DUMMYFUNCTION("""COMPUTED_VALUE"""),97735)</f>
        <v>97735</v>
      </c>
      <c r="H524" s="1" t="str">
        <f t="shared" ca="1" si="32"/>
        <v>D</v>
      </c>
      <c r="I524" s="3" t="str">
        <f t="shared" ca="1" si="33"/>
        <v>D</v>
      </c>
      <c r="J524" s="1" t="str">
        <f t="shared" ca="1" si="34"/>
        <v>D</v>
      </c>
      <c r="K524" s="1" t="str">
        <f t="shared" ca="1" si="47"/>
        <v>D</v>
      </c>
      <c r="L524" s="1" t="str">
        <f t="shared" ca="1" si="35"/>
        <v>D</v>
      </c>
      <c r="M524" s="1" t="str">
        <f t="shared" ca="1" si="36"/>
        <v>D</v>
      </c>
      <c r="N524" s="1" t="str">
        <f t="shared" ca="1" si="37"/>
        <v>D</v>
      </c>
      <c r="O524" s="1" t="str">
        <f t="shared" ca="1" si="38"/>
        <v>D</v>
      </c>
      <c r="P524" s="1" t="str">
        <f t="shared" ca="1" si="39"/>
        <v>D</v>
      </c>
      <c r="Q524" s="1" t="str">
        <f t="shared" ca="1" si="40"/>
        <v>D</v>
      </c>
      <c r="R524" s="1" t="str">
        <f t="shared" ca="1" si="41"/>
        <v>D</v>
      </c>
      <c r="S524" s="1" t="str">
        <f t="shared" ca="1" si="42"/>
        <v>D</v>
      </c>
      <c r="T524" s="1" t="str">
        <f t="shared" ca="1" si="43"/>
        <v>D</v>
      </c>
      <c r="U524" s="1" t="str">
        <f t="shared" ca="1" si="44"/>
        <v>D</v>
      </c>
      <c r="V524" s="1" t="str">
        <f t="shared" ca="1" si="45"/>
        <v>D</v>
      </c>
      <c r="W524" s="1" t="str">
        <f t="shared" ca="1" si="46"/>
        <v>Efraín Morales</v>
      </c>
    </row>
    <row r="525" spans="1:23">
      <c r="A525" s="1" t="str">
        <f ca="1">IFERROR(__xludf.DUMMYFUNCTION("""COMPUTED_VALUE"""),"Santiago")</f>
        <v>Santiago</v>
      </c>
      <c r="B525" s="1" t="str">
        <f ca="1">IFERROR(__xludf.DUMMYFUNCTION("""COMPUTED_VALUE"""),"Morales")</f>
        <v>Morales</v>
      </c>
      <c r="C525" s="1" t="str">
        <f ca="1">IFERROR(__xludf.DUMMYFUNCTION("""COMPUTED_VALUE"""),"Inter Miami")</f>
        <v>Inter Miami</v>
      </c>
      <c r="D525" s="1" t="str">
        <f ca="1">IFERROR(__xludf.DUMMYFUNCTION("""COMPUTED_VALUE"""),"Attacking Midfield")</f>
        <v>Attacking Midfield</v>
      </c>
      <c r="E525" s="2">
        <f ca="1">IFERROR(__xludf.DUMMYFUNCTION("""COMPUTED_VALUE"""),71401)</f>
        <v>71401</v>
      </c>
      <c r="F525" s="2">
        <f ca="1">IFERROR(__xludf.DUMMYFUNCTION("""COMPUTED_VALUE"""),79734)</f>
        <v>79734</v>
      </c>
      <c r="H525" s="1" t="str">
        <f t="shared" ca="1" si="32"/>
        <v>Attacking Midfield</v>
      </c>
      <c r="I525" s="3" t="str">
        <f t="shared" ca="1" si="33"/>
        <v>Attacking Midfield</v>
      </c>
      <c r="J525" s="1" t="str">
        <f t="shared" ca="1" si="34"/>
        <v>Attacking Midfield</v>
      </c>
      <c r="K525" s="1" t="str">
        <f t="shared" ca="1" si="47"/>
        <v>Attacking Midfield</v>
      </c>
      <c r="L525" s="1" t="str">
        <f t="shared" ca="1" si="35"/>
        <v>Attacking Midfield</v>
      </c>
      <c r="M525" s="1" t="str">
        <f t="shared" ca="1" si="36"/>
        <v>M</v>
      </c>
      <c r="N525" s="1" t="str">
        <f t="shared" ca="1" si="37"/>
        <v>M</v>
      </c>
      <c r="O525" s="1" t="str">
        <f t="shared" ca="1" si="38"/>
        <v>M</v>
      </c>
      <c r="P525" s="1" t="str">
        <f t="shared" ca="1" si="39"/>
        <v>M</v>
      </c>
      <c r="Q525" s="1" t="str">
        <f t="shared" ca="1" si="40"/>
        <v>M</v>
      </c>
      <c r="R525" s="1" t="str">
        <f t="shared" ca="1" si="41"/>
        <v>M</v>
      </c>
      <c r="S525" s="1" t="str">
        <f t="shared" ca="1" si="42"/>
        <v>M</v>
      </c>
      <c r="T525" s="1" t="str">
        <f t="shared" ca="1" si="43"/>
        <v>M</v>
      </c>
      <c r="U525" s="1" t="str">
        <f t="shared" ca="1" si="44"/>
        <v>M</v>
      </c>
      <c r="V525" s="1" t="str">
        <f t="shared" ca="1" si="45"/>
        <v>M</v>
      </c>
      <c r="W525" s="1" t="str">
        <f t="shared" ca="1" si="46"/>
        <v>Santiago Morales</v>
      </c>
    </row>
    <row r="526" spans="1:23">
      <c r="A526" s="1" t="str">
        <f ca="1">IFERROR(__xludf.DUMMYFUNCTION("""COMPUTED_VALUE"""),"Maxi")</f>
        <v>Maxi</v>
      </c>
      <c r="B526" s="1" t="str">
        <f ca="1">IFERROR(__xludf.DUMMYFUNCTION("""COMPUTED_VALUE"""),"Moralez")</f>
        <v>Moralez</v>
      </c>
      <c r="C526" s="1" t="str">
        <f ca="1">IFERROR(__xludf.DUMMYFUNCTION("""COMPUTED_VALUE"""),"New York City FC")</f>
        <v>New York City FC</v>
      </c>
      <c r="D526" s="1" t="str">
        <f ca="1">IFERROR(__xludf.DUMMYFUNCTION("""COMPUTED_VALUE"""),"Attacking Midfield")</f>
        <v>Attacking Midfield</v>
      </c>
      <c r="E526" s="2">
        <f ca="1">IFERROR(__xludf.DUMMYFUNCTION("""COMPUTED_VALUE"""),480000)</f>
        <v>480000</v>
      </c>
      <c r="F526" s="2">
        <f ca="1">IFERROR(__xludf.DUMMYFUNCTION("""COMPUTED_VALUE"""),500000)</f>
        <v>500000</v>
      </c>
      <c r="H526" s="1" t="str">
        <f t="shared" ca="1" si="32"/>
        <v>Attacking Midfield</v>
      </c>
      <c r="I526" s="3" t="str">
        <f t="shared" ca="1" si="33"/>
        <v>Attacking Midfield</v>
      </c>
      <c r="J526" s="1" t="str">
        <f t="shared" ca="1" si="34"/>
        <v>Attacking Midfield</v>
      </c>
      <c r="K526" s="1" t="str">
        <f t="shared" ca="1" si="47"/>
        <v>Attacking Midfield</v>
      </c>
      <c r="L526" s="1" t="str">
        <f t="shared" ca="1" si="35"/>
        <v>Attacking Midfield</v>
      </c>
      <c r="M526" s="1" t="str">
        <f t="shared" ca="1" si="36"/>
        <v>M</v>
      </c>
      <c r="N526" s="1" t="str">
        <f t="shared" ca="1" si="37"/>
        <v>M</v>
      </c>
      <c r="O526" s="1" t="str">
        <f t="shared" ca="1" si="38"/>
        <v>M</v>
      </c>
      <c r="P526" s="1" t="str">
        <f t="shared" ca="1" si="39"/>
        <v>M</v>
      </c>
      <c r="Q526" s="1" t="str">
        <f t="shared" ca="1" si="40"/>
        <v>M</v>
      </c>
      <c r="R526" s="1" t="str">
        <f t="shared" ca="1" si="41"/>
        <v>M</v>
      </c>
      <c r="S526" s="1" t="str">
        <f t="shared" ca="1" si="42"/>
        <v>M</v>
      </c>
      <c r="T526" s="1" t="str">
        <f t="shared" ca="1" si="43"/>
        <v>M</v>
      </c>
      <c r="U526" s="1" t="str">
        <f t="shared" ca="1" si="44"/>
        <v>M</v>
      </c>
      <c r="V526" s="1" t="str">
        <f t="shared" ca="1" si="45"/>
        <v>M</v>
      </c>
      <c r="W526" s="1" t="str">
        <f t="shared" ca="1" si="46"/>
        <v>Maxi Moralez</v>
      </c>
    </row>
    <row r="527" spans="1:23">
      <c r="A527" s="1" t="str">
        <f ca="1">IFERROR(__xludf.DUMMYFUNCTION("""COMPUTED_VALUE"""),"Steven")</f>
        <v>Steven</v>
      </c>
      <c r="B527" s="1" t="str">
        <f ca="1">IFERROR(__xludf.DUMMYFUNCTION("""COMPUTED_VALUE"""),"Moreira")</f>
        <v>Moreira</v>
      </c>
      <c r="C527" s="1" t="str">
        <f ca="1">IFERROR(__xludf.DUMMYFUNCTION("""COMPUTED_VALUE"""),"Columbus Crew")</f>
        <v>Columbus Crew</v>
      </c>
      <c r="D527" s="1" t="str">
        <f ca="1">IFERROR(__xludf.DUMMYFUNCTION("""COMPUTED_VALUE"""),"Right-back")</f>
        <v>Right-back</v>
      </c>
      <c r="E527" s="2">
        <f ca="1">IFERROR(__xludf.DUMMYFUNCTION("""COMPUTED_VALUE"""),800000)</f>
        <v>800000</v>
      </c>
      <c r="F527" s="2">
        <f ca="1">IFERROR(__xludf.DUMMYFUNCTION("""COMPUTED_VALUE"""),882000)</f>
        <v>882000</v>
      </c>
      <c r="H527" s="1" t="str">
        <f t="shared" ca="1" si="32"/>
        <v>Right-back</v>
      </c>
      <c r="I527" s="3" t="str">
        <f t="shared" ca="1" si="33"/>
        <v>Right-back</v>
      </c>
      <c r="J527" s="1" t="str">
        <f t="shared" ca="1" si="34"/>
        <v>D</v>
      </c>
      <c r="K527" s="1" t="str">
        <f t="shared" ca="1" si="47"/>
        <v>D</v>
      </c>
      <c r="L527" s="1" t="str">
        <f t="shared" ca="1" si="35"/>
        <v>D</v>
      </c>
      <c r="M527" s="1" t="str">
        <f t="shared" ca="1" si="36"/>
        <v>D</v>
      </c>
      <c r="N527" s="1" t="str">
        <f t="shared" ca="1" si="37"/>
        <v>D</v>
      </c>
      <c r="O527" s="1" t="str">
        <f t="shared" ca="1" si="38"/>
        <v>D</v>
      </c>
      <c r="P527" s="1" t="str">
        <f t="shared" ca="1" si="39"/>
        <v>D</v>
      </c>
      <c r="Q527" s="1" t="str">
        <f t="shared" ca="1" si="40"/>
        <v>D</v>
      </c>
      <c r="R527" s="1" t="str">
        <f t="shared" ca="1" si="41"/>
        <v>D</v>
      </c>
      <c r="S527" s="1" t="str">
        <f t="shared" ca="1" si="42"/>
        <v>D</v>
      </c>
      <c r="T527" s="1" t="str">
        <f t="shared" ca="1" si="43"/>
        <v>D</v>
      </c>
      <c r="U527" s="1" t="str">
        <f t="shared" ca="1" si="44"/>
        <v>D</v>
      </c>
      <c r="V527" s="1" t="str">
        <f t="shared" ca="1" si="45"/>
        <v>D</v>
      </c>
      <c r="W527" s="1" t="str">
        <f t="shared" ca="1" si="46"/>
        <v>Steven Moreira</v>
      </c>
    </row>
    <row r="528" spans="1:23">
      <c r="A528" s="1" t="str">
        <f ca="1">IFERROR(__xludf.DUMMYFUNCTION("""COMPUTED_VALUE"""),"Santiago")</f>
        <v>Santiago</v>
      </c>
      <c r="B528" s="1" t="str">
        <f ca="1">IFERROR(__xludf.DUMMYFUNCTION("""COMPUTED_VALUE"""),"Moreno")</f>
        <v>Moreno</v>
      </c>
      <c r="C528" s="1" t="str">
        <f ca="1">IFERROR(__xludf.DUMMYFUNCTION("""COMPUTED_VALUE"""),"Portland Timbers")</f>
        <v>Portland Timbers</v>
      </c>
      <c r="D528" s="1" t="str">
        <f ca="1">IFERROR(__xludf.DUMMYFUNCTION("""COMPUTED_VALUE"""),"Right Wing")</f>
        <v>Right Wing</v>
      </c>
      <c r="E528" s="2">
        <f ca="1">IFERROR(__xludf.DUMMYFUNCTION("""COMPUTED_VALUE"""),550000)</f>
        <v>550000</v>
      </c>
      <c r="F528" s="2">
        <f ca="1">IFERROR(__xludf.DUMMYFUNCTION("""COMPUTED_VALUE"""),607500)</f>
        <v>607500</v>
      </c>
      <c r="H528" s="1" t="str">
        <f t="shared" ca="1" si="32"/>
        <v>Right Wing</v>
      </c>
      <c r="I528" s="3" t="str">
        <f t="shared" ca="1" si="33"/>
        <v>Right Wing</v>
      </c>
      <c r="J528" s="1" t="str">
        <f t="shared" ca="1" si="34"/>
        <v>Right Wing</v>
      </c>
      <c r="K528" s="1" t="str">
        <f t="shared" ca="1" si="47"/>
        <v>Right Wing</v>
      </c>
      <c r="L528" s="1" t="str">
        <f t="shared" ca="1" si="35"/>
        <v>Right Wing</v>
      </c>
      <c r="M528" s="1" t="str">
        <f t="shared" ca="1" si="36"/>
        <v>Right Wing</v>
      </c>
      <c r="N528" s="1" t="str">
        <f t="shared" ca="1" si="37"/>
        <v>F</v>
      </c>
      <c r="O528" s="1" t="str">
        <f t="shared" ca="1" si="38"/>
        <v>F</v>
      </c>
      <c r="P528" s="1" t="str">
        <f t="shared" ca="1" si="39"/>
        <v>F</v>
      </c>
      <c r="Q528" s="1" t="str">
        <f t="shared" ca="1" si="40"/>
        <v>F</v>
      </c>
      <c r="R528" s="1" t="str">
        <f t="shared" ca="1" si="41"/>
        <v>F</v>
      </c>
      <c r="S528" s="1" t="str">
        <f t="shared" ca="1" si="42"/>
        <v>F</v>
      </c>
      <c r="T528" s="1" t="str">
        <f t="shared" ca="1" si="43"/>
        <v>F</v>
      </c>
      <c r="U528" s="1" t="str">
        <f t="shared" ca="1" si="44"/>
        <v>F</v>
      </c>
      <c r="V528" s="1" t="str">
        <f t="shared" ca="1" si="45"/>
        <v>F</v>
      </c>
      <c r="W528" s="1" t="str">
        <f t="shared" ca="1" si="46"/>
        <v>Santiago Moreno</v>
      </c>
    </row>
    <row r="529" spans="1:23">
      <c r="A529" s="1" t="str">
        <f ca="1">IFERROR(__xludf.DUMMYFUNCTION("""COMPUTED_VALUE"""),"Lewis")</f>
        <v>Lewis</v>
      </c>
      <c r="B529" s="1" t="str">
        <f ca="1">IFERROR(__xludf.DUMMYFUNCTION("""COMPUTED_VALUE"""),"Morgan")</f>
        <v>Morgan</v>
      </c>
      <c r="C529" s="1" t="str">
        <f ca="1">IFERROR(__xludf.DUMMYFUNCTION("""COMPUTED_VALUE"""),"New York Red Bulls")</f>
        <v>New York Red Bulls</v>
      </c>
      <c r="D529" s="1" t="str">
        <f ca="1">IFERROR(__xludf.DUMMYFUNCTION("""COMPUTED_VALUE"""),"Left Wing")</f>
        <v>Left Wing</v>
      </c>
      <c r="E529" s="2">
        <f ca="1">IFERROR(__xludf.DUMMYFUNCTION("""COMPUTED_VALUE"""),1250000)</f>
        <v>1250000</v>
      </c>
      <c r="F529" s="2">
        <f ca="1">IFERROR(__xludf.DUMMYFUNCTION("""COMPUTED_VALUE"""),1425000)</f>
        <v>1425000</v>
      </c>
      <c r="H529" s="1" t="str">
        <f t="shared" ca="1" si="32"/>
        <v>Left Wing</v>
      </c>
      <c r="I529" s="3" t="str">
        <f t="shared" ca="1" si="33"/>
        <v>Left Wing</v>
      </c>
      <c r="J529" s="1" t="str">
        <f t="shared" ca="1" si="34"/>
        <v>Left Wing</v>
      </c>
      <c r="K529" s="1" t="str">
        <f t="shared" ca="1" si="47"/>
        <v>Left Wing</v>
      </c>
      <c r="L529" s="1" t="str">
        <f t="shared" ca="1" si="35"/>
        <v>Left Wing</v>
      </c>
      <c r="M529" s="1" t="str">
        <f t="shared" ca="1" si="36"/>
        <v>Left Wing</v>
      </c>
      <c r="N529" s="1" t="str">
        <f t="shared" ca="1" si="37"/>
        <v>Left Wing</v>
      </c>
      <c r="O529" s="1" t="str">
        <f t="shared" ca="1" si="38"/>
        <v>Left Wing</v>
      </c>
      <c r="P529" s="1" t="str">
        <f t="shared" ca="1" si="39"/>
        <v>F</v>
      </c>
      <c r="Q529" s="1" t="str">
        <f t="shared" ca="1" si="40"/>
        <v>F</v>
      </c>
      <c r="R529" s="1" t="str">
        <f t="shared" ca="1" si="41"/>
        <v>F</v>
      </c>
      <c r="S529" s="1" t="str">
        <f t="shared" ca="1" si="42"/>
        <v>F</v>
      </c>
      <c r="T529" s="1" t="str">
        <f t="shared" ca="1" si="43"/>
        <v>F</v>
      </c>
      <c r="U529" s="1" t="str">
        <f t="shared" ca="1" si="44"/>
        <v>F</v>
      </c>
      <c r="V529" s="1" t="str">
        <f t="shared" ca="1" si="45"/>
        <v>F</v>
      </c>
      <c r="W529" s="1" t="str">
        <f t="shared" ca="1" si="46"/>
        <v>Lewis Morgan</v>
      </c>
    </row>
    <row r="530" spans="1:23">
      <c r="A530" s="1" t="str">
        <f ca="1">IFERROR(__xludf.DUMMYFUNCTION("""COMPUTED_VALUE"""),"Aidan")</f>
        <v>Aidan</v>
      </c>
      <c r="B530" s="1" t="str">
        <f ca="1">IFERROR(__xludf.DUMMYFUNCTION("""COMPUTED_VALUE"""),"Morris")</f>
        <v>Morris</v>
      </c>
      <c r="C530" s="1" t="str">
        <f ca="1">IFERROR(__xludf.DUMMYFUNCTION("""COMPUTED_VALUE"""),"Columbus Crew")</f>
        <v>Columbus Crew</v>
      </c>
      <c r="D530" s="1" t="str">
        <f ca="1">IFERROR(__xludf.DUMMYFUNCTION("""COMPUTED_VALUE"""),"Central Midfield")</f>
        <v>Central Midfield</v>
      </c>
      <c r="E530" s="2">
        <f ca="1">IFERROR(__xludf.DUMMYFUNCTION("""COMPUTED_VALUE"""),650000)</f>
        <v>650000</v>
      </c>
      <c r="F530" s="2">
        <f ca="1">IFERROR(__xludf.DUMMYFUNCTION("""COMPUTED_VALUE"""),714375)</f>
        <v>714375</v>
      </c>
      <c r="H530" s="1" t="str">
        <f t="shared" ca="1" si="32"/>
        <v>Central Midfield</v>
      </c>
      <c r="I530" s="3" t="str">
        <f t="shared" ca="1" si="33"/>
        <v>Central Midfield</v>
      </c>
      <c r="J530" s="1" t="str">
        <f t="shared" ca="1" si="34"/>
        <v>Central Midfield</v>
      </c>
      <c r="K530" s="1" t="str">
        <f t="shared" ca="1" si="47"/>
        <v>Central Midfield</v>
      </c>
      <c r="L530" s="1" t="str">
        <f t="shared" ca="1" si="35"/>
        <v>M</v>
      </c>
      <c r="M530" s="1" t="str">
        <f t="shared" ca="1" si="36"/>
        <v>M</v>
      </c>
      <c r="N530" s="1" t="str">
        <f t="shared" ca="1" si="37"/>
        <v>M</v>
      </c>
      <c r="O530" s="1" t="str">
        <f t="shared" ca="1" si="38"/>
        <v>M</v>
      </c>
      <c r="P530" s="1" t="str">
        <f t="shared" ca="1" si="39"/>
        <v>M</v>
      </c>
      <c r="Q530" s="1" t="str">
        <f t="shared" ca="1" si="40"/>
        <v>M</v>
      </c>
      <c r="R530" s="1" t="str">
        <f t="shared" ca="1" si="41"/>
        <v>M</v>
      </c>
      <c r="S530" s="1" t="str">
        <f t="shared" ca="1" si="42"/>
        <v>M</v>
      </c>
      <c r="T530" s="1" t="str">
        <f t="shared" ca="1" si="43"/>
        <v>M</v>
      </c>
      <c r="U530" s="1" t="str">
        <f t="shared" ca="1" si="44"/>
        <v>M</v>
      </c>
      <c r="V530" s="1" t="str">
        <f t="shared" ca="1" si="45"/>
        <v>M</v>
      </c>
      <c r="W530" s="1" t="str">
        <f t="shared" ca="1" si="46"/>
        <v>Aidan Morris</v>
      </c>
    </row>
    <row r="531" spans="1:23">
      <c r="A531" s="1" t="str">
        <f ca="1">IFERROR(__xludf.DUMMYFUNCTION("""COMPUTED_VALUE"""),"Jordan")</f>
        <v>Jordan</v>
      </c>
      <c r="B531" s="1" t="str">
        <f ca="1">IFERROR(__xludf.DUMMYFUNCTION("""COMPUTED_VALUE"""),"Morris")</f>
        <v>Morris</v>
      </c>
      <c r="C531" s="1" t="str">
        <f ca="1">IFERROR(__xludf.DUMMYFUNCTION("""COMPUTED_VALUE"""),"Seattle Sounders FC")</f>
        <v>Seattle Sounders FC</v>
      </c>
      <c r="D531" s="1" t="str">
        <f ca="1">IFERROR(__xludf.DUMMYFUNCTION("""COMPUTED_VALUE"""),"Left Wing")</f>
        <v>Left Wing</v>
      </c>
      <c r="E531" s="2">
        <f ca="1">IFERROR(__xludf.DUMMYFUNCTION("""COMPUTED_VALUE"""),1683750)</f>
        <v>1683750</v>
      </c>
      <c r="F531" s="2">
        <f ca="1">IFERROR(__xludf.DUMMYFUNCTION("""COMPUTED_VALUE"""),1693750)</f>
        <v>1693750</v>
      </c>
      <c r="H531" s="1" t="str">
        <f t="shared" ca="1" si="32"/>
        <v>Left Wing</v>
      </c>
      <c r="I531" s="3" t="str">
        <f t="shared" ca="1" si="33"/>
        <v>Left Wing</v>
      </c>
      <c r="J531" s="1" t="str">
        <f t="shared" ca="1" si="34"/>
        <v>Left Wing</v>
      </c>
      <c r="K531" s="1" t="str">
        <f t="shared" ca="1" si="47"/>
        <v>Left Wing</v>
      </c>
      <c r="L531" s="1" t="str">
        <f t="shared" ca="1" si="35"/>
        <v>Left Wing</v>
      </c>
      <c r="M531" s="1" t="str">
        <f t="shared" ca="1" si="36"/>
        <v>Left Wing</v>
      </c>
      <c r="N531" s="1" t="str">
        <f t="shared" ca="1" si="37"/>
        <v>Left Wing</v>
      </c>
      <c r="O531" s="1" t="str">
        <f t="shared" ca="1" si="38"/>
        <v>Left Wing</v>
      </c>
      <c r="P531" s="1" t="str">
        <f t="shared" ca="1" si="39"/>
        <v>F</v>
      </c>
      <c r="Q531" s="1" t="str">
        <f t="shared" ca="1" si="40"/>
        <v>F</v>
      </c>
      <c r="R531" s="1" t="str">
        <f t="shared" ca="1" si="41"/>
        <v>F</v>
      </c>
      <c r="S531" s="1" t="str">
        <f t="shared" ca="1" si="42"/>
        <v>F</v>
      </c>
      <c r="T531" s="1" t="str">
        <f t="shared" ca="1" si="43"/>
        <v>F</v>
      </c>
      <c r="U531" s="1" t="str">
        <f t="shared" ca="1" si="44"/>
        <v>F</v>
      </c>
      <c r="V531" s="1" t="str">
        <f t="shared" ca="1" si="45"/>
        <v>F</v>
      </c>
      <c r="W531" s="1" t="str">
        <f t="shared" ca="1" si="46"/>
        <v>Jordan Morris</v>
      </c>
    </row>
    <row r="532" spans="1:23">
      <c r="A532" s="1" t="str">
        <f ca="1">IFERROR(__xludf.DUMMYFUNCTION("""COMPUTED_VALUE"""),"Juan")</f>
        <v>Juan</v>
      </c>
      <c r="B532" s="1" t="str">
        <f ca="1">IFERROR(__xludf.DUMMYFUNCTION("""COMPUTED_VALUE"""),"Mosquera")</f>
        <v>Mosquera</v>
      </c>
      <c r="C532" s="1" t="str">
        <f ca="1">IFERROR(__xludf.DUMMYFUNCTION("""COMPUTED_VALUE"""),"Portland Timbers")</f>
        <v>Portland Timbers</v>
      </c>
      <c r="D532" s="1" t="str">
        <f ca="1">IFERROR(__xludf.DUMMYFUNCTION("""COMPUTED_VALUE"""),"Right-back")</f>
        <v>Right-back</v>
      </c>
      <c r="E532" s="2">
        <f ca="1">IFERROR(__xludf.DUMMYFUNCTION("""COMPUTED_VALUE"""),225000)</f>
        <v>225000</v>
      </c>
      <c r="F532" s="2">
        <f ca="1">IFERROR(__xludf.DUMMYFUNCTION("""COMPUTED_VALUE"""),291650)</f>
        <v>291650</v>
      </c>
      <c r="H532" s="1" t="str">
        <f t="shared" ca="1" si="32"/>
        <v>Right-back</v>
      </c>
      <c r="I532" s="3" t="str">
        <f t="shared" ca="1" si="33"/>
        <v>Right-back</v>
      </c>
      <c r="J532" s="1" t="str">
        <f t="shared" ca="1" si="34"/>
        <v>D</v>
      </c>
      <c r="K532" s="1" t="str">
        <f t="shared" ca="1" si="47"/>
        <v>D</v>
      </c>
      <c r="L532" s="1" t="str">
        <f t="shared" ca="1" si="35"/>
        <v>D</v>
      </c>
      <c r="M532" s="1" t="str">
        <f t="shared" ca="1" si="36"/>
        <v>D</v>
      </c>
      <c r="N532" s="1" t="str">
        <f t="shared" ca="1" si="37"/>
        <v>D</v>
      </c>
      <c r="O532" s="1" t="str">
        <f t="shared" ca="1" si="38"/>
        <v>D</v>
      </c>
      <c r="P532" s="1" t="str">
        <f t="shared" ca="1" si="39"/>
        <v>D</v>
      </c>
      <c r="Q532" s="1" t="str">
        <f t="shared" ca="1" si="40"/>
        <v>D</v>
      </c>
      <c r="R532" s="1" t="str">
        <f t="shared" ca="1" si="41"/>
        <v>D</v>
      </c>
      <c r="S532" s="1" t="str">
        <f t="shared" ca="1" si="42"/>
        <v>D</v>
      </c>
      <c r="T532" s="1" t="str">
        <f t="shared" ca="1" si="43"/>
        <v>D</v>
      </c>
      <c r="U532" s="1" t="str">
        <f t="shared" ca="1" si="44"/>
        <v>D</v>
      </c>
      <c r="V532" s="1" t="str">
        <f t="shared" ca="1" si="45"/>
        <v>D</v>
      </c>
      <c r="W532" s="1" t="str">
        <f t="shared" ca="1" si="46"/>
        <v>Juan Mosquera</v>
      </c>
    </row>
    <row r="533" spans="1:23">
      <c r="A533" s="1" t="str">
        <f ca="1">IFERROR(__xludf.DUMMYFUNCTION("""COMPUTED_VALUE"""),"Edwin")</f>
        <v>Edwin</v>
      </c>
      <c r="B533" s="1" t="str">
        <f ca="1">IFERROR(__xludf.DUMMYFUNCTION("""COMPUTED_VALUE"""),"Mosquera")</f>
        <v>Mosquera</v>
      </c>
      <c r="C533" s="1" t="str">
        <f ca="1">IFERROR(__xludf.DUMMYFUNCTION("""COMPUTED_VALUE"""),"Atlanta United")</f>
        <v>Atlanta United</v>
      </c>
      <c r="D533" s="1" t="str">
        <f ca="1">IFERROR(__xludf.DUMMYFUNCTION("""COMPUTED_VALUE"""),"Left Wing")</f>
        <v>Left Wing</v>
      </c>
      <c r="E533" s="2">
        <f ca="1">IFERROR(__xludf.DUMMYFUNCTION("""COMPUTED_VALUE"""),400000)</f>
        <v>400000</v>
      </c>
      <c r="F533" s="2">
        <f ca="1">IFERROR(__xludf.DUMMYFUNCTION("""COMPUTED_VALUE"""),437000)</f>
        <v>437000</v>
      </c>
      <c r="H533" s="1" t="str">
        <f t="shared" ca="1" si="32"/>
        <v>Left Wing</v>
      </c>
      <c r="I533" s="3" t="str">
        <f t="shared" ca="1" si="33"/>
        <v>Left Wing</v>
      </c>
      <c r="J533" s="1" t="str">
        <f t="shared" ca="1" si="34"/>
        <v>Left Wing</v>
      </c>
      <c r="K533" s="1" t="str">
        <f t="shared" ca="1" si="47"/>
        <v>Left Wing</v>
      </c>
      <c r="L533" s="1" t="str">
        <f t="shared" ca="1" si="35"/>
        <v>Left Wing</v>
      </c>
      <c r="M533" s="1" t="str">
        <f t="shared" ca="1" si="36"/>
        <v>Left Wing</v>
      </c>
      <c r="N533" s="1" t="str">
        <f t="shared" ca="1" si="37"/>
        <v>Left Wing</v>
      </c>
      <c r="O533" s="1" t="str">
        <f t="shared" ca="1" si="38"/>
        <v>Left Wing</v>
      </c>
      <c r="P533" s="1" t="str">
        <f t="shared" ca="1" si="39"/>
        <v>F</v>
      </c>
      <c r="Q533" s="1" t="str">
        <f t="shared" ca="1" si="40"/>
        <v>F</v>
      </c>
      <c r="R533" s="1" t="str">
        <f t="shared" ca="1" si="41"/>
        <v>F</v>
      </c>
      <c r="S533" s="1" t="str">
        <f t="shared" ca="1" si="42"/>
        <v>F</v>
      </c>
      <c r="T533" s="1" t="str">
        <f t="shared" ca="1" si="43"/>
        <v>F</v>
      </c>
      <c r="U533" s="1" t="str">
        <f t="shared" ca="1" si="44"/>
        <v>F</v>
      </c>
      <c r="V533" s="1" t="str">
        <f t="shared" ca="1" si="45"/>
        <v>F</v>
      </c>
      <c r="W533" s="1" t="str">
        <f t="shared" ca="1" si="46"/>
        <v>Edwin Mosquera</v>
      </c>
    </row>
    <row r="534" spans="1:23">
      <c r="A534" s="1" t="str">
        <f ca="1">IFERROR(__xludf.DUMMYFUNCTION("""COMPUTED_VALUE"""),"Cole")</f>
        <v>Cole</v>
      </c>
      <c r="B534" s="1" t="str">
        <f ca="1">IFERROR(__xludf.DUMMYFUNCTION("""COMPUTED_VALUE"""),"Mrowka")</f>
        <v>Mrowka</v>
      </c>
      <c r="C534" s="1" t="str">
        <f ca="1">IFERROR(__xludf.DUMMYFUNCTION("""COMPUTED_VALUE"""),"Columbus Crew")</f>
        <v>Columbus Crew</v>
      </c>
      <c r="D534" s="1" t="str">
        <f ca="1">IFERROR(__xludf.DUMMYFUNCTION("""COMPUTED_VALUE"""),"Attacking Midfield")</f>
        <v>Attacking Midfield</v>
      </c>
      <c r="E534" s="2">
        <f ca="1">IFERROR(__xludf.DUMMYFUNCTION("""COMPUTED_VALUE"""),71401)</f>
        <v>71401</v>
      </c>
      <c r="F534" s="2">
        <f ca="1">IFERROR(__xludf.DUMMYFUNCTION("""COMPUTED_VALUE"""),91409)</f>
        <v>91409</v>
      </c>
      <c r="H534" s="1" t="str">
        <f t="shared" ca="1" si="32"/>
        <v>Attacking Midfield</v>
      </c>
      <c r="I534" s="3" t="str">
        <f t="shared" ca="1" si="33"/>
        <v>Attacking Midfield</v>
      </c>
      <c r="J534" s="1" t="str">
        <f t="shared" ca="1" si="34"/>
        <v>Attacking Midfield</v>
      </c>
      <c r="K534" s="1" t="str">
        <f t="shared" ca="1" si="47"/>
        <v>Attacking Midfield</v>
      </c>
      <c r="L534" s="1" t="str">
        <f t="shared" ca="1" si="35"/>
        <v>Attacking Midfield</v>
      </c>
      <c r="M534" s="1" t="str">
        <f t="shared" ca="1" si="36"/>
        <v>M</v>
      </c>
      <c r="N534" s="1" t="str">
        <f t="shared" ca="1" si="37"/>
        <v>M</v>
      </c>
      <c r="O534" s="1" t="str">
        <f t="shared" ca="1" si="38"/>
        <v>M</v>
      </c>
      <c r="P534" s="1" t="str">
        <f t="shared" ca="1" si="39"/>
        <v>M</v>
      </c>
      <c r="Q534" s="1" t="str">
        <f t="shared" ca="1" si="40"/>
        <v>M</v>
      </c>
      <c r="R534" s="1" t="str">
        <f t="shared" ca="1" si="41"/>
        <v>M</v>
      </c>
      <c r="S534" s="1" t="str">
        <f t="shared" ca="1" si="42"/>
        <v>M</v>
      </c>
      <c r="T534" s="1" t="str">
        <f t="shared" ca="1" si="43"/>
        <v>M</v>
      </c>
      <c r="U534" s="1" t="str">
        <f t="shared" ca="1" si="44"/>
        <v>M</v>
      </c>
      <c r="V534" s="1" t="str">
        <f t="shared" ca="1" si="45"/>
        <v>M</v>
      </c>
      <c r="W534" s="1" t="str">
        <f t="shared" ca="1" si="46"/>
        <v>Cole Mrowka</v>
      </c>
    </row>
    <row r="535" spans="1:23">
      <c r="A535" s="1" t="str">
        <f ca="1">IFERROR(__xludf.DUMMYFUNCTION("""COMPUTED_VALUE"""),"Chris")</f>
        <v>Chris</v>
      </c>
      <c r="B535" s="1" t="str">
        <f ca="1">IFERROR(__xludf.DUMMYFUNCTION("""COMPUTED_VALUE"""),"Mueller")</f>
        <v>Mueller</v>
      </c>
      <c r="C535" s="1" t="str">
        <f ca="1">IFERROR(__xludf.DUMMYFUNCTION("""COMPUTED_VALUE"""),"Chicago Fire")</f>
        <v>Chicago Fire</v>
      </c>
      <c r="D535" s="1" t="str">
        <f ca="1">IFERROR(__xludf.DUMMYFUNCTION("""COMPUTED_VALUE"""),"Right Wing")</f>
        <v>Right Wing</v>
      </c>
      <c r="E535" s="2">
        <f ca="1">IFERROR(__xludf.DUMMYFUNCTION("""COMPUTED_VALUE"""),650004)</f>
        <v>650004</v>
      </c>
      <c r="F535" s="2">
        <f ca="1">IFERROR(__xludf.DUMMYFUNCTION("""COMPUTED_VALUE"""),712324)</f>
        <v>712324</v>
      </c>
      <c r="H535" s="1" t="str">
        <f t="shared" ca="1" si="32"/>
        <v>Right Wing</v>
      </c>
      <c r="I535" s="3" t="str">
        <f t="shared" ca="1" si="33"/>
        <v>Right Wing</v>
      </c>
      <c r="J535" s="1" t="str">
        <f t="shared" ca="1" si="34"/>
        <v>Right Wing</v>
      </c>
      <c r="K535" s="1" t="str">
        <f t="shared" ca="1" si="47"/>
        <v>Right Wing</v>
      </c>
      <c r="L535" s="1" t="str">
        <f t="shared" ca="1" si="35"/>
        <v>Right Wing</v>
      </c>
      <c r="M535" s="1" t="str">
        <f t="shared" ca="1" si="36"/>
        <v>Right Wing</v>
      </c>
      <c r="N535" s="1" t="str">
        <f t="shared" ca="1" si="37"/>
        <v>F</v>
      </c>
      <c r="O535" s="1" t="str">
        <f t="shared" ca="1" si="38"/>
        <v>F</v>
      </c>
      <c r="P535" s="1" t="str">
        <f t="shared" ca="1" si="39"/>
        <v>F</v>
      </c>
      <c r="Q535" s="1" t="str">
        <f t="shared" ca="1" si="40"/>
        <v>F</v>
      </c>
      <c r="R535" s="1" t="str">
        <f t="shared" ca="1" si="41"/>
        <v>F</v>
      </c>
      <c r="S535" s="1" t="str">
        <f t="shared" ca="1" si="42"/>
        <v>F</v>
      </c>
      <c r="T535" s="1" t="str">
        <f t="shared" ca="1" si="43"/>
        <v>F</v>
      </c>
      <c r="U535" s="1" t="str">
        <f t="shared" ca="1" si="44"/>
        <v>F</v>
      </c>
      <c r="V535" s="1" t="str">
        <f t="shared" ca="1" si="45"/>
        <v>F</v>
      </c>
      <c r="W535" s="1" t="str">
        <f t="shared" ca="1" si="46"/>
        <v>Chris Mueller</v>
      </c>
    </row>
    <row r="536" spans="1:23">
      <c r="A536" s="1" t="str">
        <f ca="1">IFERROR(__xludf.DUMMYFUNCTION("""COMPUTED_VALUE"""),"Hany")</f>
        <v>Hany</v>
      </c>
      <c r="B536" s="1" t="str">
        <f ca="1">IFERROR(__xludf.DUMMYFUNCTION("""COMPUTED_VALUE"""),"Mukhtar")</f>
        <v>Mukhtar</v>
      </c>
      <c r="C536" s="1" t="str">
        <f ca="1">IFERROR(__xludf.DUMMYFUNCTION("""COMPUTED_VALUE"""),"Nashville SC")</f>
        <v>Nashville SC</v>
      </c>
      <c r="D536" s="1" t="str">
        <f ca="1">IFERROR(__xludf.DUMMYFUNCTION("""COMPUTED_VALUE"""),"Attacking Midfield")</f>
        <v>Attacking Midfield</v>
      </c>
      <c r="E536" s="2">
        <f ca="1">IFERROR(__xludf.DUMMYFUNCTION("""COMPUTED_VALUE"""),3800000)</f>
        <v>3800000</v>
      </c>
      <c r="F536" s="2">
        <f ca="1">IFERROR(__xludf.DUMMYFUNCTION("""COMPUTED_VALUE"""),5211667)</f>
        <v>5211667</v>
      </c>
      <c r="H536" s="1" t="str">
        <f t="shared" ca="1" si="32"/>
        <v>Attacking Midfield</v>
      </c>
      <c r="I536" s="3" t="str">
        <f t="shared" ca="1" si="33"/>
        <v>Attacking Midfield</v>
      </c>
      <c r="J536" s="1" t="str">
        <f t="shared" ca="1" si="34"/>
        <v>Attacking Midfield</v>
      </c>
      <c r="K536" s="1" t="str">
        <f t="shared" ca="1" si="47"/>
        <v>Attacking Midfield</v>
      </c>
      <c r="L536" s="1" t="str">
        <f t="shared" ca="1" si="35"/>
        <v>Attacking Midfield</v>
      </c>
      <c r="M536" s="1" t="str">
        <f t="shared" ca="1" si="36"/>
        <v>M</v>
      </c>
      <c r="N536" s="1" t="str">
        <f t="shared" ca="1" si="37"/>
        <v>M</v>
      </c>
      <c r="O536" s="1" t="str">
        <f t="shared" ca="1" si="38"/>
        <v>M</v>
      </c>
      <c r="P536" s="1" t="str">
        <f t="shared" ca="1" si="39"/>
        <v>M</v>
      </c>
      <c r="Q536" s="1" t="str">
        <f t="shared" ca="1" si="40"/>
        <v>M</v>
      </c>
      <c r="R536" s="1" t="str">
        <f t="shared" ca="1" si="41"/>
        <v>M</v>
      </c>
      <c r="S536" s="1" t="str">
        <f t="shared" ca="1" si="42"/>
        <v>M</v>
      </c>
      <c r="T536" s="1" t="str">
        <f t="shared" ca="1" si="43"/>
        <v>M</v>
      </c>
      <c r="U536" s="1" t="str">
        <f t="shared" ca="1" si="44"/>
        <v>M</v>
      </c>
      <c r="V536" s="1" t="str">
        <f t="shared" ca="1" si="45"/>
        <v>M</v>
      </c>
      <c r="W536" s="1" t="str">
        <f t="shared" ca="1" si="46"/>
        <v>Hany Mukhtar</v>
      </c>
    </row>
    <row r="537" spans="1:23">
      <c r="A537" s="1" t="str">
        <f ca="1">IFERROR(__xludf.DUMMYFUNCTION("""COMPUTED_VALUE"""),"José")</f>
        <v>José</v>
      </c>
      <c r="B537" s="1" t="str">
        <f ca="1">IFERROR(__xludf.DUMMYFUNCTION("""COMPUTED_VALUE"""),"Mulato")</f>
        <v>Mulato</v>
      </c>
      <c r="C537" s="1" t="str">
        <f ca="1">IFERROR(__xludf.DUMMYFUNCTION("""COMPUTED_VALUE"""),"FC Dallas")</f>
        <v>FC Dallas</v>
      </c>
      <c r="D537" s="1" t="str">
        <f ca="1">IFERROR(__xludf.DUMMYFUNCTION("""COMPUTED_VALUE"""),"Center Forward")</f>
        <v>Center Forward</v>
      </c>
      <c r="E537" s="2">
        <f ca="1">IFERROR(__xludf.DUMMYFUNCTION("""COMPUTED_VALUE"""),89716)</f>
        <v>89716</v>
      </c>
      <c r="F537" s="2">
        <f ca="1">IFERROR(__xludf.DUMMYFUNCTION("""COMPUTED_VALUE"""),127899)</f>
        <v>127899</v>
      </c>
      <c r="H537" s="1" t="str">
        <f t="shared" ca="1" si="32"/>
        <v>Center Forward</v>
      </c>
      <c r="I537" s="3" t="str">
        <f t="shared" ca="1" si="33"/>
        <v>Center Forward</v>
      </c>
      <c r="J537" s="1" t="str">
        <f t="shared" ca="1" si="34"/>
        <v>Center Forward</v>
      </c>
      <c r="K537" s="1" t="str">
        <f t="shared" ca="1" si="47"/>
        <v>Center Forward</v>
      </c>
      <c r="L537" s="1" t="str">
        <f t="shared" ca="1" si="35"/>
        <v>Center Forward</v>
      </c>
      <c r="M537" s="1" t="str">
        <f t="shared" ca="1" si="36"/>
        <v>Center Forward</v>
      </c>
      <c r="N537" s="1" t="str">
        <f t="shared" ca="1" si="37"/>
        <v>Center Forward</v>
      </c>
      <c r="O537" s="1" t="str">
        <f t="shared" ca="1" si="38"/>
        <v>F</v>
      </c>
      <c r="P537" s="1" t="str">
        <f t="shared" ca="1" si="39"/>
        <v>F</v>
      </c>
      <c r="Q537" s="1" t="str">
        <f t="shared" ca="1" si="40"/>
        <v>F</v>
      </c>
      <c r="R537" s="1" t="str">
        <f t="shared" ca="1" si="41"/>
        <v>F</v>
      </c>
      <c r="S537" s="1" t="str">
        <f t="shared" ca="1" si="42"/>
        <v>F</v>
      </c>
      <c r="T537" s="1" t="str">
        <f t="shared" ca="1" si="43"/>
        <v>F</v>
      </c>
      <c r="U537" s="1" t="str">
        <f t="shared" ca="1" si="44"/>
        <v>F</v>
      </c>
      <c r="V537" s="1" t="str">
        <f t="shared" ca="1" si="45"/>
        <v>F</v>
      </c>
      <c r="W537" s="1" t="str">
        <f t="shared" ca="1" si="46"/>
        <v>José Mulato</v>
      </c>
    </row>
    <row r="538" spans="1:23">
      <c r="A538" s="1" t="str">
        <f ca="1">IFERROR(__xludf.DUMMYFUNCTION("""COMPUTED_VALUE"""),"Daniel")</f>
        <v>Daniel</v>
      </c>
      <c r="B538" s="1" t="str">
        <f ca="1">IFERROR(__xludf.DUMMYFUNCTION("""COMPUTED_VALUE"""),"Munie")</f>
        <v>Munie</v>
      </c>
      <c r="C538" s="1" t="str">
        <f ca="1">IFERROR(__xludf.DUMMYFUNCTION("""COMPUTED_VALUE"""),"San Jose Earthquakes")</f>
        <v>San Jose Earthquakes</v>
      </c>
      <c r="D538" s="1" t="str">
        <f ca="1">IFERROR(__xludf.DUMMYFUNCTION("""COMPUTED_VALUE"""),"Center-back")</f>
        <v>Center-back</v>
      </c>
      <c r="E538" s="2">
        <f ca="1">IFERROR(__xludf.DUMMYFUNCTION("""COMPUTED_VALUE"""),71401)</f>
        <v>71401</v>
      </c>
      <c r="F538" s="2">
        <f ca="1">IFERROR(__xludf.DUMMYFUNCTION("""COMPUTED_VALUE"""),71401)</f>
        <v>71401</v>
      </c>
      <c r="H538" s="1" t="str">
        <f t="shared" ca="1" si="32"/>
        <v>D</v>
      </c>
      <c r="I538" s="3" t="str">
        <f t="shared" ca="1" si="33"/>
        <v>D</v>
      </c>
      <c r="J538" s="1" t="str">
        <f t="shared" ca="1" si="34"/>
        <v>D</v>
      </c>
      <c r="K538" s="1" t="str">
        <f t="shared" ca="1" si="47"/>
        <v>D</v>
      </c>
      <c r="L538" s="1" t="str">
        <f t="shared" ca="1" si="35"/>
        <v>D</v>
      </c>
      <c r="M538" s="1" t="str">
        <f t="shared" ca="1" si="36"/>
        <v>D</v>
      </c>
      <c r="N538" s="1" t="str">
        <f t="shared" ca="1" si="37"/>
        <v>D</v>
      </c>
      <c r="O538" s="1" t="str">
        <f t="shared" ca="1" si="38"/>
        <v>D</v>
      </c>
      <c r="P538" s="1" t="str">
        <f t="shared" ca="1" si="39"/>
        <v>D</v>
      </c>
      <c r="Q538" s="1" t="str">
        <f t="shared" ca="1" si="40"/>
        <v>D</v>
      </c>
      <c r="R538" s="1" t="str">
        <f t="shared" ca="1" si="41"/>
        <v>D</v>
      </c>
      <c r="S538" s="1" t="str">
        <f t="shared" ca="1" si="42"/>
        <v>D</v>
      </c>
      <c r="T538" s="1" t="str">
        <f t="shared" ca="1" si="43"/>
        <v>D</v>
      </c>
      <c r="U538" s="1" t="str">
        <f t="shared" ca="1" si="44"/>
        <v>D</v>
      </c>
      <c r="V538" s="1" t="str">
        <f t="shared" ca="1" si="45"/>
        <v>D</v>
      </c>
      <c r="W538" s="1" t="str">
        <f t="shared" ca="1" si="46"/>
        <v>Daniel Munie</v>
      </c>
    </row>
    <row r="539" spans="1:23">
      <c r="A539" s="1" t="str">
        <f ca="1">IFERROR(__xludf.DUMMYFUNCTION("""COMPUTED_VALUE"""),"Luis")</f>
        <v>Luis</v>
      </c>
      <c r="B539" s="1" t="str">
        <f ca="1">IFERROR(__xludf.DUMMYFUNCTION("""COMPUTED_VALUE"""),"Muriel")</f>
        <v>Muriel</v>
      </c>
      <c r="C539" s="1" t="str">
        <f ca="1">IFERROR(__xludf.DUMMYFUNCTION("""COMPUTED_VALUE"""),"Orlando City SC")</f>
        <v>Orlando City SC</v>
      </c>
      <c r="D539" s="1" t="str">
        <f ca="1">IFERROR(__xludf.DUMMYFUNCTION("""COMPUTED_VALUE"""),"Center Forward")</f>
        <v>Center Forward</v>
      </c>
      <c r="E539" s="2">
        <f ca="1">IFERROR(__xludf.DUMMYFUNCTION("""COMPUTED_VALUE"""),2832817)</f>
        <v>2832817</v>
      </c>
      <c r="F539" s="2">
        <f ca="1">IFERROR(__xludf.DUMMYFUNCTION("""COMPUTED_VALUE"""),4336150)</f>
        <v>4336150</v>
      </c>
      <c r="H539" s="1" t="str">
        <f t="shared" ca="1" si="32"/>
        <v>Center Forward</v>
      </c>
      <c r="I539" s="3" t="str">
        <f t="shared" ca="1" si="33"/>
        <v>Center Forward</v>
      </c>
      <c r="J539" s="1" t="str">
        <f t="shared" ca="1" si="34"/>
        <v>Center Forward</v>
      </c>
      <c r="K539" s="1" t="str">
        <f t="shared" ca="1" si="47"/>
        <v>Center Forward</v>
      </c>
      <c r="L539" s="1" t="str">
        <f t="shared" ca="1" si="35"/>
        <v>Center Forward</v>
      </c>
      <c r="M539" s="1" t="str">
        <f t="shared" ca="1" si="36"/>
        <v>Center Forward</v>
      </c>
      <c r="N539" s="1" t="str">
        <f t="shared" ca="1" si="37"/>
        <v>Center Forward</v>
      </c>
      <c r="O539" s="1" t="str">
        <f t="shared" ca="1" si="38"/>
        <v>F</v>
      </c>
      <c r="P539" s="1" t="str">
        <f t="shared" ca="1" si="39"/>
        <v>F</v>
      </c>
      <c r="Q539" s="1" t="str">
        <f t="shared" ca="1" si="40"/>
        <v>F</v>
      </c>
      <c r="R539" s="1" t="str">
        <f t="shared" ca="1" si="41"/>
        <v>F</v>
      </c>
      <c r="S539" s="1" t="str">
        <f t="shared" ca="1" si="42"/>
        <v>F</v>
      </c>
      <c r="T539" s="1" t="str">
        <f t="shared" ca="1" si="43"/>
        <v>F</v>
      </c>
      <c r="U539" s="1" t="str">
        <f t="shared" ca="1" si="44"/>
        <v>F</v>
      </c>
      <c r="V539" s="1" t="str">
        <f t="shared" ca="1" si="45"/>
        <v>F</v>
      </c>
      <c r="W539" s="1" t="str">
        <f t="shared" ca="1" si="46"/>
        <v>Luis Muriel</v>
      </c>
    </row>
    <row r="540" spans="1:23">
      <c r="A540" s="1" t="str">
        <f ca="1">IFERROR(__xludf.DUMMYFUNCTION("""COMPUTED_VALUE"""),"Jesús")</f>
        <v>Jesús</v>
      </c>
      <c r="B540" s="1" t="str">
        <f ca="1">IFERROR(__xludf.DUMMYFUNCTION("""COMPUTED_VALUE"""),"Murillo")</f>
        <v>Murillo</v>
      </c>
      <c r="C540" s="1" t="str">
        <f ca="1">IFERROR(__xludf.DUMMYFUNCTION("""COMPUTED_VALUE"""),"LAFC")</f>
        <v>LAFC</v>
      </c>
      <c r="D540" s="1" t="str">
        <f ca="1">IFERROR(__xludf.DUMMYFUNCTION("""COMPUTED_VALUE"""),"Center-back")</f>
        <v>Center-back</v>
      </c>
      <c r="E540" s="2">
        <f ca="1">IFERROR(__xludf.DUMMYFUNCTION("""COMPUTED_VALUE"""),500000)</f>
        <v>500000</v>
      </c>
      <c r="F540" s="2">
        <f ca="1">IFERROR(__xludf.DUMMYFUNCTION("""COMPUTED_VALUE"""),559500)</f>
        <v>559500</v>
      </c>
      <c r="H540" s="1" t="str">
        <f t="shared" ca="1" si="32"/>
        <v>D</v>
      </c>
      <c r="I540" s="3" t="str">
        <f t="shared" ca="1" si="33"/>
        <v>D</v>
      </c>
      <c r="J540" s="1" t="str">
        <f t="shared" ca="1" si="34"/>
        <v>D</v>
      </c>
      <c r="K540" s="1" t="str">
        <f t="shared" ca="1" si="47"/>
        <v>D</v>
      </c>
      <c r="L540" s="1" t="str">
        <f t="shared" ca="1" si="35"/>
        <v>D</v>
      </c>
      <c r="M540" s="1" t="str">
        <f t="shared" ca="1" si="36"/>
        <v>D</v>
      </c>
      <c r="N540" s="1" t="str">
        <f t="shared" ca="1" si="37"/>
        <v>D</v>
      </c>
      <c r="O540" s="1" t="str">
        <f t="shared" ca="1" si="38"/>
        <v>D</v>
      </c>
      <c r="P540" s="1" t="str">
        <f t="shared" ca="1" si="39"/>
        <v>D</v>
      </c>
      <c r="Q540" s="1" t="str">
        <f t="shared" ca="1" si="40"/>
        <v>D</v>
      </c>
      <c r="R540" s="1" t="str">
        <f t="shared" ca="1" si="41"/>
        <v>D</v>
      </c>
      <c r="S540" s="1" t="str">
        <f t="shared" ca="1" si="42"/>
        <v>D</v>
      </c>
      <c r="T540" s="1" t="str">
        <f t="shared" ca="1" si="43"/>
        <v>D</v>
      </c>
      <c r="U540" s="1" t="str">
        <f t="shared" ca="1" si="44"/>
        <v>D</v>
      </c>
      <c r="V540" s="1" t="str">
        <f t="shared" ca="1" si="45"/>
        <v>D</v>
      </c>
      <c r="W540" s="1" t="str">
        <f t="shared" ca="1" si="46"/>
        <v>Jesús Murillo</v>
      </c>
    </row>
    <row r="541" spans="1:23">
      <c r="A541" s="1" t="str">
        <f ca="1">IFERROR(__xludf.DUMMYFUNCTION("""COMPUTED_VALUE"""),"Ian")</f>
        <v>Ian</v>
      </c>
      <c r="B541" s="1" t="str">
        <f ca="1">IFERROR(__xludf.DUMMYFUNCTION("""COMPUTED_VALUE"""),"Murphy")</f>
        <v>Murphy</v>
      </c>
      <c r="C541" s="1" t="str">
        <f ca="1">IFERROR(__xludf.DUMMYFUNCTION("""COMPUTED_VALUE"""),"FC Cincinnati")</f>
        <v>FC Cincinnati</v>
      </c>
      <c r="D541" s="1" t="str">
        <f ca="1">IFERROR(__xludf.DUMMYFUNCTION("""COMPUTED_VALUE"""),"Center-back")</f>
        <v>Center-back</v>
      </c>
      <c r="E541" s="2">
        <f ca="1">IFERROR(__xludf.DUMMYFUNCTION("""COMPUTED_VALUE"""),89716)</f>
        <v>89716</v>
      </c>
      <c r="F541" s="2">
        <f ca="1">IFERROR(__xludf.DUMMYFUNCTION("""COMPUTED_VALUE"""),91966)</f>
        <v>91966</v>
      </c>
      <c r="H541" s="1" t="str">
        <f t="shared" ca="1" si="32"/>
        <v>D</v>
      </c>
      <c r="I541" s="3" t="str">
        <f t="shared" ca="1" si="33"/>
        <v>D</v>
      </c>
      <c r="J541" s="1" t="str">
        <f t="shared" ca="1" si="34"/>
        <v>D</v>
      </c>
      <c r="K541" s="1" t="str">
        <f t="shared" ca="1" si="47"/>
        <v>D</v>
      </c>
      <c r="L541" s="1" t="str">
        <f t="shared" ca="1" si="35"/>
        <v>D</v>
      </c>
      <c r="M541" s="1" t="str">
        <f t="shared" ca="1" si="36"/>
        <v>D</v>
      </c>
      <c r="N541" s="1" t="str">
        <f t="shared" ca="1" si="37"/>
        <v>D</v>
      </c>
      <c r="O541" s="1" t="str">
        <f t="shared" ca="1" si="38"/>
        <v>D</v>
      </c>
      <c r="P541" s="1" t="str">
        <f t="shared" ca="1" si="39"/>
        <v>D</v>
      </c>
      <c r="Q541" s="1" t="str">
        <f t="shared" ca="1" si="40"/>
        <v>D</v>
      </c>
      <c r="R541" s="1" t="str">
        <f t="shared" ca="1" si="41"/>
        <v>D</v>
      </c>
      <c r="S541" s="1" t="str">
        <f t="shared" ca="1" si="42"/>
        <v>D</v>
      </c>
      <c r="T541" s="1" t="str">
        <f t="shared" ca="1" si="43"/>
        <v>D</v>
      </c>
      <c r="U541" s="1" t="str">
        <f t="shared" ca="1" si="44"/>
        <v>D</v>
      </c>
      <c r="V541" s="1" t="str">
        <f t="shared" ca="1" si="45"/>
        <v>D</v>
      </c>
      <c r="W541" s="1" t="str">
        <f t="shared" ca="1" si="46"/>
        <v>Ian Murphy</v>
      </c>
    </row>
    <row r="542" spans="1:23">
      <c r="A542" s="1" t="str">
        <f ca="1">IFERROR(__xludf.DUMMYFUNCTION("""COMPUTED_VALUE"""),"Jacob")</f>
        <v>Jacob</v>
      </c>
      <c r="B542" s="1" t="str">
        <f ca="1">IFERROR(__xludf.DUMMYFUNCTION("""COMPUTED_VALUE"""),"Murrell")</f>
        <v>Murrell</v>
      </c>
      <c r="C542" s="1" t="str">
        <f ca="1">IFERROR(__xludf.DUMMYFUNCTION("""COMPUTED_VALUE"""),"DC United")</f>
        <v>DC United</v>
      </c>
      <c r="D542" s="1" t="str">
        <f ca="1">IFERROR(__xludf.DUMMYFUNCTION("""COMPUTED_VALUE"""),"Forward")</f>
        <v>Forward</v>
      </c>
      <c r="E542" s="2">
        <f ca="1">IFERROR(__xludf.DUMMYFUNCTION("""COMPUTED_VALUE"""),71401)</f>
        <v>71401</v>
      </c>
      <c r="F542" s="2">
        <f ca="1">IFERROR(__xludf.DUMMYFUNCTION("""COMPUTED_VALUE"""),71401)</f>
        <v>71401</v>
      </c>
      <c r="H542" s="1" t="str">
        <f t="shared" ca="1" si="32"/>
        <v>Forward</v>
      </c>
      <c r="I542" s="3" t="str">
        <f t="shared" ca="1" si="33"/>
        <v>Forward</v>
      </c>
      <c r="J542" s="1" t="str">
        <f t="shared" ca="1" si="34"/>
        <v>Forward</v>
      </c>
      <c r="K542" s="1" t="str">
        <f t="shared" ca="1" si="47"/>
        <v>Forward</v>
      </c>
      <c r="L542" s="1" t="str">
        <f t="shared" ca="1" si="35"/>
        <v>Forward</v>
      </c>
      <c r="M542" s="1" t="str">
        <f t="shared" ca="1" si="36"/>
        <v>Forward</v>
      </c>
      <c r="N542" s="1" t="str">
        <f t="shared" ca="1" si="37"/>
        <v>Forward</v>
      </c>
      <c r="O542" s="1" t="str">
        <f t="shared" ca="1" si="38"/>
        <v>Forward</v>
      </c>
      <c r="P542" s="1" t="str">
        <f t="shared" ca="1" si="39"/>
        <v>Forward</v>
      </c>
      <c r="Q542" s="1" t="str">
        <f t="shared" ca="1" si="40"/>
        <v>F</v>
      </c>
      <c r="R542" s="1" t="str">
        <f t="shared" ca="1" si="41"/>
        <v>F</v>
      </c>
      <c r="S542" s="1" t="str">
        <f t="shared" ca="1" si="42"/>
        <v>F</v>
      </c>
      <c r="T542" s="1" t="str">
        <f t="shared" ca="1" si="43"/>
        <v>F</v>
      </c>
      <c r="U542" s="1" t="str">
        <f t="shared" ca="1" si="44"/>
        <v>F</v>
      </c>
      <c r="V542" s="1" t="str">
        <f t="shared" ca="1" si="45"/>
        <v>F</v>
      </c>
      <c r="W542" s="1" t="str">
        <f t="shared" ca="1" si="46"/>
        <v>Jacob Murrell</v>
      </c>
    </row>
    <row r="543" spans="1:23">
      <c r="A543" s="1" t="str">
        <f ca="1">IFERROR(__xludf.DUMMYFUNCTION("""COMPUTED_VALUE"""),"Petar")</f>
        <v>Petar</v>
      </c>
      <c r="B543" s="1" t="str">
        <f ca="1">IFERROR(__xludf.DUMMYFUNCTION("""COMPUTED_VALUE"""),"Musa")</f>
        <v>Musa</v>
      </c>
      <c r="C543" s="1" t="str">
        <f ca="1">IFERROR(__xludf.DUMMYFUNCTION("""COMPUTED_VALUE"""),"FC Dallas")</f>
        <v>FC Dallas</v>
      </c>
      <c r="D543" s="1" t="str">
        <f ca="1">IFERROR(__xludf.DUMMYFUNCTION("""COMPUTED_VALUE"""),"Center Forward")</f>
        <v>Center Forward</v>
      </c>
      <c r="E543" s="2">
        <f ca="1">IFERROR(__xludf.DUMMYFUNCTION("""COMPUTED_VALUE"""),1800000)</f>
        <v>1800000</v>
      </c>
      <c r="F543" s="2">
        <f ca="1">IFERROR(__xludf.DUMMYFUNCTION("""COMPUTED_VALUE"""),2230000)</f>
        <v>2230000</v>
      </c>
      <c r="H543" s="1" t="str">
        <f t="shared" ca="1" si="32"/>
        <v>Center Forward</v>
      </c>
      <c r="I543" s="3" t="str">
        <f t="shared" ca="1" si="33"/>
        <v>Center Forward</v>
      </c>
      <c r="J543" s="1" t="str">
        <f t="shared" ca="1" si="34"/>
        <v>Center Forward</v>
      </c>
      <c r="K543" s="1" t="str">
        <f t="shared" ca="1" si="47"/>
        <v>Center Forward</v>
      </c>
      <c r="L543" s="1" t="str">
        <f t="shared" ca="1" si="35"/>
        <v>Center Forward</v>
      </c>
      <c r="M543" s="1" t="str">
        <f t="shared" ca="1" si="36"/>
        <v>Center Forward</v>
      </c>
      <c r="N543" s="1" t="str">
        <f t="shared" ca="1" si="37"/>
        <v>Center Forward</v>
      </c>
      <c r="O543" s="1" t="str">
        <f t="shared" ca="1" si="38"/>
        <v>F</v>
      </c>
      <c r="P543" s="1" t="str">
        <f t="shared" ca="1" si="39"/>
        <v>F</v>
      </c>
      <c r="Q543" s="1" t="str">
        <f t="shared" ca="1" si="40"/>
        <v>F</v>
      </c>
      <c r="R543" s="1" t="str">
        <f t="shared" ca="1" si="41"/>
        <v>F</v>
      </c>
      <c r="S543" s="1" t="str">
        <f t="shared" ca="1" si="42"/>
        <v>F</v>
      </c>
      <c r="T543" s="1" t="str">
        <f t="shared" ca="1" si="43"/>
        <v>F</v>
      </c>
      <c r="U543" s="1" t="str">
        <f t="shared" ca="1" si="44"/>
        <v>F</v>
      </c>
      <c r="V543" s="1" t="str">
        <f t="shared" ca="1" si="45"/>
        <v>F</v>
      </c>
      <c r="W543" s="1" t="str">
        <f t="shared" ca="1" si="46"/>
        <v>Petar Musa</v>
      </c>
    </row>
    <row r="544" spans="1:23">
      <c r="A544" s="1" t="str">
        <f ca="1">IFERROR(__xludf.DUMMYFUNCTION("""COMPUTED_VALUE"""),"Trey")</f>
        <v>Trey</v>
      </c>
      <c r="B544" s="1" t="str">
        <f ca="1">IFERROR(__xludf.DUMMYFUNCTION("""COMPUTED_VALUE"""),"Muse")</f>
        <v>Muse</v>
      </c>
      <c r="C544" s="1" t="str">
        <f ca="1">IFERROR(__xludf.DUMMYFUNCTION("""COMPUTED_VALUE"""),"Portland Timbers")</f>
        <v>Portland Timbers</v>
      </c>
      <c r="D544" s="1" t="str">
        <f ca="1">IFERROR(__xludf.DUMMYFUNCTION("""COMPUTED_VALUE"""),"Goalkeeper")</f>
        <v>Goalkeeper</v>
      </c>
      <c r="E544" s="2">
        <f ca="1">IFERROR(__xludf.DUMMYFUNCTION("""COMPUTED_VALUE"""),89716)</f>
        <v>89716</v>
      </c>
      <c r="F544" s="2">
        <f ca="1">IFERROR(__xludf.DUMMYFUNCTION("""COMPUTED_VALUE"""),89716)</f>
        <v>89716</v>
      </c>
      <c r="H544" s="1" t="str">
        <f t="shared" ca="1" si="32"/>
        <v>Goalkeeper</v>
      </c>
      <c r="I544" s="3" t="str">
        <f t="shared" ca="1" si="33"/>
        <v>Goalkeeper</v>
      </c>
      <c r="J544" s="1" t="str">
        <f t="shared" ca="1" si="34"/>
        <v>Goalkeeper</v>
      </c>
      <c r="K544" s="1" t="str">
        <f t="shared" ca="1" si="47"/>
        <v>Goalkeeper</v>
      </c>
      <c r="L544" s="1" t="str">
        <f t="shared" ca="1" si="35"/>
        <v>Goalkeeper</v>
      </c>
      <c r="M544" s="1" t="str">
        <f t="shared" ca="1" si="36"/>
        <v>Goalkeeper</v>
      </c>
      <c r="N544" s="1" t="str">
        <f t="shared" ca="1" si="37"/>
        <v>Goalkeeper</v>
      </c>
      <c r="O544" s="1" t="str">
        <f t="shared" ca="1" si="38"/>
        <v>Goalkeeper</v>
      </c>
      <c r="P544" s="1" t="str">
        <f t="shared" ca="1" si="39"/>
        <v>Goalkeeper</v>
      </c>
      <c r="Q544" s="1" t="str">
        <f t="shared" ca="1" si="40"/>
        <v>Goalkeeper</v>
      </c>
      <c r="R544" s="1" t="str">
        <f t="shared" ca="1" si="41"/>
        <v>GK</v>
      </c>
      <c r="S544" s="1" t="str">
        <f t="shared" ca="1" si="42"/>
        <v>GK</v>
      </c>
      <c r="T544" s="1" t="str">
        <f t="shared" ca="1" si="43"/>
        <v>GK</v>
      </c>
      <c r="U544" s="1" t="str">
        <f t="shared" ca="1" si="44"/>
        <v>GK</v>
      </c>
      <c r="V544" s="1" t="str">
        <f t="shared" ca="1" si="45"/>
        <v>GK</v>
      </c>
      <c r="W544" s="1" t="str">
        <f t="shared" ca="1" si="46"/>
        <v>Trey Muse</v>
      </c>
    </row>
    <row r="545" spans="1:23">
      <c r="A545" s="1" t="str">
        <f ca="1">IFERROR(__xludf.DUMMYFUNCTION("""COMPUTED_VALUE"""),"Danny")</f>
        <v>Danny</v>
      </c>
      <c r="B545" s="1" t="str">
        <f ca="1">IFERROR(__xludf.DUMMYFUNCTION("""COMPUTED_VALUE"""),"Musovski")</f>
        <v>Musovski</v>
      </c>
      <c r="C545" s="1" t="str">
        <f ca="1">IFERROR(__xludf.DUMMYFUNCTION("""COMPUTED_VALUE"""),"Seattle Sounders FC")</f>
        <v>Seattle Sounders FC</v>
      </c>
      <c r="D545" s="1" t="str">
        <f ca="1">IFERROR(__xludf.DUMMYFUNCTION("""COMPUTED_VALUE"""),"Center Forward")</f>
        <v>Center Forward</v>
      </c>
      <c r="E545" s="2">
        <f ca="1">IFERROR(__xludf.DUMMYFUNCTION("""COMPUTED_VALUE"""),359091)</f>
        <v>359091</v>
      </c>
      <c r="F545" s="2">
        <f ca="1">IFERROR(__xludf.DUMMYFUNCTION("""COMPUTED_VALUE"""),389394)</f>
        <v>389394</v>
      </c>
      <c r="H545" s="1" t="str">
        <f t="shared" ca="1" si="32"/>
        <v>Center Forward</v>
      </c>
      <c r="I545" s="3" t="str">
        <f t="shared" ca="1" si="33"/>
        <v>Center Forward</v>
      </c>
      <c r="J545" s="1" t="str">
        <f t="shared" ca="1" si="34"/>
        <v>Center Forward</v>
      </c>
      <c r="K545" s="1" t="str">
        <f t="shared" ca="1" si="47"/>
        <v>Center Forward</v>
      </c>
      <c r="L545" s="1" t="str">
        <f t="shared" ca="1" si="35"/>
        <v>Center Forward</v>
      </c>
      <c r="M545" s="1" t="str">
        <f t="shared" ca="1" si="36"/>
        <v>Center Forward</v>
      </c>
      <c r="N545" s="1" t="str">
        <f t="shared" ca="1" si="37"/>
        <v>Center Forward</v>
      </c>
      <c r="O545" s="1" t="str">
        <f t="shared" ca="1" si="38"/>
        <v>F</v>
      </c>
      <c r="P545" s="1" t="str">
        <f t="shared" ca="1" si="39"/>
        <v>F</v>
      </c>
      <c r="Q545" s="1" t="str">
        <f t="shared" ca="1" si="40"/>
        <v>F</v>
      </c>
      <c r="R545" s="1" t="str">
        <f t="shared" ca="1" si="41"/>
        <v>F</v>
      </c>
      <c r="S545" s="1" t="str">
        <f t="shared" ca="1" si="42"/>
        <v>F</v>
      </c>
      <c r="T545" s="1" t="str">
        <f t="shared" ca="1" si="43"/>
        <v>F</v>
      </c>
      <c r="U545" s="1" t="str">
        <f t="shared" ca="1" si="44"/>
        <v>F</v>
      </c>
      <c r="V545" s="1" t="str">
        <f t="shared" ca="1" si="45"/>
        <v>F</v>
      </c>
      <c r="W545" s="1" t="str">
        <f t="shared" ca="1" si="46"/>
        <v>Danny Musovski</v>
      </c>
    </row>
    <row r="546" spans="1:23">
      <c r="A546" s="1" t="str">
        <f ca="1">IFERROR(__xludf.DUMMYFUNCTION("""COMPUTED_VALUE"""),"Alex")</f>
        <v>Alex</v>
      </c>
      <c r="B546" s="1" t="str">
        <f ca="1">IFERROR(__xludf.DUMMYFUNCTION("""COMPUTED_VALUE"""),"Muyl")</f>
        <v>Muyl</v>
      </c>
      <c r="C546" s="1" t="str">
        <f ca="1">IFERROR(__xludf.DUMMYFUNCTION("""COMPUTED_VALUE"""),"Nashville SC")</f>
        <v>Nashville SC</v>
      </c>
      <c r="D546" s="1" t="str">
        <f ca="1">IFERROR(__xludf.DUMMYFUNCTION("""COMPUTED_VALUE"""),"Right Wing")</f>
        <v>Right Wing</v>
      </c>
      <c r="E546" s="2">
        <f ca="1">IFERROR(__xludf.DUMMYFUNCTION("""COMPUTED_VALUE"""),525000)</f>
        <v>525000</v>
      </c>
      <c r="F546" s="2">
        <f ca="1">IFERROR(__xludf.DUMMYFUNCTION("""COMPUTED_VALUE"""),525000)</f>
        <v>525000</v>
      </c>
      <c r="H546" s="1" t="str">
        <f t="shared" ca="1" si="32"/>
        <v>Right Wing</v>
      </c>
      <c r="I546" s="3" t="str">
        <f t="shared" ca="1" si="33"/>
        <v>Right Wing</v>
      </c>
      <c r="J546" s="1" t="str">
        <f t="shared" ca="1" si="34"/>
        <v>Right Wing</v>
      </c>
      <c r="K546" s="1" t="str">
        <f t="shared" ca="1" si="47"/>
        <v>Right Wing</v>
      </c>
      <c r="L546" s="1" t="str">
        <f t="shared" ca="1" si="35"/>
        <v>Right Wing</v>
      </c>
      <c r="M546" s="1" t="str">
        <f t="shared" ca="1" si="36"/>
        <v>Right Wing</v>
      </c>
      <c r="N546" s="1" t="str">
        <f t="shared" ca="1" si="37"/>
        <v>F</v>
      </c>
      <c r="O546" s="1" t="str">
        <f t="shared" ca="1" si="38"/>
        <v>F</v>
      </c>
      <c r="P546" s="1" t="str">
        <f t="shared" ca="1" si="39"/>
        <v>F</v>
      </c>
      <c r="Q546" s="1" t="str">
        <f t="shared" ca="1" si="40"/>
        <v>F</v>
      </c>
      <c r="R546" s="1" t="str">
        <f t="shared" ca="1" si="41"/>
        <v>F</v>
      </c>
      <c r="S546" s="1" t="str">
        <f t="shared" ca="1" si="42"/>
        <v>F</v>
      </c>
      <c r="T546" s="1" t="str">
        <f t="shared" ca="1" si="43"/>
        <v>F</v>
      </c>
      <c r="U546" s="1" t="str">
        <f t="shared" ca="1" si="44"/>
        <v>F</v>
      </c>
      <c r="V546" s="1" t="str">
        <f t="shared" ca="1" si="45"/>
        <v>F</v>
      </c>
      <c r="W546" s="1" t="str">
        <f t="shared" ca="1" si="46"/>
        <v>Alex Muyl</v>
      </c>
    </row>
    <row r="547" spans="1:23">
      <c r="A547" s="1" t="str">
        <f ca="1">IFERROR(__xludf.DUMMYFUNCTION("""COMPUTED_VALUE"""),"Tristan")</f>
        <v>Tristan</v>
      </c>
      <c r="B547" s="1" t="str">
        <f ca="1">IFERROR(__xludf.DUMMYFUNCTION("""COMPUTED_VALUE"""),"Muyumba")</f>
        <v>Muyumba</v>
      </c>
      <c r="C547" s="1" t="str">
        <f ca="1">IFERROR(__xludf.DUMMYFUNCTION("""COMPUTED_VALUE"""),"Atlanta United")</f>
        <v>Atlanta United</v>
      </c>
      <c r="D547" s="1" t="str">
        <f ca="1">IFERROR(__xludf.DUMMYFUNCTION("""COMPUTED_VALUE"""),"Defensive Midfield")</f>
        <v>Defensive Midfield</v>
      </c>
      <c r="E547" s="2">
        <f ca="1">IFERROR(__xludf.DUMMYFUNCTION("""COMPUTED_VALUE"""),525000)</f>
        <v>525000</v>
      </c>
      <c r="F547" s="2">
        <f ca="1">IFERROR(__xludf.DUMMYFUNCTION("""COMPUTED_VALUE"""),566600)</f>
        <v>566600</v>
      </c>
      <c r="H547" s="1" t="str">
        <f t="shared" ca="1" si="32"/>
        <v>Defensive Midfield</v>
      </c>
      <c r="I547" s="3" t="str">
        <f t="shared" ca="1" si="33"/>
        <v>Defensive Midfield</v>
      </c>
      <c r="J547" s="1" t="str">
        <f t="shared" ca="1" si="34"/>
        <v>Defensive Midfield</v>
      </c>
      <c r="K547" s="1" t="str">
        <f t="shared" ca="1" si="47"/>
        <v>M</v>
      </c>
      <c r="L547" s="1" t="str">
        <f t="shared" ca="1" si="35"/>
        <v>M</v>
      </c>
      <c r="M547" s="1" t="str">
        <f t="shared" ca="1" si="36"/>
        <v>M</v>
      </c>
      <c r="N547" s="1" t="str">
        <f t="shared" ca="1" si="37"/>
        <v>M</v>
      </c>
      <c r="O547" s="1" t="str">
        <f t="shared" ca="1" si="38"/>
        <v>M</v>
      </c>
      <c r="P547" s="1" t="str">
        <f t="shared" ca="1" si="39"/>
        <v>M</v>
      </c>
      <c r="Q547" s="1" t="str">
        <f t="shared" ca="1" si="40"/>
        <v>M</v>
      </c>
      <c r="R547" s="1" t="str">
        <f t="shared" ca="1" si="41"/>
        <v>M</v>
      </c>
      <c r="S547" s="1" t="str">
        <f t="shared" ca="1" si="42"/>
        <v>M</v>
      </c>
      <c r="T547" s="1" t="str">
        <f t="shared" ca="1" si="43"/>
        <v>M</v>
      </c>
      <c r="U547" s="1" t="str">
        <f t="shared" ca="1" si="44"/>
        <v>M</v>
      </c>
      <c r="V547" s="1" t="str">
        <f t="shared" ca="1" si="45"/>
        <v>M</v>
      </c>
      <c r="W547" s="1" t="str">
        <f t="shared" ca="1" si="46"/>
        <v>Tristan Muyumba</v>
      </c>
    </row>
    <row r="548" spans="1:23">
      <c r="A548" s="1" t="str">
        <f ca="1">IFERROR(__xludf.DUMMYFUNCTION("""COMPUTED_VALUE"""),"Darlington")</f>
        <v>Darlington</v>
      </c>
      <c r="B548" s="1" t="str">
        <f ca="1">IFERROR(__xludf.DUMMYFUNCTION("""COMPUTED_VALUE"""),"Nagbe")</f>
        <v>Nagbe</v>
      </c>
      <c r="C548" s="1" t="str">
        <f ca="1">IFERROR(__xludf.DUMMYFUNCTION("""COMPUTED_VALUE"""),"Columbus Crew")</f>
        <v>Columbus Crew</v>
      </c>
      <c r="D548" s="1" t="str">
        <f ca="1">IFERROR(__xludf.DUMMYFUNCTION("""COMPUTED_VALUE"""),"Central Midfield")</f>
        <v>Central Midfield</v>
      </c>
      <c r="E548" s="2">
        <f ca="1">IFERROR(__xludf.DUMMYFUNCTION("""COMPUTED_VALUE"""),1400000)</f>
        <v>1400000</v>
      </c>
      <c r="F548" s="2">
        <f ca="1">IFERROR(__xludf.DUMMYFUNCTION("""COMPUTED_VALUE"""),1540000)</f>
        <v>1540000</v>
      </c>
      <c r="H548" s="1" t="str">
        <f t="shared" ca="1" si="32"/>
        <v>Central Midfield</v>
      </c>
      <c r="I548" s="3" t="str">
        <f t="shared" ca="1" si="33"/>
        <v>Central Midfield</v>
      </c>
      <c r="J548" s="1" t="str">
        <f t="shared" ca="1" si="34"/>
        <v>Central Midfield</v>
      </c>
      <c r="K548" s="1" t="str">
        <f t="shared" ca="1" si="47"/>
        <v>Central Midfield</v>
      </c>
      <c r="L548" s="1" t="str">
        <f t="shared" ca="1" si="35"/>
        <v>M</v>
      </c>
      <c r="M548" s="1" t="str">
        <f t="shared" ca="1" si="36"/>
        <v>M</v>
      </c>
      <c r="N548" s="1" t="str">
        <f t="shared" ca="1" si="37"/>
        <v>M</v>
      </c>
      <c r="O548" s="1" t="str">
        <f t="shared" ca="1" si="38"/>
        <v>M</v>
      </c>
      <c r="P548" s="1" t="str">
        <f t="shared" ca="1" si="39"/>
        <v>M</v>
      </c>
      <c r="Q548" s="1" t="str">
        <f t="shared" ca="1" si="40"/>
        <v>M</v>
      </c>
      <c r="R548" s="1" t="str">
        <f t="shared" ca="1" si="41"/>
        <v>M</v>
      </c>
      <c r="S548" s="1" t="str">
        <f t="shared" ca="1" si="42"/>
        <v>M</v>
      </c>
      <c r="T548" s="1" t="str">
        <f t="shared" ca="1" si="43"/>
        <v>M</v>
      </c>
      <c r="U548" s="1" t="str">
        <f t="shared" ca="1" si="44"/>
        <v>M</v>
      </c>
      <c r="V548" s="1" t="str">
        <f t="shared" ca="1" si="45"/>
        <v>M</v>
      </c>
      <c r="W548" s="1" t="str">
        <f t="shared" ca="1" si="46"/>
        <v>Darlington Nagbe</v>
      </c>
    </row>
    <row r="549" spans="1:23">
      <c r="A549" s="1" t="str">
        <f ca="1">IFERROR(__xludf.DUMMYFUNCTION("""COMPUTED_VALUE"""),"Miguel")</f>
        <v>Miguel</v>
      </c>
      <c r="B549" s="1" t="str">
        <f ca="1">IFERROR(__xludf.DUMMYFUNCTION("""COMPUTED_VALUE"""),"Navarro")</f>
        <v>Navarro</v>
      </c>
      <c r="C549" s="1" t="str">
        <f ca="1">IFERROR(__xludf.DUMMYFUNCTION("""COMPUTED_VALUE"""),"Colorado Rapids")</f>
        <v>Colorado Rapids</v>
      </c>
      <c r="D549" s="1" t="str">
        <f ca="1">IFERROR(__xludf.DUMMYFUNCTION("""COMPUTED_VALUE"""),"Left-back")</f>
        <v>Left-back</v>
      </c>
      <c r="E549" s="2">
        <f ca="1">IFERROR(__xludf.DUMMYFUNCTION("""COMPUTED_VALUE"""),300000)</f>
        <v>300000</v>
      </c>
      <c r="F549" s="2">
        <f ca="1">IFERROR(__xludf.DUMMYFUNCTION("""COMPUTED_VALUE"""),339000)</f>
        <v>339000</v>
      </c>
      <c r="H549" s="1" t="str">
        <f t="shared" ca="1" si="32"/>
        <v>Left-back</v>
      </c>
      <c r="I549" s="3" t="str">
        <f t="shared" ca="1" si="33"/>
        <v>D</v>
      </c>
      <c r="J549" s="1" t="str">
        <f t="shared" ca="1" si="34"/>
        <v>D</v>
      </c>
      <c r="K549" s="1" t="str">
        <f t="shared" ca="1" si="47"/>
        <v>D</v>
      </c>
      <c r="L549" s="1" t="str">
        <f t="shared" ca="1" si="35"/>
        <v>D</v>
      </c>
      <c r="M549" s="1" t="str">
        <f t="shared" ca="1" si="36"/>
        <v>D</v>
      </c>
      <c r="N549" s="1" t="str">
        <f t="shared" ca="1" si="37"/>
        <v>D</v>
      </c>
      <c r="O549" s="1" t="str">
        <f t="shared" ca="1" si="38"/>
        <v>D</v>
      </c>
      <c r="P549" s="1" t="str">
        <f t="shared" ca="1" si="39"/>
        <v>D</v>
      </c>
      <c r="Q549" s="1" t="str">
        <f t="shared" ca="1" si="40"/>
        <v>D</v>
      </c>
      <c r="R549" s="1" t="str">
        <f t="shared" ca="1" si="41"/>
        <v>D</v>
      </c>
      <c r="S549" s="1" t="str">
        <f t="shared" ca="1" si="42"/>
        <v>D</v>
      </c>
      <c r="T549" s="1" t="str">
        <f t="shared" ca="1" si="43"/>
        <v>D</v>
      </c>
      <c r="U549" s="1" t="str">
        <f t="shared" ca="1" si="44"/>
        <v>D</v>
      </c>
      <c r="V549" s="1" t="str">
        <f t="shared" ca="1" si="45"/>
        <v>D</v>
      </c>
      <c r="W549" s="1" t="str">
        <f t="shared" ca="1" si="46"/>
        <v>Miguel Navarro</v>
      </c>
    </row>
    <row r="550" spans="1:23">
      <c r="A550" s="1" t="str">
        <f ca="1">IFERROR(__xludf.DUMMYFUNCTION("""COMPUTED_VALUE"""),"Federico")</f>
        <v>Federico</v>
      </c>
      <c r="B550" s="1" t="str">
        <f ca="1">IFERROR(__xludf.DUMMYFUNCTION("""COMPUTED_VALUE"""),"Navarro")</f>
        <v>Navarro</v>
      </c>
      <c r="C550" s="1" t="str">
        <f ca="1">IFERROR(__xludf.DUMMYFUNCTION("""COMPUTED_VALUE"""),"Chicago Fire")</f>
        <v>Chicago Fire</v>
      </c>
      <c r="D550" s="1" t="str">
        <f ca="1">IFERROR(__xludf.DUMMYFUNCTION("""COMPUTED_VALUE"""),"Defensive Midfield")</f>
        <v>Defensive Midfield</v>
      </c>
      <c r="E550" s="2">
        <f ca="1">IFERROR(__xludf.DUMMYFUNCTION("""COMPUTED_VALUE"""),500000)</f>
        <v>500000</v>
      </c>
      <c r="F550" s="2">
        <f ca="1">IFERROR(__xludf.DUMMYFUNCTION("""COMPUTED_VALUE"""),557500)</f>
        <v>557500</v>
      </c>
      <c r="H550" s="1" t="str">
        <f t="shared" ca="1" si="32"/>
        <v>Defensive Midfield</v>
      </c>
      <c r="I550" s="3" t="str">
        <f t="shared" ca="1" si="33"/>
        <v>Defensive Midfield</v>
      </c>
      <c r="J550" s="1" t="str">
        <f t="shared" ca="1" si="34"/>
        <v>Defensive Midfield</v>
      </c>
      <c r="K550" s="1" t="str">
        <f t="shared" ca="1" si="47"/>
        <v>M</v>
      </c>
      <c r="L550" s="1" t="str">
        <f t="shared" ca="1" si="35"/>
        <v>M</v>
      </c>
      <c r="M550" s="1" t="str">
        <f t="shared" ca="1" si="36"/>
        <v>M</v>
      </c>
      <c r="N550" s="1" t="str">
        <f t="shared" ca="1" si="37"/>
        <v>M</v>
      </c>
      <c r="O550" s="1" t="str">
        <f t="shared" ca="1" si="38"/>
        <v>M</v>
      </c>
      <c r="P550" s="1" t="str">
        <f t="shared" ca="1" si="39"/>
        <v>M</v>
      </c>
      <c r="Q550" s="1" t="str">
        <f t="shared" ca="1" si="40"/>
        <v>M</v>
      </c>
      <c r="R550" s="1" t="str">
        <f t="shared" ca="1" si="41"/>
        <v>M</v>
      </c>
      <c r="S550" s="1" t="str">
        <f t="shared" ca="1" si="42"/>
        <v>M</v>
      </c>
      <c r="T550" s="1" t="str">
        <f t="shared" ca="1" si="43"/>
        <v>M</v>
      </c>
      <c r="U550" s="1" t="str">
        <f t="shared" ca="1" si="44"/>
        <v>M</v>
      </c>
      <c r="V550" s="1" t="str">
        <f t="shared" ca="1" si="45"/>
        <v>M</v>
      </c>
      <c r="W550" s="1" t="str">
        <f t="shared" ca="1" si="46"/>
        <v>Federico Navarro</v>
      </c>
    </row>
    <row r="551" spans="1:23">
      <c r="A551" s="1" t="str">
        <f ca="1">IFERROR(__xludf.DUMMYFUNCTION("""COMPUTED_VALUE"""),"Rafael")</f>
        <v>Rafael</v>
      </c>
      <c r="B551" s="1" t="str">
        <f ca="1">IFERROR(__xludf.DUMMYFUNCTION("""COMPUTED_VALUE"""),"Navarro Leal")</f>
        <v>Navarro Leal</v>
      </c>
      <c r="C551" s="1" t="str">
        <f ca="1">IFERROR(__xludf.DUMMYFUNCTION("""COMPUTED_VALUE"""),"Colorado Rapids")</f>
        <v>Colorado Rapids</v>
      </c>
      <c r="D551" s="1" t="str">
        <f ca="1">IFERROR(__xludf.DUMMYFUNCTION("""COMPUTED_VALUE"""),"Center Forward")</f>
        <v>Center Forward</v>
      </c>
      <c r="E551" s="2">
        <f ca="1">IFERROR(__xludf.DUMMYFUNCTION("""COMPUTED_VALUE"""),1125000)</f>
        <v>1125000</v>
      </c>
      <c r="F551" s="2">
        <f ca="1">IFERROR(__xludf.DUMMYFUNCTION("""COMPUTED_VALUE"""),1452708)</f>
        <v>1452708</v>
      </c>
      <c r="H551" s="1" t="str">
        <f t="shared" ca="1" si="32"/>
        <v>Center Forward</v>
      </c>
      <c r="I551" s="3" t="str">
        <f t="shared" ca="1" si="33"/>
        <v>Center Forward</v>
      </c>
      <c r="J551" s="1" t="str">
        <f t="shared" ca="1" si="34"/>
        <v>Center Forward</v>
      </c>
      <c r="K551" s="1" t="str">
        <f t="shared" ca="1" si="47"/>
        <v>Center Forward</v>
      </c>
      <c r="L551" s="1" t="str">
        <f t="shared" ca="1" si="35"/>
        <v>Center Forward</v>
      </c>
      <c r="M551" s="1" t="str">
        <f t="shared" ca="1" si="36"/>
        <v>Center Forward</v>
      </c>
      <c r="N551" s="1" t="str">
        <f t="shared" ca="1" si="37"/>
        <v>Center Forward</v>
      </c>
      <c r="O551" s="1" t="str">
        <f t="shared" ca="1" si="38"/>
        <v>F</v>
      </c>
      <c r="P551" s="1" t="str">
        <f t="shared" ca="1" si="39"/>
        <v>F</v>
      </c>
      <c r="Q551" s="1" t="str">
        <f t="shared" ca="1" si="40"/>
        <v>F</v>
      </c>
      <c r="R551" s="1" t="str">
        <f t="shared" ca="1" si="41"/>
        <v>F</v>
      </c>
      <c r="S551" s="1" t="str">
        <f t="shared" ca="1" si="42"/>
        <v>F</v>
      </c>
      <c r="T551" s="1" t="str">
        <f t="shared" ca="1" si="43"/>
        <v>F</v>
      </c>
      <c r="U551" s="1" t="str">
        <f t="shared" ca="1" si="44"/>
        <v>F</v>
      </c>
      <c r="V551" s="1" t="str">
        <f t="shared" ca="1" si="45"/>
        <v>F</v>
      </c>
      <c r="W551" s="1" t="str">
        <f t="shared" ca="1" si="46"/>
        <v>Rafael Navarro Leal</v>
      </c>
    </row>
    <row r="552" spans="1:23">
      <c r="A552" s="1" t="str">
        <f ca="1">IFERROR(__xludf.DUMMYFUNCTION("""COMPUTED_VALUE"""),"Logan")</f>
        <v>Logan</v>
      </c>
      <c r="B552" s="1" t="str">
        <f ca="1">IFERROR(__xludf.DUMMYFUNCTION("""COMPUTED_VALUE"""),"Ndenbe")</f>
        <v>Ndenbe</v>
      </c>
      <c r="C552" s="1" t="str">
        <f ca="1">IFERROR(__xludf.DUMMYFUNCTION("""COMPUTED_VALUE"""),"Sporting Kansas City")</f>
        <v>Sporting Kansas City</v>
      </c>
      <c r="D552" s="1" t="str">
        <f ca="1">IFERROR(__xludf.DUMMYFUNCTION("""COMPUTED_VALUE"""),"Left-back")</f>
        <v>Left-back</v>
      </c>
      <c r="E552" s="2">
        <f ca="1">IFERROR(__xludf.DUMMYFUNCTION("""COMPUTED_VALUE"""),400000)</f>
        <v>400000</v>
      </c>
      <c r="F552" s="2">
        <f ca="1">IFERROR(__xludf.DUMMYFUNCTION("""COMPUTED_VALUE"""),405000)</f>
        <v>405000</v>
      </c>
      <c r="H552" s="1" t="str">
        <f t="shared" ca="1" si="32"/>
        <v>Left-back</v>
      </c>
      <c r="I552" s="3" t="str">
        <f t="shared" ca="1" si="33"/>
        <v>D</v>
      </c>
      <c r="J552" s="1" t="str">
        <f t="shared" ca="1" si="34"/>
        <v>D</v>
      </c>
      <c r="K552" s="1" t="str">
        <f t="shared" ca="1" si="47"/>
        <v>D</v>
      </c>
      <c r="L552" s="1" t="str">
        <f t="shared" ca="1" si="35"/>
        <v>D</v>
      </c>
      <c r="M552" s="1" t="str">
        <f t="shared" ca="1" si="36"/>
        <v>D</v>
      </c>
      <c r="N552" s="1" t="str">
        <f t="shared" ca="1" si="37"/>
        <v>D</v>
      </c>
      <c r="O552" s="1" t="str">
        <f t="shared" ca="1" si="38"/>
        <v>D</v>
      </c>
      <c r="P552" s="1" t="str">
        <f t="shared" ca="1" si="39"/>
        <v>D</v>
      </c>
      <c r="Q552" s="1" t="str">
        <f t="shared" ca="1" si="40"/>
        <v>D</v>
      </c>
      <c r="R552" s="1" t="str">
        <f t="shared" ca="1" si="41"/>
        <v>D</v>
      </c>
      <c r="S552" s="1" t="str">
        <f t="shared" ca="1" si="42"/>
        <v>D</v>
      </c>
      <c r="T552" s="1" t="str">
        <f t="shared" ca="1" si="43"/>
        <v>D</v>
      </c>
      <c r="U552" s="1" t="str">
        <f t="shared" ca="1" si="44"/>
        <v>D</v>
      </c>
      <c r="V552" s="1" t="str">
        <f t="shared" ca="1" si="45"/>
        <v>D</v>
      </c>
      <c r="W552" s="1" t="str">
        <f t="shared" ca="1" si="46"/>
        <v>Logan Ndenbe</v>
      </c>
    </row>
    <row r="553" spans="1:23">
      <c r="A553" s="1" t="str">
        <f ca="1">IFERROR(__xludf.DUMMYFUNCTION("""COMPUTED_VALUE"""),"Jalen")</f>
        <v>Jalen</v>
      </c>
      <c r="B553" s="1" t="str">
        <f ca="1">IFERROR(__xludf.DUMMYFUNCTION("""COMPUTED_VALUE"""),"Neal")</f>
        <v>Neal</v>
      </c>
      <c r="C553" s="1" t="str">
        <f ca="1">IFERROR(__xludf.DUMMYFUNCTION("""COMPUTED_VALUE"""),"LA Galaxy")</f>
        <v>LA Galaxy</v>
      </c>
      <c r="D553" s="1" t="str">
        <f ca="1">IFERROR(__xludf.DUMMYFUNCTION("""COMPUTED_VALUE"""),"Center-back")</f>
        <v>Center-back</v>
      </c>
      <c r="E553" s="2">
        <f ca="1">IFERROR(__xludf.DUMMYFUNCTION("""COMPUTED_VALUE"""),165000)</f>
        <v>165000</v>
      </c>
      <c r="F553" s="2">
        <f ca="1">IFERROR(__xludf.DUMMYFUNCTION("""COMPUTED_VALUE"""),178625)</f>
        <v>178625</v>
      </c>
      <c r="H553" s="1" t="str">
        <f t="shared" ca="1" si="32"/>
        <v>D</v>
      </c>
      <c r="I553" s="3" t="str">
        <f t="shared" ca="1" si="33"/>
        <v>D</v>
      </c>
      <c r="J553" s="1" t="str">
        <f t="shared" ca="1" si="34"/>
        <v>D</v>
      </c>
      <c r="K553" s="1" t="str">
        <f t="shared" ca="1" si="47"/>
        <v>D</v>
      </c>
      <c r="L553" s="1" t="str">
        <f t="shared" ca="1" si="35"/>
        <v>D</v>
      </c>
      <c r="M553" s="1" t="str">
        <f t="shared" ca="1" si="36"/>
        <v>D</v>
      </c>
      <c r="N553" s="1" t="str">
        <f t="shared" ca="1" si="37"/>
        <v>D</v>
      </c>
      <c r="O553" s="1" t="str">
        <f t="shared" ca="1" si="38"/>
        <v>D</v>
      </c>
      <c r="P553" s="1" t="str">
        <f t="shared" ca="1" si="39"/>
        <v>D</v>
      </c>
      <c r="Q553" s="1" t="str">
        <f t="shared" ca="1" si="40"/>
        <v>D</v>
      </c>
      <c r="R553" s="1" t="str">
        <f t="shared" ca="1" si="41"/>
        <v>D</v>
      </c>
      <c r="S553" s="1" t="str">
        <f t="shared" ca="1" si="42"/>
        <v>D</v>
      </c>
      <c r="T553" s="1" t="str">
        <f t="shared" ca="1" si="43"/>
        <v>D</v>
      </c>
      <c r="U553" s="1" t="str">
        <f t="shared" ca="1" si="44"/>
        <v>D</v>
      </c>
      <c r="V553" s="1" t="str">
        <f t="shared" ca="1" si="45"/>
        <v>D</v>
      </c>
      <c r="W553" s="1" t="str">
        <f t="shared" ca="1" si="46"/>
        <v>Jalen Neal</v>
      </c>
    </row>
    <row r="554" spans="1:23">
      <c r="A554" s="1" t="str">
        <f ca="1">IFERROR(__xludf.DUMMYFUNCTION("""COMPUTED_VALUE"""),"Sean")</f>
        <v>Sean</v>
      </c>
      <c r="B554" s="1" t="str">
        <f ca="1">IFERROR(__xludf.DUMMYFUNCTION("""COMPUTED_VALUE"""),"Nealis")</f>
        <v>Nealis</v>
      </c>
      <c r="C554" s="1" t="str">
        <f ca="1">IFERROR(__xludf.DUMMYFUNCTION("""COMPUTED_VALUE"""),"New York Red Bulls")</f>
        <v>New York Red Bulls</v>
      </c>
      <c r="D554" s="1" t="str">
        <f ca="1">IFERROR(__xludf.DUMMYFUNCTION("""COMPUTED_VALUE"""),"Center-back")</f>
        <v>Center-back</v>
      </c>
      <c r="E554" s="2">
        <f ca="1">IFERROR(__xludf.DUMMYFUNCTION("""COMPUTED_VALUE"""),450000)</f>
        <v>450000</v>
      </c>
      <c r="F554" s="2">
        <f ca="1">IFERROR(__xludf.DUMMYFUNCTION("""COMPUTED_VALUE"""),526250)</f>
        <v>526250</v>
      </c>
      <c r="H554" s="1" t="str">
        <f t="shared" ca="1" si="32"/>
        <v>D</v>
      </c>
      <c r="I554" s="3" t="str">
        <f t="shared" ca="1" si="33"/>
        <v>D</v>
      </c>
      <c r="J554" s="1" t="str">
        <f t="shared" ca="1" si="34"/>
        <v>D</v>
      </c>
      <c r="K554" s="1" t="str">
        <f t="shared" ca="1" si="47"/>
        <v>D</v>
      </c>
      <c r="L554" s="1" t="str">
        <f t="shared" ca="1" si="35"/>
        <v>D</v>
      </c>
      <c r="M554" s="1" t="str">
        <f t="shared" ca="1" si="36"/>
        <v>D</v>
      </c>
      <c r="N554" s="1" t="str">
        <f t="shared" ca="1" si="37"/>
        <v>D</v>
      </c>
      <c r="O554" s="1" t="str">
        <f t="shared" ca="1" si="38"/>
        <v>D</v>
      </c>
      <c r="P554" s="1" t="str">
        <f t="shared" ca="1" si="39"/>
        <v>D</v>
      </c>
      <c r="Q554" s="1" t="str">
        <f t="shared" ca="1" si="40"/>
        <v>D</v>
      </c>
      <c r="R554" s="1" t="str">
        <f t="shared" ca="1" si="41"/>
        <v>D</v>
      </c>
      <c r="S554" s="1" t="str">
        <f t="shared" ca="1" si="42"/>
        <v>D</v>
      </c>
      <c r="T554" s="1" t="str">
        <f t="shared" ca="1" si="43"/>
        <v>D</v>
      </c>
      <c r="U554" s="1" t="str">
        <f t="shared" ca="1" si="44"/>
        <v>D</v>
      </c>
      <c r="V554" s="1" t="str">
        <f t="shared" ca="1" si="45"/>
        <v>D</v>
      </c>
      <c r="W554" s="1" t="str">
        <f t="shared" ca="1" si="46"/>
        <v>Sean Nealis</v>
      </c>
    </row>
    <row r="555" spans="1:23">
      <c r="A555" s="1" t="str">
        <f ca="1">IFERROR(__xludf.DUMMYFUNCTION("""COMPUTED_VALUE"""),"Dylan")</f>
        <v>Dylan</v>
      </c>
      <c r="B555" s="1" t="str">
        <f ca="1">IFERROR(__xludf.DUMMYFUNCTION("""COMPUTED_VALUE"""),"Nealis")</f>
        <v>Nealis</v>
      </c>
      <c r="C555" s="1" t="str">
        <f ca="1">IFERROR(__xludf.DUMMYFUNCTION("""COMPUTED_VALUE"""),"New York Red Bulls")</f>
        <v>New York Red Bulls</v>
      </c>
      <c r="D555" s="1" t="str">
        <f ca="1">IFERROR(__xludf.DUMMYFUNCTION("""COMPUTED_VALUE"""),"Right-back")</f>
        <v>Right-back</v>
      </c>
      <c r="E555" s="2">
        <f ca="1">IFERROR(__xludf.DUMMYFUNCTION("""COMPUTED_VALUE"""),247500)</f>
        <v>247500</v>
      </c>
      <c r="F555" s="2">
        <f ca="1">IFERROR(__xludf.DUMMYFUNCTION("""COMPUTED_VALUE"""),272500)</f>
        <v>272500</v>
      </c>
      <c r="H555" s="1" t="str">
        <f t="shared" ca="1" si="32"/>
        <v>Right-back</v>
      </c>
      <c r="I555" s="3" t="str">
        <f t="shared" ca="1" si="33"/>
        <v>Right-back</v>
      </c>
      <c r="J555" s="1" t="str">
        <f t="shared" ca="1" si="34"/>
        <v>D</v>
      </c>
      <c r="K555" s="1" t="str">
        <f t="shared" ca="1" si="47"/>
        <v>D</v>
      </c>
      <c r="L555" s="1" t="str">
        <f t="shared" ca="1" si="35"/>
        <v>D</v>
      </c>
      <c r="M555" s="1" t="str">
        <f t="shared" ca="1" si="36"/>
        <v>D</v>
      </c>
      <c r="N555" s="1" t="str">
        <f t="shared" ca="1" si="37"/>
        <v>D</v>
      </c>
      <c r="O555" s="1" t="str">
        <f t="shared" ca="1" si="38"/>
        <v>D</v>
      </c>
      <c r="P555" s="1" t="str">
        <f t="shared" ca="1" si="39"/>
        <v>D</v>
      </c>
      <c r="Q555" s="1" t="str">
        <f t="shared" ca="1" si="40"/>
        <v>D</v>
      </c>
      <c r="R555" s="1" t="str">
        <f t="shared" ca="1" si="41"/>
        <v>D</v>
      </c>
      <c r="S555" s="1" t="str">
        <f t="shared" ca="1" si="42"/>
        <v>D</v>
      </c>
      <c r="T555" s="1" t="str">
        <f t="shared" ca="1" si="43"/>
        <v>D</v>
      </c>
      <c r="U555" s="1" t="str">
        <f t="shared" ca="1" si="44"/>
        <v>D</v>
      </c>
      <c r="V555" s="1" t="str">
        <f t="shared" ca="1" si="45"/>
        <v>D</v>
      </c>
      <c r="W555" s="1" t="str">
        <f t="shared" ca="1" si="46"/>
        <v>Dylan Nealis</v>
      </c>
    </row>
    <row r="556" spans="1:23">
      <c r="A556" s="1" t="str">
        <f ca="1">IFERROR(__xludf.DUMMYFUNCTION("""COMPUTED_VALUE"""),"Jack")</f>
        <v>Jack</v>
      </c>
      <c r="B556" s="1" t="str">
        <f ca="1">IFERROR(__xludf.DUMMYFUNCTION("""COMPUTED_VALUE"""),"Neeley")</f>
        <v>Neeley</v>
      </c>
      <c r="C556" s="1" t="str">
        <f ca="1">IFERROR(__xludf.DUMMYFUNCTION("""COMPUTED_VALUE"""),"Charlotte FC")</f>
        <v>Charlotte FC</v>
      </c>
      <c r="D556" s="1" t="str">
        <f ca="1">IFERROR(__xludf.DUMMYFUNCTION("""COMPUTED_VALUE"""),"Center-back")</f>
        <v>Center-back</v>
      </c>
      <c r="E556" s="2">
        <f ca="1">IFERROR(__xludf.DUMMYFUNCTION("""COMPUTED_VALUE"""),71401)</f>
        <v>71401</v>
      </c>
      <c r="F556" s="2">
        <f ca="1">IFERROR(__xludf.DUMMYFUNCTION("""COMPUTED_VALUE"""),73401)</f>
        <v>73401</v>
      </c>
      <c r="H556" s="1" t="str">
        <f t="shared" ca="1" si="32"/>
        <v>D</v>
      </c>
      <c r="I556" s="3" t="str">
        <f t="shared" ca="1" si="33"/>
        <v>D</v>
      </c>
      <c r="J556" s="1" t="str">
        <f t="shared" ca="1" si="34"/>
        <v>D</v>
      </c>
      <c r="K556" s="1" t="str">
        <f t="shared" ca="1" si="47"/>
        <v>D</v>
      </c>
      <c r="L556" s="1" t="str">
        <f t="shared" ca="1" si="35"/>
        <v>D</v>
      </c>
      <c r="M556" s="1" t="str">
        <f t="shared" ca="1" si="36"/>
        <v>D</v>
      </c>
      <c r="N556" s="1" t="str">
        <f t="shared" ca="1" si="37"/>
        <v>D</v>
      </c>
      <c r="O556" s="1" t="str">
        <f t="shared" ca="1" si="38"/>
        <v>D</v>
      </c>
      <c r="P556" s="1" t="str">
        <f t="shared" ca="1" si="39"/>
        <v>D</v>
      </c>
      <c r="Q556" s="1" t="str">
        <f t="shared" ca="1" si="40"/>
        <v>D</v>
      </c>
      <c r="R556" s="1" t="str">
        <f t="shared" ca="1" si="41"/>
        <v>D</v>
      </c>
      <c r="S556" s="1" t="str">
        <f t="shared" ca="1" si="42"/>
        <v>D</v>
      </c>
      <c r="T556" s="1" t="str">
        <f t="shared" ca="1" si="43"/>
        <v>D</v>
      </c>
      <c r="U556" s="1" t="str">
        <f t="shared" ca="1" si="44"/>
        <v>D</v>
      </c>
      <c r="V556" s="1" t="str">
        <f t="shared" ca="1" si="45"/>
        <v>D</v>
      </c>
      <c r="W556" s="1" t="str">
        <f t="shared" ca="1" si="46"/>
        <v>Jack Neeley</v>
      </c>
    </row>
    <row r="557" spans="1:23">
      <c r="A557" s="1" t="str">
        <f ca="1">IFERROR(__xludf.DUMMYFUNCTION("""COMPUTED_VALUE"""),"Franco")</f>
        <v>Franco</v>
      </c>
      <c r="B557" s="1" t="str">
        <f ca="1">IFERROR(__xludf.DUMMYFUNCTION("""COMPUTED_VALUE"""),"Negri")</f>
        <v>Negri</v>
      </c>
      <c r="C557" s="1" t="str">
        <f ca="1">IFERROR(__xludf.DUMMYFUNCTION("""COMPUTED_VALUE"""),"Inter Miami")</f>
        <v>Inter Miami</v>
      </c>
      <c r="D557" s="1" t="str">
        <f ca="1">IFERROR(__xludf.DUMMYFUNCTION("""COMPUTED_VALUE"""),"Left-back")</f>
        <v>Left-back</v>
      </c>
      <c r="E557" s="2">
        <f ca="1">IFERROR(__xludf.DUMMYFUNCTION("""COMPUTED_VALUE"""),250000)</f>
        <v>250000</v>
      </c>
      <c r="F557" s="2">
        <f ca="1">IFERROR(__xludf.DUMMYFUNCTION("""COMPUTED_VALUE"""),342500)</f>
        <v>342500</v>
      </c>
      <c r="H557" s="1" t="str">
        <f t="shared" ca="1" si="32"/>
        <v>Left-back</v>
      </c>
      <c r="I557" s="3" t="str">
        <f t="shared" ca="1" si="33"/>
        <v>D</v>
      </c>
      <c r="J557" s="1" t="str">
        <f t="shared" ca="1" si="34"/>
        <v>D</v>
      </c>
      <c r="K557" s="1" t="str">
        <f t="shared" ca="1" si="47"/>
        <v>D</v>
      </c>
      <c r="L557" s="1" t="str">
        <f t="shared" ca="1" si="35"/>
        <v>D</v>
      </c>
      <c r="M557" s="1" t="str">
        <f t="shared" ca="1" si="36"/>
        <v>D</v>
      </c>
      <c r="N557" s="1" t="str">
        <f t="shared" ca="1" si="37"/>
        <v>D</v>
      </c>
      <c r="O557" s="1" t="str">
        <f t="shared" ca="1" si="38"/>
        <v>D</v>
      </c>
      <c r="P557" s="1" t="str">
        <f t="shared" ca="1" si="39"/>
        <v>D</v>
      </c>
      <c r="Q557" s="1" t="str">
        <f t="shared" ca="1" si="40"/>
        <v>D</v>
      </c>
      <c r="R557" s="1" t="str">
        <f t="shared" ca="1" si="41"/>
        <v>D</v>
      </c>
      <c r="S557" s="1" t="str">
        <f t="shared" ca="1" si="42"/>
        <v>D</v>
      </c>
      <c r="T557" s="1" t="str">
        <f t="shared" ca="1" si="43"/>
        <v>D</v>
      </c>
      <c r="U557" s="1" t="str">
        <f t="shared" ca="1" si="44"/>
        <v>D</v>
      </c>
      <c r="V557" s="1" t="str">
        <f t="shared" ca="1" si="45"/>
        <v>D</v>
      </c>
      <c r="W557" s="1" t="str">
        <f t="shared" ca="1" si="46"/>
        <v>Franco Negri</v>
      </c>
    </row>
    <row r="558" spans="1:23">
      <c r="A558" s="1" t="str">
        <f ca="1">IFERROR(__xludf.DUMMYFUNCTION("""COMPUTED_VALUE"""),"John")</f>
        <v>John</v>
      </c>
      <c r="B558" s="1" t="str">
        <f ca="1">IFERROR(__xludf.DUMMYFUNCTION("""COMPUTED_VALUE"""),"Nelson")</f>
        <v>Nelson</v>
      </c>
      <c r="C558" s="1" t="str">
        <f ca="1">IFERROR(__xludf.DUMMYFUNCTION("""COMPUTED_VALUE"""),"LA Galaxy")</f>
        <v>LA Galaxy</v>
      </c>
      <c r="D558" s="1" t="str">
        <f ca="1">IFERROR(__xludf.DUMMYFUNCTION("""COMPUTED_VALUE"""),"Left-back")</f>
        <v>Left-back</v>
      </c>
      <c r="E558" s="2">
        <f ca="1">IFERROR(__xludf.DUMMYFUNCTION("""COMPUTED_VALUE"""),275000)</f>
        <v>275000</v>
      </c>
      <c r="F558" s="2">
        <f ca="1">IFERROR(__xludf.DUMMYFUNCTION("""COMPUTED_VALUE"""),291667)</f>
        <v>291667</v>
      </c>
      <c r="H558" s="1" t="str">
        <f t="shared" ca="1" si="32"/>
        <v>Left-back</v>
      </c>
      <c r="I558" s="3" t="str">
        <f t="shared" ca="1" si="33"/>
        <v>D</v>
      </c>
      <c r="J558" s="1" t="str">
        <f t="shared" ca="1" si="34"/>
        <v>D</v>
      </c>
      <c r="K558" s="1" t="str">
        <f t="shared" ca="1" si="47"/>
        <v>D</v>
      </c>
      <c r="L558" s="1" t="str">
        <f t="shared" ca="1" si="35"/>
        <v>D</v>
      </c>
      <c r="M558" s="1" t="str">
        <f t="shared" ca="1" si="36"/>
        <v>D</v>
      </c>
      <c r="N558" s="1" t="str">
        <f t="shared" ca="1" si="37"/>
        <v>D</v>
      </c>
      <c r="O558" s="1" t="str">
        <f t="shared" ca="1" si="38"/>
        <v>D</v>
      </c>
      <c r="P558" s="1" t="str">
        <f t="shared" ca="1" si="39"/>
        <v>D</v>
      </c>
      <c r="Q558" s="1" t="str">
        <f t="shared" ca="1" si="40"/>
        <v>D</v>
      </c>
      <c r="R558" s="1" t="str">
        <f t="shared" ca="1" si="41"/>
        <v>D</v>
      </c>
      <c r="S558" s="1" t="str">
        <f t="shared" ca="1" si="42"/>
        <v>D</v>
      </c>
      <c r="T558" s="1" t="str">
        <f t="shared" ca="1" si="43"/>
        <v>D</v>
      </c>
      <c r="U558" s="1" t="str">
        <f t="shared" ca="1" si="44"/>
        <v>D</v>
      </c>
      <c r="V558" s="1" t="str">
        <f t="shared" ca="1" si="45"/>
        <v>D</v>
      </c>
      <c r="W558" s="1" t="str">
        <f t="shared" ca="1" si="46"/>
        <v>John Nelson</v>
      </c>
    </row>
    <row r="559" spans="1:23">
      <c r="A559" s="1" t="str">
        <f ca="1">IFERROR(__xludf.DUMMYFUNCTION("""COMPUTED_VALUE"""),"Jake")</f>
        <v>Jake</v>
      </c>
      <c r="B559" s="1" t="str">
        <f ca="1">IFERROR(__xludf.DUMMYFUNCTION("""COMPUTED_VALUE"""),"Nerwinski")</f>
        <v>Nerwinski</v>
      </c>
      <c r="C559" s="1" t="str">
        <f ca="1">IFERROR(__xludf.DUMMYFUNCTION("""COMPUTED_VALUE"""),"St. Louis City SC")</f>
        <v>St. Louis City SC</v>
      </c>
      <c r="D559" s="1" t="str">
        <f ca="1">IFERROR(__xludf.DUMMYFUNCTION("""COMPUTED_VALUE"""),"Right-back")</f>
        <v>Right-back</v>
      </c>
      <c r="E559" s="2">
        <f ca="1">IFERROR(__xludf.DUMMYFUNCTION("""COMPUTED_VALUE"""),250000)</f>
        <v>250000</v>
      </c>
      <c r="F559" s="2">
        <f ca="1">IFERROR(__xludf.DUMMYFUNCTION("""COMPUTED_VALUE"""),277500)</f>
        <v>277500</v>
      </c>
      <c r="H559" s="1" t="str">
        <f t="shared" ca="1" si="32"/>
        <v>Right-back</v>
      </c>
      <c r="I559" s="3" t="str">
        <f t="shared" ca="1" si="33"/>
        <v>Right-back</v>
      </c>
      <c r="J559" s="1" t="str">
        <f t="shared" ca="1" si="34"/>
        <v>D</v>
      </c>
      <c r="K559" s="1" t="str">
        <f t="shared" ca="1" si="47"/>
        <v>D</v>
      </c>
      <c r="L559" s="1" t="str">
        <f t="shared" ca="1" si="35"/>
        <v>D</v>
      </c>
      <c r="M559" s="1" t="str">
        <f t="shared" ca="1" si="36"/>
        <v>D</v>
      </c>
      <c r="N559" s="1" t="str">
        <f t="shared" ca="1" si="37"/>
        <v>D</v>
      </c>
      <c r="O559" s="1" t="str">
        <f t="shared" ca="1" si="38"/>
        <v>D</v>
      </c>
      <c r="P559" s="1" t="str">
        <f t="shared" ca="1" si="39"/>
        <v>D</v>
      </c>
      <c r="Q559" s="1" t="str">
        <f t="shared" ca="1" si="40"/>
        <v>D</v>
      </c>
      <c r="R559" s="1" t="str">
        <f t="shared" ca="1" si="41"/>
        <v>D</v>
      </c>
      <c r="S559" s="1" t="str">
        <f t="shared" ca="1" si="42"/>
        <v>D</v>
      </c>
      <c r="T559" s="1" t="str">
        <f t="shared" ca="1" si="43"/>
        <v>D</v>
      </c>
      <c r="U559" s="1" t="str">
        <f t="shared" ca="1" si="44"/>
        <v>D</v>
      </c>
      <c r="V559" s="1" t="str">
        <f t="shared" ca="1" si="45"/>
        <v>D</v>
      </c>
      <c r="W559" s="1" t="str">
        <f t="shared" ca="1" si="46"/>
        <v>Jake Nerwinski</v>
      </c>
    </row>
    <row r="560" spans="1:23">
      <c r="A560" s="1" t="str">
        <f ca="1">IFERROR(__xludf.DUMMYFUNCTION("""COMPUTED_VALUE"""),"Sanders")</f>
        <v>Sanders</v>
      </c>
      <c r="B560" s="1" t="str">
        <f ca="1">IFERROR(__xludf.DUMMYFUNCTION("""COMPUTED_VALUE"""),"Ngabo")</f>
        <v>Ngabo</v>
      </c>
      <c r="C560" s="1" t="str">
        <f ca="1">IFERROR(__xludf.DUMMYFUNCTION("""COMPUTED_VALUE"""),"Philadelphia Union")</f>
        <v>Philadelphia Union</v>
      </c>
      <c r="D560" s="1" t="str">
        <f ca="1">IFERROR(__xludf.DUMMYFUNCTION("""COMPUTED_VALUE"""),"Central Midfield")</f>
        <v>Central Midfield</v>
      </c>
      <c r="E560" s="2">
        <f ca="1">IFERROR(__xludf.DUMMYFUNCTION("""COMPUTED_VALUE"""),71401)</f>
        <v>71401</v>
      </c>
      <c r="F560" s="2">
        <f ca="1">IFERROR(__xludf.DUMMYFUNCTION("""COMPUTED_VALUE"""),87986)</f>
        <v>87986</v>
      </c>
      <c r="H560" s="1" t="str">
        <f t="shared" ca="1" si="32"/>
        <v>Central Midfield</v>
      </c>
      <c r="I560" s="3" t="str">
        <f t="shared" ca="1" si="33"/>
        <v>Central Midfield</v>
      </c>
      <c r="J560" s="1" t="str">
        <f t="shared" ca="1" si="34"/>
        <v>Central Midfield</v>
      </c>
      <c r="K560" s="1" t="str">
        <f t="shared" ca="1" si="47"/>
        <v>Central Midfield</v>
      </c>
      <c r="L560" s="1" t="str">
        <f t="shared" ca="1" si="35"/>
        <v>M</v>
      </c>
      <c r="M560" s="1" t="str">
        <f t="shared" ca="1" si="36"/>
        <v>M</v>
      </c>
      <c r="N560" s="1" t="str">
        <f t="shared" ca="1" si="37"/>
        <v>M</v>
      </c>
      <c r="O560" s="1" t="str">
        <f t="shared" ca="1" si="38"/>
        <v>M</v>
      </c>
      <c r="P560" s="1" t="str">
        <f t="shared" ca="1" si="39"/>
        <v>M</v>
      </c>
      <c r="Q560" s="1" t="str">
        <f t="shared" ca="1" si="40"/>
        <v>M</v>
      </c>
      <c r="R560" s="1" t="str">
        <f t="shared" ca="1" si="41"/>
        <v>M</v>
      </c>
      <c r="S560" s="1" t="str">
        <f t="shared" ca="1" si="42"/>
        <v>M</v>
      </c>
      <c r="T560" s="1" t="str">
        <f t="shared" ca="1" si="43"/>
        <v>M</v>
      </c>
      <c r="U560" s="1" t="str">
        <f t="shared" ca="1" si="44"/>
        <v>M</v>
      </c>
      <c r="V560" s="1" t="str">
        <f t="shared" ca="1" si="45"/>
        <v>M</v>
      </c>
      <c r="W560" s="1" t="str">
        <f t="shared" ca="1" si="46"/>
        <v>Sanders Ngabo</v>
      </c>
    </row>
    <row r="561" spans="1:23">
      <c r="A561" s="1" t="str">
        <f ca="1">IFERROR(__xludf.DUMMYFUNCTION("""COMPUTED_VALUE"""),"J.C.")</f>
        <v>J.C.</v>
      </c>
      <c r="B561" s="1" t="str">
        <f ca="1">IFERROR(__xludf.DUMMYFUNCTION("""COMPUTED_VALUE"""),"Ngando")</f>
        <v>Ngando</v>
      </c>
      <c r="C561" s="1" t="str">
        <f ca="1">IFERROR(__xludf.DUMMYFUNCTION("""COMPUTED_VALUE"""),"Vancouver Whitecaps")</f>
        <v>Vancouver Whitecaps</v>
      </c>
      <c r="D561" s="1" t="str">
        <f ca="1">IFERROR(__xludf.DUMMYFUNCTION("""COMPUTED_VALUE"""),"Defensive Midfield")</f>
        <v>Defensive Midfield</v>
      </c>
      <c r="E561" s="2">
        <f ca="1">IFERROR(__xludf.DUMMYFUNCTION("""COMPUTED_VALUE"""),89716)</f>
        <v>89716</v>
      </c>
      <c r="F561" s="2">
        <f ca="1">IFERROR(__xludf.DUMMYFUNCTION("""COMPUTED_VALUE"""),107715)</f>
        <v>107715</v>
      </c>
      <c r="H561" s="1" t="str">
        <f t="shared" ca="1" si="32"/>
        <v>Defensive Midfield</v>
      </c>
      <c r="I561" s="3" t="str">
        <f t="shared" ca="1" si="33"/>
        <v>Defensive Midfield</v>
      </c>
      <c r="J561" s="1" t="str">
        <f t="shared" ca="1" si="34"/>
        <v>Defensive Midfield</v>
      </c>
      <c r="K561" s="1" t="str">
        <f t="shared" ca="1" si="47"/>
        <v>M</v>
      </c>
      <c r="L561" s="1" t="str">
        <f t="shared" ca="1" si="35"/>
        <v>M</v>
      </c>
      <c r="M561" s="1" t="str">
        <f t="shared" ca="1" si="36"/>
        <v>M</v>
      </c>
      <c r="N561" s="1" t="str">
        <f t="shared" ca="1" si="37"/>
        <v>M</v>
      </c>
      <c r="O561" s="1" t="str">
        <f t="shared" ca="1" si="38"/>
        <v>M</v>
      </c>
      <c r="P561" s="1" t="str">
        <f t="shared" ca="1" si="39"/>
        <v>M</v>
      </c>
      <c r="Q561" s="1" t="str">
        <f t="shared" ca="1" si="40"/>
        <v>M</v>
      </c>
      <c r="R561" s="1" t="str">
        <f t="shared" ca="1" si="41"/>
        <v>M</v>
      </c>
      <c r="S561" s="1" t="str">
        <f t="shared" ca="1" si="42"/>
        <v>M</v>
      </c>
      <c r="T561" s="1" t="str">
        <f t="shared" ca="1" si="43"/>
        <v>M</v>
      </c>
      <c r="U561" s="1" t="str">
        <f t="shared" ca="1" si="44"/>
        <v>M</v>
      </c>
      <c r="V561" s="1" t="str">
        <f t="shared" ca="1" si="45"/>
        <v>M</v>
      </c>
      <c r="W561" s="1" t="str">
        <f t="shared" ca="1" si="46"/>
        <v>J.C. Ngando</v>
      </c>
    </row>
    <row r="562" spans="1:23">
      <c r="A562" s="1" t="str">
        <f ca="1">IFERROR(__xludf.DUMMYFUNCTION("""COMPUTED_VALUE"""),"Serge")</f>
        <v>Serge</v>
      </c>
      <c r="B562" s="1" t="str">
        <f ca="1">IFERROR(__xludf.DUMMYFUNCTION("""COMPUTED_VALUE"""),"Ngoma")</f>
        <v>Ngoma</v>
      </c>
      <c r="C562" s="1" t="str">
        <f ca="1">IFERROR(__xludf.DUMMYFUNCTION("""COMPUTED_VALUE"""),"New York Red Bulls")</f>
        <v>New York Red Bulls</v>
      </c>
      <c r="D562" s="1" t="str">
        <f ca="1">IFERROR(__xludf.DUMMYFUNCTION("""COMPUTED_VALUE"""),"Right Wing")</f>
        <v>Right Wing</v>
      </c>
      <c r="E562" s="2">
        <f ca="1">IFERROR(__xludf.DUMMYFUNCTION("""COMPUTED_VALUE"""),89716)</f>
        <v>89716</v>
      </c>
      <c r="F562" s="2">
        <f ca="1">IFERROR(__xludf.DUMMYFUNCTION("""COMPUTED_VALUE"""),109668)</f>
        <v>109668</v>
      </c>
      <c r="H562" s="1" t="str">
        <f t="shared" ca="1" si="32"/>
        <v>Right Wing</v>
      </c>
      <c r="I562" s="3" t="str">
        <f t="shared" ca="1" si="33"/>
        <v>Right Wing</v>
      </c>
      <c r="J562" s="1" t="str">
        <f t="shared" ca="1" si="34"/>
        <v>Right Wing</v>
      </c>
      <c r="K562" s="1" t="str">
        <f t="shared" ca="1" si="47"/>
        <v>Right Wing</v>
      </c>
      <c r="L562" s="1" t="str">
        <f t="shared" ca="1" si="35"/>
        <v>Right Wing</v>
      </c>
      <c r="M562" s="1" t="str">
        <f t="shared" ca="1" si="36"/>
        <v>Right Wing</v>
      </c>
      <c r="N562" s="1" t="str">
        <f t="shared" ca="1" si="37"/>
        <v>F</v>
      </c>
      <c r="O562" s="1" t="str">
        <f t="shared" ca="1" si="38"/>
        <v>F</v>
      </c>
      <c r="P562" s="1" t="str">
        <f t="shared" ca="1" si="39"/>
        <v>F</v>
      </c>
      <c r="Q562" s="1" t="str">
        <f t="shared" ca="1" si="40"/>
        <v>F</v>
      </c>
      <c r="R562" s="1" t="str">
        <f t="shared" ca="1" si="41"/>
        <v>F</v>
      </c>
      <c r="S562" s="1" t="str">
        <f t="shared" ca="1" si="42"/>
        <v>F</v>
      </c>
      <c r="T562" s="1" t="str">
        <f t="shared" ca="1" si="43"/>
        <v>F</v>
      </c>
      <c r="U562" s="1" t="str">
        <f t="shared" ca="1" si="44"/>
        <v>F</v>
      </c>
      <c r="V562" s="1" t="str">
        <f t="shared" ca="1" si="45"/>
        <v>F</v>
      </c>
      <c r="W562" s="1" t="str">
        <f t="shared" ca="1" si="46"/>
        <v>Serge Ngoma</v>
      </c>
    </row>
    <row r="563" spans="1:23">
      <c r="A563" s="1" t="str">
        <f ca="1">IFERROR(__xludf.DUMMYFUNCTION("""COMPUTED_VALUE"""),"Sam")</f>
        <v>Sam</v>
      </c>
      <c r="B563" s="1" t="str">
        <f ca="1">IFERROR(__xludf.DUMMYFUNCTION("""COMPUTED_VALUE"""),"Nicholson")</f>
        <v>Nicholson</v>
      </c>
      <c r="C563" s="1" t="str">
        <f ca="1">IFERROR(__xludf.DUMMYFUNCTION("""COMPUTED_VALUE"""),"Colorado Rapids")</f>
        <v>Colorado Rapids</v>
      </c>
      <c r="D563" s="1" t="str">
        <f ca="1">IFERROR(__xludf.DUMMYFUNCTION("""COMPUTED_VALUE"""),"Left Midfield")</f>
        <v>Left Midfield</v>
      </c>
      <c r="E563" s="2">
        <f ca="1">IFERROR(__xludf.DUMMYFUNCTION("""COMPUTED_VALUE"""),350000)</f>
        <v>350000</v>
      </c>
      <c r="F563" s="2">
        <f ca="1">IFERROR(__xludf.DUMMYFUNCTION("""COMPUTED_VALUE"""),385313)</f>
        <v>385313</v>
      </c>
      <c r="H563" s="1" t="str">
        <f t="shared" ca="1" si="32"/>
        <v>Left Midfield</v>
      </c>
      <c r="I563" s="3" t="str">
        <f t="shared" ca="1" si="33"/>
        <v>Left Midfield</v>
      </c>
      <c r="J563" s="1" t="str">
        <f t="shared" ca="1" si="34"/>
        <v>Left Midfield</v>
      </c>
      <c r="K563" s="1" t="str">
        <f t="shared" ca="1" si="47"/>
        <v>Left Midfield</v>
      </c>
      <c r="L563" s="1" t="str">
        <f t="shared" ca="1" si="35"/>
        <v>Left Midfield</v>
      </c>
      <c r="M563" s="1" t="str">
        <f t="shared" ca="1" si="36"/>
        <v>Left Midfield</v>
      </c>
      <c r="N563" s="1" t="str">
        <f t="shared" ca="1" si="37"/>
        <v>Left Midfield</v>
      </c>
      <c r="O563" s="1" t="str">
        <f t="shared" ca="1" si="38"/>
        <v>Left Midfield</v>
      </c>
      <c r="P563" s="1" t="str">
        <f t="shared" ca="1" si="39"/>
        <v>Left Midfield</v>
      </c>
      <c r="Q563" s="1" t="str">
        <f t="shared" ca="1" si="40"/>
        <v>Left Midfield</v>
      </c>
      <c r="R563" s="1" t="str">
        <f t="shared" ca="1" si="41"/>
        <v>Left Midfield</v>
      </c>
      <c r="S563" s="1" t="str">
        <f t="shared" ca="1" si="42"/>
        <v>M</v>
      </c>
      <c r="T563" s="1" t="str">
        <f t="shared" ca="1" si="43"/>
        <v>M</v>
      </c>
      <c r="U563" s="1" t="str">
        <f t="shared" ca="1" si="44"/>
        <v>M</v>
      </c>
      <c r="V563" s="1" t="str">
        <f t="shared" ca="1" si="45"/>
        <v>M</v>
      </c>
      <c r="W563" s="1" t="str">
        <f t="shared" ca="1" si="46"/>
        <v>Sam Nicholson</v>
      </c>
    </row>
    <row r="564" spans="1:23">
      <c r="A564" s="1" t="str">
        <f ca="1">IFERROR(__xludf.DUMMYFUNCTION("""COMPUTED_VALUE"""),"Joakim")</f>
        <v>Joakim</v>
      </c>
      <c r="B564" s="1" t="str">
        <f ca="1">IFERROR(__xludf.DUMMYFUNCTION("""COMPUTED_VALUE"""),"Nilsson")</f>
        <v>Nilsson</v>
      </c>
      <c r="C564" s="1" t="str">
        <f ca="1">IFERROR(__xludf.DUMMYFUNCTION("""COMPUTED_VALUE"""),"St. Louis City SC")</f>
        <v>St. Louis City SC</v>
      </c>
      <c r="D564" s="1" t="str">
        <f ca="1">IFERROR(__xludf.DUMMYFUNCTION("""COMPUTED_VALUE"""),"Center-back")</f>
        <v>Center-back</v>
      </c>
      <c r="E564" s="2">
        <f ca="1">IFERROR(__xludf.DUMMYFUNCTION("""COMPUTED_VALUE"""),1135000)</f>
        <v>1135000</v>
      </c>
      <c r="F564" s="2">
        <f ca="1">IFERROR(__xludf.DUMMYFUNCTION("""COMPUTED_VALUE"""),1203500)</f>
        <v>1203500</v>
      </c>
      <c r="H564" s="1" t="str">
        <f t="shared" ca="1" si="32"/>
        <v>D</v>
      </c>
      <c r="I564" s="3" t="str">
        <f t="shared" ca="1" si="33"/>
        <v>D</v>
      </c>
      <c r="J564" s="1" t="str">
        <f t="shared" ca="1" si="34"/>
        <v>D</v>
      </c>
      <c r="K564" s="1" t="str">
        <f t="shared" ca="1" si="47"/>
        <v>D</v>
      </c>
      <c r="L564" s="1" t="str">
        <f t="shared" ca="1" si="35"/>
        <v>D</v>
      </c>
      <c r="M564" s="1" t="str">
        <f t="shared" ca="1" si="36"/>
        <v>D</v>
      </c>
      <c r="N564" s="1" t="str">
        <f t="shared" ca="1" si="37"/>
        <v>D</v>
      </c>
      <c r="O564" s="1" t="str">
        <f t="shared" ca="1" si="38"/>
        <v>D</v>
      </c>
      <c r="P564" s="1" t="str">
        <f t="shared" ca="1" si="39"/>
        <v>D</v>
      </c>
      <c r="Q564" s="1" t="str">
        <f t="shared" ca="1" si="40"/>
        <v>D</v>
      </c>
      <c r="R564" s="1" t="str">
        <f t="shared" ca="1" si="41"/>
        <v>D</v>
      </c>
      <c r="S564" s="1" t="str">
        <f t="shared" ca="1" si="42"/>
        <v>D</v>
      </c>
      <c r="T564" s="1" t="str">
        <f t="shared" ca="1" si="43"/>
        <v>D</v>
      </c>
      <c r="U564" s="1" t="str">
        <f t="shared" ca="1" si="44"/>
        <v>D</v>
      </c>
      <c r="V564" s="1" t="str">
        <f t="shared" ca="1" si="45"/>
        <v>D</v>
      </c>
      <c r="W564" s="1" t="str">
        <f t="shared" ca="1" si="46"/>
        <v>Joakim Nilsson</v>
      </c>
    </row>
    <row r="565" spans="1:23">
      <c r="A565" s="1" t="str">
        <f ca="1">IFERROR(__xludf.DUMMYFUNCTION("""COMPUTED_VALUE"""),"Nolan")</f>
        <v>Nolan</v>
      </c>
      <c r="B565" s="1" t="str">
        <f ca="1">IFERROR(__xludf.DUMMYFUNCTION("""COMPUTED_VALUE"""),"Norris")</f>
        <v>Norris</v>
      </c>
      <c r="C565" s="1" t="str">
        <f ca="1">IFERROR(__xludf.DUMMYFUNCTION("""COMPUTED_VALUE"""),"FC Dallas")</f>
        <v>FC Dallas</v>
      </c>
      <c r="D565" s="1" t="str">
        <f ca="1">IFERROR(__xludf.DUMMYFUNCTION("""COMPUTED_VALUE"""),"Left-back")</f>
        <v>Left-back</v>
      </c>
      <c r="E565" s="2">
        <f ca="1">IFERROR(__xludf.DUMMYFUNCTION("""COMPUTED_VALUE"""),89716)</f>
        <v>89716</v>
      </c>
      <c r="F565" s="2">
        <f ca="1">IFERROR(__xludf.DUMMYFUNCTION("""COMPUTED_VALUE"""),108358)</f>
        <v>108358</v>
      </c>
      <c r="H565" s="1" t="str">
        <f t="shared" ca="1" si="32"/>
        <v>Left-back</v>
      </c>
      <c r="I565" s="3" t="str">
        <f t="shared" ca="1" si="33"/>
        <v>D</v>
      </c>
      <c r="J565" s="1" t="str">
        <f t="shared" ca="1" si="34"/>
        <v>D</v>
      </c>
      <c r="K565" s="1" t="str">
        <f t="shared" ca="1" si="47"/>
        <v>D</v>
      </c>
      <c r="L565" s="1" t="str">
        <f t="shared" ca="1" si="35"/>
        <v>D</v>
      </c>
      <c r="M565" s="1" t="str">
        <f t="shared" ca="1" si="36"/>
        <v>D</v>
      </c>
      <c r="N565" s="1" t="str">
        <f t="shared" ca="1" si="37"/>
        <v>D</v>
      </c>
      <c r="O565" s="1" t="str">
        <f t="shared" ca="1" si="38"/>
        <v>D</v>
      </c>
      <c r="P565" s="1" t="str">
        <f t="shared" ca="1" si="39"/>
        <v>D</v>
      </c>
      <c r="Q565" s="1" t="str">
        <f t="shared" ca="1" si="40"/>
        <v>D</v>
      </c>
      <c r="R565" s="1" t="str">
        <f t="shared" ca="1" si="41"/>
        <v>D</v>
      </c>
      <c r="S565" s="1" t="str">
        <f t="shared" ca="1" si="42"/>
        <v>D</v>
      </c>
      <c r="T565" s="1" t="str">
        <f t="shared" ca="1" si="43"/>
        <v>D</v>
      </c>
      <c r="U565" s="1" t="str">
        <f t="shared" ca="1" si="44"/>
        <v>D</v>
      </c>
      <c r="V565" s="1" t="str">
        <f t="shared" ca="1" si="45"/>
        <v>D</v>
      </c>
      <c r="W565" s="1" t="str">
        <f t="shared" ca="1" si="46"/>
        <v>Nolan Norris</v>
      </c>
    </row>
    <row r="566" spans="1:23">
      <c r="A566" s="1" t="str">
        <f ca="1">IFERROR(__xludf.DUMMYFUNCTION("""COMPUTED_VALUE"""),"Tsiki")</f>
        <v>Tsiki</v>
      </c>
      <c r="B566" s="1" t="str">
        <f ca="1">IFERROR(__xludf.DUMMYFUNCTION("""COMPUTED_VALUE"""),"Ntsabeleng")</f>
        <v>Ntsabeleng</v>
      </c>
      <c r="C566" s="1" t="str">
        <f ca="1">IFERROR(__xludf.DUMMYFUNCTION("""COMPUTED_VALUE"""),"FC Dallas")</f>
        <v>FC Dallas</v>
      </c>
      <c r="D566" s="1" t="str">
        <f ca="1">IFERROR(__xludf.DUMMYFUNCTION("""COMPUTED_VALUE"""),"Attacking Midfield")</f>
        <v>Attacking Midfield</v>
      </c>
      <c r="E566" s="2">
        <f ca="1">IFERROR(__xludf.DUMMYFUNCTION("""COMPUTED_VALUE"""),89716)</f>
        <v>89716</v>
      </c>
      <c r="F566" s="2">
        <f ca="1">IFERROR(__xludf.DUMMYFUNCTION("""COMPUTED_VALUE"""),89716)</f>
        <v>89716</v>
      </c>
      <c r="H566" s="1" t="str">
        <f t="shared" ca="1" si="32"/>
        <v>Attacking Midfield</v>
      </c>
      <c r="I566" s="3" t="str">
        <f t="shared" ca="1" si="33"/>
        <v>Attacking Midfield</v>
      </c>
      <c r="J566" s="1" t="str">
        <f t="shared" ca="1" si="34"/>
        <v>Attacking Midfield</v>
      </c>
      <c r="K566" s="1" t="str">
        <f t="shared" ca="1" si="47"/>
        <v>Attacking Midfield</v>
      </c>
      <c r="L566" s="1" t="str">
        <f t="shared" ca="1" si="35"/>
        <v>Attacking Midfield</v>
      </c>
      <c r="M566" s="1" t="str">
        <f t="shared" ca="1" si="36"/>
        <v>M</v>
      </c>
      <c r="N566" s="1" t="str">
        <f t="shared" ca="1" si="37"/>
        <v>M</v>
      </c>
      <c r="O566" s="1" t="str">
        <f t="shared" ca="1" si="38"/>
        <v>M</v>
      </c>
      <c r="P566" s="1" t="str">
        <f t="shared" ca="1" si="39"/>
        <v>M</v>
      </c>
      <c r="Q566" s="1" t="str">
        <f t="shared" ca="1" si="40"/>
        <v>M</v>
      </c>
      <c r="R566" s="1" t="str">
        <f t="shared" ca="1" si="41"/>
        <v>M</v>
      </c>
      <c r="S566" s="1" t="str">
        <f t="shared" ca="1" si="42"/>
        <v>M</v>
      </c>
      <c r="T566" s="1" t="str">
        <f t="shared" ca="1" si="43"/>
        <v>M</v>
      </c>
      <c r="U566" s="1" t="str">
        <f t="shared" ca="1" si="44"/>
        <v>M</v>
      </c>
      <c r="V566" s="1" t="str">
        <f t="shared" ca="1" si="45"/>
        <v>M</v>
      </c>
      <c r="W566" s="1" t="str">
        <f t="shared" ca="1" si="46"/>
        <v>Tsiki Ntsabeleng</v>
      </c>
    </row>
    <row r="567" spans="1:23">
      <c r="A567" s="1" t="str">
        <f ca="1">IFERROR(__xludf.DUMMYFUNCTION("""COMPUTED_VALUE"""),"Obinna")</f>
        <v>Obinna</v>
      </c>
      <c r="B567" s="1" t="str">
        <f ca="1">IFERROR(__xludf.DUMMYFUNCTION("""COMPUTED_VALUE"""),"Nwobodo")</f>
        <v>Nwobodo</v>
      </c>
      <c r="C567" s="1" t="str">
        <f ca="1">IFERROR(__xludf.DUMMYFUNCTION("""COMPUTED_VALUE"""),"FC Cincinnati")</f>
        <v>FC Cincinnati</v>
      </c>
      <c r="D567" s="1" t="str">
        <f ca="1">IFERROR(__xludf.DUMMYFUNCTION("""COMPUTED_VALUE"""),"Defensive Midfield")</f>
        <v>Defensive Midfield</v>
      </c>
      <c r="E567" s="2">
        <f ca="1">IFERROR(__xludf.DUMMYFUNCTION("""COMPUTED_VALUE"""),1310000)</f>
        <v>1310000</v>
      </c>
      <c r="F567" s="2">
        <f ca="1">IFERROR(__xludf.DUMMYFUNCTION("""COMPUTED_VALUE"""),1444400)</f>
        <v>1444400</v>
      </c>
      <c r="H567" s="1" t="str">
        <f t="shared" ca="1" si="32"/>
        <v>Defensive Midfield</v>
      </c>
      <c r="I567" s="3" t="str">
        <f t="shared" ca="1" si="33"/>
        <v>Defensive Midfield</v>
      </c>
      <c r="J567" s="1" t="str">
        <f t="shared" ca="1" si="34"/>
        <v>Defensive Midfield</v>
      </c>
      <c r="K567" s="1" t="str">
        <f t="shared" ca="1" si="47"/>
        <v>M</v>
      </c>
      <c r="L567" s="1" t="str">
        <f t="shared" ca="1" si="35"/>
        <v>M</v>
      </c>
      <c r="M567" s="1" t="str">
        <f t="shared" ca="1" si="36"/>
        <v>M</v>
      </c>
      <c r="N567" s="1" t="str">
        <f t="shared" ca="1" si="37"/>
        <v>M</v>
      </c>
      <c r="O567" s="1" t="str">
        <f t="shared" ca="1" si="38"/>
        <v>M</v>
      </c>
      <c r="P567" s="1" t="str">
        <f t="shared" ca="1" si="39"/>
        <v>M</v>
      </c>
      <c r="Q567" s="1" t="str">
        <f t="shared" ca="1" si="40"/>
        <v>M</v>
      </c>
      <c r="R567" s="1" t="str">
        <f t="shared" ca="1" si="41"/>
        <v>M</v>
      </c>
      <c r="S567" s="1" t="str">
        <f t="shared" ca="1" si="42"/>
        <v>M</v>
      </c>
      <c r="T567" s="1" t="str">
        <f t="shared" ca="1" si="43"/>
        <v>M</v>
      </c>
      <c r="U567" s="1" t="str">
        <f t="shared" ca="1" si="44"/>
        <v>M</v>
      </c>
      <c r="V567" s="1" t="str">
        <f t="shared" ca="1" si="45"/>
        <v>M</v>
      </c>
      <c r="W567" s="1" t="str">
        <f t="shared" ca="1" si="46"/>
        <v>Obinna Nwobodo</v>
      </c>
    </row>
    <row r="568" spans="1:23">
      <c r="A568" s="1" t="str">
        <f ca="1">IFERROR(__xludf.DUMMYFUNCTION("""COMPUTED_VALUE"""),"Moses")</f>
        <v>Moses</v>
      </c>
      <c r="B568" s="1" t="str">
        <f ca="1">IFERROR(__xludf.DUMMYFUNCTION("""COMPUTED_VALUE"""),"Nyeman")</f>
        <v>Nyeman</v>
      </c>
      <c r="C568" s="1" t="str">
        <f ca="1">IFERROR(__xludf.DUMMYFUNCTION("""COMPUTED_VALUE"""),"Minnesota United")</f>
        <v>Minnesota United</v>
      </c>
      <c r="D568" s="1" t="str">
        <f ca="1">IFERROR(__xludf.DUMMYFUNCTION("""COMPUTED_VALUE"""),"Defensive Midfield")</f>
        <v>Defensive Midfield</v>
      </c>
      <c r="E568" s="2">
        <f ca="1">IFERROR(__xludf.DUMMYFUNCTION("""COMPUTED_VALUE"""),150000)</f>
        <v>150000</v>
      </c>
      <c r="F568" s="2">
        <f ca="1">IFERROR(__xludf.DUMMYFUNCTION("""COMPUTED_VALUE"""),168822)</f>
        <v>168822</v>
      </c>
      <c r="H568" s="1" t="str">
        <f t="shared" ca="1" si="32"/>
        <v>Defensive Midfield</v>
      </c>
      <c r="I568" s="3" t="str">
        <f t="shared" ca="1" si="33"/>
        <v>Defensive Midfield</v>
      </c>
      <c r="J568" s="1" t="str">
        <f t="shared" ca="1" si="34"/>
        <v>Defensive Midfield</v>
      </c>
      <c r="K568" s="1" t="str">
        <f t="shared" ca="1" si="47"/>
        <v>M</v>
      </c>
      <c r="L568" s="1" t="str">
        <f t="shared" ca="1" si="35"/>
        <v>M</v>
      </c>
      <c r="M568" s="1" t="str">
        <f t="shared" ca="1" si="36"/>
        <v>M</v>
      </c>
      <c r="N568" s="1" t="str">
        <f t="shared" ca="1" si="37"/>
        <v>M</v>
      </c>
      <c r="O568" s="1" t="str">
        <f t="shared" ca="1" si="38"/>
        <v>M</v>
      </c>
      <c r="P568" s="1" t="str">
        <f t="shared" ca="1" si="39"/>
        <v>M</v>
      </c>
      <c r="Q568" s="1" t="str">
        <f t="shared" ca="1" si="40"/>
        <v>M</v>
      </c>
      <c r="R568" s="1" t="str">
        <f t="shared" ca="1" si="41"/>
        <v>M</v>
      </c>
      <c r="S568" s="1" t="str">
        <f t="shared" ca="1" si="42"/>
        <v>M</v>
      </c>
      <c r="T568" s="1" t="str">
        <f t="shared" ca="1" si="43"/>
        <v>M</v>
      </c>
      <c r="U568" s="1" t="str">
        <f t="shared" ca="1" si="44"/>
        <v>M</v>
      </c>
      <c r="V568" s="1" t="str">
        <f t="shared" ca="1" si="45"/>
        <v>M</v>
      </c>
      <c r="W568" s="1" t="str">
        <f t="shared" ca="1" si="46"/>
        <v>Moses Nyeman</v>
      </c>
    </row>
    <row r="569" spans="1:23">
      <c r="A569" s="1" t="str">
        <f ca="1">IFERROR(__xludf.DUMMYFUNCTION("""COMPUTED_VALUE"""),"Aidan")</f>
        <v>Aidan</v>
      </c>
      <c r="B569" s="1" t="str">
        <f ca="1">IFERROR(__xludf.DUMMYFUNCTION("""COMPUTED_VALUE"""),"O'Connor")</f>
        <v>O'Connor</v>
      </c>
      <c r="C569" s="1" t="str">
        <f ca="1">IFERROR(__xludf.DUMMYFUNCTION("""COMPUTED_VALUE"""),"New York Red Bulls")</f>
        <v>New York Red Bulls</v>
      </c>
      <c r="D569" s="1" t="str">
        <f ca="1">IFERROR(__xludf.DUMMYFUNCTION("""COMPUTED_VALUE"""),"Center-back")</f>
        <v>Center-back</v>
      </c>
      <c r="E569" s="2">
        <f ca="1">IFERROR(__xludf.DUMMYFUNCTION("""COMPUTED_VALUE"""),71401)</f>
        <v>71401</v>
      </c>
      <c r="F569" s="2">
        <f ca="1">IFERROR(__xludf.DUMMYFUNCTION("""COMPUTED_VALUE"""),71401)</f>
        <v>71401</v>
      </c>
      <c r="H569" s="1" t="str">
        <f t="shared" ca="1" si="32"/>
        <v>D</v>
      </c>
      <c r="I569" s="3" t="str">
        <f t="shared" ca="1" si="33"/>
        <v>D</v>
      </c>
      <c r="J569" s="1" t="str">
        <f t="shared" ca="1" si="34"/>
        <v>D</v>
      </c>
      <c r="K569" s="1" t="str">
        <f t="shared" ca="1" si="47"/>
        <v>D</v>
      </c>
      <c r="L569" s="1" t="str">
        <f t="shared" ca="1" si="35"/>
        <v>D</v>
      </c>
      <c r="M569" s="1" t="str">
        <f t="shared" ca="1" si="36"/>
        <v>D</v>
      </c>
      <c r="N569" s="1" t="str">
        <f t="shared" ca="1" si="37"/>
        <v>D</v>
      </c>
      <c r="O569" s="1" t="str">
        <f t="shared" ca="1" si="38"/>
        <v>D</v>
      </c>
      <c r="P569" s="1" t="str">
        <f t="shared" ca="1" si="39"/>
        <v>D</v>
      </c>
      <c r="Q569" s="1" t="str">
        <f t="shared" ca="1" si="40"/>
        <v>D</v>
      </c>
      <c r="R569" s="1" t="str">
        <f t="shared" ca="1" si="41"/>
        <v>D</v>
      </c>
      <c r="S569" s="1" t="str">
        <f t="shared" ca="1" si="42"/>
        <v>D</v>
      </c>
      <c r="T569" s="1" t="str">
        <f t="shared" ca="1" si="43"/>
        <v>D</v>
      </c>
      <c r="U569" s="1" t="str">
        <f t="shared" ca="1" si="44"/>
        <v>D</v>
      </c>
      <c r="V569" s="1" t="str">
        <f t="shared" ca="1" si="45"/>
        <v>D</v>
      </c>
      <c r="W569" s="1" t="str">
        <f t="shared" ca="1" si="46"/>
        <v>Aidan O'Connor</v>
      </c>
    </row>
    <row r="570" spans="1:23">
      <c r="A570" s="1" t="str">
        <f ca="1">IFERROR(__xludf.DUMMYFUNCTION("""COMPUTED_VALUE"""),"Owen")</f>
        <v>Owen</v>
      </c>
      <c r="B570" s="1" t="str">
        <f ca="1">IFERROR(__xludf.DUMMYFUNCTION("""COMPUTED_VALUE"""),"O'Malley")</f>
        <v>O'Malley</v>
      </c>
      <c r="C570" s="1" t="str">
        <f ca="1">IFERROR(__xludf.DUMMYFUNCTION("""COMPUTED_VALUE"""),"MLS Pool")</f>
        <v>MLS Pool</v>
      </c>
      <c r="D570" s="1" t="str">
        <f ca="1">IFERROR(__xludf.DUMMYFUNCTION("""COMPUTED_VALUE"""),"Right-back")</f>
        <v>Right-back</v>
      </c>
      <c r="E570" s="2">
        <f ca="1">IFERROR(__xludf.DUMMYFUNCTION("""COMPUTED_VALUE"""),71401)</f>
        <v>71401</v>
      </c>
      <c r="F570" s="2">
        <f ca="1">IFERROR(__xludf.DUMMYFUNCTION("""COMPUTED_VALUE"""),76401)</f>
        <v>76401</v>
      </c>
      <c r="H570" s="1" t="str">
        <f t="shared" ca="1" si="32"/>
        <v>Right-back</v>
      </c>
      <c r="I570" s="3" t="str">
        <f t="shared" ca="1" si="33"/>
        <v>Right-back</v>
      </c>
      <c r="J570" s="1" t="str">
        <f t="shared" ca="1" si="34"/>
        <v>D</v>
      </c>
      <c r="K570" s="1" t="str">
        <f t="shared" ca="1" si="47"/>
        <v>D</v>
      </c>
      <c r="L570" s="1" t="str">
        <f t="shared" ca="1" si="35"/>
        <v>D</v>
      </c>
      <c r="M570" s="1" t="str">
        <f t="shared" ca="1" si="36"/>
        <v>D</v>
      </c>
      <c r="N570" s="1" t="str">
        <f t="shared" ca="1" si="37"/>
        <v>D</v>
      </c>
      <c r="O570" s="1" t="str">
        <f t="shared" ca="1" si="38"/>
        <v>D</v>
      </c>
      <c r="P570" s="1" t="str">
        <f t="shared" ca="1" si="39"/>
        <v>D</v>
      </c>
      <c r="Q570" s="1" t="str">
        <f t="shared" ca="1" si="40"/>
        <v>D</v>
      </c>
      <c r="R570" s="1" t="str">
        <f t="shared" ca="1" si="41"/>
        <v>D</v>
      </c>
      <c r="S570" s="1" t="str">
        <f t="shared" ca="1" si="42"/>
        <v>D</v>
      </c>
      <c r="T570" s="1" t="str">
        <f t="shared" ca="1" si="43"/>
        <v>D</v>
      </c>
      <c r="U570" s="1" t="str">
        <f t="shared" ca="1" si="44"/>
        <v>D</v>
      </c>
      <c r="V570" s="1" t="str">
        <f t="shared" ca="1" si="45"/>
        <v>D</v>
      </c>
      <c r="W570" s="1" t="str">
        <f t="shared" ca="1" si="46"/>
        <v>Owen O'Malley</v>
      </c>
    </row>
    <row r="571" spans="1:23">
      <c r="A571" s="1" t="str">
        <f ca="1">IFERROR(__xludf.DUMMYFUNCTION("""COMPUTED_VALUE"""),"Shane")</f>
        <v>Shane</v>
      </c>
      <c r="B571" s="1" t="str">
        <f ca="1">IFERROR(__xludf.DUMMYFUNCTION("""COMPUTED_VALUE"""),"O'Neill")</f>
        <v>O'Neill</v>
      </c>
      <c r="C571" s="1" t="str">
        <f ca="1">IFERROR(__xludf.DUMMYFUNCTION("""COMPUTED_VALUE"""),"Toronto FC")</f>
        <v>Toronto FC</v>
      </c>
      <c r="D571" s="1" t="str">
        <f ca="1">IFERROR(__xludf.DUMMYFUNCTION("""COMPUTED_VALUE"""),"Center-back")</f>
        <v>Center-back</v>
      </c>
      <c r="E571" s="2">
        <f ca="1">IFERROR(__xludf.DUMMYFUNCTION("""COMPUTED_VALUE"""),375000)</f>
        <v>375000</v>
      </c>
      <c r="F571" s="2">
        <f ca="1">IFERROR(__xludf.DUMMYFUNCTION("""COMPUTED_VALUE"""),413000)</f>
        <v>413000</v>
      </c>
      <c r="H571" s="1" t="str">
        <f t="shared" ca="1" si="32"/>
        <v>D</v>
      </c>
      <c r="I571" s="3" t="str">
        <f t="shared" ca="1" si="33"/>
        <v>D</v>
      </c>
      <c r="J571" s="1" t="str">
        <f t="shared" ca="1" si="34"/>
        <v>D</v>
      </c>
      <c r="K571" s="1" t="str">
        <f t="shared" ca="1" si="47"/>
        <v>D</v>
      </c>
      <c r="L571" s="1" t="str">
        <f t="shared" ca="1" si="35"/>
        <v>D</v>
      </c>
      <c r="M571" s="1" t="str">
        <f t="shared" ca="1" si="36"/>
        <v>D</v>
      </c>
      <c r="N571" s="1" t="str">
        <f t="shared" ca="1" si="37"/>
        <v>D</v>
      </c>
      <c r="O571" s="1" t="str">
        <f t="shared" ca="1" si="38"/>
        <v>D</v>
      </c>
      <c r="P571" s="1" t="str">
        <f t="shared" ca="1" si="39"/>
        <v>D</v>
      </c>
      <c r="Q571" s="1" t="str">
        <f t="shared" ca="1" si="40"/>
        <v>D</v>
      </c>
      <c r="R571" s="1" t="str">
        <f t="shared" ca="1" si="41"/>
        <v>D</v>
      </c>
      <c r="S571" s="1" t="str">
        <f t="shared" ca="1" si="42"/>
        <v>D</v>
      </c>
      <c r="T571" s="1" t="str">
        <f t="shared" ca="1" si="43"/>
        <v>D</v>
      </c>
      <c r="U571" s="1" t="str">
        <f t="shared" ca="1" si="44"/>
        <v>D</v>
      </c>
      <c r="V571" s="1" t="str">
        <f t="shared" ca="1" si="45"/>
        <v>D</v>
      </c>
      <c r="W571" s="1" t="str">
        <f t="shared" ca="1" si="46"/>
        <v>Shane O'Neill</v>
      </c>
    </row>
    <row r="572" spans="1:23">
      <c r="A572" s="1" t="str">
        <f ca="1">IFERROR(__xludf.DUMMYFUNCTION("""COMPUTED_VALUE"""),"Kevin")</f>
        <v>Kevin</v>
      </c>
      <c r="B572" s="1" t="str">
        <f ca="1">IFERROR(__xludf.DUMMYFUNCTION("""COMPUTED_VALUE"""),"O'Toole")</f>
        <v>O'Toole</v>
      </c>
      <c r="C572" s="1" t="str">
        <f ca="1">IFERROR(__xludf.DUMMYFUNCTION("""COMPUTED_VALUE"""),"New York City FC")</f>
        <v>New York City FC</v>
      </c>
      <c r="D572" s="1" t="str">
        <f ca="1">IFERROR(__xludf.DUMMYFUNCTION("""COMPUTED_VALUE"""),"Left-back")</f>
        <v>Left-back</v>
      </c>
      <c r="E572" s="2">
        <f ca="1">IFERROR(__xludf.DUMMYFUNCTION("""COMPUTED_VALUE"""),175000)</f>
        <v>175000</v>
      </c>
      <c r="F572" s="2">
        <f ca="1">IFERROR(__xludf.DUMMYFUNCTION("""COMPUTED_VALUE"""),195833)</f>
        <v>195833</v>
      </c>
      <c r="H572" s="1" t="str">
        <f t="shared" ca="1" si="32"/>
        <v>Left-back</v>
      </c>
      <c r="I572" s="3" t="str">
        <f t="shared" ca="1" si="33"/>
        <v>D</v>
      </c>
      <c r="J572" s="1" t="str">
        <f t="shared" ca="1" si="34"/>
        <v>D</v>
      </c>
      <c r="K572" s="1" t="str">
        <f t="shared" ca="1" si="47"/>
        <v>D</v>
      </c>
      <c r="L572" s="1" t="str">
        <f t="shared" ca="1" si="35"/>
        <v>D</v>
      </c>
      <c r="M572" s="1" t="str">
        <f t="shared" ca="1" si="36"/>
        <v>D</v>
      </c>
      <c r="N572" s="1" t="str">
        <f t="shared" ca="1" si="37"/>
        <v>D</v>
      </c>
      <c r="O572" s="1" t="str">
        <f t="shared" ca="1" si="38"/>
        <v>D</v>
      </c>
      <c r="P572" s="1" t="str">
        <f t="shared" ca="1" si="39"/>
        <v>D</v>
      </c>
      <c r="Q572" s="1" t="str">
        <f t="shared" ca="1" si="40"/>
        <v>D</v>
      </c>
      <c r="R572" s="1" t="str">
        <f t="shared" ca="1" si="41"/>
        <v>D</v>
      </c>
      <c r="S572" s="1" t="str">
        <f t="shared" ca="1" si="42"/>
        <v>D</v>
      </c>
      <c r="T572" s="1" t="str">
        <f t="shared" ca="1" si="43"/>
        <v>D</v>
      </c>
      <c r="U572" s="1" t="str">
        <f t="shared" ca="1" si="44"/>
        <v>D</v>
      </c>
      <c r="V572" s="1" t="str">
        <f t="shared" ca="1" si="45"/>
        <v>D</v>
      </c>
      <c r="W572" s="1" t="str">
        <f t="shared" ca="1" si="46"/>
        <v>Kevin O'Toole</v>
      </c>
    </row>
    <row r="573" spans="1:23">
      <c r="A573" s="1" t="str">
        <f ca="1">IFERROR(__xludf.DUMMYFUNCTION("""COMPUTED_VALUE"""),"Jáder")</f>
        <v>Jáder</v>
      </c>
      <c r="B573" s="1" t="str">
        <f ca="1">IFERROR(__xludf.DUMMYFUNCTION("""COMPUTED_VALUE"""),"Obrian")</f>
        <v>Obrian</v>
      </c>
      <c r="C573" s="1" t="str">
        <f ca="1">IFERROR(__xludf.DUMMYFUNCTION("""COMPUTED_VALUE"""),"Austin FC")</f>
        <v>Austin FC</v>
      </c>
      <c r="D573" s="1" t="str">
        <f ca="1">IFERROR(__xludf.DUMMYFUNCTION("""COMPUTED_VALUE"""),"Right Wing")</f>
        <v>Right Wing</v>
      </c>
      <c r="E573" s="2">
        <f ca="1">IFERROR(__xludf.DUMMYFUNCTION("""COMPUTED_VALUE"""),495000)</f>
        <v>495000</v>
      </c>
      <c r="F573" s="2">
        <f ca="1">IFERROR(__xludf.DUMMYFUNCTION("""COMPUTED_VALUE"""),537300)</f>
        <v>537300</v>
      </c>
      <c r="H573" s="1" t="str">
        <f t="shared" ca="1" si="32"/>
        <v>Right Wing</v>
      </c>
      <c r="I573" s="3" t="str">
        <f t="shared" ca="1" si="33"/>
        <v>Right Wing</v>
      </c>
      <c r="J573" s="1" t="str">
        <f t="shared" ca="1" si="34"/>
        <v>Right Wing</v>
      </c>
      <c r="K573" s="1" t="str">
        <f t="shared" ca="1" si="47"/>
        <v>Right Wing</v>
      </c>
      <c r="L573" s="1" t="str">
        <f t="shared" ca="1" si="35"/>
        <v>Right Wing</v>
      </c>
      <c r="M573" s="1" t="str">
        <f t="shared" ca="1" si="36"/>
        <v>Right Wing</v>
      </c>
      <c r="N573" s="1" t="str">
        <f t="shared" ca="1" si="37"/>
        <v>F</v>
      </c>
      <c r="O573" s="1" t="str">
        <f t="shared" ca="1" si="38"/>
        <v>F</v>
      </c>
      <c r="P573" s="1" t="str">
        <f t="shared" ca="1" si="39"/>
        <v>F</v>
      </c>
      <c r="Q573" s="1" t="str">
        <f t="shared" ca="1" si="40"/>
        <v>F</v>
      </c>
      <c r="R573" s="1" t="str">
        <f t="shared" ca="1" si="41"/>
        <v>F</v>
      </c>
      <c r="S573" s="1" t="str">
        <f t="shared" ca="1" si="42"/>
        <v>F</v>
      </c>
      <c r="T573" s="1" t="str">
        <f t="shared" ca="1" si="43"/>
        <v>F</v>
      </c>
      <c r="U573" s="1" t="str">
        <f t="shared" ca="1" si="44"/>
        <v>F</v>
      </c>
      <c r="V573" s="1" t="str">
        <f t="shared" ca="1" si="45"/>
        <v>F</v>
      </c>
      <c r="W573" s="1" t="str">
        <f t="shared" ca="1" si="46"/>
        <v>Jáder Obrian</v>
      </c>
    </row>
    <row r="574" spans="1:23">
      <c r="A574" s="1" t="str">
        <f ca="1">IFERROR(__xludf.DUMMYFUNCTION("""COMPUTED_VALUE"""),"Emmanuel")</f>
        <v>Emmanuel</v>
      </c>
      <c r="B574" s="1" t="str">
        <f ca="1">IFERROR(__xludf.DUMMYFUNCTION("""COMPUTED_VALUE"""),"Ochoa")</f>
        <v>Ochoa</v>
      </c>
      <c r="C574" s="1" t="str">
        <f ca="1">IFERROR(__xludf.DUMMYFUNCTION("""COMPUTED_VALUE"""),"San Jose Earthquakes")</f>
        <v>San Jose Earthquakes</v>
      </c>
      <c r="D574" s="1" t="str">
        <f ca="1">IFERROR(__xludf.DUMMYFUNCTION("""COMPUTED_VALUE"""),"Goalkeeper")</f>
        <v>Goalkeeper</v>
      </c>
      <c r="E574" s="2">
        <f ca="1">IFERROR(__xludf.DUMMYFUNCTION("""COMPUTED_VALUE"""),160000)</f>
        <v>160000</v>
      </c>
      <c r="F574" s="2">
        <f ca="1">IFERROR(__xludf.DUMMYFUNCTION("""COMPUTED_VALUE"""),170071)</f>
        <v>170071</v>
      </c>
      <c r="H574" s="1" t="str">
        <f t="shared" ca="1" si="32"/>
        <v>Goalkeeper</v>
      </c>
      <c r="I574" s="3" t="str">
        <f t="shared" ca="1" si="33"/>
        <v>Goalkeeper</v>
      </c>
      <c r="J574" s="1" t="str">
        <f t="shared" ca="1" si="34"/>
        <v>Goalkeeper</v>
      </c>
      <c r="K574" s="1" t="str">
        <f t="shared" ca="1" si="47"/>
        <v>Goalkeeper</v>
      </c>
      <c r="L574" s="1" t="str">
        <f t="shared" ca="1" si="35"/>
        <v>Goalkeeper</v>
      </c>
      <c r="M574" s="1" t="str">
        <f t="shared" ca="1" si="36"/>
        <v>Goalkeeper</v>
      </c>
      <c r="N574" s="1" t="str">
        <f t="shared" ca="1" si="37"/>
        <v>Goalkeeper</v>
      </c>
      <c r="O574" s="1" t="str">
        <f t="shared" ca="1" si="38"/>
        <v>Goalkeeper</v>
      </c>
      <c r="P574" s="1" t="str">
        <f t="shared" ca="1" si="39"/>
        <v>Goalkeeper</v>
      </c>
      <c r="Q574" s="1" t="str">
        <f t="shared" ca="1" si="40"/>
        <v>Goalkeeper</v>
      </c>
      <c r="R574" s="1" t="str">
        <f t="shared" ca="1" si="41"/>
        <v>GK</v>
      </c>
      <c r="S574" s="1" t="str">
        <f t="shared" ca="1" si="42"/>
        <v>GK</v>
      </c>
      <c r="T574" s="1" t="str">
        <f t="shared" ca="1" si="43"/>
        <v>GK</v>
      </c>
      <c r="U574" s="1" t="str">
        <f t="shared" ca="1" si="44"/>
        <v>GK</v>
      </c>
      <c r="V574" s="1" t="str">
        <f t="shared" ca="1" si="45"/>
        <v>GK</v>
      </c>
      <c r="W574" s="1" t="str">
        <f t="shared" ca="1" si="46"/>
        <v>Emmanuel Ochoa</v>
      </c>
    </row>
    <row r="575" spans="1:23">
      <c r="A575" s="1" t="str">
        <f ca="1">IFERROR(__xludf.DUMMYFUNCTION("""COMPUTED_VALUE"""),"David")</f>
        <v>David</v>
      </c>
      <c r="B575" s="1" t="str">
        <f ca="1">IFERROR(__xludf.DUMMYFUNCTION("""COMPUTED_VALUE"""),"Ochoa")</f>
        <v>Ochoa</v>
      </c>
      <c r="C575" s="1" t="str">
        <f ca="1">IFERROR(__xludf.DUMMYFUNCTION("""COMPUTED_VALUE"""),"Inter Miami")</f>
        <v>Inter Miami</v>
      </c>
      <c r="D575" s="1" t="str">
        <f ca="1">IFERROR(__xludf.DUMMYFUNCTION("""COMPUTED_VALUE"""),"Defensive Midfield")</f>
        <v>Defensive Midfield</v>
      </c>
      <c r="E575" s="2">
        <f ca="1">IFERROR(__xludf.DUMMYFUNCTION("""COMPUTED_VALUE"""),71401)</f>
        <v>71401</v>
      </c>
      <c r="F575" s="2">
        <f ca="1">IFERROR(__xludf.DUMMYFUNCTION("""COMPUTED_VALUE"""),73401)</f>
        <v>73401</v>
      </c>
      <c r="H575" s="1" t="str">
        <f t="shared" ca="1" si="32"/>
        <v>Defensive Midfield</v>
      </c>
      <c r="I575" s="3" t="str">
        <f t="shared" ca="1" si="33"/>
        <v>Defensive Midfield</v>
      </c>
      <c r="J575" s="1" t="str">
        <f t="shared" ca="1" si="34"/>
        <v>Defensive Midfield</v>
      </c>
      <c r="K575" s="1" t="str">
        <f t="shared" ca="1" si="47"/>
        <v>M</v>
      </c>
      <c r="L575" s="1" t="str">
        <f t="shared" ca="1" si="35"/>
        <v>M</v>
      </c>
      <c r="M575" s="1" t="str">
        <f t="shared" ca="1" si="36"/>
        <v>M</v>
      </c>
      <c r="N575" s="1" t="str">
        <f t="shared" ca="1" si="37"/>
        <v>M</v>
      </c>
      <c r="O575" s="1" t="str">
        <f t="shared" ca="1" si="38"/>
        <v>M</v>
      </c>
      <c r="P575" s="1" t="str">
        <f t="shared" ca="1" si="39"/>
        <v>M</v>
      </c>
      <c r="Q575" s="1" t="str">
        <f t="shared" ca="1" si="40"/>
        <v>M</v>
      </c>
      <c r="R575" s="1" t="str">
        <f t="shared" ca="1" si="41"/>
        <v>M</v>
      </c>
      <c r="S575" s="1" t="str">
        <f t="shared" ca="1" si="42"/>
        <v>M</v>
      </c>
      <c r="T575" s="1" t="str">
        <f t="shared" ca="1" si="43"/>
        <v>M</v>
      </c>
      <c r="U575" s="1" t="str">
        <f t="shared" ca="1" si="44"/>
        <v>M</v>
      </c>
      <c r="V575" s="1" t="str">
        <f t="shared" ca="1" si="45"/>
        <v>M</v>
      </c>
      <c r="W575" s="1" t="str">
        <f t="shared" ca="1" si="46"/>
        <v>David Ochoa</v>
      </c>
    </row>
    <row r="576" spans="1:23">
      <c r="A576" s="1" t="str">
        <f ca="1">IFERROR(__xludf.DUMMYFUNCTION("""COMPUTED_VALUE"""),"Richard")</f>
        <v>Richard</v>
      </c>
      <c r="B576" s="1" t="str">
        <f ca="1">IFERROR(__xludf.DUMMYFUNCTION("""COMPUTED_VALUE"""),"Odada")</f>
        <v>Odada</v>
      </c>
      <c r="C576" s="1" t="str">
        <f ca="1">IFERROR(__xludf.DUMMYFUNCTION("""COMPUTED_VALUE"""),"Philadelphia Union")</f>
        <v>Philadelphia Union</v>
      </c>
      <c r="D576" s="1" t="str">
        <f ca="1">IFERROR(__xludf.DUMMYFUNCTION("""COMPUTED_VALUE"""),"Central Midfield")</f>
        <v>Central Midfield</v>
      </c>
      <c r="E576" s="2">
        <f ca="1">IFERROR(__xludf.DUMMYFUNCTION("""COMPUTED_VALUE"""),110000)</f>
        <v>110000</v>
      </c>
      <c r="F576" s="2">
        <f ca="1">IFERROR(__xludf.DUMMYFUNCTION("""COMPUTED_VALUE"""),130300)</f>
        <v>130300</v>
      </c>
      <c r="H576" s="1" t="str">
        <f t="shared" ca="1" si="32"/>
        <v>Central Midfield</v>
      </c>
      <c r="I576" s="3" t="str">
        <f t="shared" ca="1" si="33"/>
        <v>Central Midfield</v>
      </c>
      <c r="J576" s="1" t="str">
        <f t="shared" ca="1" si="34"/>
        <v>Central Midfield</v>
      </c>
      <c r="K576" s="1" t="str">
        <f t="shared" ca="1" si="47"/>
        <v>Central Midfield</v>
      </c>
      <c r="L576" s="1" t="str">
        <f t="shared" ca="1" si="35"/>
        <v>M</v>
      </c>
      <c r="M576" s="1" t="str">
        <f t="shared" ca="1" si="36"/>
        <v>M</v>
      </c>
      <c r="N576" s="1" t="str">
        <f t="shared" ca="1" si="37"/>
        <v>M</v>
      </c>
      <c r="O576" s="1" t="str">
        <f t="shared" ca="1" si="38"/>
        <v>M</v>
      </c>
      <c r="P576" s="1" t="str">
        <f t="shared" ca="1" si="39"/>
        <v>M</v>
      </c>
      <c r="Q576" s="1" t="str">
        <f t="shared" ca="1" si="40"/>
        <v>M</v>
      </c>
      <c r="R576" s="1" t="str">
        <f t="shared" ca="1" si="41"/>
        <v>M</v>
      </c>
      <c r="S576" s="1" t="str">
        <f t="shared" ca="1" si="42"/>
        <v>M</v>
      </c>
      <c r="T576" s="1" t="str">
        <f t="shared" ca="1" si="43"/>
        <v>M</v>
      </c>
      <c r="U576" s="1" t="str">
        <f t="shared" ca="1" si="44"/>
        <v>M</v>
      </c>
      <c r="V576" s="1" t="str">
        <f t="shared" ca="1" si="45"/>
        <v>M</v>
      </c>
      <c r="W576" s="1" t="str">
        <f t="shared" ca="1" si="46"/>
        <v>Richard Odada</v>
      </c>
    </row>
    <row r="577" spans="1:23">
      <c r="A577" s="1" t="str">
        <f ca="1">IFERROR(__xludf.DUMMYFUNCTION("""COMPUTED_VALUE"""),"Chituru")</f>
        <v>Chituru</v>
      </c>
      <c r="B577" s="1" t="str">
        <f ca="1">IFERROR(__xludf.DUMMYFUNCTION("""COMPUTED_VALUE"""),"Odunze")</f>
        <v>Odunze</v>
      </c>
      <c r="C577" s="1" t="str">
        <f ca="1">IFERROR(__xludf.DUMMYFUNCTION("""COMPUTED_VALUE"""),"Charlotte FC")</f>
        <v>Charlotte FC</v>
      </c>
      <c r="D577" s="1" t="str">
        <f ca="1">IFERROR(__xludf.DUMMYFUNCTION("""COMPUTED_VALUE"""),"Goalkeeper")</f>
        <v>Goalkeeper</v>
      </c>
      <c r="E577" s="2">
        <f ca="1">IFERROR(__xludf.DUMMYFUNCTION("""COMPUTED_VALUE"""),71401)</f>
        <v>71401</v>
      </c>
      <c r="F577" s="2">
        <f ca="1">IFERROR(__xludf.DUMMYFUNCTION("""COMPUTED_VALUE"""),84909)</f>
        <v>84909</v>
      </c>
      <c r="H577" s="1" t="str">
        <f t="shared" ca="1" si="32"/>
        <v>Goalkeeper</v>
      </c>
      <c r="I577" s="3" t="str">
        <f t="shared" ca="1" si="33"/>
        <v>Goalkeeper</v>
      </c>
      <c r="J577" s="1" t="str">
        <f t="shared" ca="1" si="34"/>
        <v>Goalkeeper</v>
      </c>
      <c r="K577" s="1" t="str">
        <f t="shared" ca="1" si="47"/>
        <v>Goalkeeper</v>
      </c>
      <c r="L577" s="1" t="str">
        <f t="shared" ca="1" si="35"/>
        <v>Goalkeeper</v>
      </c>
      <c r="M577" s="1" t="str">
        <f t="shared" ca="1" si="36"/>
        <v>Goalkeeper</v>
      </c>
      <c r="N577" s="1" t="str">
        <f t="shared" ca="1" si="37"/>
        <v>Goalkeeper</v>
      </c>
      <c r="O577" s="1" t="str">
        <f t="shared" ca="1" si="38"/>
        <v>Goalkeeper</v>
      </c>
      <c r="P577" s="1" t="str">
        <f t="shared" ca="1" si="39"/>
        <v>Goalkeeper</v>
      </c>
      <c r="Q577" s="1" t="str">
        <f t="shared" ca="1" si="40"/>
        <v>Goalkeeper</v>
      </c>
      <c r="R577" s="1" t="str">
        <f t="shared" ca="1" si="41"/>
        <v>GK</v>
      </c>
      <c r="S577" s="1" t="str">
        <f t="shared" ca="1" si="42"/>
        <v>GK</v>
      </c>
      <c r="T577" s="1" t="str">
        <f t="shared" ca="1" si="43"/>
        <v>GK</v>
      </c>
      <c r="U577" s="1" t="str">
        <f t="shared" ca="1" si="44"/>
        <v>GK</v>
      </c>
      <c r="V577" s="1" t="str">
        <f t="shared" ca="1" si="45"/>
        <v>GK</v>
      </c>
      <c r="W577" s="1" t="str">
        <f t="shared" ca="1" si="46"/>
        <v>Chituru Odunze</v>
      </c>
    </row>
    <row r="578" spans="1:23">
      <c r="A578" s="1" t="str">
        <f ca="1">IFERROR(__xludf.DUMMYFUNCTION("""COMPUTED_VALUE"""),"Chinonso")</f>
        <v>Chinonso</v>
      </c>
      <c r="B578" s="1" t="str">
        <f ca="1">IFERROR(__xludf.DUMMYFUNCTION("""COMPUTED_VALUE"""),"Offor")</f>
        <v>Offor</v>
      </c>
      <c r="C578" s="1" t="str">
        <f ca="1">IFERROR(__xludf.DUMMYFUNCTION("""COMPUTED_VALUE"""),"CF Montreal")</f>
        <v>CF Montreal</v>
      </c>
      <c r="D578" s="1" t="str">
        <f ca="1">IFERROR(__xludf.DUMMYFUNCTION("""COMPUTED_VALUE"""),"Center Forward")</f>
        <v>Center Forward</v>
      </c>
      <c r="E578" s="2">
        <f ca="1">IFERROR(__xludf.DUMMYFUNCTION("""COMPUTED_VALUE"""),230004)</f>
        <v>230004</v>
      </c>
      <c r="F578" s="2">
        <f ca="1">IFERROR(__xludf.DUMMYFUNCTION("""COMPUTED_VALUE"""),287879)</f>
        <v>287879</v>
      </c>
      <c r="H578" s="1" t="str">
        <f t="shared" ca="1" si="32"/>
        <v>Center Forward</v>
      </c>
      <c r="I578" s="3" t="str">
        <f t="shared" ca="1" si="33"/>
        <v>Center Forward</v>
      </c>
      <c r="J578" s="1" t="str">
        <f t="shared" ca="1" si="34"/>
        <v>Center Forward</v>
      </c>
      <c r="K578" s="1" t="str">
        <f t="shared" ca="1" si="47"/>
        <v>Center Forward</v>
      </c>
      <c r="L578" s="1" t="str">
        <f t="shared" ca="1" si="35"/>
        <v>Center Forward</v>
      </c>
      <c r="M578" s="1" t="str">
        <f t="shared" ca="1" si="36"/>
        <v>Center Forward</v>
      </c>
      <c r="N578" s="1" t="str">
        <f t="shared" ca="1" si="37"/>
        <v>Center Forward</v>
      </c>
      <c r="O578" s="1" t="str">
        <f t="shared" ca="1" si="38"/>
        <v>F</v>
      </c>
      <c r="P578" s="1" t="str">
        <f t="shared" ca="1" si="39"/>
        <v>F</v>
      </c>
      <c r="Q578" s="1" t="str">
        <f t="shared" ca="1" si="40"/>
        <v>F</v>
      </c>
      <c r="R578" s="1" t="str">
        <f t="shared" ca="1" si="41"/>
        <v>F</v>
      </c>
      <c r="S578" s="1" t="str">
        <f t="shared" ca="1" si="42"/>
        <v>F</v>
      </c>
      <c r="T578" s="1" t="str">
        <f t="shared" ca="1" si="43"/>
        <v>F</v>
      </c>
      <c r="U578" s="1" t="str">
        <f t="shared" ca="1" si="44"/>
        <v>F</v>
      </c>
      <c r="V578" s="1" t="str">
        <f t="shared" ca="1" si="45"/>
        <v>F</v>
      </c>
      <c r="W578" s="1" t="str">
        <f t="shared" ca="1" si="46"/>
        <v>Chinonso Offor</v>
      </c>
    </row>
    <row r="579" spans="1:23">
      <c r="A579" s="1" t="str">
        <f ca="1">IFERROR(__xludf.DUMMYFUNCTION("""COMPUTED_VALUE"""),"Curtis")</f>
        <v>Curtis</v>
      </c>
      <c r="B579" s="1" t="str">
        <f ca="1">IFERROR(__xludf.DUMMYFUNCTION("""COMPUTED_VALUE"""),"Ofori")</f>
        <v>Ofori</v>
      </c>
      <c r="C579" s="1" t="str">
        <f ca="1">IFERROR(__xludf.DUMMYFUNCTION("""COMPUTED_VALUE"""),"New York Red Bulls")</f>
        <v>New York Red Bulls</v>
      </c>
      <c r="D579" s="1" t="str">
        <f ca="1">IFERROR(__xludf.DUMMYFUNCTION("""COMPUTED_VALUE"""),"Left-back")</f>
        <v>Left-back</v>
      </c>
      <c r="E579" s="2">
        <f ca="1">IFERROR(__xludf.DUMMYFUNCTION("""COMPUTED_VALUE"""),89716)</f>
        <v>89716</v>
      </c>
      <c r="F579" s="2">
        <f ca="1">IFERROR(__xludf.DUMMYFUNCTION("""COMPUTED_VALUE"""),98466)</f>
        <v>98466</v>
      </c>
      <c r="H579" s="1" t="str">
        <f t="shared" ca="1" si="32"/>
        <v>Left-back</v>
      </c>
      <c r="I579" s="3" t="str">
        <f t="shared" ca="1" si="33"/>
        <v>D</v>
      </c>
      <c r="J579" s="1" t="str">
        <f t="shared" ca="1" si="34"/>
        <v>D</v>
      </c>
      <c r="K579" s="1" t="str">
        <f t="shared" ca="1" si="47"/>
        <v>D</v>
      </c>
      <c r="L579" s="1" t="str">
        <f t="shared" ca="1" si="35"/>
        <v>D</v>
      </c>
      <c r="M579" s="1" t="str">
        <f t="shared" ca="1" si="36"/>
        <v>D</v>
      </c>
      <c r="N579" s="1" t="str">
        <f t="shared" ca="1" si="37"/>
        <v>D</v>
      </c>
      <c r="O579" s="1" t="str">
        <f t="shared" ca="1" si="38"/>
        <v>D</v>
      </c>
      <c r="P579" s="1" t="str">
        <f t="shared" ca="1" si="39"/>
        <v>D</v>
      </c>
      <c r="Q579" s="1" t="str">
        <f t="shared" ca="1" si="40"/>
        <v>D</v>
      </c>
      <c r="R579" s="1" t="str">
        <f t="shared" ca="1" si="41"/>
        <v>D</v>
      </c>
      <c r="S579" s="1" t="str">
        <f t="shared" ca="1" si="42"/>
        <v>D</v>
      </c>
      <c r="T579" s="1" t="str">
        <f t="shared" ca="1" si="43"/>
        <v>D</v>
      </c>
      <c r="U579" s="1" t="str">
        <f t="shared" ca="1" si="44"/>
        <v>D</v>
      </c>
      <c r="V579" s="1" t="str">
        <f t="shared" ca="1" si="45"/>
        <v>D</v>
      </c>
      <c r="W579" s="1" t="str">
        <f t="shared" ca="1" si="46"/>
        <v>Curtis Ofori</v>
      </c>
    </row>
    <row r="580" spans="1:23">
      <c r="A580" s="1" t="str">
        <f ca="1">IFERROR(__xludf.DUMMYFUNCTION("""COMPUTED_VALUE"""),"Braian")</f>
        <v>Braian</v>
      </c>
      <c r="B580" s="1" t="str">
        <f ca="1">IFERROR(__xludf.DUMMYFUNCTION("""COMPUTED_VALUE"""),"Ojeda")</f>
        <v>Ojeda</v>
      </c>
      <c r="C580" s="1" t="str">
        <f ca="1">IFERROR(__xludf.DUMMYFUNCTION("""COMPUTED_VALUE"""),"Real Salt Lake")</f>
        <v>Real Salt Lake</v>
      </c>
      <c r="D580" s="1" t="str">
        <f ca="1">IFERROR(__xludf.DUMMYFUNCTION("""COMPUTED_VALUE"""),"Central Midfield")</f>
        <v>Central Midfield</v>
      </c>
      <c r="E580" s="2">
        <f ca="1">IFERROR(__xludf.DUMMYFUNCTION("""COMPUTED_VALUE"""),600000)</f>
        <v>600000</v>
      </c>
      <c r="F580" s="2">
        <f ca="1">IFERROR(__xludf.DUMMYFUNCTION("""COMPUTED_VALUE"""),658653)</f>
        <v>658653</v>
      </c>
      <c r="H580" s="1" t="str">
        <f t="shared" ca="1" si="32"/>
        <v>Central Midfield</v>
      </c>
      <c r="I580" s="3" t="str">
        <f t="shared" ca="1" si="33"/>
        <v>Central Midfield</v>
      </c>
      <c r="J580" s="1" t="str">
        <f t="shared" ca="1" si="34"/>
        <v>Central Midfield</v>
      </c>
      <c r="K580" s="1" t="str">
        <f t="shared" ca="1" si="47"/>
        <v>Central Midfield</v>
      </c>
      <c r="L580" s="1" t="str">
        <f t="shared" ca="1" si="35"/>
        <v>M</v>
      </c>
      <c r="M580" s="1" t="str">
        <f t="shared" ca="1" si="36"/>
        <v>M</v>
      </c>
      <c r="N580" s="1" t="str">
        <f t="shared" ca="1" si="37"/>
        <v>M</v>
      </c>
      <c r="O580" s="1" t="str">
        <f t="shared" ca="1" si="38"/>
        <v>M</v>
      </c>
      <c r="P580" s="1" t="str">
        <f t="shared" ca="1" si="39"/>
        <v>M</v>
      </c>
      <c r="Q580" s="1" t="str">
        <f t="shared" ca="1" si="40"/>
        <v>M</v>
      </c>
      <c r="R580" s="1" t="str">
        <f t="shared" ca="1" si="41"/>
        <v>M</v>
      </c>
      <c r="S580" s="1" t="str">
        <f t="shared" ca="1" si="42"/>
        <v>M</v>
      </c>
      <c r="T580" s="1" t="str">
        <f t="shared" ca="1" si="43"/>
        <v>M</v>
      </c>
      <c r="U580" s="1" t="str">
        <f t="shared" ca="1" si="44"/>
        <v>M</v>
      </c>
      <c r="V580" s="1" t="str">
        <f t="shared" ca="1" si="45"/>
        <v>M</v>
      </c>
      <c r="W580" s="1" t="str">
        <f t="shared" ca="1" si="46"/>
        <v>Braian Ojeda</v>
      </c>
    </row>
    <row r="581" spans="1:23">
      <c r="A581" s="1" t="str">
        <f ca="1">IFERROR(__xludf.DUMMYFUNCTION("""COMPUTED_VALUE"""),"Agustín")</f>
        <v>Agustín</v>
      </c>
      <c r="B581" s="1" t="str">
        <f ca="1">IFERROR(__xludf.DUMMYFUNCTION("""COMPUTED_VALUE"""),"Ojeda")</f>
        <v>Ojeda</v>
      </c>
      <c r="C581" s="1" t="str">
        <f ca="1">IFERROR(__xludf.DUMMYFUNCTION("""COMPUTED_VALUE"""),"New York City FC")</f>
        <v>New York City FC</v>
      </c>
      <c r="D581" s="1" t="str">
        <f ca="1">IFERROR(__xludf.DUMMYFUNCTION("""COMPUTED_VALUE"""),"Left Wing")</f>
        <v>Left Wing</v>
      </c>
      <c r="E581" s="2">
        <f ca="1">IFERROR(__xludf.DUMMYFUNCTION("""COMPUTED_VALUE"""),480000)</f>
        <v>480000</v>
      </c>
      <c r="F581" s="2">
        <f ca="1">IFERROR(__xludf.DUMMYFUNCTION("""COMPUTED_VALUE"""),547833)</f>
        <v>547833</v>
      </c>
      <c r="H581" s="1" t="str">
        <f t="shared" ca="1" si="32"/>
        <v>Left Wing</v>
      </c>
      <c r="I581" s="3" t="str">
        <f t="shared" ca="1" si="33"/>
        <v>Left Wing</v>
      </c>
      <c r="J581" s="1" t="str">
        <f t="shared" ca="1" si="34"/>
        <v>Left Wing</v>
      </c>
      <c r="K581" s="1" t="str">
        <f t="shared" ca="1" si="47"/>
        <v>Left Wing</v>
      </c>
      <c r="L581" s="1" t="str">
        <f t="shared" ca="1" si="35"/>
        <v>Left Wing</v>
      </c>
      <c r="M581" s="1" t="str">
        <f t="shared" ca="1" si="36"/>
        <v>Left Wing</v>
      </c>
      <c r="N581" s="1" t="str">
        <f t="shared" ca="1" si="37"/>
        <v>Left Wing</v>
      </c>
      <c r="O581" s="1" t="str">
        <f t="shared" ca="1" si="38"/>
        <v>Left Wing</v>
      </c>
      <c r="P581" s="1" t="str">
        <f t="shared" ca="1" si="39"/>
        <v>F</v>
      </c>
      <c r="Q581" s="1" t="str">
        <f t="shared" ca="1" si="40"/>
        <v>F</v>
      </c>
      <c r="R581" s="1" t="str">
        <f t="shared" ca="1" si="41"/>
        <v>F</v>
      </c>
      <c r="S581" s="1" t="str">
        <f t="shared" ca="1" si="42"/>
        <v>F</v>
      </c>
      <c r="T581" s="1" t="str">
        <f t="shared" ca="1" si="43"/>
        <v>F</v>
      </c>
      <c r="U581" s="1" t="str">
        <f t="shared" ca="1" si="44"/>
        <v>F</v>
      </c>
      <c r="V581" s="1" t="str">
        <f t="shared" ca="1" si="45"/>
        <v>F</v>
      </c>
      <c r="W581" s="1" t="str">
        <f t="shared" ca="1" si="46"/>
        <v>Agustín Ojeda</v>
      </c>
    </row>
    <row r="582" spans="1:23">
      <c r="A582" s="1" t="str">
        <f ca="1">IFERROR(__xludf.DUMMYFUNCTION("""COMPUTED_VALUE"""),"Martín")</f>
        <v>Martín</v>
      </c>
      <c r="B582" s="1" t="str">
        <f ca="1">IFERROR(__xludf.DUMMYFUNCTION("""COMPUTED_VALUE"""),"Ojeda")</f>
        <v>Ojeda</v>
      </c>
      <c r="C582" s="1" t="str">
        <f ca="1">IFERROR(__xludf.DUMMYFUNCTION("""COMPUTED_VALUE"""),"Orlando City SC")</f>
        <v>Orlando City SC</v>
      </c>
      <c r="D582" s="1" t="str">
        <f ca="1">IFERROR(__xludf.DUMMYFUNCTION("""COMPUTED_VALUE"""),"Left Wing")</f>
        <v>Left Wing</v>
      </c>
      <c r="E582" s="2">
        <f ca="1">IFERROR(__xludf.DUMMYFUNCTION("""COMPUTED_VALUE"""),900000)</f>
        <v>900000</v>
      </c>
      <c r="F582" s="2">
        <f ca="1">IFERROR(__xludf.DUMMYFUNCTION("""COMPUTED_VALUE"""),972600)</f>
        <v>972600</v>
      </c>
      <c r="H582" s="1" t="str">
        <f t="shared" ca="1" si="32"/>
        <v>Left Wing</v>
      </c>
      <c r="I582" s="3" t="str">
        <f t="shared" ca="1" si="33"/>
        <v>Left Wing</v>
      </c>
      <c r="J582" s="1" t="str">
        <f t="shared" ca="1" si="34"/>
        <v>Left Wing</v>
      </c>
      <c r="K582" s="1" t="str">
        <f t="shared" ca="1" si="47"/>
        <v>Left Wing</v>
      </c>
      <c r="L582" s="1" t="str">
        <f t="shared" ca="1" si="35"/>
        <v>Left Wing</v>
      </c>
      <c r="M582" s="1" t="str">
        <f t="shared" ca="1" si="36"/>
        <v>Left Wing</v>
      </c>
      <c r="N582" s="1" t="str">
        <f t="shared" ca="1" si="37"/>
        <v>Left Wing</v>
      </c>
      <c r="O582" s="1" t="str">
        <f t="shared" ca="1" si="38"/>
        <v>Left Wing</v>
      </c>
      <c r="P582" s="1" t="str">
        <f t="shared" ca="1" si="39"/>
        <v>F</v>
      </c>
      <c r="Q582" s="1" t="str">
        <f t="shared" ca="1" si="40"/>
        <v>F</v>
      </c>
      <c r="R582" s="1" t="str">
        <f t="shared" ca="1" si="41"/>
        <v>F</v>
      </c>
      <c r="S582" s="1" t="str">
        <f t="shared" ca="1" si="42"/>
        <v>F</v>
      </c>
      <c r="T582" s="1" t="str">
        <f t="shared" ca="1" si="43"/>
        <v>F</v>
      </c>
      <c r="U582" s="1" t="str">
        <f t="shared" ca="1" si="44"/>
        <v>F</v>
      </c>
      <c r="V582" s="1" t="str">
        <f t="shared" ca="1" si="45"/>
        <v>F</v>
      </c>
      <c r="W582" s="1" t="str">
        <f t="shared" ca="1" si="46"/>
        <v>Martín Ojeda</v>
      </c>
    </row>
    <row r="583" spans="1:23">
      <c r="A583" s="1" t="str">
        <f ca="1">IFERROR(__xludf.DUMMYFUNCTION("""COMPUTED_VALUE"""),"Christian")</f>
        <v>Christian</v>
      </c>
      <c r="B583" s="1" t="str">
        <f ca="1">IFERROR(__xludf.DUMMYFUNCTION("""COMPUTED_VALUE"""),"Olivares")</f>
        <v>Olivares</v>
      </c>
      <c r="C583" s="1" t="str">
        <f ca="1">IFERROR(__xludf.DUMMYFUNCTION("""COMPUTED_VALUE"""),"St. Louis City SC")</f>
        <v>St. Louis City SC</v>
      </c>
      <c r="D583" s="1" t="str">
        <f ca="1">IFERROR(__xludf.DUMMYFUNCTION("""COMPUTED_VALUE"""),"Goalkeeper")</f>
        <v>Goalkeeper</v>
      </c>
      <c r="E583" s="2">
        <f ca="1">IFERROR(__xludf.DUMMYFUNCTION("""COMPUTED_VALUE"""),71401)</f>
        <v>71401</v>
      </c>
      <c r="F583" s="2">
        <f ca="1">IFERROR(__xludf.DUMMYFUNCTION("""COMPUTED_VALUE"""),71401)</f>
        <v>71401</v>
      </c>
      <c r="H583" s="1" t="str">
        <f t="shared" ca="1" si="32"/>
        <v>Goalkeeper</v>
      </c>
      <c r="I583" s="3" t="str">
        <f t="shared" ca="1" si="33"/>
        <v>Goalkeeper</v>
      </c>
      <c r="J583" s="1" t="str">
        <f t="shared" ca="1" si="34"/>
        <v>Goalkeeper</v>
      </c>
      <c r="K583" s="1" t="str">
        <f t="shared" ca="1" si="47"/>
        <v>Goalkeeper</v>
      </c>
      <c r="L583" s="1" t="str">
        <f t="shared" ca="1" si="35"/>
        <v>Goalkeeper</v>
      </c>
      <c r="M583" s="1" t="str">
        <f t="shared" ca="1" si="36"/>
        <v>Goalkeeper</v>
      </c>
      <c r="N583" s="1" t="str">
        <f t="shared" ca="1" si="37"/>
        <v>Goalkeeper</v>
      </c>
      <c r="O583" s="1" t="str">
        <f t="shared" ca="1" si="38"/>
        <v>Goalkeeper</v>
      </c>
      <c r="P583" s="1" t="str">
        <f t="shared" ca="1" si="39"/>
        <v>Goalkeeper</v>
      </c>
      <c r="Q583" s="1" t="str">
        <f t="shared" ca="1" si="40"/>
        <v>Goalkeeper</v>
      </c>
      <c r="R583" s="1" t="str">
        <f t="shared" ca="1" si="41"/>
        <v>GK</v>
      </c>
      <c r="S583" s="1" t="str">
        <f t="shared" ca="1" si="42"/>
        <v>GK</v>
      </c>
      <c r="T583" s="1" t="str">
        <f t="shared" ca="1" si="43"/>
        <v>GK</v>
      </c>
      <c r="U583" s="1" t="str">
        <f t="shared" ca="1" si="44"/>
        <v>GK</v>
      </c>
      <c r="V583" s="1" t="str">
        <f t="shared" ca="1" si="45"/>
        <v>GK</v>
      </c>
      <c r="W583" s="1" t="str">
        <f t="shared" ca="1" si="46"/>
        <v>Christian Olivares</v>
      </c>
    </row>
    <row r="584" spans="1:23">
      <c r="A584" s="1" t="str">
        <f ca="1">IFERROR(__xludf.DUMMYFUNCTION("""COMPUTED_VALUE"""),"Cristian")</f>
        <v>Cristian</v>
      </c>
      <c r="B584" s="1" t="str">
        <f ca="1">IFERROR(__xludf.DUMMYFUNCTION("""COMPUTED_VALUE"""),"Olivera")</f>
        <v>Olivera</v>
      </c>
      <c r="C584" s="1" t="str">
        <f ca="1">IFERROR(__xludf.DUMMYFUNCTION("""COMPUTED_VALUE"""),"LAFC")</f>
        <v>LAFC</v>
      </c>
      <c r="D584" s="1" t="str">
        <f ca="1">IFERROR(__xludf.DUMMYFUNCTION("""COMPUTED_VALUE"""),"Right Wing")</f>
        <v>Right Wing</v>
      </c>
      <c r="E584" s="2">
        <f ca="1">IFERROR(__xludf.DUMMYFUNCTION("""COMPUTED_VALUE"""),680000)</f>
        <v>680000</v>
      </c>
      <c r="F584" s="2">
        <f ca="1">IFERROR(__xludf.DUMMYFUNCTION("""COMPUTED_VALUE"""),680000)</f>
        <v>680000</v>
      </c>
      <c r="H584" s="1" t="str">
        <f t="shared" ca="1" si="32"/>
        <v>Right Wing</v>
      </c>
      <c r="I584" s="3" t="str">
        <f t="shared" ca="1" si="33"/>
        <v>Right Wing</v>
      </c>
      <c r="J584" s="1" t="str">
        <f t="shared" ca="1" si="34"/>
        <v>Right Wing</v>
      </c>
      <c r="K584" s="1" t="str">
        <f t="shared" ca="1" si="47"/>
        <v>Right Wing</v>
      </c>
      <c r="L584" s="1" t="str">
        <f t="shared" ca="1" si="35"/>
        <v>Right Wing</v>
      </c>
      <c r="M584" s="1" t="str">
        <f t="shared" ca="1" si="36"/>
        <v>Right Wing</v>
      </c>
      <c r="N584" s="1" t="str">
        <f t="shared" ca="1" si="37"/>
        <v>F</v>
      </c>
      <c r="O584" s="1" t="str">
        <f t="shared" ca="1" si="38"/>
        <v>F</v>
      </c>
      <c r="P584" s="1" t="str">
        <f t="shared" ca="1" si="39"/>
        <v>F</v>
      </c>
      <c r="Q584" s="1" t="str">
        <f t="shared" ca="1" si="40"/>
        <v>F</v>
      </c>
      <c r="R584" s="1" t="str">
        <f t="shared" ca="1" si="41"/>
        <v>F</v>
      </c>
      <c r="S584" s="1" t="str">
        <f t="shared" ca="1" si="42"/>
        <v>F</v>
      </c>
      <c r="T584" s="1" t="str">
        <f t="shared" ca="1" si="43"/>
        <v>F</v>
      </c>
      <c r="U584" s="1" t="str">
        <f t="shared" ca="1" si="44"/>
        <v>F</v>
      </c>
      <c r="V584" s="1" t="str">
        <f t="shared" ca="1" si="45"/>
        <v>F</v>
      </c>
      <c r="W584" s="1" t="str">
        <f t="shared" ca="1" si="46"/>
        <v>Cristian Olivera</v>
      </c>
    </row>
    <row r="585" spans="1:23">
      <c r="A585" s="1" t="str">
        <f ca="1">IFERROR(__xludf.DUMMYFUNCTION("""COMPUTED_VALUE"""),"Tani")</f>
        <v>Tani</v>
      </c>
      <c r="B585" s="1" t="str">
        <f ca="1">IFERROR(__xludf.DUMMYFUNCTION("""COMPUTED_VALUE"""),"Oluwaseyi")</f>
        <v>Oluwaseyi</v>
      </c>
      <c r="C585" s="1" t="str">
        <f ca="1">IFERROR(__xludf.DUMMYFUNCTION("""COMPUTED_VALUE"""),"Minnesota United")</f>
        <v>Minnesota United</v>
      </c>
      <c r="D585" s="1" t="str">
        <f ca="1">IFERROR(__xludf.DUMMYFUNCTION("""COMPUTED_VALUE"""),"Center Forward")</f>
        <v>Center Forward</v>
      </c>
      <c r="E585" s="2">
        <f ca="1">IFERROR(__xludf.DUMMYFUNCTION("""COMPUTED_VALUE"""),89716)</f>
        <v>89716</v>
      </c>
      <c r="F585" s="2">
        <f ca="1">IFERROR(__xludf.DUMMYFUNCTION("""COMPUTED_VALUE"""),89716)</f>
        <v>89716</v>
      </c>
      <c r="H585" s="1" t="str">
        <f t="shared" ca="1" si="32"/>
        <v>Center Forward</v>
      </c>
      <c r="I585" s="3" t="str">
        <f t="shared" ca="1" si="33"/>
        <v>Center Forward</v>
      </c>
      <c r="J585" s="1" t="str">
        <f t="shared" ca="1" si="34"/>
        <v>Center Forward</v>
      </c>
      <c r="K585" s="1" t="str">
        <f t="shared" ca="1" si="47"/>
        <v>Center Forward</v>
      </c>
      <c r="L585" s="1" t="str">
        <f t="shared" ca="1" si="35"/>
        <v>Center Forward</v>
      </c>
      <c r="M585" s="1" t="str">
        <f t="shared" ca="1" si="36"/>
        <v>Center Forward</v>
      </c>
      <c r="N585" s="1" t="str">
        <f t="shared" ca="1" si="37"/>
        <v>Center Forward</v>
      </c>
      <c r="O585" s="1" t="str">
        <f t="shared" ca="1" si="38"/>
        <v>F</v>
      </c>
      <c r="P585" s="1" t="str">
        <f t="shared" ca="1" si="39"/>
        <v>F</v>
      </c>
      <c r="Q585" s="1" t="str">
        <f t="shared" ca="1" si="40"/>
        <v>F</v>
      </c>
      <c r="R585" s="1" t="str">
        <f t="shared" ca="1" si="41"/>
        <v>F</v>
      </c>
      <c r="S585" s="1" t="str">
        <f t="shared" ca="1" si="42"/>
        <v>F</v>
      </c>
      <c r="T585" s="1" t="str">
        <f t="shared" ca="1" si="43"/>
        <v>F</v>
      </c>
      <c r="U585" s="1" t="str">
        <f t="shared" ca="1" si="44"/>
        <v>F</v>
      </c>
      <c r="V585" s="1" t="str">
        <f t="shared" ca="1" si="45"/>
        <v>F</v>
      </c>
      <c r="W585" s="1" t="str">
        <f t="shared" ca="1" si="46"/>
        <v>Tani Oluwaseyi</v>
      </c>
    </row>
    <row r="586" spans="1:23">
      <c r="A586" s="1" t="str">
        <f ca="1">IFERROR(__xludf.DUMMYFUNCTION("""COMPUTED_VALUE"""),"Wyatt")</f>
        <v>Wyatt</v>
      </c>
      <c r="B586" s="1" t="str">
        <f ca="1">IFERROR(__xludf.DUMMYFUNCTION("""COMPUTED_VALUE"""),"Omsberg")</f>
        <v>Omsberg</v>
      </c>
      <c r="C586" s="1" t="str">
        <f ca="1">IFERROR(__xludf.DUMMYFUNCTION("""COMPUTED_VALUE"""),"Chicago Fire")</f>
        <v>Chicago Fire</v>
      </c>
      <c r="D586" s="1" t="str">
        <f ca="1">IFERROR(__xludf.DUMMYFUNCTION("""COMPUTED_VALUE"""),"Center-back")</f>
        <v>Center-back</v>
      </c>
      <c r="E586" s="2">
        <f ca="1">IFERROR(__xludf.DUMMYFUNCTION("""COMPUTED_VALUE"""),200000)</f>
        <v>200000</v>
      </c>
      <c r="F586" s="2">
        <f ca="1">IFERROR(__xludf.DUMMYFUNCTION("""COMPUTED_VALUE"""),217000)</f>
        <v>217000</v>
      </c>
      <c r="H586" s="1" t="str">
        <f t="shared" ca="1" si="32"/>
        <v>D</v>
      </c>
      <c r="I586" s="3" t="str">
        <f t="shared" ca="1" si="33"/>
        <v>D</v>
      </c>
      <c r="J586" s="1" t="str">
        <f t="shared" ca="1" si="34"/>
        <v>D</v>
      </c>
      <c r="K586" s="1" t="str">
        <f t="shared" ca="1" si="47"/>
        <v>D</v>
      </c>
      <c r="L586" s="1" t="str">
        <f t="shared" ca="1" si="35"/>
        <v>D</v>
      </c>
      <c r="M586" s="1" t="str">
        <f t="shared" ca="1" si="36"/>
        <v>D</v>
      </c>
      <c r="N586" s="1" t="str">
        <f t="shared" ca="1" si="37"/>
        <v>D</v>
      </c>
      <c r="O586" s="1" t="str">
        <f t="shared" ca="1" si="38"/>
        <v>D</v>
      </c>
      <c r="P586" s="1" t="str">
        <f t="shared" ca="1" si="39"/>
        <v>D</v>
      </c>
      <c r="Q586" s="1" t="str">
        <f t="shared" ca="1" si="40"/>
        <v>D</v>
      </c>
      <c r="R586" s="1" t="str">
        <f t="shared" ca="1" si="41"/>
        <v>D</v>
      </c>
      <c r="S586" s="1" t="str">
        <f t="shared" ca="1" si="42"/>
        <v>D</v>
      </c>
      <c r="T586" s="1" t="str">
        <f t="shared" ca="1" si="43"/>
        <v>D</v>
      </c>
      <c r="U586" s="1" t="str">
        <f t="shared" ca="1" si="44"/>
        <v>D</v>
      </c>
      <c r="V586" s="1" t="str">
        <f t="shared" ca="1" si="45"/>
        <v>D</v>
      </c>
      <c r="W586" s="1" t="str">
        <f t="shared" ca="1" si="46"/>
        <v>Wyatt Omsberg</v>
      </c>
    </row>
    <row r="587" spans="1:23">
      <c r="A587" s="1" t="str">
        <f ca="1">IFERROR(__xludf.DUMMYFUNCTION("""COMPUTED_VALUE"""),"Kwadwo")</f>
        <v>Kwadwo</v>
      </c>
      <c r="B587" s="1" t="str">
        <f ca="1">IFERROR(__xludf.DUMMYFUNCTION("""COMPUTED_VALUE"""),"Opoku")</f>
        <v>Opoku</v>
      </c>
      <c r="C587" s="1" t="str">
        <f ca="1">IFERROR(__xludf.DUMMYFUNCTION("""COMPUTED_VALUE"""),"CF Montreal")</f>
        <v>CF Montreal</v>
      </c>
      <c r="D587" s="1" t="str">
        <f ca="1">IFERROR(__xludf.DUMMYFUNCTION("""COMPUTED_VALUE"""),"Right Wing")</f>
        <v>Right Wing</v>
      </c>
      <c r="E587" s="2">
        <f ca="1">IFERROR(__xludf.DUMMYFUNCTION("""COMPUTED_VALUE"""),344828)</f>
        <v>344828</v>
      </c>
      <c r="F587" s="2">
        <f ca="1">IFERROR(__xludf.DUMMYFUNCTION("""COMPUTED_VALUE"""),485055)</f>
        <v>485055</v>
      </c>
      <c r="H587" s="1" t="str">
        <f t="shared" ca="1" si="32"/>
        <v>Right Wing</v>
      </c>
      <c r="I587" s="3" t="str">
        <f t="shared" ca="1" si="33"/>
        <v>Right Wing</v>
      </c>
      <c r="J587" s="1" t="str">
        <f t="shared" ca="1" si="34"/>
        <v>Right Wing</v>
      </c>
      <c r="K587" s="1" t="str">
        <f t="shared" ca="1" si="47"/>
        <v>Right Wing</v>
      </c>
      <c r="L587" s="1" t="str">
        <f t="shared" ca="1" si="35"/>
        <v>Right Wing</v>
      </c>
      <c r="M587" s="1" t="str">
        <f t="shared" ca="1" si="36"/>
        <v>Right Wing</v>
      </c>
      <c r="N587" s="1" t="str">
        <f t="shared" ca="1" si="37"/>
        <v>F</v>
      </c>
      <c r="O587" s="1" t="str">
        <f t="shared" ca="1" si="38"/>
        <v>F</v>
      </c>
      <c r="P587" s="1" t="str">
        <f t="shared" ca="1" si="39"/>
        <v>F</v>
      </c>
      <c r="Q587" s="1" t="str">
        <f t="shared" ca="1" si="40"/>
        <v>F</v>
      </c>
      <c r="R587" s="1" t="str">
        <f t="shared" ca="1" si="41"/>
        <v>F</v>
      </c>
      <c r="S587" s="1" t="str">
        <f t="shared" ca="1" si="42"/>
        <v>F</v>
      </c>
      <c r="T587" s="1" t="str">
        <f t="shared" ca="1" si="43"/>
        <v>F</v>
      </c>
      <c r="U587" s="1" t="str">
        <f t="shared" ca="1" si="44"/>
        <v>F</v>
      </c>
      <c r="V587" s="1" t="str">
        <f t="shared" ca="1" si="45"/>
        <v>F</v>
      </c>
      <c r="W587" s="1" t="str">
        <f t="shared" ca="1" si="46"/>
        <v>Kwadwo Opoku</v>
      </c>
    </row>
    <row r="588" spans="1:23">
      <c r="A588" s="1" t="str">
        <f ca="1">IFERROR(__xludf.DUMMYFUNCTION("""COMPUTED_VALUE"""),"Arquímides")</f>
        <v>Arquímides</v>
      </c>
      <c r="B588" s="1" t="str">
        <f ca="1">IFERROR(__xludf.DUMMYFUNCTION("""COMPUTED_VALUE"""),"Ordóñez")</f>
        <v>Ordóñez</v>
      </c>
      <c r="C588" s="1" t="str">
        <f ca="1">IFERROR(__xludf.DUMMYFUNCTION("""COMPUTED_VALUE"""),"FC Cincinnati")</f>
        <v>FC Cincinnati</v>
      </c>
      <c r="D588" s="1" t="str">
        <f ca="1">IFERROR(__xludf.DUMMYFUNCTION("""COMPUTED_VALUE"""),"Center Forward")</f>
        <v>Center Forward</v>
      </c>
      <c r="E588" s="2">
        <f ca="1">IFERROR(__xludf.DUMMYFUNCTION("""COMPUTED_VALUE"""),89716)</f>
        <v>89716</v>
      </c>
      <c r="F588" s="2">
        <f ca="1">IFERROR(__xludf.DUMMYFUNCTION("""COMPUTED_VALUE"""),93253)</f>
        <v>93253</v>
      </c>
      <c r="H588" s="1" t="str">
        <f t="shared" ca="1" si="32"/>
        <v>Center Forward</v>
      </c>
      <c r="I588" s="3" t="str">
        <f t="shared" ca="1" si="33"/>
        <v>Center Forward</v>
      </c>
      <c r="J588" s="1" t="str">
        <f t="shared" ca="1" si="34"/>
        <v>Center Forward</v>
      </c>
      <c r="K588" s="1" t="str">
        <f t="shared" ca="1" si="47"/>
        <v>Center Forward</v>
      </c>
      <c r="L588" s="1" t="str">
        <f t="shared" ca="1" si="35"/>
        <v>Center Forward</v>
      </c>
      <c r="M588" s="1" t="str">
        <f t="shared" ca="1" si="36"/>
        <v>Center Forward</v>
      </c>
      <c r="N588" s="1" t="str">
        <f t="shared" ca="1" si="37"/>
        <v>Center Forward</v>
      </c>
      <c r="O588" s="1" t="str">
        <f t="shared" ca="1" si="38"/>
        <v>F</v>
      </c>
      <c r="P588" s="1" t="str">
        <f t="shared" ca="1" si="39"/>
        <v>F</v>
      </c>
      <c r="Q588" s="1" t="str">
        <f t="shared" ca="1" si="40"/>
        <v>F</v>
      </c>
      <c r="R588" s="1" t="str">
        <f t="shared" ca="1" si="41"/>
        <v>F</v>
      </c>
      <c r="S588" s="1" t="str">
        <f t="shared" ca="1" si="42"/>
        <v>F</v>
      </c>
      <c r="T588" s="1" t="str">
        <f t="shared" ca="1" si="43"/>
        <v>F</v>
      </c>
      <c r="U588" s="1" t="str">
        <f t="shared" ca="1" si="44"/>
        <v>F</v>
      </c>
      <c r="V588" s="1" t="str">
        <f t="shared" ca="1" si="45"/>
        <v>F</v>
      </c>
      <c r="W588" s="1" t="str">
        <f t="shared" ca="1" si="46"/>
        <v>Arquímides Ordóñez</v>
      </c>
    </row>
    <row r="589" spans="1:23">
      <c r="A589" s="1" t="str">
        <f ca="1">IFERROR(__xludf.DUMMYFUNCTION("""COMPUTED_VALUE"""),"Nathan")</f>
        <v>Nathan</v>
      </c>
      <c r="B589" s="1" t="str">
        <f ca="1">IFERROR(__xludf.DUMMYFUNCTION("""COMPUTED_VALUE"""),"Ordaz")</f>
        <v>Ordaz</v>
      </c>
      <c r="C589" s="1" t="str">
        <f ca="1">IFERROR(__xludf.DUMMYFUNCTION("""COMPUTED_VALUE"""),"LAFC")</f>
        <v>LAFC</v>
      </c>
      <c r="D589" s="1" t="str">
        <f ca="1">IFERROR(__xludf.DUMMYFUNCTION("""COMPUTED_VALUE"""),"Center Forward")</f>
        <v>Center Forward</v>
      </c>
      <c r="E589" s="2">
        <f ca="1">IFERROR(__xludf.DUMMYFUNCTION("""COMPUTED_VALUE"""),128500)</f>
        <v>128500</v>
      </c>
      <c r="F589" s="2">
        <f ca="1">IFERROR(__xludf.DUMMYFUNCTION("""COMPUTED_VALUE"""),131000)</f>
        <v>131000</v>
      </c>
      <c r="H589" s="1" t="str">
        <f t="shared" ca="1" si="32"/>
        <v>Center Forward</v>
      </c>
      <c r="I589" s="3" t="str">
        <f t="shared" ca="1" si="33"/>
        <v>Center Forward</v>
      </c>
      <c r="J589" s="1" t="str">
        <f t="shared" ca="1" si="34"/>
        <v>Center Forward</v>
      </c>
      <c r="K589" s="1" t="str">
        <f t="shared" ca="1" si="47"/>
        <v>Center Forward</v>
      </c>
      <c r="L589" s="1" t="str">
        <f t="shared" ca="1" si="35"/>
        <v>Center Forward</v>
      </c>
      <c r="M589" s="1" t="str">
        <f t="shared" ca="1" si="36"/>
        <v>Center Forward</v>
      </c>
      <c r="N589" s="1" t="str">
        <f t="shared" ca="1" si="37"/>
        <v>Center Forward</v>
      </c>
      <c r="O589" s="1" t="str">
        <f t="shared" ca="1" si="38"/>
        <v>F</v>
      </c>
      <c r="P589" s="1" t="str">
        <f t="shared" ca="1" si="39"/>
        <v>F</v>
      </c>
      <c r="Q589" s="1" t="str">
        <f t="shared" ca="1" si="40"/>
        <v>F</v>
      </c>
      <c r="R589" s="1" t="str">
        <f t="shared" ca="1" si="41"/>
        <v>F</v>
      </c>
      <c r="S589" s="1" t="str">
        <f t="shared" ca="1" si="42"/>
        <v>F</v>
      </c>
      <c r="T589" s="1" t="str">
        <f t="shared" ca="1" si="43"/>
        <v>F</v>
      </c>
      <c r="U589" s="1" t="str">
        <f t="shared" ca="1" si="44"/>
        <v>F</v>
      </c>
      <c r="V589" s="1" t="str">
        <f t="shared" ca="1" si="45"/>
        <v>F</v>
      </c>
      <c r="W589" s="1" t="str">
        <f t="shared" ca="1" si="46"/>
        <v>Nathan Ordaz</v>
      </c>
    </row>
    <row r="590" spans="1:23">
      <c r="A590" s="1" t="str">
        <f ca="1">IFERROR(__xludf.DUMMYFUNCTION("""COMPUTED_VALUE"""),"Sergio")</f>
        <v>Sergio</v>
      </c>
      <c r="B590" s="1" t="str">
        <f ca="1">IFERROR(__xludf.DUMMYFUNCTION("""COMPUTED_VALUE"""),"Oregel")</f>
        <v>Oregel</v>
      </c>
      <c r="C590" s="1" t="str">
        <f ca="1">IFERROR(__xludf.DUMMYFUNCTION("""COMPUTED_VALUE"""),"Chicago Fire")</f>
        <v>Chicago Fire</v>
      </c>
      <c r="D590" s="1" t="str">
        <f ca="1">IFERROR(__xludf.DUMMYFUNCTION("""COMPUTED_VALUE"""),"Central Midfield")</f>
        <v>Central Midfield</v>
      </c>
      <c r="E590" s="2">
        <f ca="1">IFERROR(__xludf.DUMMYFUNCTION("""COMPUTED_VALUE"""),89716)</f>
        <v>89716</v>
      </c>
      <c r="F590" s="2">
        <f ca="1">IFERROR(__xludf.DUMMYFUNCTION("""COMPUTED_VALUE"""),89716)</f>
        <v>89716</v>
      </c>
      <c r="H590" s="1" t="str">
        <f t="shared" ca="1" si="32"/>
        <v>Central Midfield</v>
      </c>
      <c r="I590" s="3" t="str">
        <f t="shared" ca="1" si="33"/>
        <v>Central Midfield</v>
      </c>
      <c r="J590" s="1" t="str">
        <f t="shared" ca="1" si="34"/>
        <v>Central Midfield</v>
      </c>
      <c r="K590" s="1" t="str">
        <f t="shared" ca="1" si="47"/>
        <v>Central Midfield</v>
      </c>
      <c r="L590" s="1" t="str">
        <f t="shared" ca="1" si="35"/>
        <v>M</v>
      </c>
      <c r="M590" s="1" t="str">
        <f t="shared" ca="1" si="36"/>
        <v>M</v>
      </c>
      <c r="N590" s="1" t="str">
        <f t="shared" ca="1" si="37"/>
        <v>M</v>
      </c>
      <c r="O590" s="1" t="str">
        <f t="shared" ca="1" si="38"/>
        <v>M</v>
      </c>
      <c r="P590" s="1" t="str">
        <f t="shared" ca="1" si="39"/>
        <v>M</v>
      </c>
      <c r="Q590" s="1" t="str">
        <f t="shared" ca="1" si="40"/>
        <v>M</v>
      </c>
      <c r="R590" s="1" t="str">
        <f t="shared" ca="1" si="41"/>
        <v>M</v>
      </c>
      <c r="S590" s="1" t="str">
        <f t="shared" ca="1" si="42"/>
        <v>M</v>
      </c>
      <c r="T590" s="1" t="str">
        <f t="shared" ca="1" si="43"/>
        <v>M</v>
      </c>
      <c r="U590" s="1" t="str">
        <f t="shared" ca="1" si="44"/>
        <v>M</v>
      </c>
      <c r="V590" s="1" t="str">
        <f t="shared" ca="1" si="45"/>
        <v>M</v>
      </c>
      <c r="W590" s="1" t="str">
        <f t="shared" ca="1" si="46"/>
        <v>Sergio Oregel</v>
      </c>
    </row>
    <row r="591" spans="1:23">
      <c r="A591" s="1" t="str">
        <f ca="1">IFERROR(__xludf.DUMMYFUNCTION("""COMPUTED_VALUE"""),"Luca")</f>
        <v>Luca</v>
      </c>
      <c r="B591" s="1" t="str">
        <f ca="1">IFERROR(__xludf.DUMMYFUNCTION("""COMPUTED_VALUE"""),"Orellano")</f>
        <v>Orellano</v>
      </c>
      <c r="C591" s="1" t="str">
        <f ca="1">IFERROR(__xludf.DUMMYFUNCTION("""COMPUTED_VALUE"""),"FC Cincinnati")</f>
        <v>FC Cincinnati</v>
      </c>
      <c r="D591" s="1" t="str">
        <f ca="1">IFERROR(__xludf.DUMMYFUNCTION("""COMPUTED_VALUE"""),"Right Wing")</f>
        <v>Right Wing</v>
      </c>
      <c r="E591" s="2">
        <f ca="1">IFERROR(__xludf.DUMMYFUNCTION("""COMPUTED_VALUE"""),89716)</f>
        <v>89716</v>
      </c>
      <c r="F591" s="2">
        <f ca="1">IFERROR(__xludf.DUMMYFUNCTION("""COMPUTED_VALUE"""),89716)</f>
        <v>89716</v>
      </c>
      <c r="H591" s="1" t="str">
        <f t="shared" ca="1" si="32"/>
        <v>Right Wing</v>
      </c>
      <c r="I591" s="3" t="str">
        <f t="shared" ca="1" si="33"/>
        <v>Right Wing</v>
      </c>
      <c r="J591" s="1" t="str">
        <f t="shared" ca="1" si="34"/>
        <v>Right Wing</v>
      </c>
      <c r="K591" s="1" t="str">
        <f t="shared" ca="1" si="47"/>
        <v>Right Wing</v>
      </c>
      <c r="L591" s="1" t="str">
        <f t="shared" ca="1" si="35"/>
        <v>Right Wing</v>
      </c>
      <c r="M591" s="1" t="str">
        <f t="shared" ca="1" si="36"/>
        <v>Right Wing</v>
      </c>
      <c r="N591" s="1" t="str">
        <f t="shared" ca="1" si="37"/>
        <v>F</v>
      </c>
      <c r="O591" s="1" t="str">
        <f t="shared" ca="1" si="38"/>
        <v>F</v>
      </c>
      <c r="P591" s="1" t="str">
        <f t="shared" ca="1" si="39"/>
        <v>F</v>
      </c>
      <c r="Q591" s="1" t="str">
        <f t="shared" ca="1" si="40"/>
        <v>F</v>
      </c>
      <c r="R591" s="1" t="str">
        <f t="shared" ca="1" si="41"/>
        <v>F</v>
      </c>
      <c r="S591" s="1" t="str">
        <f t="shared" ca="1" si="42"/>
        <v>F</v>
      </c>
      <c r="T591" s="1" t="str">
        <f t="shared" ca="1" si="43"/>
        <v>F</v>
      </c>
      <c r="U591" s="1" t="str">
        <f t="shared" ca="1" si="44"/>
        <v>F</v>
      </c>
      <c r="V591" s="1" t="str">
        <f t="shared" ca="1" si="45"/>
        <v>F</v>
      </c>
      <c r="W591" s="1" t="str">
        <f t="shared" ca="1" si="46"/>
        <v>Luca Orellano</v>
      </c>
    </row>
    <row r="592" spans="1:23">
      <c r="A592" s="1" t="str">
        <f ca="1">IFERROR(__xludf.DUMMYFUNCTION("""COMPUTED_VALUE"""),"Jaziel")</f>
        <v>Jaziel</v>
      </c>
      <c r="B592" s="1" t="str">
        <f ca="1">IFERROR(__xludf.DUMMYFUNCTION("""COMPUTED_VALUE"""),"Orozco")</f>
        <v>Orozco</v>
      </c>
      <c r="C592" s="1" t="str">
        <f ca="1">IFERROR(__xludf.DUMMYFUNCTION("""COMPUTED_VALUE"""),"Real Salt Lake")</f>
        <v>Real Salt Lake</v>
      </c>
      <c r="D592" s="1" t="str">
        <f ca="1">IFERROR(__xludf.DUMMYFUNCTION("""COMPUTED_VALUE"""),"Defensive Midfield")</f>
        <v>Defensive Midfield</v>
      </c>
      <c r="E592" s="2">
        <f ca="1">IFERROR(__xludf.DUMMYFUNCTION("""COMPUTED_VALUE"""),89716)</f>
        <v>89716</v>
      </c>
      <c r="F592" s="2">
        <f ca="1">IFERROR(__xludf.DUMMYFUNCTION("""COMPUTED_VALUE"""),89716)</f>
        <v>89716</v>
      </c>
      <c r="H592" s="1" t="str">
        <f t="shared" ca="1" si="32"/>
        <v>Defensive Midfield</v>
      </c>
      <c r="I592" s="3" t="str">
        <f t="shared" ca="1" si="33"/>
        <v>Defensive Midfield</v>
      </c>
      <c r="J592" s="1" t="str">
        <f t="shared" ca="1" si="34"/>
        <v>Defensive Midfield</v>
      </c>
      <c r="K592" s="1" t="str">
        <f t="shared" ca="1" si="47"/>
        <v>M</v>
      </c>
      <c r="L592" s="1" t="str">
        <f t="shared" ca="1" si="35"/>
        <v>M</v>
      </c>
      <c r="M592" s="1" t="str">
        <f t="shared" ca="1" si="36"/>
        <v>M</v>
      </c>
      <c r="N592" s="1" t="str">
        <f t="shared" ca="1" si="37"/>
        <v>M</v>
      </c>
      <c r="O592" s="1" t="str">
        <f t="shared" ca="1" si="38"/>
        <v>M</v>
      </c>
      <c r="P592" s="1" t="str">
        <f t="shared" ca="1" si="39"/>
        <v>M</v>
      </c>
      <c r="Q592" s="1" t="str">
        <f t="shared" ca="1" si="40"/>
        <v>M</v>
      </c>
      <c r="R592" s="1" t="str">
        <f t="shared" ca="1" si="41"/>
        <v>M</v>
      </c>
      <c r="S592" s="1" t="str">
        <f t="shared" ca="1" si="42"/>
        <v>M</v>
      </c>
      <c r="T592" s="1" t="str">
        <f t="shared" ca="1" si="43"/>
        <v>M</v>
      </c>
      <c r="U592" s="1" t="str">
        <f t="shared" ca="1" si="44"/>
        <v>M</v>
      </c>
      <c r="V592" s="1" t="str">
        <f t="shared" ca="1" si="45"/>
        <v>M</v>
      </c>
      <c r="W592" s="1" t="str">
        <f t="shared" ca="1" si="46"/>
        <v>Jaziel Orozco</v>
      </c>
    </row>
    <row r="593" spans="1:23">
      <c r="A593" s="1" t="str">
        <f ca="1">IFERROR(__xludf.DUMMYFUNCTION("""COMPUTED_VALUE"""),"Jonathan")</f>
        <v>Jonathan</v>
      </c>
      <c r="B593" s="1" t="str">
        <f ca="1">IFERROR(__xludf.DUMMYFUNCTION("""COMPUTED_VALUE"""),"Osorio")</f>
        <v>Osorio</v>
      </c>
      <c r="C593" s="1" t="str">
        <f ca="1">IFERROR(__xludf.DUMMYFUNCTION("""COMPUTED_VALUE"""),"Toronto FC")</f>
        <v>Toronto FC</v>
      </c>
      <c r="D593" s="1" t="str">
        <f ca="1">IFERROR(__xludf.DUMMYFUNCTION("""COMPUTED_VALUE"""),"Central Midfield")</f>
        <v>Central Midfield</v>
      </c>
      <c r="E593" s="2">
        <f ca="1">IFERROR(__xludf.DUMMYFUNCTION("""COMPUTED_VALUE"""),788036)</f>
        <v>788036</v>
      </c>
      <c r="F593" s="2">
        <f ca="1">IFERROR(__xludf.DUMMYFUNCTION("""COMPUTED_VALUE"""),836369)</f>
        <v>836369</v>
      </c>
      <c r="H593" s="1" t="str">
        <f t="shared" ca="1" si="32"/>
        <v>Central Midfield</v>
      </c>
      <c r="I593" s="3" t="str">
        <f t="shared" ca="1" si="33"/>
        <v>Central Midfield</v>
      </c>
      <c r="J593" s="1" t="str">
        <f t="shared" ca="1" si="34"/>
        <v>Central Midfield</v>
      </c>
      <c r="K593" s="1" t="str">
        <f t="shared" ca="1" si="47"/>
        <v>Central Midfield</v>
      </c>
      <c r="L593" s="1" t="str">
        <f t="shared" ca="1" si="35"/>
        <v>M</v>
      </c>
      <c r="M593" s="1" t="str">
        <f t="shared" ca="1" si="36"/>
        <v>M</v>
      </c>
      <c r="N593" s="1" t="str">
        <f t="shared" ca="1" si="37"/>
        <v>M</v>
      </c>
      <c r="O593" s="1" t="str">
        <f t="shared" ca="1" si="38"/>
        <v>M</v>
      </c>
      <c r="P593" s="1" t="str">
        <f t="shared" ca="1" si="39"/>
        <v>M</v>
      </c>
      <c r="Q593" s="1" t="str">
        <f t="shared" ca="1" si="40"/>
        <v>M</v>
      </c>
      <c r="R593" s="1" t="str">
        <f t="shared" ca="1" si="41"/>
        <v>M</v>
      </c>
      <c r="S593" s="1" t="str">
        <f t="shared" ca="1" si="42"/>
        <v>M</v>
      </c>
      <c r="T593" s="1" t="str">
        <f t="shared" ca="1" si="43"/>
        <v>M</v>
      </c>
      <c r="U593" s="1" t="str">
        <f t="shared" ca="1" si="44"/>
        <v>M</v>
      </c>
      <c r="V593" s="1" t="str">
        <f t="shared" ca="1" si="45"/>
        <v>M</v>
      </c>
      <c r="W593" s="1" t="str">
        <f t="shared" ca="1" si="46"/>
        <v>Jonathan Osorio</v>
      </c>
    </row>
    <row r="594" spans="1:23">
      <c r="A594" s="1" t="str">
        <f ca="1">IFERROR(__xludf.DUMMYFUNCTION("""COMPUTED_VALUE"""),"Tomás")</f>
        <v>Tomás</v>
      </c>
      <c r="B594" s="1" t="str">
        <f ca="1">IFERROR(__xludf.DUMMYFUNCTION("""COMPUTED_VALUE"""),"Ostrák")</f>
        <v>Ostrák</v>
      </c>
      <c r="C594" s="1" t="str">
        <f ca="1">IFERROR(__xludf.DUMMYFUNCTION("""COMPUTED_VALUE"""),"St. Louis City SC")</f>
        <v>St. Louis City SC</v>
      </c>
      <c r="D594" s="1" t="str">
        <f ca="1">IFERROR(__xludf.DUMMYFUNCTION("""COMPUTED_VALUE"""),"Attacking Midfield")</f>
        <v>Attacking Midfield</v>
      </c>
      <c r="E594" s="2">
        <f ca="1">IFERROR(__xludf.DUMMYFUNCTION("""COMPUTED_VALUE"""),700000)</f>
        <v>700000</v>
      </c>
      <c r="F594" s="2">
        <f ca="1">IFERROR(__xludf.DUMMYFUNCTION("""COMPUTED_VALUE"""),801000)</f>
        <v>801000</v>
      </c>
      <c r="H594" s="1" t="str">
        <f t="shared" ca="1" si="32"/>
        <v>Attacking Midfield</v>
      </c>
      <c r="I594" s="3" t="str">
        <f t="shared" ca="1" si="33"/>
        <v>Attacking Midfield</v>
      </c>
      <c r="J594" s="1" t="str">
        <f t="shared" ca="1" si="34"/>
        <v>Attacking Midfield</v>
      </c>
      <c r="K594" s="1" t="str">
        <f t="shared" ca="1" si="47"/>
        <v>Attacking Midfield</v>
      </c>
      <c r="L594" s="1" t="str">
        <f t="shared" ca="1" si="35"/>
        <v>Attacking Midfield</v>
      </c>
      <c r="M594" s="1" t="str">
        <f t="shared" ca="1" si="36"/>
        <v>M</v>
      </c>
      <c r="N594" s="1" t="str">
        <f t="shared" ca="1" si="37"/>
        <v>M</v>
      </c>
      <c r="O594" s="1" t="str">
        <f t="shared" ca="1" si="38"/>
        <v>M</v>
      </c>
      <c r="P594" s="1" t="str">
        <f t="shared" ca="1" si="39"/>
        <v>M</v>
      </c>
      <c r="Q594" s="1" t="str">
        <f t="shared" ca="1" si="40"/>
        <v>M</v>
      </c>
      <c r="R594" s="1" t="str">
        <f t="shared" ca="1" si="41"/>
        <v>M</v>
      </c>
      <c r="S594" s="1" t="str">
        <f t="shared" ca="1" si="42"/>
        <v>M</v>
      </c>
      <c r="T594" s="1" t="str">
        <f t="shared" ca="1" si="43"/>
        <v>M</v>
      </c>
      <c r="U594" s="1" t="str">
        <f t="shared" ca="1" si="44"/>
        <v>M</v>
      </c>
      <c r="V594" s="1" t="str">
        <f t="shared" ca="1" si="45"/>
        <v>M</v>
      </c>
      <c r="W594" s="1" t="str">
        <f t="shared" ca="1" si="46"/>
        <v>Tomás Ostrák</v>
      </c>
    </row>
    <row r="595" spans="1:23">
      <c r="A595" s="1" t="str">
        <f ca="1">IFERROR(__xludf.DUMMYFUNCTION("""COMPUTED_VALUE"""),"Javier")</f>
        <v>Javier</v>
      </c>
      <c r="B595" s="1" t="str">
        <f ca="1">IFERROR(__xludf.DUMMYFUNCTION("""COMPUTED_VALUE"""),"Otero")</f>
        <v>Otero</v>
      </c>
      <c r="C595" s="1" t="str">
        <f ca="1">IFERROR(__xludf.DUMMYFUNCTION("""COMPUTED_VALUE"""),"Orlando City SC")</f>
        <v>Orlando City SC</v>
      </c>
      <c r="D595" s="1" t="str">
        <f ca="1">IFERROR(__xludf.DUMMYFUNCTION("""COMPUTED_VALUE"""),"Goalkeeper")</f>
        <v>Goalkeeper</v>
      </c>
      <c r="E595" s="2">
        <f ca="1">IFERROR(__xludf.DUMMYFUNCTION("""COMPUTED_VALUE"""),71401)</f>
        <v>71401</v>
      </c>
      <c r="F595" s="2">
        <f ca="1">IFERROR(__xludf.DUMMYFUNCTION("""COMPUTED_VALUE"""),71401)</f>
        <v>71401</v>
      </c>
      <c r="H595" s="1" t="str">
        <f t="shared" ca="1" si="32"/>
        <v>Goalkeeper</v>
      </c>
      <c r="I595" s="3" t="str">
        <f t="shared" ca="1" si="33"/>
        <v>Goalkeeper</v>
      </c>
      <c r="J595" s="1" t="str">
        <f t="shared" ca="1" si="34"/>
        <v>Goalkeeper</v>
      </c>
      <c r="K595" s="1" t="str">
        <f t="shared" ca="1" si="47"/>
        <v>Goalkeeper</v>
      </c>
      <c r="L595" s="1" t="str">
        <f t="shared" ca="1" si="35"/>
        <v>Goalkeeper</v>
      </c>
      <c r="M595" s="1" t="str">
        <f t="shared" ca="1" si="36"/>
        <v>Goalkeeper</v>
      </c>
      <c r="N595" s="1" t="str">
        <f t="shared" ca="1" si="37"/>
        <v>Goalkeeper</v>
      </c>
      <c r="O595" s="1" t="str">
        <f t="shared" ca="1" si="38"/>
        <v>Goalkeeper</v>
      </c>
      <c r="P595" s="1" t="str">
        <f t="shared" ca="1" si="39"/>
        <v>Goalkeeper</v>
      </c>
      <c r="Q595" s="1" t="str">
        <f t="shared" ca="1" si="40"/>
        <v>Goalkeeper</v>
      </c>
      <c r="R595" s="1" t="str">
        <f t="shared" ca="1" si="41"/>
        <v>GK</v>
      </c>
      <c r="S595" s="1" t="str">
        <f t="shared" ca="1" si="42"/>
        <v>GK</v>
      </c>
      <c r="T595" s="1" t="str">
        <f t="shared" ca="1" si="43"/>
        <v>GK</v>
      </c>
      <c r="U595" s="1" t="str">
        <f t="shared" ca="1" si="44"/>
        <v>GK</v>
      </c>
      <c r="V595" s="1" t="str">
        <f t="shared" ca="1" si="45"/>
        <v>GK</v>
      </c>
      <c r="W595" s="1" t="str">
        <f t="shared" ca="1" si="46"/>
        <v>Javier Otero</v>
      </c>
    </row>
    <row r="596" spans="1:23">
      <c r="A596" s="1" t="str">
        <f ca="1">IFERROR(__xludf.DUMMYFUNCTION("""COMPUTED_VALUE"""),"Bryan")</f>
        <v>Bryan</v>
      </c>
      <c r="B596" s="1" t="str">
        <f ca="1">IFERROR(__xludf.DUMMYFUNCTION("""COMPUTED_VALUE"""),"Oviedo")</f>
        <v>Oviedo</v>
      </c>
      <c r="C596" s="1" t="str">
        <f ca="1">IFERROR(__xludf.DUMMYFUNCTION("""COMPUTED_VALUE"""),"Real Salt Lake")</f>
        <v>Real Salt Lake</v>
      </c>
      <c r="D596" s="1" t="str">
        <f ca="1">IFERROR(__xludf.DUMMYFUNCTION("""COMPUTED_VALUE"""),"Left-back")</f>
        <v>Left-back</v>
      </c>
      <c r="E596" s="2">
        <f ca="1">IFERROR(__xludf.DUMMYFUNCTION("""COMPUTED_VALUE"""),375000)</f>
        <v>375000</v>
      </c>
      <c r="F596" s="2">
        <f ca="1">IFERROR(__xludf.DUMMYFUNCTION("""COMPUTED_VALUE"""),425826)</f>
        <v>425826</v>
      </c>
      <c r="H596" s="1" t="str">
        <f t="shared" ca="1" si="32"/>
        <v>Left-back</v>
      </c>
      <c r="I596" s="3" t="str">
        <f t="shared" ca="1" si="33"/>
        <v>D</v>
      </c>
      <c r="J596" s="1" t="str">
        <f t="shared" ca="1" si="34"/>
        <v>D</v>
      </c>
      <c r="K596" s="1" t="str">
        <f t="shared" ca="1" si="47"/>
        <v>D</v>
      </c>
      <c r="L596" s="1" t="str">
        <f t="shared" ca="1" si="35"/>
        <v>D</v>
      </c>
      <c r="M596" s="1" t="str">
        <f t="shared" ca="1" si="36"/>
        <v>D</v>
      </c>
      <c r="N596" s="1" t="str">
        <f t="shared" ca="1" si="37"/>
        <v>D</v>
      </c>
      <c r="O596" s="1" t="str">
        <f t="shared" ca="1" si="38"/>
        <v>D</v>
      </c>
      <c r="P596" s="1" t="str">
        <f t="shared" ca="1" si="39"/>
        <v>D</v>
      </c>
      <c r="Q596" s="1" t="str">
        <f t="shared" ca="1" si="40"/>
        <v>D</v>
      </c>
      <c r="R596" s="1" t="str">
        <f t="shared" ca="1" si="41"/>
        <v>D</v>
      </c>
      <c r="S596" s="1" t="str">
        <f t="shared" ca="1" si="42"/>
        <v>D</v>
      </c>
      <c r="T596" s="1" t="str">
        <f t="shared" ca="1" si="43"/>
        <v>D</v>
      </c>
      <c r="U596" s="1" t="str">
        <f t="shared" ca="1" si="44"/>
        <v>D</v>
      </c>
      <c r="V596" s="1" t="str">
        <f t="shared" ca="1" si="45"/>
        <v>D</v>
      </c>
      <c r="W596" s="1" t="str">
        <f t="shared" ca="1" si="46"/>
        <v>Bryan Oviedo</v>
      </c>
    </row>
    <row r="597" spans="1:23">
      <c r="A597" s="1" t="str">
        <f ca="1">IFERROR(__xludf.DUMMYFUNCTION("""COMPUTED_VALUE"""),"Prince Osei")</f>
        <v>Prince Osei</v>
      </c>
      <c r="B597" s="1" t="str">
        <f ca="1">IFERROR(__xludf.DUMMYFUNCTION("""COMPUTED_VALUE"""),"Owusu")</f>
        <v>Owusu</v>
      </c>
      <c r="C597" s="1" t="str">
        <f ca="1">IFERROR(__xludf.DUMMYFUNCTION("""COMPUTED_VALUE"""),"Toronto FC")</f>
        <v>Toronto FC</v>
      </c>
      <c r="D597" s="1" t="str">
        <f ca="1">IFERROR(__xludf.DUMMYFUNCTION("""COMPUTED_VALUE"""),"Center Forward")</f>
        <v>Center Forward</v>
      </c>
      <c r="E597" s="2">
        <f ca="1">IFERROR(__xludf.DUMMYFUNCTION("""COMPUTED_VALUE"""),700000)</f>
        <v>700000</v>
      </c>
      <c r="F597" s="2">
        <f ca="1">IFERROR(__xludf.DUMMYFUNCTION("""COMPUTED_VALUE"""),807500)</f>
        <v>807500</v>
      </c>
      <c r="H597" s="1" t="str">
        <f t="shared" ca="1" si="32"/>
        <v>Center Forward</v>
      </c>
      <c r="I597" s="3" t="str">
        <f t="shared" ca="1" si="33"/>
        <v>Center Forward</v>
      </c>
      <c r="J597" s="1" t="str">
        <f t="shared" ca="1" si="34"/>
        <v>Center Forward</v>
      </c>
      <c r="K597" s="1" t="str">
        <f t="shared" ca="1" si="47"/>
        <v>Center Forward</v>
      </c>
      <c r="L597" s="1" t="str">
        <f t="shared" ca="1" si="35"/>
        <v>Center Forward</v>
      </c>
      <c r="M597" s="1" t="str">
        <f t="shared" ca="1" si="36"/>
        <v>Center Forward</v>
      </c>
      <c r="N597" s="1" t="str">
        <f t="shared" ca="1" si="37"/>
        <v>Center Forward</v>
      </c>
      <c r="O597" s="1" t="str">
        <f t="shared" ca="1" si="38"/>
        <v>F</v>
      </c>
      <c r="P597" s="1" t="str">
        <f t="shared" ca="1" si="39"/>
        <v>F</v>
      </c>
      <c r="Q597" s="1" t="str">
        <f t="shared" ca="1" si="40"/>
        <v>F</v>
      </c>
      <c r="R597" s="1" t="str">
        <f t="shared" ca="1" si="41"/>
        <v>F</v>
      </c>
      <c r="S597" s="1" t="str">
        <f t="shared" ca="1" si="42"/>
        <v>F</v>
      </c>
      <c r="T597" s="1" t="str">
        <f t="shared" ca="1" si="43"/>
        <v>F</v>
      </c>
      <c r="U597" s="1" t="str">
        <f t="shared" ca="1" si="44"/>
        <v>F</v>
      </c>
      <c r="V597" s="1" t="str">
        <f t="shared" ca="1" si="45"/>
        <v>F</v>
      </c>
      <c r="W597" s="1" t="str">
        <f t="shared" ca="1" si="46"/>
        <v>Prince Osei Owusu</v>
      </c>
    </row>
    <row r="598" spans="1:23">
      <c r="A598" s="1" t="str">
        <f ca="1">IFERROR(__xludf.DUMMYFUNCTION("""COMPUTED_VALUE"""),"Jonathan")</f>
        <v>Jonathan</v>
      </c>
      <c r="B598" s="1" t="str">
        <f ca="1">IFERROR(__xludf.DUMMYFUNCTION("""COMPUTED_VALUE"""),"Pérez")</f>
        <v>Pérez</v>
      </c>
      <c r="C598" s="1" t="str">
        <f ca="1">IFERROR(__xludf.DUMMYFUNCTION("""COMPUTED_VALUE"""),"LA Galaxy")</f>
        <v>LA Galaxy</v>
      </c>
      <c r="D598" s="1" t="str">
        <f ca="1">IFERROR(__xludf.DUMMYFUNCTION("""COMPUTED_VALUE"""),"Left Wing")</f>
        <v>Left Wing</v>
      </c>
      <c r="E598" s="2">
        <f ca="1">IFERROR(__xludf.DUMMYFUNCTION("""COMPUTED_VALUE"""),275000)</f>
        <v>275000</v>
      </c>
      <c r="F598" s="2">
        <f ca="1">IFERROR(__xludf.DUMMYFUNCTION("""COMPUTED_VALUE"""),308000)</f>
        <v>308000</v>
      </c>
      <c r="H598" s="1" t="str">
        <f t="shared" ca="1" si="32"/>
        <v>Left Wing</v>
      </c>
      <c r="I598" s="3" t="str">
        <f t="shared" ca="1" si="33"/>
        <v>Left Wing</v>
      </c>
      <c r="J598" s="1" t="str">
        <f t="shared" ca="1" si="34"/>
        <v>Left Wing</v>
      </c>
      <c r="K598" s="1" t="str">
        <f t="shared" ca="1" si="47"/>
        <v>Left Wing</v>
      </c>
      <c r="L598" s="1" t="str">
        <f t="shared" ca="1" si="35"/>
        <v>Left Wing</v>
      </c>
      <c r="M598" s="1" t="str">
        <f t="shared" ca="1" si="36"/>
        <v>Left Wing</v>
      </c>
      <c r="N598" s="1" t="str">
        <f t="shared" ca="1" si="37"/>
        <v>Left Wing</v>
      </c>
      <c r="O598" s="1" t="str">
        <f t="shared" ca="1" si="38"/>
        <v>Left Wing</v>
      </c>
      <c r="P598" s="1" t="str">
        <f t="shared" ca="1" si="39"/>
        <v>F</v>
      </c>
      <c r="Q598" s="1" t="str">
        <f t="shared" ca="1" si="40"/>
        <v>F</v>
      </c>
      <c r="R598" s="1" t="str">
        <f t="shared" ca="1" si="41"/>
        <v>F</v>
      </c>
      <c r="S598" s="1" t="str">
        <f t="shared" ca="1" si="42"/>
        <v>F</v>
      </c>
      <c r="T598" s="1" t="str">
        <f t="shared" ca="1" si="43"/>
        <v>F</v>
      </c>
      <c r="U598" s="1" t="str">
        <f t="shared" ca="1" si="44"/>
        <v>F</v>
      </c>
      <c r="V598" s="1" t="str">
        <f t="shared" ca="1" si="45"/>
        <v>F</v>
      </c>
      <c r="W598" s="1" t="str">
        <f t="shared" ca="1" si="46"/>
        <v>Jonathan Pérez</v>
      </c>
    </row>
    <row r="599" spans="1:23">
      <c r="A599" s="1" t="str">
        <f ca="1">IFERROR(__xludf.DUMMYFUNCTION("""COMPUTED_VALUE"""),"Woobens")</f>
        <v>Woobens</v>
      </c>
      <c r="B599" s="1" t="str">
        <f ca="1">IFERROR(__xludf.DUMMYFUNCTION("""COMPUTED_VALUE"""),"Pacius")</f>
        <v>Pacius</v>
      </c>
      <c r="C599" s="1" t="str">
        <f ca="1">IFERROR(__xludf.DUMMYFUNCTION("""COMPUTED_VALUE"""),"Nashville SC")</f>
        <v>Nashville SC</v>
      </c>
      <c r="D599" s="1" t="str">
        <f ca="1">IFERROR(__xludf.DUMMYFUNCTION("""COMPUTED_VALUE"""),"Center Forward")</f>
        <v>Center Forward</v>
      </c>
      <c r="E599" s="2">
        <f ca="1">IFERROR(__xludf.DUMMYFUNCTION("""COMPUTED_VALUE"""),71401)</f>
        <v>71401</v>
      </c>
      <c r="F599" s="2">
        <f ca="1">IFERROR(__xludf.DUMMYFUNCTION("""COMPUTED_VALUE"""),71401)</f>
        <v>71401</v>
      </c>
      <c r="H599" s="1" t="str">
        <f t="shared" ca="1" si="32"/>
        <v>Center Forward</v>
      </c>
      <c r="I599" s="3" t="str">
        <f t="shared" ca="1" si="33"/>
        <v>Center Forward</v>
      </c>
      <c r="J599" s="1" t="str">
        <f t="shared" ca="1" si="34"/>
        <v>Center Forward</v>
      </c>
      <c r="K599" s="1" t="str">
        <f t="shared" ca="1" si="47"/>
        <v>Center Forward</v>
      </c>
      <c r="L599" s="1" t="str">
        <f t="shared" ca="1" si="35"/>
        <v>Center Forward</v>
      </c>
      <c r="M599" s="1" t="str">
        <f t="shared" ca="1" si="36"/>
        <v>Center Forward</v>
      </c>
      <c r="N599" s="1" t="str">
        <f t="shared" ca="1" si="37"/>
        <v>Center Forward</v>
      </c>
      <c r="O599" s="1" t="str">
        <f t="shared" ca="1" si="38"/>
        <v>F</v>
      </c>
      <c r="P599" s="1" t="str">
        <f t="shared" ca="1" si="39"/>
        <v>F</v>
      </c>
      <c r="Q599" s="1" t="str">
        <f t="shared" ca="1" si="40"/>
        <v>F</v>
      </c>
      <c r="R599" s="1" t="str">
        <f t="shared" ca="1" si="41"/>
        <v>F</v>
      </c>
      <c r="S599" s="1" t="str">
        <f t="shared" ca="1" si="42"/>
        <v>F</v>
      </c>
      <c r="T599" s="1" t="str">
        <f t="shared" ca="1" si="43"/>
        <v>F</v>
      </c>
      <c r="U599" s="1" t="str">
        <f t="shared" ca="1" si="44"/>
        <v>F</v>
      </c>
      <c r="V599" s="1" t="str">
        <f t="shared" ca="1" si="45"/>
        <v>F</v>
      </c>
      <c r="W599" s="1" t="str">
        <f t="shared" ca="1" si="46"/>
        <v>Woobens Pacius</v>
      </c>
    </row>
    <row r="600" spans="1:23">
      <c r="A600" s="1" t="str">
        <f ca="1">IFERROR(__xludf.DUMMYFUNCTION("""COMPUTED_VALUE"""),"Devin")</f>
        <v>Devin</v>
      </c>
      <c r="B600" s="1" t="str">
        <f ca="1">IFERROR(__xludf.DUMMYFUNCTION("""COMPUTED_VALUE"""),"Padelford")</f>
        <v>Padelford</v>
      </c>
      <c r="C600" s="1" t="str">
        <f ca="1">IFERROR(__xludf.DUMMYFUNCTION("""COMPUTED_VALUE"""),"Minnesota United")</f>
        <v>Minnesota United</v>
      </c>
      <c r="D600" s="1" t="str">
        <f ca="1">IFERROR(__xludf.DUMMYFUNCTION("""COMPUTED_VALUE"""),"Left-back")</f>
        <v>Left-back</v>
      </c>
      <c r="E600" s="2">
        <f ca="1">IFERROR(__xludf.DUMMYFUNCTION("""COMPUTED_VALUE"""),89716)</f>
        <v>89716</v>
      </c>
      <c r="F600" s="2">
        <f ca="1">IFERROR(__xludf.DUMMYFUNCTION("""COMPUTED_VALUE"""),96716)</f>
        <v>96716</v>
      </c>
      <c r="H600" s="1" t="str">
        <f t="shared" ca="1" si="32"/>
        <v>Left-back</v>
      </c>
      <c r="I600" s="3" t="str">
        <f t="shared" ca="1" si="33"/>
        <v>D</v>
      </c>
      <c r="J600" s="1" t="str">
        <f t="shared" ca="1" si="34"/>
        <v>D</v>
      </c>
      <c r="K600" s="1" t="str">
        <f t="shared" ca="1" si="47"/>
        <v>D</v>
      </c>
      <c r="L600" s="1" t="str">
        <f t="shared" ca="1" si="35"/>
        <v>D</v>
      </c>
      <c r="M600" s="1" t="str">
        <f t="shared" ca="1" si="36"/>
        <v>D</v>
      </c>
      <c r="N600" s="1" t="str">
        <f t="shared" ca="1" si="37"/>
        <v>D</v>
      </c>
      <c r="O600" s="1" t="str">
        <f t="shared" ca="1" si="38"/>
        <v>D</v>
      </c>
      <c r="P600" s="1" t="str">
        <f t="shared" ca="1" si="39"/>
        <v>D</v>
      </c>
      <c r="Q600" s="1" t="str">
        <f t="shared" ca="1" si="40"/>
        <v>D</v>
      </c>
      <c r="R600" s="1" t="str">
        <f t="shared" ca="1" si="41"/>
        <v>D</v>
      </c>
      <c r="S600" s="1" t="str">
        <f t="shared" ca="1" si="42"/>
        <v>D</v>
      </c>
      <c r="T600" s="1" t="str">
        <f t="shared" ca="1" si="43"/>
        <v>D</v>
      </c>
      <c r="U600" s="1" t="str">
        <f t="shared" ca="1" si="44"/>
        <v>D</v>
      </c>
      <c r="V600" s="1" t="str">
        <f t="shared" ca="1" si="45"/>
        <v>D</v>
      </c>
      <c r="W600" s="1" t="str">
        <f t="shared" ca="1" si="46"/>
        <v>Devin Padelford</v>
      </c>
    </row>
    <row r="601" spans="1:23">
      <c r="A601" s="1" t="str">
        <f ca="1">IFERROR(__xludf.DUMMYFUNCTION("""COMPUTED_VALUE"""),"Maarten")</f>
        <v>Maarten</v>
      </c>
      <c r="B601" s="1" t="str">
        <f ca="1">IFERROR(__xludf.DUMMYFUNCTION("""COMPUTED_VALUE"""),"Paes")</f>
        <v>Paes</v>
      </c>
      <c r="C601" s="1" t="str">
        <f ca="1">IFERROR(__xludf.DUMMYFUNCTION("""COMPUTED_VALUE"""),"FC Dallas")</f>
        <v>FC Dallas</v>
      </c>
      <c r="D601" s="1" t="str">
        <f ca="1">IFERROR(__xludf.DUMMYFUNCTION("""COMPUTED_VALUE"""),"Goalkeeper")</f>
        <v>Goalkeeper</v>
      </c>
      <c r="E601" s="2">
        <f ca="1">IFERROR(__xludf.DUMMYFUNCTION("""COMPUTED_VALUE"""),325000)</f>
        <v>325000</v>
      </c>
      <c r="F601" s="2">
        <f ca="1">IFERROR(__xludf.DUMMYFUNCTION("""COMPUTED_VALUE"""),397000)</f>
        <v>397000</v>
      </c>
      <c r="H601" s="1" t="str">
        <f t="shared" ca="1" si="32"/>
        <v>Goalkeeper</v>
      </c>
      <c r="I601" s="3" t="str">
        <f t="shared" ca="1" si="33"/>
        <v>Goalkeeper</v>
      </c>
      <c r="J601" s="1" t="str">
        <f t="shared" ca="1" si="34"/>
        <v>Goalkeeper</v>
      </c>
      <c r="K601" s="1" t="str">
        <f t="shared" ca="1" si="47"/>
        <v>Goalkeeper</v>
      </c>
      <c r="L601" s="1" t="str">
        <f t="shared" ca="1" si="35"/>
        <v>Goalkeeper</v>
      </c>
      <c r="M601" s="1" t="str">
        <f t="shared" ca="1" si="36"/>
        <v>Goalkeeper</v>
      </c>
      <c r="N601" s="1" t="str">
        <f t="shared" ca="1" si="37"/>
        <v>Goalkeeper</v>
      </c>
      <c r="O601" s="1" t="str">
        <f t="shared" ca="1" si="38"/>
        <v>Goalkeeper</v>
      </c>
      <c r="P601" s="1" t="str">
        <f t="shared" ca="1" si="39"/>
        <v>Goalkeeper</v>
      </c>
      <c r="Q601" s="1" t="str">
        <f t="shared" ca="1" si="40"/>
        <v>Goalkeeper</v>
      </c>
      <c r="R601" s="1" t="str">
        <f t="shared" ca="1" si="41"/>
        <v>GK</v>
      </c>
      <c r="S601" s="1" t="str">
        <f t="shared" ca="1" si="42"/>
        <v>GK</v>
      </c>
      <c r="T601" s="1" t="str">
        <f t="shared" ca="1" si="43"/>
        <v>GK</v>
      </c>
      <c r="U601" s="1" t="str">
        <f t="shared" ca="1" si="44"/>
        <v>GK</v>
      </c>
      <c r="V601" s="1" t="str">
        <f t="shared" ca="1" si="45"/>
        <v>GK</v>
      </c>
      <c r="W601" s="1" t="str">
        <f t="shared" ca="1" si="46"/>
        <v>Maarten Paes</v>
      </c>
    </row>
    <row r="602" spans="1:23">
      <c r="A602" s="1" t="str">
        <f ca="1">IFERROR(__xludf.DUMMYFUNCTION("""COMPUTED_VALUE"""),"Joseph")</f>
        <v>Joseph</v>
      </c>
      <c r="B602" s="1" t="str">
        <f ca="1">IFERROR(__xludf.DUMMYFUNCTION("""COMPUTED_VALUE"""),"Paintsil")</f>
        <v>Paintsil</v>
      </c>
      <c r="C602" s="1" t="str">
        <f ca="1">IFERROR(__xludf.DUMMYFUNCTION("""COMPUTED_VALUE"""),"LA Galaxy")</f>
        <v>LA Galaxy</v>
      </c>
      <c r="D602" s="1" t="str">
        <f ca="1">IFERROR(__xludf.DUMMYFUNCTION("""COMPUTED_VALUE"""),"Right Wing")</f>
        <v>Right Wing</v>
      </c>
      <c r="E602" s="2">
        <f ca="1">IFERROR(__xludf.DUMMYFUNCTION("""COMPUTED_VALUE"""),3136000)</f>
        <v>3136000</v>
      </c>
      <c r="F602" s="2">
        <f ca="1">IFERROR(__xludf.DUMMYFUNCTION("""COMPUTED_VALUE"""),3358000)</f>
        <v>3358000</v>
      </c>
      <c r="H602" s="1" t="str">
        <f t="shared" ca="1" si="32"/>
        <v>Right Wing</v>
      </c>
      <c r="I602" s="3" t="str">
        <f t="shared" ca="1" si="33"/>
        <v>Right Wing</v>
      </c>
      <c r="J602" s="1" t="str">
        <f t="shared" ca="1" si="34"/>
        <v>Right Wing</v>
      </c>
      <c r="K602" s="1" t="str">
        <f t="shared" ca="1" si="47"/>
        <v>Right Wing</v>
      </c>
      <c r="L602" s="1" t="str">
        <f t="shared" ca="1" si="35"/>
        <v>Right Wing</v>
      </c>
      <c r="M602" s="1" t="str">
        <f t="shared" ca="1" si="36"/>
        <v>Right Wing</v>
      </c>
      <c r="N602" s="1" t="str">
        <f t="shared" ca="1" si="37"/>
        <v>F</v>
      </c>
      <c r="O602" s="1" t="str">
        <f t="shared" ca="1" si="38"/>
        <v>F</v>
      </c>
      <c r="P602" s="1" t="str">
        <f t="shared" ca="1" si="39"/>
        <v>F</v>
      </c>
      <c r="Q602" s="1" t="str">
        <f t="shared" ca="1" si="40"/>
        <v>F</v>
      </c>
      <c r="R602" s="1" t="str">
        <f t="shared" ca="1" si="41"/>
        <v>F</v>
      </c>
      <c r="S602" s="1" t="str">
        <f t="shared" ca="1" si="42"/>
        <v>F</v>
      </c>
      <c r="T602" s="1" t="str">
        <f t="shared" ca="1" si="43"/>
        <v>F</v>
      </c>
      <c r="U602" s="1" t="str">
        <f t="shared" ca="1" si="44"/>
        <v>F</v>
      </c>
      <c r="V602" s="1" t="str">
        <f t="shared" ca="1" si="45"/>
        <v>F</v>
      </c>
      <c r="W602" s="1" t="str">
        <f t="shared" ca="1" si="46"/>
        <v>Joseph Paintsil</v>
      </c>
    </row>
    <row r="603" spans="1:23">
      <c r="A603" s="1" t="str">
        <f ca="1">IFERROR(__xludf.DUMMYFUNCTION("""COMPUTED_VALUE"""),"Nelson")</f>
        <v>Nelson</v>
      </c>
      <c r="B603" s="1" t="str">
        <f ca="1">IFERROR(__xludf.DUMMYFUNCTION("""COMPUTED_VALUE"""),"Palacio")</f>
        <v>Palacio</v>
      </c>
      <c r="C603" s="1" t="str">
        <f ca="1">IFERROR(__xludf.DUMMYFUNCTION("""COMPUTED_VALUE"""),"Real Salt Lake")</f>
        <v>Real Salt Lake</v>
      </c>
      <c r="D603" s="1" t="str">
        <f ca="1">IFERROR(__xludf.DUMMYFUNCTION("""COMPUTED_VALUE"""),"Central Midfield")</f>
        <v>Central Midfield</v>
      </c>
      <c r="E603" s="2">
        <f ca="1">IFERROR(__xludf.DUMMYFUNCTION("""COMPUTED_VALUE"""),330000)</f>
        <v>330000</v>
      </c>
      <c r="F603" s="2">
        <f ca="1">IFERROR(__xludf.DUMMYFUNCTION("""COMPUTED_VALUE"""),373167)</f>
        <v>373167</v>
      </c>
      <c r="H603" s="1" t="str">
        <f t="shared" ca="1" si="32"/>
        <v>Central Midfield</v>
      </c>
      <c r="I603" s="3" t="str">
        <f t="shared" ca="1" si="33"/>
        <v>Central Midfield</v>
      </c>
      <c r="J603" s="1" t="str">
        <f t="shared" ca="1" si="34"/>
        <v>Central Midfield</v>
      </c>
      <c r="K603" s="1" t="str">
        <f t="shared" ca="1" si="47"/>
        <v>Central Midfield</v>
      </c>
      <c r="L603" s="1" t="str">
        <f t="shared" ca="1" si="35"/>
        <v>M</v>
      </c>
      <c r="M603" s="1" t="str">
        <f t="shared" ca="1" si="36"/>
        <v>M</v>
      </c>
      <c r="N603" s="1" t="str">
        <f t="shared" ca="1" si="37"/>
        <v>M</v>
      </c>
      <c r="O603" s="1" t="str">
        <f t="shared" ca="1" si="38"/>
        <v>M</v>
      </c>
      <c r="P603" s="1" t="str">
        <f t="shared" ca="1" si="39"/>
        <v>M</v>
      </c>
      <c r="Q603" s="1" t="str">
        <f t="shared" ca="1" si="40"/>
        <v>M</v>
      </c>
      <c r="R603" s="1" t="str">
        <f t="shared" ca="1" si="41"/>
        <v>M</v>
      </c>
      <c r="S603" s="1" t="str">
        <f t="shared" ca="1" si="42"/>
        <v>M</v>
      </c>
      <c r="T603" s="1" t="str">
        <f t="shared" ca="1" si="43"/>
        <v>M</v>
      </c>
      <c r="U603" s="1" t="str">
        <f t="shared" ca="1" si="44"/>
        <v>M</v>
      </c>
      <c r="V603" s="1" t="str">
        <f t="shared" ca="1" si="45"/>
        <v>M</v>
      </c>
      <c r="W603" s="1" t="str">
        <f t="shared" ca="1" si="46"/>
        <v>Nelson Palacio</v>
      </c>
    </row>
    <row r="604" spans="1:23">
      <c r="A604" s="1" t="str">
        <f ca="1">IFERROR(__xludf.DUMMYFUNCTION("""COMPUTED_VALUE"""),"Sergi")</f>
        <v>Sergi</v>
      </c>
      <c r="B604" s="1" t="str">
        <f ca="1">IFERROR(__xludf.DUMMYFUNCTION("""COMPUTED_VALUE"""),"Palencia")</f>
        <v>Palencia</v>
      </c>
      <c r="C604" s="1" t="str">
        <f ca="1">IFERROR(__xludf.DUMMYFUNCTION("""COMPUTED_VALUE"""),"LAFC")</f>
        <v>LAFC</v>
      </c>
      <c r="D604" s="1" t="str">
        <f ca="1">IFERROR(__xludf.DUMMYFUNCTION("""COMPUTED_VALUE"""),"Right-back")</f>
        <v>Right-back</v>
      </c>
      <c r="E604" s="2">
        <f ca="1">IFERROR(__xludf.DUMMYFUNCTION("""COMPUTED_VALUE"""),350004)</f>
        <v>350004</v>
      </c>
      <c r="F604" s="2">
        <f ca="1">IFERROR(__xludf.DUMMYFUNCTION("""COMPUTED_VALUE"""),557504)</f>
        <v>557504</v>
      </c>
      <c r="H604" s="1" t="str">
        <f t="shared" ca="1" si="32"/>
        <v>Right-back</v>
      </c>
      <c r="I604" s="3" t="str">
        <f t="shared" ca="1" si="33"/>
        <v>Right-back</v>
      </c>
      <c r="J604" s="1" t="str">
        <f t="shared" ca="1" si="34"/>
        <v>D</v>
      </c>
      <c r="K604" s="1" t="str">
        <f t="shared" ca="1" si="47"/>
        <v>D</v>
      </c>
      <c r="L604" s="1" t="str">
        <f t="shared" ca="1" si="35"/>
        <v>D</v>
      </c>
      <c r="M604" s="1" t="str">
        <f t="shared" ca="1" si="36"/>
        <v>D</v>
      </c>
      <c r="N604" s="1" t="str">
        <f t="shared" ca="1" si="37"/>
        <v>D</v>
      </c>
      <c r="O604" s="1" t="str">
        <f t="shared" ca="1" si="38"/>
        <v>D</v>
      </c>
      <c r="P604" s="1" t="str">
        <f t="shared" ca="1" si="39"/>
        <v>D</v>
      </c>
      <c r="Q604" s="1" t="str">
        <f t="shared" ca="1" si="40"/>
        <v>D</v>
      </c>
      <c r="R604" s="1" t="str">
        <f t="shared" ca="1" si="41"/>
        <v>D</v>
      </c>
      <c r="S604" s="1" t="str">
        <f t="shared" ca="1" si="42"/>
        <v>D</v>
      </c>
      <c r="T604" s="1" t="str">
        <f t="shared" ca="1" si="43"/>
        <v>D</v>
      </c>
      <c r="U604" s="1" t="str">
        <f t="shared" ca="1" si="44"/>
        <v>D</v>
      </c>
      <c r="V604" s="1" t="str">
        <f t="shared" ca="1" si="45"/>
        <v>D</v>
      </c>
      <c r="W604" s="1" t="str">
        <f t="shared" ca="1" si="46"/>
        <v>Sergi Palencia</v>
      </c>
    </row>
    <row r="605" spans="1:23">
      <c r="A605" s="1" t="str">
        <f ca="1">IFERROR(__xludf.DUMMYFUNCTION("""COMPUTED_VALUE"""),"Jack")</f>
        <v>Jack</v>
      </c>
      <c r="B605" s="1" t="str">
        <f ca="1">IFERROR(__xludf.DUMMYFUNCTION("""COMPUTED_VALUE"""),"Panayotou")</f>
        <v>Panayotou</v>
      </c>
      <c r="C605" s="1" t="str">
        <f ca="1">IFERROR(__xludf.DUMMYFUNCTION("""COMPUTED_VALUE"""),"New England Revolution")</f>
        <v>New England Revolution</v>
      </c>
      <c r="D605" s="1" t="str">
        <f ca="1">IFERROR(__xludf.DUMMYFUNCTION("""COMPUTED_VALUE"""),"Attacking Midfield")</f>
        <v>Attacking Midfield</v>
      </c>
      <c r="E605" s="2">
        <f ca="1">IFERROR(__xludf.DUMMYFUNCTION("""COMPUTED_VALUE"""),89716)</f>
        <v>89716</v>
      </c>
      <c r="F605" s="2">
        <f ca="1">IFERROR(__xludf.DUMMYFUNCTION("""COMPUTED_VALUE"""),91716)</f>
        <v>91716</v>
      </c>
      <c r="H605" s="1" t="str">
        <f t="shared" ca="1" si="32"/>
        <v>Attacking Midfield</v>
      </c>
      <c r="I605" s="3" t="str">
        <f t="shared" ca="1" si="33"/>
        <v>Attacking Midfield</v>
      </c>
      <c r="J605" s="1" t="str">
        <f t="shared" ca="1" si="34"/>
        <v>Attacking Midfield</v>
      </c>
      <c r="K605" s="1" t="str">
        <f t="shared" ca="1" si="47"/>
        <v>Attacking Midfield</v>
      </c>
      <c r="L605" s="1" t="str">
        <f t="shared" ca="1" si="35"/>
        <v>Attacking Midfield</v>
      </c>
      <c r="M605" s="1" t="str">
        <f t="shared" ca="1" si="36"/>
        <v>M</v>
      </c>
      <c r="N605" s="1" t="str">
        <f t="shared" ca="1" si="37"/>
        <v>M</v>
      </c>
      <c r="O605" s="1" t="str">
        <f t="shared" ca="1" si="38"/>
        <v>M</v>
      </c>
      <c r="P605" s="1" t="str">
        <f t="shared" ca="1" si="39"/>
        <v>M</v>
      </c>
      <c r="Q605" s="1" t="str">
        <f t="shared" ca="1" si="40"/>
        <v>M</v>
      </c>
      <c r="R605" s="1" t="str">
        <f t="shared" ca="1" si="41"/>
        <v>M</v>
      </c>
      <c r="S605" s="1" t="str">
        <f t="shared" ca="1" si="42"/>
        <v>M</v>
      </c>
      <c r="T605" s="1" t="str">
        <f t="shared" ca="1" si="43"/>
        <v>M</v>
      </c>
      <c r="U605" s="1" t="str">
        <f t="shared" ca="1" si="44"/>
        <v>M</v>
      </c>
      <c r="V605" s="1" t="str">
        <f t="shared" ca="1" si="45"/>
        <v>M</v>
      </c>
      <c r="W605" s="1" t="str">
        <f t="shared" ca="1" si="46"/>
        <v>Jack Panayotou</v>
      </c>
    </row>
    <row r="606" spans="1:23">
      <c r="A606" s="1" t="str">
        <f ca="1">IFERROR(__xludf.DUMMYFUNCTION("""COMPUTED_VALUE"""),"Elliot")</f>
        <v>Elliot</v>
      </c>
      <c r="B606" s="1" t="str">
        <f ca="1">IFERROR(__xludf.DUMMYFUNCTION("""COMPUTED_VALUE"""),"Panicco")</f>
        <v>Panicco</v>
      </c>
      <c r="C606" s="1" t="str">
        <f ca="1">IFERROR(__xludf.DUMMYFUNCTION("""COMPUTED_VALUE"""),"Nashville SC")</f>
        <v>Nashville SC</v>
      </c>
      <c r="D606" s="1" t="str">
        <f ca="1">IFERROR(__xludf.DUMMYFUNCTION("""COMPUTED_VALUE"""),"Goalkeeper")</f>
        <v>Goalkeeper</v>
      </c>
      <c r="E606" s="2">
        <f ca="1">IFERROR(__xludf.DUMMYFUNCTION("""COMPUTED_VALUE"""),114000)</f>
        <v>114000</v>
      </c>
      <c r="F606" s="2">
        <f ca="1">IFERROR(__xludf.DUMMYFUNCTION("""COMPUTED_VALUE"""),114000)</f>
        <v>114000</v>
      </c>
      <c r="H606" s="1" t="str">
        <f t="shared" ca="1" si="32"/>
        <v>Goalkeeper</v>
      </c>
      <c r="I606" s="3" t="str">
        <f t="shared" ca="1" si="33"/>
        <v>Goalkeeper</v>
      </c>
      <c r="J606" s="1" t="str">
        <f t="shared" ca="1" si="34"/>
        <v>Goalkeeper</v>
      </c>
      <c r="K606" s="1" t="str">
        <f t="shared" ca="1" si="47"/>
        <v>Goalkeeper</v>
      </c>
      <c r="L606" s="1" t="str">
        <f t="shared" ca="1" si="35"/>
        <v>Goalkeeper</v>
      </c>
      <c r="M606" s="1" t="str">
        <f t="shared" ca="1" si="36"/>
        <v>Goalkeeper</v>
      </c>
      <c r="N606" s="1" t="str">
        <f t="shared" ca="1" si="37"/>
        <v>Goalkeeper</v>
      </c>
      <c r="O606" s="1" t="str">
        <f t="shared" ca="1" si="38"/>
        <v>Goalkeeper</v>
      </c>
      <c r="P606" s="1" t="str">
        <f t="shared" ca="1" si="39"/>
        <v>Goalkeeper</v>
      </c>
      <c r="Q606" s="1" t="str">
        <f t="shared" ca="1" si="40"/>
        <v>Goalkeeper</v>
      </c>
      <c r="R606" s="1" t="str">
        <f t="shared" ca="1" si="41"/>
        <v>GK</v>
      </c>
      <c r="S606" s="1" t="str">
        <f t="shared" ca="1" si="42"/>
        <v>GK</v>
      </c>
      <c r="T606" s="1" t="str">
        <f t="shared" ca="1" si="43"/>
        <v>GK</v>
      </c>
      <c r="U606" s="1" t="str">
        <f t="shared" ca="1" si="44"/>
        <v>GK</v>
      </c>
      <c r="V606" s="1" t="str">
        <f t="shared" ca="1" si="45"/>
        <v>GK</v>
      </c>
      <c r="W606" s="1" t="str">
        <f t="shared" ca="1" si="46"/>
        <v>Elliot Panicco</v>
      </c>
    </row>
    <row r="607" spans="1:23">
      <c r="A607" s="1" t="str">
        <f ca="1">IFERROR(__xludf.DUMMYFUNCTION("""COMPUTED_VALUE"""),"James")</f>
        <v>James</v>
      </c>
      <c r="B607" s="1" t="str">
        <f ca="1">IFERROR(__xludf.DUMMYFUNCTION("""COMPUTED_VALUE"""),"Pantemis")</f>
        <v>Pantemis</v>
      </c>
      <c r="C607" s="1" t="str">
        <f ca="1">IFERROR(__xludf.DUMMYFUNCTION("""COMPUTED_VALUE"""),"Portland Timbers")</f>
        <v>Portland Timbers</v>
      </c>
      <c r="D607" s="1" t="str">
        <f ca="1">IFERROR(__xludf.DUMMYFUNCTION("""COMPUTED_VALUE"""),"Goalkeeper")</f>
        <v>Goalkeeper</v>
      </c>
      <c r="E607" s="2">
        <f ca="1">IFERROR(__xludf.DUMMYFUNCTION("""COMPUTED_VALUE"""),125000)</f>
        <v>125000</v>
      </c>
      <c r="F607" s="2">
        <f ca="1">IFERROR(__xludf.DUMMYFUNCTION("""COMPUTED_VALUE"""),145833)</f>
        <v>145833</v>
      </c>
      <c r="H607" s="1" t="str">
        <f t="shared" ca="1" si="32"/>
        <v>Goalkeeper</v>
      </c>
      <c r="I607" s="3" t="str">
        <f t="shared" ca="1" si="33"/>
        <v>Goalkeeper</v>
      </c>
      <c r="J607" s="1" t="str">
        <f t="shared" ca="1" si="34"/>
        <v>Goalkeeper</v>
      </c>
      <c r="K607" s="1" t="str">
        <f t="shared" ca="1" si="47"/>
        <v>Goalkeeper</v>
      </c>
      <c r="L607" s="1" t="str">
        <f t="shared" ca="1" si="35"/>
        <v>Goalkeeper</v>
      </c>
      <c r="M607" s="1" t="str">
        <f t="shared" ca="1" si="36"/>
        <v>Goalkeeper</v>
      </c>
      <c r="N607" s="1" t="str">
        <f t="shared" ca="1" si="37"/>
        <v>Goalkeeper</v>
      </c>
      <c r="O607" s="1" t="str">
        <f t="shared" ca="1" si="38"/>
        <v>Goalkeeper</v>
      </c>
      <c r="P607" s="1" t="str">
        <f t="shared" ca="1" si="39"/>
        <v>Goalkeeper</v>
      </c>
      <c r="Q607" s="1" t="str">
        <f t="shared" ca="1" si="40"/>
        <v>Goalkeeper</v>
      </c>
      <c r="R607" s="1" t="str">
        <f t="shared" ca="1" si="41"/>
        <v>GK</v>
      </c>
      <c r="S607" s="1" t="str">
        <f t="shared" ca="1" si="42"/>
        <v>GK</v>
      </c>
      <c r="T607" s="1" t="str">
        <f t="shared" ca="1" si="43"/>
        <v>GK</v>
      </c>
      <c r="U607" s="1" t="str">
        <f t="shared" ca="1" si="44"/>
        <v>GK</v>
      </c>
      <c r="V607" s="1" t="str">
        <f t="shared" ca="1" si="45"/>
        <v>GK</v>
      </c>
      <c r="W607" s="1" t="str">
        <f t="shared" ca="1" si="46"/>
        <v>James Pantemis</v>
      </c>
    </row>
    <row r="608" spans="1:23">
      <c r="A608" s="1" t="str">
        <f ca="1">IFERROR(__xludf.DUMMYFUNCTION("""COMPUTED_VALUE"""),"Cristhian")</f>
        <v>Cristhian</v>
      </c>
      <c r="B608" s="1" t="str">
        <f ca="1">IFERROR(__xludf.DUMMYFUNCTION("""COMPUTED_VALUE"""),"Paredes")</f>
        <v>Paredes</v>
      </c>
      <c r="C608" s="1" t="str">
        <f ca="1">IFERROR(__xludf.DUMMYFUNCTION("""COMPUTED_VALUE"""),"Portland Timbers")</f>
        <v>Portland Timbers</v>
      </c>
      <c r="D608" s="1" t="str">
        <f ca="1">IFERROR(__xludf.DUMMYFUNCTION("""COMPUTED_VALUE"""),"Central Midfield")</f>
        <v>Central Midfield</v>
      </c>
      <c r="E608" s="2">
        <f ca="1">IFERROR(__xludf.DUMMYFUNCTION("""COMPUTED_VALUE"""),580000)</f>
        <v>580000</v>
      </c>
      <c r="F608" s="2">
        <f ca="1">IFERROR(__xludf.DUMMYFUNCTION("""COMPUTED_VALUE"""),678000)</f>
        <v>678000</v>
      </c>
      <c r="H608" s="1" t="str">
        <f t="shared" ca="1" si="32"/>
        <v>Central Midfield</v>
      </c>
      <c r="I608" s="3" t="str">
        <f t="shared" ca="1" si="33"/>
        <v>Central Midfield</v>
      </c>
      <c r="J608" s="1" t="str">
        <f t="shared" ca="1" si="34"/>
        <v>Central Midfield</v>
      </c>
      <c r="K608" s="1" t="str">
        <f t="shared" ca="1" si="47"/>
        <v>Central Midfield</v>
      </c>
      <c r="L608" s="1" t="str">
        <f t="shared" ca="1" si="35"/>
        <v>M</v>
      </c>
      <c r="M608" s="1" t="str">
        <f t="shared" ca="1" si="36"/>
        <v>M</v>
      </c>
      <c r="N608" s="1" t="str">
        <f t="shared" ca="1" si="37"/>
        <v>M</v>
      </c>
      <c r="O608" s="1" t="str">
        <f t="shared" ca="1" si="38"/>
        <v>M</v>
      </c>
      <c r="P608" s="1" t="str">
        <f t="shared" ca="1" si="39"/>
        <v>M</v>
      </c>
      <c r="Q608" s="1" t="str">
        <f t="shared" ca="1" si="40"/>
        <v>M</v>
      </c>
      <c r="R608" s="1" t="str">
        <f t="shared" ca="1" si="41"/>
        <v>M</v>
      </c>
      <c r="S608" s="1" t="str">
        <f t="shared" ca="1" si="42"/>
        <v>M</v>
      </c>
      <c r="T608" s="1" t="str">
        <f t="shared" ca="1" si="43"/>
        <v>M</v>
      </c>
      <c r="U608" s="1" t="str">
        <f t="shared" ca="1" si="44"/>
        <v>M</v>
      </c>
      <c r="V608" s="1" t="str">
        <f t="shared" ca="1" si="45"/>
        <v>M</v>
      </c>
      <c r="W608" s="1" t="str">
        <f t="shared" ca="1" si="46"/>
        <v>Cristhian Paredes</v>
      </c>
    </row>
    <row r="609" spans="1:23">
      <c r="A609" s="1" t="str">
        <f ca="1">IFERROR(__xludf.DUMMYFUNCTION("""COMPUTED_VALUE"""),"Nick")</f>
        <v>Nick</v>
      </c>
      <c r="B609" s="1" t="str">
        <f ca="1">IFERROR(__xludf.DUMMYFUNCTION("""COMPUTED_VALUE"""),"Pariano")</f>
        <v>Pariano</v>
      </c>
      <c r="C609" s="1" t="str">
        <f ca="1">IFERROR(__xludf.DUMMYFUNCTION("""COMPUTED_VALUE"""),"Philadelphia Union")</f>
        <v>Philadelphia Union</v>
      </c>
      <c r="D609" s="1" t="str">
        <f ca="1">IFERROR(__xludf.DUMMYFUNCTION("""COMPUTED_VALUE"""),"Attacking Midfield")</f>
        <v>Attacking Midfield</v>
      </c>
      <c r="E609" s="2">
        <f ca="1">IFERROR(__xludf.DUMMYFUNCTION("""COMPUTED_VALUE"""),71401)</f>
        <v>71401</v>
      </c>
      <c r="F609" s="2">
        <f ca="1">IFERROR(__xludf.DUMMYFUNCTION("""COMPUTED_VALUE"""),76594)</f>
        <v>76594</v>
      </c>
      <c r="H609" s="1" t="str">
        <f t="shared" ca="1" si="32"/>
        <v>Attacking Midfield</v>
      </c>
      <c r="I609" s="3" t="str">
        <f t="shared" ca="1" si="33"/>
        <v>Attacking Midfield</v>
      </c>
      <c r="J609" s="1" t="str">
        <f t="shared" ca="1" si="34"/>
        <v>Attacking Midfield</v>
      </c>
      <c r="K609" s="1" t="str">
        <f t="shared" ca="1" si="47"/>
        <v>Attacking Midfield</v>
      </c>
      <c r="L609" s="1" t="str">
        <f t="shared" ca="1" si="35"/>
        <v>Attacking Midfield</v>
      </c>
      <c r="M609" s="1" t="str">
        <f t="shared" ca="1" si="36"/>
        <v>M</v>
      </c>
      <c r="N609" s="1" t="str">
        <f t="shared" ca="1" si="37"/>
        <v>M</v>
      </c>
      <c r="O609" s="1" t="str">
        <f t="shared" ca="1" si="38"/>
        <v>M</v>
      </c>
      <c r="P609" s="1" t="str">
        <f t="shared" ca="1" si="39"/>
        <v>M</v>
      </c>
      <c r="Q609" s="1" t="str">
        <f t="shared" ca="1" si="40"/>
        <v>M</v>
      </c>
      <c r="R609" s="1" t="str">
        <f t="shared" ca="1" si="41"/>
        <v>M</v>
      </c>
      <c r="S609" s="1" t="str">
        <f t="shared" ca="1" si="42"/>
        <v>M</v>
      </c>
      <c r="T609" s="1" t="str">
        <f t="shared" ca="1" si="43"/>
        <v>M</v>
      </c>
      <c r="U609" s="1" t="str">
        <f t="shared" ca="1" si="44"/>
        <v>M</v>
      </c>
      <c r="V609" s="1" t="str">
        <f t="shared" ca="1" si="45"/>
        <v>M</v>
      </c>
      <c r="W609" s="1" t="str">
        <f t="shared" ca="1" si="46"/>
        <v>Nick Pariano</v>
      </c>
    </row>
    <row r="610" spans="1:23">
      <c r="A610" s="1" t="str">
        <f ca="1">IFERROR(__xludf.DUMMYFUNCTION("""COMPUTED_VALUE"""),"Isaiah")</f>
        <v>Isaiah</v>
      </c>
      <c r="B610" s="1" t="str">
        <f ca="1">IFERROR(__xludf.DUMMYFUNCTION("""COMPUTED_VALUE"""),"Parker")</f>
        <v>Parker</v>
      </c>
      <c r="C610" s="1" t="str">
        <f ca="1">IFERROR(__xludf.DUMMYFUNCTION("""COMPUTED_VALUE"""),"FC Dallas")</f>
        <v>FC Dallas</v>
      </c>
      <c r="D610" s="1" t="str">
        <f ca="1">IFERROR(__xludf.DUMMYFUNCTION("""COMPUTED_VALUE"""),"Left-back")</f>
        <v>Left-back</v>
      </c>
      <c r="E610" s="2">
        <f ca="1">IFERROR(__xludf.DUMMYFUNCTION("""COMPUTED_VALUE"""),100000)</f>
        <v>100000</v>
      </c>
      <c r="F610" s="2">
        <f ca="1">IFERROR(__xludf.DUMMYFUNCTION("""COMPUTED_VALUE"""),101000)</f>
        <v>101000</v>
      </c>
      <c r="H610" s="1" t="str">
        <f t="shared" ca="1" si="32"/>
        <v>Left-back</v>
      </c>
      <c r="I610" s="3" t="str">
        <f t="shared" ca="1" si="33"/>
        <v>D</v>
      </c>
      <c r="J610" s="1" t="str">
        <f t="shared" ca="1" si="34"/>
        <v>D</v>
      </c>
      <c r="K610" s="1" t="str">
        <f t="shared" ca="1" si="47"/>
        <v>D</v>
      </c>
      <c r="L610" s="1" t="str">
        <f t="shared" ca="1" si="35"/>
        <v>D</v>
      </c>
      <c r="M610" s="1" t="str">
        <f t="shared" ca="1" si="36"/>
        <v>D</v>
      </c>
      <c r="N610" s="1" t="str">
        <f t="shared" ca="1" si="37"/>
        <v>D</v>
      </c>
      <c r="O610" s="1" t="str">
        <f t="shared" ca="1" si="38"/>
        <v>D</v>
      </c>
      <c r="P610" s="1" t="str">
        <f t="shared" ca="1" si="39"/>
        <v>D</v>
      </c>
      <c r="Q610" s="1" t="str">
        <f t="shared" ca="1" si="40"/>
        <v>D</v>
      </c>
      <c r="R610" s="1" t="str">
        <f t="shared" ca="1" si="41"/>
        <v>D</v>
      </c>
      <c r="S610" s="1" t="str">
        <f t="shared" ca="1" si="42"/>
        <v>D</v>
      </c>
      <c r="T610" s="1" t="str">
        <f t="shared" ca="1" si="43"/>
        <v>D</v>
      </c>
      <c r="U610" s="1" t="str">
        <f t="shared" ca="1" si="44"/>
        <v>D</v>
      </c>
      <c r="V610" s="1" t="str">
        <f t="shared" ca="1" si="45"/>
        <v>D</v>
      </c>
      <c r="W610" s="1" t="str">
        <f t="shared" ca="1" si="46"/>
        <v>Isaiah Parker</v>
      </c>
    </row>
    <row r="611" spans="1:23">
      <c r="A611" s="1" t="str">
        <f ca="1">IFERROR(__xludf.DUMMYFUNCTION("""COMPUTED_VALUE"""),"Tim")</f>
        <v>Tim</v>
      </c>
      <c r="B611" s="1" t="str">
        <f ca="1">IFERROR(__xludf.DUMMYFUNCTION("""COMPUTED_VALUE"""),"Parker")</f>
        <v>Parker</v>
      </c>
      <c r="C611" s="1" t="str">
        <f ca="1">IFERROR(__xludf.DUMMYFUNCTION("""COMPUTED_VALUE"""),"St. Louis City SC")</f>
        <v>St. Louis City SC</v>
      </c>
      <c r="D611" s="1" t="str">
        <f ca="1">IFERROR(__xludf.DUMMYFUNCTION("""COMPUTED_VALUE"""),"Center-back")</f>
        <v>Center-back</v>
      </c>
      <c r="E611" s="2">
        <f ca="1">IFERROR(__xludf.DUMMYFUNCTION("""COMPUTED_VALUE"""),1000000)</f>
        <v>1000000</v>
      </c>
      <c r="F611" s="2">
        <f ca="1">IFERROR(__xludf.DUMMYFUNCTION("""COMPUTED_VALUE"""),1037500)</f>
        <v>1037500</v>
      </c>
      <c r="H611" s="1" t="str">
        <f t="shared" ca="1" si="32"/>
        <v>D</v>
      </c>
      <c r="I611" s="3" t="str">
        <f t="shared" ca="1" si="33"/>
        <v>D</v>
      </c>
      <c r="J611" s="1" t="str">
        <f t="shared" ca="1" si="34"/>
        <v>D</v>
      </c>
      <c r="K611" s="1" t="str">
        <f t="shared" ca="1" si="47"/>
        <v>D</v>
      </c>
      <c r="L611" s="1" t="str">
        <f t="shared" ca="1" si="35"/>
        <v>D</v>
      </c>
      <c r="M611" s="1" t="str">
        <f t="shared" ca="1" si="36"/>
        <v>D</v>
      </c>
      <c r="N611" s="1" t="str">
        <f t="shared" ca="1" si="37"/>
        <v>D</v>
      </c>
      <c r="O611" s="1" t="str">
        <f t="shared" ca="1" si="38"/>
        <v>D</v>
      </c>
      <c r="P611" s="1" t="str">
        <f t="shared" ca="1" si="39"/>
        <v>D</v>
      </c>
      <c r="Q611" s="1" t="str">
        <f t="shared" ca="1" si="40"/>
        <v>D</v>
      </c>
      <c r="R611" s="1" t="str">
        <f t="shared" ca="1" si="41"/>
        <v>D</v>
      </c>
      <c r="S611" s="1" t="str">
        <f t="shared" ca="1" si="42"/>
        <v>D</v>
      </c>
      <c r="T611" s="1" t="str">
        <f t="shared" ca="1" si="43"/>
        <v>D</v>
      </c>
      <c r="U611" s="1" t="str">
        <f t="shared" ca="1" si="44"/>
        <v>D</v>
      </c>
      <c r="V611" s="1" t="str">
        <f t="shared" ca="1" si="45"/>
        <v>D</v>
      </c>
      <c r="W611" s="1" t="str">
        <f t="shared" ca="1" si="46"/>
        <v>Tim Parker</v>
      </c>
    </row>
    <row r="612" spans="1:23">
      <c r="A612" s="1" t="str">
        <f ca="1">IFERROR(__xludf.DUMMYFUNCTION("""COMPUTED_VALUE"""),"Keaton")</f>
        <v>Keaton</v>
      </c>
      <c r="B612" s="1" t="str">
        <f ca="1">IFERROR(__xludf.DUMMYFUNCTION("""COMPUTED_VALUE"""),"Parks")</f>
        <v>Parks</v>
      </c>
      <c r="C612" s="1" t="str">
        <f ca="1">IFERROR(__xludf.DUMMYFUNCTION("""COMPUTED_VALUE"""),"New York City FC")</f>
        <v>New York City FC</v>
      </c>
      <c r="D612" s="1" t="str">
        <f ca="1">IFERROR(__xludf.DUMMYFUNCTION("""COMPUTED_VALUE"""),"Defensive Midfield")</f>
        <v>Defensive Midfield</v>
      </c>
      <c r="E612" s="2">
        <f ca="1">IFERROR(__xludf.DUMMYFUNCTION("""COMPUTED_VALUE"""),900000)</f>
        <v>900000</v>
      </c>
      <c r="F612" s="2">
        <f ca="1">IFERROR(__xludf.DUMMYFUNCTION("""COMPUTED_VALUE"""),970000)</f>
        <v>970000</v>
      </c>
      <c r="H612" s="1" t="str">
        <f t="shared" ca="1" si="32"/>
        <v>Defensive Midfield</v>
      </c>
      <c r="I612" s="3" t="str">
        <f t="shared" ca="1" si="33"/>
        <v>Defensive Midfield</v>
      </c>
      <c r="J612" s="1" t="str">
        <f t="shared" ca="1" si="34"/>
        <v>Defensive Midfield</v>
      </c>
      <c r="K612" s="1" t="str">
        <f t="shared" ca="1" si="47"/>
        <v>M</v>
      </c>
      <c r="L612" s="1" t="str">
        <f t="shared" ca="1" si="35"/>
        <v>M</v>
      </c>
      <c r="M612" s="1" t="str">
        <f t="shared" ca="1" si="36"/>
        <v>M</v>
      </c>
      <c r="N612" s="1" t="str">
        <f t="shared" ca="1" si="37"/>
        <v>M</v>
      </c>
      <c r="O612" s="1" t="str">
        <f t="shared" ca="1" si="38"/>
        <v>M</v>
      </c>
      <c r="P612" s="1" t="str">
        <f t="shared" ca="1" si="39"/>
        <v>M</v>
      </c>
      <c r="Q612" s="1" t="str">
        <f t="shared" ca="1" si="40"/>
        <v>M</v>
      </c>
      <c r="R612" s="1" t="str">
        <f t="shared" ca="1" si="41"/>
        <v>M</v>
      </c>
      <c r="S612" s="1" t="str">
        <f t="shared" ca="1" si="42"/>
        <v>M</v>
      </c>
      <c r="T612" s="1" t="str">
        <f t="shared" ca="1" si="43"/>
        <v>M</v>
      </c>
      <c r="U612" s="1" t="str">
        <f t="shared" ca="1" si="44"/>
        <v>M</v>
      </c>
      <c r="V612" s="1" t="str">
        <f t="shared" ca="1" si="45"/>
        <v>M</v>
      </c>
      <c r="W612" s="1" t="str">
        <f t="shared" ca="1" si="46"/>
        <v>Keaton Parks</v>
      </c>
    </row>
    <row r="613" spans="1:23">
      <c r="A613" s="1" t="str">
        <f ca="1">IFERROR(__xludf.DUMMYFUNCTION("""COMPUTED_VALUE"""),"Ilijah")</f>
        <v>Ilijah</v>
      </c>
      <c r="B613" s="1" t="str">
        <f ca="1">IFERROR(__xludf.DUMMYFUNCTION("""COMPUTED_VALUE"""),"Paul")</f>
        <v>Paul</v>
      </c>
      <c r="C613" s="1" t="str">
        <f ca="1">IFERROR(__xludf.DUMMYFUNCTION("""COMPUTED_VALUE"""),"Real Salt Lake")</f>
        <v>Real Salt Lake</v>
      </c>
      <c r="D613" s="1" t="str">
        <f ca="1">IFERROR(__xludf.DUMMYFUNCTION("""COMPUTED_VALUE"""),"Center Forward")</f>
        <v>Center Forward</v>
      </c>
      <c r="E613" s="2">
        <f ca="1">IFERROR(__xludf.DUMMYFUNCTION("""COMPUTED_VALUE"""),89716)</f>
        <v>89716</v>
      </c>
      <c r="F613" s="2">
        <f ca="1">IFERROR(__xludf.DUMMYFUNCTION("""COMPUTED_VALUE"""),97229)</f>
        <v>97229</v>
      </c>
      <c r="H613" s="1" t="str">
        <f t="shared" ca="1" si="32"/>
        <v>Center Forward</v>
      </c>
      <c r="I613" s="3" t="str">
        <f t="shared" ca="1" si="33"/>
        <v>Center Forward</v>
      </c>
      <c r="J613" s="1" t="str">
        <f t="shared" ca="1" si="34"/>
        <v>Center Forward</v>
      </c>
      <c r="K613" s="1" t="str">
        <f t="shared" ca="1" si="47"/>
        <v>Center Forward</v>
      </c>
      <c r="L613" s="1" t="str">
        <f t="shared" ca="1" si="35"/>
        <v>Center Forward</v>
      </c>
      <c r="M613" s="1" t="str">
        <f t="shared" ca="1" si="36"/>
        <v>Center Forward</v>
      </c>
      <c r="N613" s="1" t="str">
        <f t="shared" ca="1" si="37"/>
        <v>Center Forward</v>
      </c>
      <c r="O613" s="1" t="str">
        <f t="shared" ca="1" si="38"/>
        <v>F</v>
      </c>
      <c r="P613" s="1" t="str">
        <f t="shared" ca="1" si="39"/>
        <v>F</v>
      </c>
      <c r="Q613" s="1" t="str">
        <f t="shared" ca="1" si="40"/>
        <v>F</v>
      </c>
      <c r="R613" s="1" t="str">
        <f t="shared" ca="1" si="41"/>
        <v>F</v>
      </c>
      <c r="S613" s="1" t="str">
        <f t="shared" ca="1" si="42"/>
        <v>F</v>
      </c>
      <c r="T613" s="1" t="str">
        <f t="shared" ca="1" si="43"/>
        <v>F</v>
      </c>
      <c r="U613" s="1" t="str">
        <f t="shared" ca="1" si="44"/>
        <v>F</v>
      </c>
      <c r="V613" s="1" t="str">
        <f t="shared" ca="1" si="45"/>
        <v>F</v>
      </c>
      <c r="W613" s="1" t="str">
        <f t="shared" ca="1" si="46"/>
        <v>Ilijah Paul</v>
      </c>
    </row>
    <row r="614" spans="1:23">
      <c r="A614" s="1" t="str">
        <f ca="1">IFERROR(__xludf.DUMMYFUNCTION("""COMPUTED_VALUE"""),"Tyson")</f>
        <v>Tyson</v>
      </c>
      <c r="B614" s="1" t="str">
        <f ca="1">IFERROR(__xludf.DUMMYFUNCTION("""COMPUTED_VALUE"""),"Pearce")</f>
        <v>Pearce</v>
      </c>
      <c r="C614" s="1" t="str">
        <f ca="1">IFERROR(__xludf.DUMMYFUNCTION("""COMPUTED_VALUE"""),"St. Louis City SC")</f>
        <v>St. Louis City SC</v>
      </c>
      <c r="D614" s="1" t="str">
        <f ca="1">IFERROR(__xludf.DUMMYFUNCTION("""COMPUTED_VALUE"""),"Defensive Midfield")</f>
        <v>Defensive Midfield</v>
      </c>
      <c r="E614" s="2">
        <f ca="1">IFERROR(__xludf.DUMMYFUNCTION("""COMPUTED_VALUE"""),71401)</f>
        <v>71401</v>
      </c>
      <c r="F614" s="2">
        <f ca="1">IFERROR(__xludf.DUMMYFUNCTION("""COMPUTED_VALUE"""),71401)</f>
        <v>71401</v>
      </c>
      <c r="H614" s="1" t="str">
        <f t="shared" ca="1" si="32"/>
        <v>Defensive Midfield</v>
      </c>
      <c r="I614" s="3" t="str">
        <f t="shared" ca="1" si="33"/>
        <v>Defensive Midfield</v>
      </c>
      <c r="J614" s="1" t="str">
        <f t="shared" ca="1" si="34"/>
        <v>Defensive Midfield</v>
      </c>
      <c r="K614" s="1" t="str">
        <f t="shared" ca="1" si="47"/>
        <v>M</v>
      </c>
      <c r="L614" s="1" t="str">
        <f t="shared" ca="1" si="35"/>
        <v>M</v>
      </c>
      <c r="M614" s="1" t="str">
        <f t="shared" ca="1" si="36"/>
        <v>M</v>
      </c>
      <c r="N614" s="1" t="str">
        <f t="shared" ca="1" si="37"/>
        <v>M</v>
      </c>
      <c r="O614" s="1" t="str">
        <f t="shared" ca="1" si="38"/>
        <v>M</v>
      </c>
      <c r="P614" s="1" t="str">
        <f t="shared" ca="1" si="39"/>
        <v>M</v>
      </c>
      <c r="Q614" s="1" t="str">
        <f t="shared" ca="1" si="40"/>
        <v>M</v>
      </c>
      <c r="R614" s="1" t="str">
        <f t="shared" ca="1" si="41"/>
        <v>M</v>
      </c>
      <c r="S614" s="1" t="str">
        <f t="shared" ca="1" si="42"/>
        <v>M</v>
      </c>
      <c r="T614" s="1" t="str">
        <f t="shared" ca="1" si="43"/>
        <v>M</v>
      </c>
      <c r="U614" s="1" t="str">
        <f t="shared" ca="1" si="44"/>
        <v>M</v>
      </c>
      <c r="V614" s="1" t="str">
        <f t="shared" ca="1" si="45"/>
        <v>M</v>
      </c>
      <c r="W614" s="1" t="str">
        <f t="shared" ca="1" si="46"/>
        <v>Tyson Pearce</v>
      </c>
    </row>
    <row r="615" spans="1:23">
      <c r="A615" s="1" t="str">
        <f ca="1">IFERROR(__xludf.DUMMYFUNCTION("""COMPUTED_VALUE"""),"Adam")</f>
        <v>Adam</v>
      </c>
      <c r="B615" s="1" t="str">
        <f ca="1">IFERROR(__xludf.DUMMYFUNCTION("""COMPUTED_VALUE"""),"Pearlman")</f>
        <v>Pearlman</v>
      </c>
      <c r="C615" s="1" t="str">
        <f ca="1">IFERROR(__xludf.DUMMYFUNCTION("""COMPUTED_VALUE"""),"Toronto FC")</f>
        <v>Toronto FC</v>
      </c>
      <c r="D615" s="1" t="str">
        <f ca="1">IFERROR(__xludf.DUMMYFUNCTION("""COMPUTED_VALUE"""),"Center-back")</f>
        <v>Center-back</v>
      </c>
      <c r="E615" s="2">
        <f ca="1">IFERROR(__xludf.DUMMYFUNCTION("""COMPUTED_VALUE"""),71401)</f>
        <v>71401</v>
      </c>
      <c r="F615" s="2">
        <f ca="1">IFERROR(__xludf.DUMMYFUNCTION("""COMPUTED_VALUE"""),84701)</f>
        <v>84701</v>
      </c>
      <c r="H615" s="1" t="str">
        <f t="shared" ca="1" si="32"/>
        <v>D</v>
      </c>
      <c r="I615" s="3" t="str">
        <f t="shared" ca="1" si="33"/>
        <v>D</v>
      </c>
      <c r="J615" s="1" t="str">
        <f t="shared" ca="1" si="34"/>
        <v>D</v>
      </c>
      <c r="K615" s="1" t="str">
        <f t="shared" ca="1" si="47"/>
        <v>D</v>
      </c>
      <c r="L615" s="1" t="str">
        <f t="shared" ca="1" si="35"/>
        <v>D</v>
      </c>
      <c r="M615" s="1" t="str">
        <f t="shared" ca="1" si="36"/>
        <v>D</v>
      </c>
      <c r="N615" s="1" t="str">
        <f t="shared" ca="1" si="37"/>
        <v>D</v>
      </c>
      <c r="O615" s="1" t="str">
        <f t="shared" ca="1" si="38"/>
        <v>D</v>
      </c>
      <c r="P615" s="1" t="str">
        <f t="shared" ca="1" si="39"/>
        <v>D</v>
      </c>
      <c r="Q615" s="1" t="str">
        <f t="shared" ca="1" si="40"/>
        <v>D</v>
      </c>
      <c r="R615" s="1" t="str">
        <f t="shared" ca="1" si="41"/>
        <v>D</v>
      </c>
      <c r="S615" s="1" t="str">
        <f t="shared" ca="1" si="42"/>
        <v>D</v>
      </c>
      <c r="T615" s="1" t="str">
        <f t="shared" ca="1" si="43"/>
        <v>D</v>
      </c>
      <c r="U615" s="1" t="str">
        <f t="shared" ca="1" si="44"/>
        <v>D</v>
      </c>
      <c r="V615" s="1" t="str">
        <f t="shared" ca="1" si="45"/>
        <v>D</v>
      </c>
      <c r="W615" s="1" t="str">
        <f t="shared" ca="1" si="46"/>
        <v>Adam Pearlman</v>
      </c>
    </row>
    <row r="616" spans="1:23">
      <c r="A616" s="1" t="str">
        <f ca="1">IFERROR(__xludf.DUMMYFUNCTION("""COMPUTED_VALUE"""),"Nathan Raphael")</f>
        <v>Nathan Raphael</v>
      </c>
      <c r="B616" s="1" t="str">
        <f ca="1">IFERROR(__xludf.DUMMYFUNCTION("""COMPUTED_VALUE"""),"Pelae Cardoso")</f>
        <v>Pelae Cardoso</v>
      </c>
      <c r="C616" s="1" t="str">
        <f ca="1">IFERROR(__xludf.DUMMYFUNCTION("""COMPUTED_VALUE"""),"Seattle Sounders FC")</f>
        <v>Seattle Sounders FC</v>
      </c>
      <c r="D616" s="1" t="str">
        <f ca="1">IFERROR(__xludf.DUMMYFUNCTION("""COMPUTED_VALUE"""),"Center-back")</f>
        <v>Center-back</v>
      </c>
      <c r="E616" s="2">
        <f ca="1">IFERROR(__xludf.DUMMYFUNCTION("""COMPUTED_VALUE"""),550000)</f>
        <v>550000</v>
      </c>
      <c r="F616" s="2">
        <f ca="1">IFERROR(__xludf.DUMMYFUNCTION("""COMPUTED_VALUE"""),550000)</f>
        <v>550000</v>
      </c>
      <c r="H616" s="1" t="str">
        <f t="shared" ca="1" si="32"/>
        <v>D</v>
      </c>
      <c r="I616" s="3" t="str">
        <f t="shared" ca="1" si="33"/>
        <v>D</v>
      </c>
      <c r="J616" s="1" t="str">
        <f t="shared" ca="1" si="34"/>
        <v>D</v>
      </c>
      <c r="K616" s="1" t="str">
        <f t="shared" ca="1" si="47"/>
        <v>D</v>
      </c>
      <c r="L616" s="1" t="str">
        <f t="shared" ca="1" si="35"/>
        <v>D</v>
      </c>
      <c r="M616" s="1" t="str">
        <f t="shared" ca="1" si="36"/>
        <v>D</v>
      </c>
      <c r="N616" s="1" t="str">
        <f t="shared" ca="1" si="37"/>
        <v>D</v>
      </c>
      <c r="O616" s="1" t="str">
        <f t="shared" ca="1" si="38"/>
        <v>D</v>
      </c>
      <c r="P616" s="1" t="str">
        <f t="shared" ca="1" si="39"/>
        <v>D</v>
      </c>
      <c r="Q616" s="1" t="str">
        <f t="shared" ca="1" si="40"/>
        <v>D</v>
      </c>
      <c r="R616" s="1" t="str">
        <f t="shared" ca="1" si="41"/>
        <v>D</v>
      </c>
      <c r="S616" s="1" t="str">
        <f t="shared" ca="1" si="42"/>
        <v>D</v>
      </c>
      <c r="T616" s="1" t="str">
        <f t="shared" ca="1" si="43"/>
        <v>D</v>
      </c>
      <c r="U616" s="1" t="str">
        <f t="shared" ca="1" si="44"/>
        <v>D</v>
      </c>
      <c r="V616" s="1" t="str">
        <f t="shared" ca="1" si="45"/>
        <v>D</v>
      </c>
      <c r="W616" s="1" t="str">
        <f t="shared" ca="1" si="46"/>
        <v>Nathan Raphael Pelae Cardoso</v>
      </c>
    </row>
    <row r="617" spans="1:23">
      <c r="A617" s="1" t="str">
        <f ca="1">IFERROR(__xludf.DUMMYFUNCTION("""COMPUTED_VALUE"""),"Amahl")</f>
        <v>Amahl</v>
      </c>
      <c r="B617" s="1" t="str">
        <f ca="1">IFERROR(__xludf.DUMMYFUNCTION("""COMPUTED_VALUE"""),"Pellegrino")</f>
        <v>Pellegrino</v>
      </c>
      <c r="C617" s="1" t="str">
        <f ca="1">IFERROR(__xludf.DUMMYFUNCTION("""COMPUTED_VALUE"""),"San Jose Earthquakes")</f>
        <v>San Jose Earthquakes</v>
      </c>
      <c r="D617" s="1" t="str">
        <f ca="1">IFERROR(__xludf.DUMMYFUNCTION("""COMPUTED_VALUE"""),"Left Wing")</f>
        <v>Left Wing</v>
      </c>
      <c r="E617" s="2">
        <f ca="1">IFERROR(__xludf.DUMMYFUNCTION("""COMPUTED_VALUE"""),850000)</f>
        <v>850000</v>
      </c>
      <c r="F617" s="2">
        <f ca="1">IFERROR(__xludf.DUMMYFUNCTION("""COMPUTED_VALUE"""),912500)</f>
        <v>912500</v>
      </c>
      <c r="H617" s="1" t="str">
        <f t="shared" ca="1" si="32"/>
        <v>Left Wing</v>
      </c>
      <c r="I617" s="3" t="str">
        <f t="shared" ca="1" si="33"/>
        <v>Left Wing</v>
      </c>
      <c r="J617" s="1" t="str">
        <f t="shared" ca="1" si="34"/>
        <v>Left Wing</v>
      </c>
      <c r="K617" s="1" t="str">
        <f t="shared" ca="1" si="47"/>
        <v>Left Wing</v>
      </c>
      <c r="L617" s="1" t="str">
        <f t="shared" ca="1" si="35"/>
        <v>Left Wing</v>
      </c>
      <c r="M617" s="1" t="str">
        <f t="shared" ca="1" si="36"/>
        <v>Left Wing</v>
      </c>
      <c r="N617" s="1" t="str">
        <f t="shared" ca="1" si="37"/>
        <v>Left Wing</v>
      </c>
      <c r="O617" s="1" t="str">
        <f t="shared" ca="1" si="38"/>
        <v>Left Wing</v>
      </c>
      <c r="P617" s="1" t="str">
        <f t="shared" ca="1" si="39"/>
        <v>F</v>
      </c>
      <c r="Q617" s="1" t="str">
        <f t="shared" ca="1" si="40"/>
        <v>F</v>
      </c>
      <c r="R617" s="1" t="str">
        <f t="shared" ca="1" si="41"/>
        <v>F</v>
      </c>
      <c r="S617" s="1" t="str">
        <f t="shared" ca="1" si="42"/>
        <v>F</v>
      </c>
      <c r="T617" s="1" t="str">
        <f t="shared" ca="1" si="43"/>
        <v>F</v>
      </c>
      <c r="U617" s="1" t="str">
        <f t="shared" ca="1" si="44"/>
        <v>F</v>
      </c>
      <c r="V617" s="1" t="str">
        <f t="shared" ca="1" si="45"/>
        <v>F</v>
      </c>
      <c r="W617" s="1" t="str">
        <f t="shared" ca="1" si="46"/>
        <v>Amahl Pellegrino</v>
      </c>
    </row>
    <row r="618" spans="1:23">
      <c r="A618" s="1" t="str">
        <f ca="1">IFERROR(__xludf.DUMMYFUNCTION("""COMPUTED_VALUE"""),"Matti")</f>
        <v>Matti</v>
      </c>
      <c r="B618" s="1" t="str">
        <f ca="1">IFERROR(__xludf.DUMMYFUNCTION("""COMPUTED_VALUE"""),"Peltola")</f>
        <v>Peltola</v>
      </c>
      <c r="C618" s="1" t="str">
        <f ca="1">IFERROR(__xludf.DUMMYFUNCTION("""COMPUTED_VALUE"""),"DC United")</f>
        <v>DC United</v>
      </c>
      <c r="D618" s="1" t="str">
        <f ca="1">IFERROR(__xludf.DUMMYFUNCTION("""COMPUTED_VALUE"""),"Defensive Midfield")</f>
        <v>Defensive Midfield</v>
      </c>
      <c r="E618" s="2">
        <f ca="1">IFERROR(__xludf.DUMMYFUNCTION("""COMPUTED_VALUE"""),681818)</f>
        <v>681818</v>
      </c>
      <c r="F618" s="2">
        <f ca="1">IFERROR(__xludf.DUMMYFUNCTION("""COMPUTED_VALUE"""),757818)</f>
        <v>757818</v>
      </c>
      <c r="H618" s="1" t="str">
        <f t="shared" ca="1" si="32"/>
        <v>Defensive Midfield</v>
      </c>
      <c r="I618" s="3" t="str">
        <f t="shared" ca="1" si="33"/>
        <v>Defensive Midfield</v>
      </c>
      <c r="J618" s="1" t="str">
        <f t="shared" ca="1" si="34"/>
        <v>Defensive Midfield</v>
      </c>
      <c r="K618" s="1" t="str">
        <f t="shared" ca="1" si="47"/>
        <v>M</v>
      </c>
      <c r="L618" s="1" t="str">
        <f t="shared" ca="1" si="35"/>
        <v>M</v>
      </c>
      <c r="M618" s="1" t="str">
        <f t="shared" ca="1" si="36"/>
        <v>M</v>
      </c>
      <c r="N618" s="1" t="str">
        <f t="shared" ca="1" si="37"/>
        <v>M</v>
      </c>
      <c r="O618" s="1" t="str">
        <f t="shared" ca="1" si="38"/>
        <v>M</v>
      </c>
      <c r="P618" s="1" t="str">
        <f t="shared" ca="1" si="39"/>
        <v>M</v>
      </c>
      <c r="Q618" s="1" t="str">
        <f t="shared" ca="1" si="40"/>
        <v>M</v>
      </c>
      <c r="R618" s="1" t="str">
        <f t="shared" ca="1" si="41"/>
        <v>M</v>
      </c>
      <c r="S618" s="1" t="str">
        <f t="shared" ca="1" si="42"/>
        <v>M</v>
      </c>
      <c r="T618" s="1" t="str">
        <f t="shared" ca="1" si="43"/>
        <v>M</v>
      </c>
      <c r="U618" s="1" t="str">
        <f t="shared" ca="1" si="44"/>
        <v>M</v>
      </c>
      <c r="V618" s="1" t="str">
        <f t="shared" ca="1" si="45"/>
        <v>M</v>
      </c>
      <c r="W618" s="1" t="str">
        <f t="shared" ca="1" si="46"/>
        <v>Matti Peltola</v>
      </c>
    </row>
    <row r="619" spans="1:23">
      <c r="A619" s="1" t="str">
        <f ca="1">IFERROR(__xludf.DUMMYFUNCTION("""COMPUTED_VALUE"""),"Andrés")</f>
        <v>Andrés</v>
      </c>
      <c r="B619" s="1" t="str">
        <f ca="1">IFERROR(__xludf.DUMMYFUNCTION("""COMPUTED_VALUE"""),"Perea")</f>
        <v>Perea</v>
      </c>
      <c r="C619" s="1" t="str">
        <f ca="1">IFERROR(__xludf.DUMMYFUNCTION("""COMPUTED_VALUE"""),"New York City FC")</f>
        <v>New York City FC</v>
      </c>
      <c r="D619" s="1" t="str">
        <f ca="1">IFERROR(__xludf.DUMMYFUNCTION("""COMPUTED_VALUE"""),"Defensive Midfield")</f>
        <v>Defensive Midfield</v>
      </c>
      <c r="E619" s="2">
        <f ca="1">IFERROR(__xludf.DUMMYFUNCTION("""COMPUTED_VALUE"""),575000)</f>
        <v>575000</v>
      </c>
      <c r="F619" s="2">
        <f ca="1">IFERROR(__xludf.DUMMYFUNCTION("""COMPUTED_VALUE"""),641500)</f>
        <v>641500</v>
      </c>
      <c r="H619" s="1" t="str">
        <f t="shared" ca="1" si="32"/>
        <v>Defensive Midfield</v>
      </c>
      <c r="I619" s="3" t="str">
        <f t="shared" ca="1" si="33"/>
        <v>Defensive Midfield</v>
      </c>
      <c r="J619" s="1" t="str">
        <f t="shared" ca="1" si="34"/>
        <v>Defensive Midfield</v>
      </c>
      <c r="K619" s="1" t="str">
        <f t="shared" ca="1" si="47"/>
        <v>M</v>
      </c>
      <c r="L619" s="1" t="str">
        <f t="shared" ca="1" si="35"/>
        <v>M</v>
      </c>
      <c r="M619" s="1" t="str">
        <f t="shared" ca="1" si="36"/>
        <v>M</v>
      </c>
      <c r="N619" s="1" t="str">
        <f t="shared" ca="1" si="37"/>
        <v>M</v>
      </c>
      <c r="O619" s="1" t="str">
        <f t="shared" ca="1" si="38"/>
        <v>M</v>
      </c>
      <c r="P619" s="1" t="str">
        <f t="shared" ca="1" si="39"/>
        <v>M</v>
      </c>
      <c r="Q619" s="1" t="str">
        <f t="shared" ca="1" si="40"/>
        <v>M</v>
      </c>
      <c r="R619" s="1" t="str">
        <f t="shared" ca="1" si="41"/>
        <v>M</v>
      </c>
      <c r="S619" s="1" t="str">
        <f t="shared" ca="1" si="42"/>
        <v>M</v>
      </c>
      <c r="T619" s="1" t="str">
        <f t="shared" ca="1" si="43"/>
        <v>M</v>
      </c>
      <c r="U619" s="1" t="str">
        <f t="shared" ca="1" si="44"/>
        <v>M</v>
      </c>
      <c r="V619" s="1" t="str">
        <f t="shared" ca="1" si="45"/>
        <v>M</v>
      </c>
      <c r="W619" s="1" t="str">
        <f t="shared" ca="1" si="46"/>
        <v>Andrés Perea</v>
      </c>
    </row>
    <row r="620" spans="1:23">
      <c r="A620" s="1" t="str">
        <f ca="1">IFERROR(__xludf.DUMMYFUNCTION("""COMPUTED_VALUE"""),"Daniel")</f>
        <v>Daniel</v>
      </c>
      <c r="B620" s="1" t="str">
        <f ca="1">IFERROR(__xludf.DUMMYFUNCTION("""COMPUTED_VALUE"""),"Pereira")</f>
        <v>Pereira</v>
      </c>
      <c r="C620" s="1" t="str">
        <f ca="1">IFERROR(__xludf.DUMMYFUNCTION("""COMPUTED_VALUE"""),"Austin FC")</f>
        <v>Austin FC</v>
      </c>
      <c r="D620" s="1" t="str">
        <f ca="1">IFERROR(__xludf.DUMMYFUNCTION("""COMPUTED_VALUE"""),"Central Midfield")</f>
        <v>Central Midfield</v>
      </c>
      <c r="E620" s="2">
        <f ca="1">IFERROR(__xludf.DUMMYFUNCTION("""COMPUTED_VALUE"""),125000)</f>
        <v>125000</v>
      </c>
      <c r="F620" s="2">
        <f ca="1">IFERROR(__xludf.DUMMYFUNCTION("""COMPUTED_VALUE"""),138414)</f>
        <v>138414</v>
      </c>
      <c r="H620" s="1" t="str">
        <f t="shared" ca="1" si="32"/>
        <v>Central Midfield</v>
      </c>
      <c r="I620" s="3" t="str">
        <f t="shared" ca="1" si="33"/>
        <v>Central Midfield</v>
      </c>
      <c r="J620" s="1" t="str">
        <f t="shared" ca="1" si="34"/>
        <v>Central Midfield</v>
      </c>
      <c r="K620" s="1" t="str">
        <f t="shared" ca="1" si="47"/>
        <v>Central Midfield</v>
      </c>
      <c r="L620" s="1" t="str">
        <f t="shared" ca="1" si="35"/>
        <v>M</v>
      </c>
      <c r="M620" s="1" t="str">
        <f t="shared" ca="1" si="36"/>
        <v>M</v>
      </c>
      <c r="N620" s="1" t="str">
        <f t="shared" ca="1" si="37"/>
        <v>M</v>
      </c>
      <c r="O620" s="1" t="str">
        <f t="shared" ca="1" si="38"/>
        <v>M</v>
      </c>
      <c r="P620" s="1" t="str">
        <f t="shared" ca="1" si="39"/>
        <v>M</v>
      </c>
      <c r="Q620" s="1" t="str">
        <f t="shared" ca="1" si="40"/>
        <v>M</v>
      </c>
      <c r="R620" s="1" t="str">
        <f t="shared" ca="1" si="41"/>
        <v>M</v>
      </c>
      <c r="S620" s="1" t="str">
        <f t="shared" ca="1" si="42"/>
        <v>M</v>
      </c>
      <c r="T620" s="1" t="str">
        <f t="shared" ca="1" si="43"/>
        <v>M</v>
      </c>
      <c r="U620" s="1" t="str">
        <f t="shared" ca="1" si="44"/>
        <v>M</v>
      </c>
      <c r="V620" s="1" t="str">
        <f t="shared" ca="1" si="45"/>
        <v>M</v>
      </c>
      <c r="W620" s="1" t="str">
        <f t="shared" ca="1" si="46"/>
        <v>Daniel Pereira</v>
      </c>
    </row>
    <row r="621" spans="1:23">
      <c r="A621" s="1" t="str">
        <f ca="1">IFERROR(__xludf.DUMMYFUNCTION("""COMPUTED_VALUE"""),"Miguel")</f>
        <v>Miguel</v>
      </c>
      <c r="B621" s="1" t="str">
        <f ca="1">IFERROR(__xludf.DUMMYFUNCTION("""COMPUTED_VALUE"""),"Perez")</f>
        <v>Perez</v>
      </c>
      <c r="C621" s="1" t="str">
        <f ca="1">IFERROR(__xludf.DUMMYFUNCTION("""COMPUTED_VALUE"""),"St. Louis City SC")</f>
        <v>St. Louis City SC</v>
      </c>
      <c r="D621" s="1" t="str">
        <f ca="1">IFERROR(__xludf.DUMMYFUNCTION("""COMPUTED_VALUE"""),"Central Midfield")</f>
        <v>Central Midfield</v>
      </c>
      <c r="E621" s="2">
        <f ca="1">IFERROR(__xludf.DUMMYFUNCTION("""COMPUTED_VALUE"""),71401)</f>
        <v>71401</v>
      </c>
      <c r="F621" s="2">
        <f ca="1">IFERROR(__xludf.DUMMYFUNCTION("""COMPUTED_VALUE"""),71401)</f>
        <v>71401</v>
      </c>
      <c r="H621" s="1" t="str">
        <f t="shared" ca="1" si="32"/>
        <v>Central Midfield</v>
      </c>
      <c r="I621" s="3" t="str">
        <f t="shared" ca="1" si="33"/>
        <v>Central Midfield</v>
      </c>
      <c r="J621" s="1" t="str">
        <f t="shared" ca="1" si="34"/>
        <v>Central Midfield</v>
      </c>
      <c r="K621" s="1" t="str">
        <f t="shared" ca="1" si="47"/>
        <v>Central Midfield</v>
      </c>
      <c r="L621" s="1" t="str">
        <f t="shared" ca="1" si="35"/>
        <v>M</v>
      </c>
      <c r="M621" s="1" t="str">
        <f t="shared" ca="1" si="36"/>
        <v>M</v>
      </c>
      <c r="N621" s="1" t="str">
        <f t="shared" ca="1" si="37"/>
        <v>M</v>
      </c>
      <c r="O621" s="1" t="str">
        <f t="shared" ca="1" si="38"/>
        <v>M</v>
      </c>
      <c r="P621" s="1" t="str">
        <f t="shared" ca="1" si="39"/>
        <v>M</v>
      </c>
      <c r="Q621" s="1" t="str">
        <f t="shared" ca="1" si="40"/>
        <v>M</v>
      </c>
      <c r="R621" s="1" t="str">
        <f t="shared" ca="1" si="41"/>
        <v>M</v>
      </c>
      <c r="S621" s="1" t="str">
        <f t="shared" ca="1" si="42"/>
        <v>M</v>
      </c>
      <c r="T621" s="1" t="str">
        <f t="shared" ca="1" si="43"/>
        <v>M</v>
      </c>
      <c r="U621" s="1" t="str">
        <f t="shared" ca="1" si="44"/>
        <v>M</v>
      </c>
      <c r="V621" s="1" t="str">
        <f t="shared" ca="1" si="45"/>
        <v>M</v>
      </c>
      <c r="W621" s="1" t="str">
        <f t="shared" ca="1" si="46"/>
        <v>Miguel Perez</v>
      </c>
    </row>
    <row r="622" spans="1:23">
      <c r="A622" s="1" t="str">
        <f ca="1">IFERROR(__xludf.DUMMYFUNCTION("""COMPUTED_VALUE"""),"Jordan")</f>
        <v>Jordan</v>
      </c>
      <c r="B622" s="1" t="str">
        <f ca="1">IFERROR(__xludf.DUMMYFUNCTION("""COMPUTED_VALUE"""),"Perruzza")</f>
        <v>Perruzza</v>
      </c>
      <c r="C622" s="1" t="str">
        <f ca="1">IFERROR(__xludf.DUMMYFUNCTION("""COMPUTED_VALUE"""),"Toronto FC")</f>
        <v>Toronto FC</v>
      </c>
      <c r="D622" s="1" t="str">
        <f ca="1">IFERROR(__xludf.DUMMYFUNCTION("""COMPUTED_VALUE"""),"Center Forward")</f>
        <v>Center Forward</v>
      </c>
      <c r="E622" s="2">
        <f ca="1">IFERROR(__xludf.DUMMYFUNCTION("""COMPUTED_VALUE"""),136500)</f>
        <v>136500</v>
      </c>
      <c r="F622" s="2">
        <f ca="1">IFERROR(__xludf.DUMMYFUNCTION("""COMPUTED_VALUE"""),139000)</f>
        <v>139000</v>
      </c>
      <c r="H622" s="1" t="str">
        <f t="shared" ca="1" si="32"/>
        <v>Center Forward</v>
      </c>
      <c r="I622" s="3" t="str">
        <f t="shared" ca="1" si="33"/>
        <v>Center Forward</v>
      </c>
      <c r="J622" s="1" t="str">
        <f t="shared" ca="1" si="34"/>
        <v>Center Forward</v>
      </c>
      <c r="K622" s="1" t="str">
        <f t="shared" ca="1" si="47"/>
        <v>Center Forward</v>
      </c>
      <c r="L622" s="1" t="str">
        <f t="shared" ca="1" si="35"/>
        <v>Center Forward</v>
      </c>
      <c r="M622" s="1" t="str">
        <f t="shared" ca="1" si="36"/>
        <v>Center Forward</v>
      </c>
      <c r="N622" s="1" t="str">
        <f t="shared" ca="1" si="37"/>
        <v>Center Forward</v>
      </c>
      <c r="O622" s="1" t="str">
        <f t="shared" ca="1" si="38"/>
        <v>F</v>
      </c>
      <c r="P622" s="1" t="str">
        <f t="shared" ca="1" si="39"/>
        <v>F</v>
      </c>
      <c r="Q622" s="1" t="str">
        <f t="shared" ca="1" si="40"/>
        <v>F</v>
      </c>
      <c r="R622" s="1" t="str">
        <f t="shared" ca="1" si="41"/>
        <v>F</v>
      </c>
      <c r="S622" s="1" t="str">
        <f t="shared" ca="1" si="42"/>
        <v>F</v>
      </c>
      <c r="T622" s="1" t="str">
        <f t="shared" ca="1" si="43"/>
        <v>F</v>
      </c>
      <c r="U622" s="1" t="str">
        <f t="shared" ca="1" si="44"/>
        <v>F</v>
      </c>
      <c r="V622" s="1" t="str">
        <f t="shared" ca="1" si="45"/>
        <v>F</v>
      </c>
      <c r="W622" s="1" t="str">
        <f t="shared" ca="1" si="46"/>
        <v>Jordan Perruzza</v>
      </c>
    </row>
    <row r="623" spans="1:23">
      <c r="A623" s="1" t="str">
        <f ca="1">IFERROR(__xludf.DUMMYFUNCTION("""COMPUTED_VALUE"""),"Nikola")</f>
        <v>Nikola</v>
      </c>
      <c r="B623" s="1" t="str">
        <f ca="1">IFERROR(__xludf.DUMMYFUNCTION("""COMPUTED_VALUE"""),"Petkovic")</f>
        <v>Petkovic</v>
      </c>
      <c r="C623" s="1" t="str">
        <f ca="1">IFERROR(__xludf.DUMMYFUNCTION("""COMPUTED_VALUE"""),"Charlotte FC")</f>
        <v>Charlotte FC</v>
      </c>
      <c r="D623" s="1" t="str">
        <f ca="1">IFERROR(__xludf.DUMMYFUNCTION("""COMPUTED_VALUE"""),"Defensive Midfield")</f>
        <v>Defensive Midfield</v>
      </c>
      <c r="E623" s="2">
        <f ca="1">IFERROR(__xludf.DUMMYFUNCTION("""COMPUTED_VALUE"""),360000)</f>
        <v>360000</v>
      </c>
      <c r="F623" s="2">
        <f ca="1">IFERROR(__xludf.DUMMYFUNCTION("""COMPUTED_VALUE"""),406250)</f>
        <v>406250</v>
      </c>
      <c r="H623" s="1" t="str">
        <f t="shared" ca="1" si="32"/>
        <v>Defensive Midfield</v>
      </c>
      <c r="I623" s="3" t="str">
        <f t="shared" ca="1" si="33"/>
        <v>Defensive Midfield</v>
      </c>
      <c r="J623" s="1" t="str">
        <f t="shared" ca="1" si="34"/>
        <v>Defensive Midfield</v>
      </c>
      <c r="K623" s="1" t="str">
        <f t="shared" ca="1" si="47"/>
        <v>M</v>
      </c>
      <c r="L623" s="1" t="str">
        <f t="shared" ca="1" si="35"/>
        <v>M</v>
      </c>
      <c r="M623" s="1" t="str">
        <f t="shared" ca="1" si="36"/>
        <v>M</v>
      </c>
      <c r="N623" s="1" t="str">
        <f t="shared" ca="1" si="37"/>
        <v>M</v>
      </c>
      <c r="O623" s="1" t="str">
        <f t="shared" ca="1" si="38"/>
        <v>M</v>
      </c>
      <c r="P623" s="1" t="str">
        <f t="shared" ca="1" si="39"/>
        <v>M</v>
      </c>
      <c r="Q623" s="1" t="str">
        <f t="shared" ca="1" si="40"/>
        <v>M</v>
      </c>
      <c r="R623" s="1" t="str">
        <f t="shared" ca="1" si="41"/>
        <v>M</v>
      </c>
      <c r="S623" s="1" t="str">
        <f t="shared" ca="1" si="42"/>
        <v>M</v>
      </c>
      <c r="T623" s="1" t="str">
        <f t="shared" ca="1" si="43"/>
        <v>M</v>
      </c>
      <c r="U623" s="1" t="str">
        <f t="shared" ca="1" si="44"/>
        <v>M</v>
      </c>
      <c r="V623" s="1" t="str">
        <f t="shared" ca="1" si="45"/>
        <v>M</v>
      </c>
      <c r="W623" s="1" t="str">
        <f t="shared" ca="1" si="46"/>
        <v>Nikola Petkovic</v>
      </c>
    </row>
    <row r="624" spans="1:23">
      <c r="A624" s="1" t="str">
        <f ca="1">IFERROR(__xludf.DUMMYFUNCTION("""COMPUTED_VALUE"""),"Luca")</f>
        <v>Luca</v>
      </c>
      <c r="B624" s="1" t="str">
        <f ca="1">IFERROR(__xludf.DUMMYFUNCTION("""COMPUTED_VALUE"""),"Petrasso")</f>
        <v>Petrasso</v>
      </c>
      <c r="C624" s="1" t="str">
        <f ca="1">IFERROR(__xludf.DUMMYFUNCTION("""COMPUTED_VALUE"""),"Orlando City SC")</f>
        <v>Orlando City SC</v>
      </c>
      <c r="D624" s="1" t="str">
        <f ca="1">IFERROR(__xludf.DUMMYFUNCTION("""COMPUTED_VALUE"""),"Left-back")</f>
        <v>Left-back</v>
      </c>
      <c r="E624" s="2">
        <f ca="1">IFERROR(__xludf.DUMMYFUNCTION("""COMPUTED_VALUE"""),95000)</f>
        <v>95000</v>
      </c>
      <c r="F624" s="2">
        <f ca="1">IFERROR(__xludf.DUMMYFUNCTION("""COMPUTED_VALUE"""),104024)</f>
        <v>104024</v>
      </c>
      <c r="H624" s="1" t="str">
        <f t="shared" ca="1" si="32"/>
        <v>Left-back</v>
      </c>
      <c r="I624" s="3" t="str">
        <f t="shared" ca="1" si="33"/>
        <v>D</v>
      </c>
      <c r="J624" s="1" t="str">
        <f t="shared" ca="1" si="34"/>
        <v>D</v>
      </c>
      <c r="K624" s="1" t="str">
        <f t="shared" ca="1" si="47"/>
        <v>D</v>
      </c>
      <c r="L624" s="1" t="str">
        <f t="shared" ca="1" si="35"/>
        <v>D</v>
      </c>
      <c r="M624" s="1" t="str">
        <f t="shared" ca="1" si="36"/>
        <v>D</v>
      </c>
      <c r="N624" s="1" t="str">
        <f t="shared" ca="1" si="37"/>
        <v>D</v>
      </c>
      <c r="O624" s="1" t="str">
        <f t="shared" ca="1" si="38"/>
        <v>D</v>
      </c>
      <c r="P624" s="1" t="str">
        <f t="shared" ca="1" si="39"/>
        <v>D</v>
      </c>
      <c r="Q624" s="1" t="str">
        <f t="shared" ca="1" si="40"/>
        <v>D</v>
      </c>
      <c r="R624" s="1" t="str">
        <f t="shared" ca="1" si="41"/>
        <v>D</v>
      </c>
      <c r="S624" s="1" t="str">
        <f t="shared" ca="1" si="42"/>
        <v>D</v>
      </c>
      <c r="T624" s="1" t="str">
        <f t="shared" ca="1" si="43"/>
        <v>D</v>
      </c>
      <c r="U624" s="1" t="str">
        <f t="shared" ca="1" si="44"/>
        <v>D</v>
      </c>
      <c r="V624" s="1" t="str">
        <f t="shared" ca="1" si="45"/>
        <v>D</v>
      </c>
      <c r="W624" s="1" t="str">
        <f t="shared" ca="1" si="46"/>
        <v>Luca Petrasso</v>
      </c>
    </row>
    <row r="625" spans="1:23">
      <c r="A625" s="1" t="str">
        <f ca="1">IFERROR(__xludf.DUMMYFUNCTION("""COMPUTED_VALUE"""),"Raoul")</f>
        <v>Raoul</v>
      </c>
      <c r="B625" s="1" t="str">
        <f ca="1">IFERROR(__xludf.DUMMYFUNCTION("""COMPUTED_VALUE"""),"Petretta")</f>
        <v>Petretta</v>
      </c>
      <c r="C625" s="1" t="str">
        <f ca="1">IFERROR(__xludf.DUMMYFUNCTION("""COMPUTED_VALUE"""),"Toronto FC")</f>
        <v>Toronto FC</v>
      </c>
      <c r="D625" s="1" t="str">
        <f ca="1">IFERROR(__xludf.DUMMYFUNCTION("""COMPUTED_VALUE"""),"Left-back")</f>
        <v>Left-back</v>
      </c>
      <c r="E625" s="2">
        <f ca="1">IFERROR(__xludf.DUMMYFUNCTION("""COMPUTED_VALUE"""),675000)</f>
        <v>675000</v>
      </c>
      <c r="F625" s="2">
        <f ca="1">IFERROR(__xludf.DUMMYFUNCTION("""COMPUTED_VALUE"""),906625)</f>
        <v>906625</v>
      </c>
      <c r="H625" s="1" t="str">
        <f t="shared" ca="1" si="32"/>
        <v>Left-back</v>
      </c>
      <c r="I625" s="3" t="str">
        <f t="shared" ca="1" si="33"/>
        <v>D</v>
      </c>
      <c r="J625" s="1" t="str">
        <f t="shared" ca="1" si="34"/>
        <v>D</v>
      </c>
      <c r="K625" s="1" t="str">
        <f t="shared" ca="1" si="47"/>
        <v>D</v>
      </c>
      <c r="L625" s="1" t="str">
        <f t="shared" ca="1" si="35"/>
        <v>D</v>
      </c>
      <c r="M625" s="1" t="str">
        <f t="shared" ca="1" si="36"/>
        <v>D</v>
      </c>
      <c r="N625" s="1" t="str">
        <f t="shared" ca="1" si="37"/>
        <v>D</v>
      </c>
      <c r="O625" s="1" t="str">
        <f t="shared" ca="1" si="38"/>
        <v>D</v>
      </c>
      <c r="P625" s="1" t="str">
        <f t="shared" ca="1" si="39"/>
        <v>D</v>
      </c>
      <c r="Q625" s="1" t="str">
        <f t="shared" ca="1" si="40"/>
        <v>D</v>
      </c>
      <c r="R625" s="1" t="str">
        <f t="shared" ca="1" si="41"/>
        <v>D</v>
      </c>
      <c r="S625" s="1" t="str">
        <f t="shared" ca="1" si="42"/>
        <v>D</v>
      </c>
      <c r="T625" s="1" t="str">
        <f t="shared" ca="1" si="43"/>
        <v>D</v>
      </c>
      <c r="U625" s="1" t="str">
        <f t="shared" ca="1" si="44"/>
        <v>D</v>
      </c>
      <c r="V625" s="1" t="str">
        <f t="shared" ca="1" si="45"/>
        <v>D</v>
      </c>
      <c r="W625" s="1" t="str">
        <f t="shared" ca="1" si="46"/>
        <v>Raoul Petretta</v>
      </c>
    </row>
    <row r="626" spans="1:23">
      <c r="A626" s="1" t="str">
        <f ca="1">IFERROR(__xludf.DUMMYFUNCTION("""COMPUTED_VALUE"""),"Fafà")</f>
        <v>Fafà</v>
      </c>
      <c r="B626" s="1" t="str">
        <f ca="1">IFERROR(__xludf.DUMMYFUNCTION("""COMPUTED_VALUE"""),"Picault")</f>
        <v>Picault</v>
      </c>
      <c r="C626" s="1" t="str">
        <f ca="1">IFERROR(__xludf.DUMMYFUNCTION("""COMPUTED_VALUE"""),"Vancouver Whitecaps")</f>
        <v>Vancouver Whitecaps</v>
      </c>
      <c r="D626" s="1" t="str">
        <f ca="1">IFERROR(__xludf.DUMMYFUNCTION("""COMPUTED_VALUE"""),"Left Wing")</f>
        <v>Left Wing</v>
      </c>
      <c r="E626" s="2">
        <f ca="1">IFERROR(__xludf.DUMMYFUNCTION("""COMPUTED_VALUE"""),650000)</f>
        <v>650000</v>
      </c>
      <c r="F626" s="2">
        <f ca="1">IFERROR(__xludf.DUMMYFUNCTION("""COMPUTED_VALUE"""),670000)</f>
        <v>670000</v>
      </c>
      <c r="H626" s="1" t="str">
        <f t="shared" ca="1" si="32"/>
        <v>Left Wing</v>
      </c>
      <c r="I626" s="3" t="str">
        <f t="shared" ca="1" si="33"/>
        <v>Left Wing</v>
      </c>
      <c r="J626" s="1" t="str">
        <f t="shared" ca="1" si="34"/>
        <v>Left Wing</v>
      </c>
      <c r="K626" s="1" t="str">
        <f t="shared" ca="1" si="47"/>
        <v>Left Wing</v>
      </c>
      <c r="L626" s="1" t="str">
        <f t="shared" ca="1" si="35"/>
        <v>Left Wing</v>
      </c>
      <c r="M626" s="1" t="str">
        <f t="shared" ca="1" si="36"/>
        <v>Left Wing</v>
      </c>
      <c r="N626" s="1" t="str">
        <f t="shared" ca="1" si="37"/>
        <v>Left Wing</v>
      </c>
      <c r="O626" s="1" t="str">
        <f t="shared" ca="1" si="38"/>
        <v>Left Wing</v>
      </c>
      <c r="P626" s="1" t="str">
        <f t="shared" ca="1" si="39"/>
        <v>F</v>
      </c>
      <c r="Q626" s="1" t="str">
        <f t="shared" ca="1" si="40"/>
        <v>F</v>
      </c>
      <c r="R626" s="1" t="str">
        <f t="shared" ca="1" si="41"/>
        <v>F</v>
      </c>
      <c r="S626" s="1" t="str">
        <f t="shared" ca="1" si="42"/>
        <v>F</v>
      </c>
      <c r="T626" s="1" t="str">
        <f t="shared" ca="1" si="43"/>
        <v>F</v>
      </c>
      <c r="U626" s="1" t="str">
        <f t="shared" ca="1" si="44"/>
        <v>F</v>
      </c>
      <c r="V626" s="1" t="str">
        <f t="shared" ca="1" si="45"/>
        <v>F</v>
      </c>
      <c r="W626" s="1" t="str">
        <f t="shared" ca="1" si="46"/>
        <v>Fafà Picault</v>
      </c>
    </row>
    <row r="627" spans="1:23">
      <c r="A627" s="1" t="str">
        <f ca="1">IFERROR(__xludf.DUMMYFUNCTION("""COMPUTED_VALUE"""),"Selmir")</f>
        <v>Selmir</v>
      </c>
      <c r="B627" s="1" t="str">
        <f ca="1">IFERROR(__xludf.DUMMYFUNCTION("""COMPUTED_VALUE"""),"Pidro")</f>
        <v>Pidro</v>
      </c>
      <c r="C627" s="1" t="str">
        <f ca="1">IFERROR(__xludf.DUMMYFUNCTION("""COMPUTED_VALUE"""),"St. Louis City SC")</f>
        <v>St. Louis City SC</v>
      </c>
      <c r="D627" s="1" t="str">
        <f ca="1">IFERROR(__xludf.DUMMYFUNCTION("""COMPUTED_VALUE"""),"Left-back")</f>
        <v>Left-back</v>
      </c>
      <c r="E627" s="2">
        <f ca="1">IFERROR(__xludf.DUMMYFUNCTION("""COMPUTED_VALUE"""),325000)</f>
        <v>325000</v>
      </c>
      <c r="F627" s="2">
        <f ca="1">IFERROR(__xludf.DUMMYFUNCTION("""COMPUTED_VALUE"""),374375)</f>
        <v>374375</v>
      </c>
      <c r="H627" s="1" t="str">
        <f t="shared" ca="1" si="32"/>
        <v>Left-back</v>
      </c>
      <c r="I627" s="3" t="str">
        <f t="shared" ca="1" si="33"/>
        <v>D</v>
      </c>
      <c r="J627" s="1" t="str">
        <f t="shared" ca="1" si="34"/>
        <v>D</v>
      </c>
      <c r="K627" s="1" t="str">
        <f t="shared" ca="1" si="47"/>
        <v>D</v>
      </c>
      <c r="L627" s="1" t="str">
        <f t="shared" ca="1" si="35"/>
        <v>D</v>
      </c>
      <c r="M627" s="1" t="str">
        <f t="shared" ca="1" si="36"/>
        <v>D</v>
      </c>
      <c r="N627" s="1" t="str">
        <f t="shared" ca="1" si="37"/>
        <v>D</v>
      </c>
      <c r="O627" s="1" t="str">
        <f t="shared" ca="1" si="38"/>
        <v>D</v>
      </c>
      <c r="P627" s="1" t="str">
        <f t="shared" ca="1" si="39"/>
        <v>D</v>
      </c>
      <c r="Q627" s="1" t="str">
        <f t="shared" ca="1" si="40"/>
        <v>D</v>
      </c>
      <c r="R627" s="1" t="str">
        <f t="shared" ca="1" si="41"/>
        <v>D</v>
      </c>
      <c r="S627" s="1" t="str">
        <f t="shared" ca="1" si="42"/>
        <v>D</v>
      </c>
      <c r="T627" s="1" t="str">
        <f t="shared" ca="1" si="43"/>
        <v>D</v>
      </c>
      <c r="U627" s="1" t="str">
        <f t="shared" ca="1" si="44"/>
        <v>D</v>
      </c>
      <c r="V627" s="1" t="str">
        <f t="shared" ca="1" si="45"/>
        <v>D</v>
      </c>
      <c r="W627" s="1" t="str">
        <f t="shared" ca="1" si="46"/>
        <v>Selmir Pidro</v>
      </c>
    </row>
    <row r="628" spans="1:23">
      <c r="A628" s="1" t="str">
        <f ca="1">IFERROR(__xludf.DUMMYFUNCTION("""COMPUTED_VALUE"""),"Delentz")</f>
        <v>Delentz</v>
      </c>
      <c r="B628" s="1" t="str">
        <f ca="1">IFERROR(__xludf.DUMMYFUNCTION("""COMPUTED_VALUE"""),"Pierre")</f>
        <v>Pierre</v>
      </c>
      <c r="C628" s="1" t="str">
        <f ca="1">IFERROR(__xludf.DUMMYFUNCTION("""COMPUTED_VALUE"""),"Real Salt Lake")</f>
        <v>Real Salt Lake</v>
      </c>
      <c r="D628" s="1" t="str">
        <f ca="1">IFERROR(__xludf.DUMMYFUNCTION("""COMPUTED_VALUE"""),"Center-back")</f>
        <v>Center-back</v>
      </c>
      <c r="E628" s="2">
        <f ca="1">IFERROR(__xludf.DUMMYFUNCTION("""COMPUTED_VALUE"""),71401)</f>
        <v>71401</v>
      </c>
      <c r="F628" s="2">
        <f ca="1">IFERROR(__xludf.DUMMYFUNCTION("""COMPUTED_VALUE"""),76836)</f>
        <v>76836</v>
      </c>
      <c r="H628" s="1" t="str">
        <f t="shared" ca="1" si="32"/>
        <v>D</v>
      </c>
      <c r="I628" s="3" t="str">
        <f t="shared" ca="1" si="33"/>
        <v>D</v>
      </c>
      <c r="J628" s="1" t="str">
        <f t="shared" ca="1" si="34"/>
        <v>D</v>
      </c>
      <c r="K628" s="1" t="str">
        <f t="shared" ca="1" si="47"/>
        <v>D</v>
      </c>
      <c r="L628" s="1" t="str">
        <f t="shared" ca="1" si="35"/>
        <v>D</v>
      </c>
      <c r="M628" s="1" t="str">
        <f t="shared" ca="1" si="36"/>
        <v>D</v>
      </c>
      <c r="N628" s="1" t="str">
        <f t="shared" ca="1" si="37"/>
        <v>D</v>
      </c>
      <c r="O628" s="1" t="str">
        <f t="shared" ca="1" si="38"/>
        <v>D</v>
      </c>
      <c r="P628" s="1" t="str">
        <f t="shared" ca="1" si="39"/>
        <v>D</v>
      </c>
      <c r="Q628" s="1" t="str">
        <f t="shared" ca="1" si="40"/>
        <v>D</v>
      </c>
      <c r="R628" s="1" t="str">
        <f t="shared" ca="1" si="41"/>
        <v>D</v>
      </c>
      <c r="S628" s="1" t="str">
        <f t="shared" ca="1" si="42"/>
        <v>D</v>
      </c>
      <c r="T628" s="1" t="str">
        <f t="shared" ca="1" si="43"/>
        <v>D</v>
      </c>
      <c r="U628" s="1" t="str">
        <f t="shared" ca="1" si="44"/>
        <v>D</v>
      </c>
      <c r="V628" s="1" t="str">
        <f t="shared" ca="1" si="45"/>
        <v>D</v>
      </c>
      <c r="W628" s="1" t="str">
        <f t="shared" ca="1" si="46"/>
        <v>Delentz Pierre</v>
      </c>
    </row>
    <row r="629" spans="1:23">
      <c r="A629" s="1" t="str">
        <f ca="1">IFERROR(__xludf.DUMMYFUNCTION("""COMPUTED_VALUE"""),"Kayden")</f>
        <v>Kayden</v>
      </c>
      <c r="B629" s="1" t="str">
        <f ca="1">IFERROR(__xludf.DUMMYFUNCTION("""COMPUTED_VALUE"""),"Pierre")</f>
        <v>Pierre</v>
      </c>
      <c r="C629" s="1" t="str">
        <f ca="1">IFERROR(__xludf.DUMMYFUNCTION("""COMPUTED_VALUE"""),"Sporting Kansas City")</f>
        <v>Sporting Kansas City</v>
      </c>
      <c r="D629" s="1" t="str">
        <f ca="1">IFERROR(__xludf.DUMMYFUNCTION("""COMPUTED_VALUE"""),"Right-back")</f>
        <v>Right-back</v>
      </c>
      <c r="E629" s="2">
        <f ca="1">IFERROR(__xludf.DUMMYFUNCTION("""COMPUTED_VALUE"""),89716)</f>
        <v>89716</v>
      </c>
      <c r="F629" s="2">
        <f ca="1">IFERROR(__xludf.DUMMYFUNCTION("""COMPUTED_VALUE"""),96091)</f>
        <v>96091</v>
      </c>
      <c r="H629" s="1" t="str">
        <f t="shared" ca="1" si="32"/>
        <v>Right-back</v>
      </c>
      <c r="I629" s="3" t="str">
        <f t="shared" ca="1" si="33"/>
        <v>Right-back</v>
      </c>
      <c r="J629" s="1" t="str">
        <f t="shared" ca="1" si="34"/>
        <v>D</v>
      </c>
      <c r="K629" s="1" t="str">
        <f t="shared" ca="1" si="47"/>
        <v>D</v>
      </c>
      <c r="L629" s="1" t="str">
        <f t="shared" ca="1" si="35"/>
        <v>D</v>
      </c>
      <c r="M629" s="1" t="str">
        <f t="shared" ca="1" si="36"/>
        <v>D</v>
      </c>
      <c r="N629" s="1" t="str">
        <f t="shared" ca="1" si="37"/>
        <v>D</v>
      </c>
      <c r="O629" s="1" t="str">
        <f t="shared" ca="1" si="38"/>
        <v>D</v>
      </c>
      <c r="P629" s="1" t="str">
        <f t="shared" ca="1" si="39"/>
        <v>D</v>
      </c>
      <c r="Q629" s="1" t="str">
        <f t="shared" ca="1" si="40"/>
        <v>D</v>
      </c>
      <c r="R629" s="1" t="str">
        <f t="shared" ca="1" si="41"/>
        <v>D</v>
      </c>
      <c r="S629" s="1" t="str">
        <f t="shared" ca="1" si="42"/>
        <v>D</v>
      </c>
      <c r="T629" s="1" t="str">
        <f t="shared" ca="1" si="43"/>
        <v>D</v>
      </c>
      <c r="U629" s="1" t="str">
        <f t="shared" ca="1" si="44"/>
        <v>D</v>
      </c>
      <c r="V629" s="1" t="str">
        <f t="shared" ca="1" si="45"/>
        <v>D</v>
      </c>
      <c r="W629" s="1" t="str">
        <f t="shared" ca="1" si="46"/>
        <v>Kayden Pierre</v>
      </c>
    </row>
    <row r="630" spans="1:23">
      <c r="A630" s="1" t="str">
        <f ca="1">IFERROR(__xludf.DUMMYFUNCTION("""COMPUTED_VALUE"""),"Nelson")</f>
        <v>Nelson</v>
      </c>
      <c r="B630" s="1" t="str">
        <f ca="1">IFERROR(__xludf.DUMMYFUNCTION("""COMPUTED_VALUE"""),"Pierre")</f>
        <v>Pierre</v>
      </c>
      <c r="C630" s="1" t="str">
        <f ca="1">IFERROR(__xludf.DUMMYFUNCTION("""COMPUTED_VALUE"""),"Philadelphia Union")</f>
        <v>Philadelphia Union</v>
      </c>
      <c r="D630" s="1" t="str">
        <f ca="1">IFERROR(__xludf.DUMMYFUNCTION("""COMPUTED_VALUE"""),"Center Forward")</f>
        <v>Center Forward</v>
      </c>
      <c r="E630" s="2">
        <f ca="1">IFERROR(__xludf.DUMMYFUNCTION("""COMPUTED_VALUE"""),71401)</f>
        <v>71401</v>
      </c>
      <c r="F630" s="2">
        <f ca="1">IFERROR(__xludf.DUMMYFUNCTION("""COMPUTED_VALUE"""),85517)</f>
        <v>85517</v>
      </c>
      <c r="H630" s="1" t="str">
        <f t="shared" ca="1" si="32"/>
        <v>Center Forward</v>
      </c>
      <c r="I630" s="3" t="str">
        <f t="shared" ca="1" si="33"/>
        <v>Center Forward</v>
      </c>
      <c r="J630" s="1" t="str">
        <f t="shared" ca="1" si="34"/>
        <v>Center Forward</v>
      </c>
      <c r="K630" s="1" t="str">
        <f t="shared" ca="1" si="47"/>
        <v>Center Forward</v>
      </c>
      <c r="L630" s="1" t="str">
        <f t="shared" ca="1" si="35"/>
        <v>Center Forward</v>
      </c>
      <c r="M630" s="1" t="str">
        <f t="shared" ca="1" si="36"/>
        <v>Center Forward</v>
      </c>
      <c r="N630" s="1" t="str">
        <f t="shared" ca="1" si="37"/>
        <v>Center Forward</v>
      </c>
      <c r="O630" s="1" t="str">
        <f t="shared" ca="1" si="38"/>
        <v>F</v>
      </c>
      <c r="P630" s="1" t="str">
        <f t="shared" ca="1" si="39"/>
        <v>F</v>
      </c>
      <c r="Q630" s="1" t="str">
        <f t="shared" ca="1" si="40"/>
        <v>F</v>
      </c>
      <c r="R630" s="1" t="str">
        <f t="shared" ca="1" si="41"/>
        <v>F</v>
      </c>
      <c r="S630" s="1" t="str">
        <f t="shared" ca="1" si="42"/>
        <v>F</v>
      </c>
      <c r="T630" s="1" t="str">
        <f t="shared" ca="1" si="43"/>
        <v>F</v>
      </c>
      <c r="U630" s="1" t="str">
        <f t="shared" ca="1" si="44"/>
        <v>F</v>
      </c>
      <c r="V630" s="1" t="str">
        <f t="shared" ca="1" si="45"/>
        <v>F</v>
      </c>
      <c r="W630" s="1" t="str">
        <f t="shared" ca="1" si="46"/>
        <v>Nelson Pierre</v>
      </c>
    </row>
    <row r="631" spans="1:23">
      <c r="A631" s="1" t="str">
        <f ca="1">IFERROR(__xludf.DUMMYFUNCTION("""COMPUTED_VALUE"""),"Samuel")</f>
        <v>Samuel</v>
      </c>
      <c r="B631" s="1" t="str">
        <f ca="1">IFERROR(__xludf.DUMMYFUNCTION("""COMPUTED_VALUE"""),"Piette")</f>
        <v>Piette</v>
      </c>
      <c r="C631" s="1" t="str">
        <f ca="1">IFERROR(__xludf.DUMMYFUNCTION("""COMPUTED_VALUE"""),"CF Montreal")</f>
        <v>CF Montreal</v>
      </c>
      <c r="D631" s="1" t="str">
        <f ca="1">IFERROR(__xludf.DUMMYFUNCTION("""COMPUTED_VALUE"""),"Defensive Midfield")</f>
        <v>Defensive Midfield</v>
      </c>
      <c r="E631" s="2">
        <f ca="1">IFERROR(__xludf.DUMMYFUNCTION("""COMPUTED_VALUE"""),397375)</f>
        <v>397375</v>
      </c>
      <c r="F631" s="2">
        <f ca="1">IFERROR(__xludf.DUMMYFUNCTION("""COMPUTED_VALUE"""),434500)</f>
        <v>434500</v>
      </c>
      <c r="H631" s="1" t="str">
        <f t="shared" ca="1" si="32"/>
        <v>Defensive Midfield</v>
      </c>
      <c r="I631" s="3" t="str">
        <f t="shared" ca="1" si="33"/>
        <v>Defensive Midfield</v>
      </c>
      <c r="J631" s="1" t="str">
        <f t="shared" ca="1" si="34"/>
        <v>Defensive Midfield</v>
      </c>
      <c r="K631" s="1" t="str">
        <f t="shared" ca="1" si="47"/>
        <v>M</v>
      </c>
      <c r="L631" s="1" t="str">
        <f t="shared" ca="1" si="35"/>
        <v>M</v>
      </c>
      <c r="M631" s="1" t="str">
        <f t="shared" ca="1" si="36"/>
        <v>M</v>
      </c>
      <c r="N631" s="1" t="str">
        <f t="shared" ca="1" si="37"/>
        <v>M</v>
      </c>
      <c r="O631" s="1" t="str">
        <f t="shared" ca="1" si="38"/>
        <v>M</v>
      </c>
      <c r="P631" s="1" t="str">
        <f t="shared" ca="1" si="39"/>
        <v>M</v>
      </c>
      <c r="Q631" s="1" t="str">
        <f t="shared" ca="1" si="40"/>
        <v>M</v>
      </c>
      <c r="R631" s="1" t="str">
        <f t="shared" ca="1" si="41"/>
        <v>M</v>
      </c>
      <c r="S631" s="1" t="str">
        <f t="shared" ca="1" si="42"/>
        <v>M</v>
      </c>
      <c r="T631" s="1" t="str">
        <f t="shared" ca="1" si="43"/>
        <v>M</v>
      </c>
      <c r="U631" s="1" t="str">
        <f t="shared" ca="1" si="44"/>
        <v>M</v>
      </c>
      <c r="V631" s="1" t="str">
        <f t="shared" ca="1" si="45"/>
        <v>M</v>
      </c>
      <c r="W631" s="1" t="str">
        <f t="shared" ca="1" si="46"/>
        <v>Samuel Piette</v>
      </c>
    </row>
    <row r="632" spans="1:23">
      <c r="A632" s="1" t="str">
        <f ca="1">IFERROR(__xludf.DUMMYFUNCTION("""COMPUTED_VALUE"""),"Mauricio")</f>
        <v>Mauricio</v>
      </c>
      <c r="B632" s="1" t="str">
        <f ca="1">IFERROR(__xludf.DUMMYFUNCTION("""COMPUTED_VALUE"""),"Pineda")</f>
        <v>Pineda</v>
      </c>
      <c r="C632" s="1" t="str">
        <f ca="1">IFERROR(__xludf.DUMMYFUNCTION("""COMPUTED_VALUE"""),"Chicago Fire")</f>
        <v>Chicago Fire</v>
      </c>
      <c r="D632" s="1" t="str">
        <f ca="1">IFERROR(__xludf.DUMMYFUNCTION("""COMPUTED_VALUE"""),"Center-back")</f>
        <v>Center-back</v>
      </c>
      <c r="E632" s="2">
        <f ca="1">IFERROR(__xludf.DUMMYFUNCTION("""COMPUTED_VALUE"""),345000)</f>
        <v>345000</v>
      </c>
      <c r="F632" s="2">
        <f ca="1">IFERROR(__xludf.DUMMYFUNCTION("""COMPUTED_VALUE"""),376220)</f>
        <v>376220</v>
      </c>
      <c r="H632" s="1" t="str">
        <f t="shared" ca="1" si="32"/>
        <v>D</v>
      </c>
      <c r="I632" s="3" t="str">
        <f t="shared" ca="1" si="33"/>
        <v>D</v>
      </c>
      <c r="J632" s="1" t="str">
        <f t="shared" ca="1" si="34"/>
        <v>D</v>
      </c>
      <c r="K632" s="1" t="str">
        <f t="shared" ca="1" si="47"/>
        <v>D</v>
      </c>
      <c r="L632" s="1" t="str">
        <f t="shared" ca="1" si="35"/>
        <v>D</v>
      </c>
      <c r="M632" s="1" t="str">
        <f t="shared" ca="1" si="36"/>
        <v>D</v>
      </c>
      <c r="N632" s="1" t="str">
        <f t="shared" ca="1" si="37"/>
        <v>D</v>
      </c>
      <c r="O632" s="1" t="str">
        <f t="shared" ca="1" si="38"/>
        <v>D</v>
      </c>
      <c r="P632" s="1" t="str">
        <f t="shared" ca="1" si="39"/>
        <v>D</v>
      </c>
      <c r="Q632" s="1" t="str">
        <f t="shared" ca="1" si="40"/>
        <v>D</v>
      </c>
      <c r="R632" s="1" t="str">
        <f t="shared" ca="1" si="41"/>
        <v>D</v>
      </c>
      <c r="S632" s="1" t="str">
        <f t="shared" ca="1" si="42"/>
        <v>D</v>
      </c>
      <c r="T632" s="1" t="str">
        <f t="shared" ca="1" si="43"/>
        <v>D</v>
      </c>
      <c r="U632" s="1" t="str">
        <f t="shared" ca="1" si="44"/>
        <v>D</v>
      </c>
      <c r="V632" s="1" t="str">
        <f t="shared" ca="1" si="45"/>
        <v>D</v>
      </c>
      <c r="W632" s="1" t="str">
        <f t="shared" ca="1" si="46"/>
        <v>Mauricio Pineda</v>
      </c>
    </row>
    <row r="633" spans="1:23">
      <c r="A633" s="1" t="str">
        <f ca="1">IFERROR(__xludf.DUMMYFUNCTION("""COMPUTED_VALUE"""),"Malik")</f>
        <v>Malik</v>
      </c>
      <c r="B633" s="1" t="str">
        <f ca="1">IFERROR(__xludf.DUMMYFUNCTION("""COMPUTED_VALUE"""),"Pinto")</f>
        <v>Pinto</v>
      </c>
      <c r="C633" s="1" t="str">
        <f ca="1">IFERROR(__xludf.DUMMYFUNCTION("""COMPUTED_VALUE"""),"FC Cincinnati")</f>
        <v>FC Cincinnati</v>
      </c>
      <c r="D633" s="1" t="str">
        <f ca="1">IFERROR(__xludf.DUMMYFUNCTION("""COMPUTED_VALUE"""),"Defensive Midfield")</f>
        <v>Defensive Midfield</v>
      </c>
      <c r="E633" s="2">
        <f ca="1">IFERROR(__xludf.DUMMYFUNCTION("""COMPUTED_VALUE"""),71401)</f>
        <v>71401</v>
      </c>
      <c r="F633" s="2">
        <f ca="1">IFERROR(__xludf.DUMMYFUNCTION("""COMPUTED_VALUE"""),71401)</f>
        <v>71401</v>
      </c>
      <c r="H633" s="1" t="str">
        <f t="shared" ca="1" si="32"/>
        <v>Defensive Midfield</v>
      </c>
      <c r="I633" s="3" t="str">
        <f t="shared" ca="1" si="33"/>
        <v>Defensive Midfield</v>
      </c>
      <c r="J633" s="1" t="str">
        <f t="shared" ca="1" si="34"/>
        <v>Defensive Midfield</v>
      </c>
      <c r="K633" s="1" t="str">
        <f t="shared" ca="1" si="47"/>
        <v>M</v>
      </c>
      <c r="L633" s="1" t="str">
        <f t="shared" ca="1" si="35"/>
        <v>M</v>
      </c>
      <c r="M633" s="1" t="str">
        <f t="shared" ca="1" si="36"/>
        <v>M</v>
      </c>
      <c r="N633" s="1" t="str">
        <f t="shared" ca="1" si="37"/>
        <v>M</v>
      </c>
      <c r="O633" s="1" t="str">
        <f t="shared" ca="1" si="38"/>
        <v>M</v>
      </c>
      <c r="P633" s="1" t="str">
        <f t="shared" ca="1" si="39"/>
        <v>M</v>
      </c>
      <c r="Q633" s="1" t="str">
        <f t="shared" ca="1" si="40"/>
        <v>M</v>
      </c>
      <c r="R633" s="1" t="str">
        <f t="shared" ca="1" si="41"/>
        <v>M</v>
      </c>
      <c r="S633" s="1" t="str">
        <f t="shared" ca="1" si="42"/>
        <v>M</v>
      </c>
      <c r="T633" s="1" t="str">
        <f t="shared" ca="1" si="43"/>
        <v>M</v>
      </c>
      <c r="U633" s="1" t="str">
        <f t="shared" ca="1" si="44"/>
        <v>M</v>
      </c>
      <c r="V633" s="1" t="str">
        <f t="shared" ca="1" si="45"/>
        <v>M</v>
      </c>
      <c r="W633" s="1" t="str">
        <f t="shared" ca="1" si="46"/>
        <v>Malik Pinto</v>
      </c>
    </row>
    <row r="634" spans="1:23">
      <c r="A634" s="1" t="str">
        <f ca="1">IFERROR(__xludf.DUMMYFUNCTION("""COMPUTED_VALUE"""),"Matt")</f>
        <v>Matt</v>
      </c>
      <c r="B634" s="1" t="str">
        <f ca="1">IFERROR(__xludf.DUMMYFUNCTION("""COMPUTED_VALUE"""),"Polster")</f>
        <v>Polster</v>
      </c>
      <c r="C634" s="1" t="str">
        <f ca="1">IFERROR(__xludf.DUMMYFUNCTION("""COMPUTED_VALUE"""),"New England Revolution")</f>
        <v>New England Revolution</v>
      </c>
      <c r="D634" s="1" t="str">
        <f ca="1">IFERROR(__xludf.DUMMYFUNCTION("""COMPUTED_VALUE"""),"Defensive Midfield")</f>
        <v>Defensive Midfield</v>
      </c>
      <c r="E634" s="2">
        <f ca="1">IFERROR(__xludf.DUMMYFUNCTION("""COMPUTED_VALUE"""),550000)</f>
        <v>550000</v>
      </c>
      <c r="F634" s="2">
        <f ca="1">IFERROR(__xludf.DUMMYFUNCTION("""COMPUTED_VALUE"""),591667)</f>
        <v>591667</v>
      </c>
      <c r="H634" s="1" t="str">
        <f t="shared" ca="1" si="32"/>
        <v>Defensive Midfield</v>
      </c>
      <c r="I634" s="3" t="str">
        <f t="shared" ca="1" si="33"/>
        <v>Defensive Midfield</v>
      </c>
      <c r="J634" s="1" t="str">
        <f t="shared" ca="1" si="34"/>
        <v>Defensive Midfield</v>
      </c>
      <c r="K634" s="1" t="str">
        <f t="shared" ca="1" si="47"/>
        <v>M</v>
      </c>
      <c r="L634" s="1" t="str">
        <f t="shared" ca="1" si="35"/>
        <v>M</v>
      </c>
      <c r="M634" s="1" t="str">
        <f t="shared" ca="1" si="36"/>
        <v>M</v>
      </c>
      <c r="N634" s="1" t="str">
        <f t="shared" ca="1" si="37"/>
        <v>M</v>
      </c>
      <c r="O634" s="1" t="str">
        <f t="shared" ca="1" si="38"/>
        <v>M</v>
      </c>
      <c r="P634" s="1" t="str">
        <f t="shared" ca="1" si="39"/>
        <v>M</v>
      </c>
      <c r="Q634" s="1" t="str">
        <f t="shared" ca="1" si="40"/>
        <v>M</v>
      </c>
      <c r="R634" s="1" t="str">
        <f t="shared" ca="1" si="41"/>
        <v>M</v>
      </c>
      <c r="S634" s="1" t="str">
        <f t="shared" ca="1" si="42"/>
        <v>M</v>
      </c>
      <c r="T634" s="1" t="str">
        <f t="shared" ca="1" si="43"/>
        <v>M</v>
      </c>
      <c r="U634" s="1" t="str">
        <f t="shared" ca="1" si="44"/>
        <v>M</v>
      </c>
      <c r="V634" s="1" t="str">
        <f t="shared" ca="1" si="45"/>
        <v>M</v>
      </c>
      <c r="W634" s="1" t="str">
        <f t="shared" ca="1" si="46"/>
        <v>Matt Polster</v>
      </c>
    </row>
    <row r="635" spans="1:23">
      <c r="A635" s="1" t="str">
        <f ca="1">IFERROR(__xludf.DUMMYFUNCTION("""COMPUTED_VALUE"""),"Célio Antonio")</f>
        <v>Célio Antonio</v>
      </c>
      <c r="B635" s="1" t="str">
        <f ca="1">IFERROR(__xludf.DUMMYFUNCTION("""COMPUTED_VALUE"""),"Pompeu")</f>
        <v>Pompeu</v>
      </c>
      <c r="C635" s="1" t="str">
        <f ca="1">IFERROR(__xludf.DUMMYFUNCTION("""COMPUTED_VALUE"""),"St. Louis City SC")</f>
        <v>St. Louis City SC</v>
      </c>
      <c r="D635" s="1" t="str">
        <f ca="1">IFERROR(__xludf.DUMMYFUNCTION("""COMPUTED_VALUE"""),"Left Wing")</f>
        <v>Left Wing</v>
      </c>
      <c r="E635" s="2">
        <f ca="1">IFERROR(__xludf.DUMMYFUNCTION("""COMPUTED_VALUE"""),164095)</f>
        <v>164095</v>
      </c>
      <c r="F635" s="2">
        <f ca="1">IFERROR(__xludf.DUMMYFUNCTION("""COMPUTED_VALUE"""),198989)</f>
        <v>198989</v>
      </c>
      <c r="H635" s="1" t="str">
        <f t="shared" ca="1" si="32"/>
        <v>Left Wing</v>
      </c>
      <c r="I635" s="3" t="str">
        <f t="shared" ca="1" si="33"/>
        <v>Left Wing</v>
      </c>
      <c r="J635" s="1" t="str">
        <f t="shared" ca="1" si="34"/>
        <v>Left Wing</v>
      </c>
      <c r="K635" s="1" t="str">
        <f t="shared" ca="1" si="47"/>
        <v>Left Wing</v>
      </c>
      <c r="L635" s="1" t="str">
        <f t="shared" ca="1" si="35"/>
        <v>Left Wing</v>
      </c>
      <c r="M635" s="1" t="str">
        <f t="shared" ca="1" si="36"/>
        <v>Left Wing</v>
      </c>
      <c r="N635" s="1" t="str">
        <f t="shared" ca="1" si="37"/>
        <v>Left Wing</v>
      </c>
      <c r="O635" s="1" t="str">
        <f t="shared" ca="1" si="38"/>
        <v>Left Wing</v>
      </c>
      <c r="P635" s="1" t="str">
        <f t="shared" ca="1" si="39"/>
        <v>F</v>
      </c>
      <c r="Q635" s="1" t="str">
        <f t="shared" ca="1" si="40"/>
        <v>F</v>
      </c>
      <c r="R635" s="1" t="str">
        <f t="shared" ca="1" si="41"/>
        <v>F</v>
      </c>
      <c r="S635" s="1" t="str">
        <f t="shared" ca="1" si="42"/>
        <v>F</v>
      </c>
      <c r="T635" s="1" t="str">
        <f t="shared" ca="1" si="43"/>
        <v>F</v>
      </c>
      <c r="U635" s="1" t="str">
        <f t="shared" ca="1" si="44"/>
        <v>F</v>
      </c>
      <c r="V635" s="1" t="str">
        <f t="shared" ca="1" si="45"/>
        <v>F</v>
      </c>
      <c r="W635" s="1" t="str">
        <f t="shared" ca="1" si="46"/>
        <v>Célio Antonio Pompeu</v>
      </c>
    </row>
    <row r="636" spans="1:23">
      <c r="A636" s="1" t="str">
        <f ca="1">IFERROR(__xludf.DUMMYFUNCTION("""COMPUTED_VALUE"""),"Paxton")</f>
        <v>Paxton</v>
      </c>
      <c r="B636" s="1" t="str">
        <f ca="1">IFERROR(__xludf.DUMMYFUNCTION("""COMPUTED_VALUE"""),"Pomykal")</f>
        <v>Pomykal</v>
      </c>
      <c r="C636" s="1" t="str">
        <f ca="1">IFERROR(__xludf.DUMMYFUNCTION("""COMPUTED_VALUE"""),"FC Dallas")</f>
        <v>FC Dallas</v>
      </c>
      <c r="D636" s="1" t="str">
        <f ca="1">IFERROR(__xludf.DUMMYFUNCTION("""COMPUTED_VALUE"""),"Attacking Midfield")</f>
        <v>Attacking Midfield</v>
      </c>
      <c r="E636" s="2">
        <f ca="1">IFERROR(__xludf.DUMMYFUNCTION("""COMPUTED_VALUE"""),950000)</f>
        <v>950000</v>
      </c>
      <c r="F636" s="2">
        <f ca="1">IFERROR(__xludf.DUMMYFUNCTION("""COMPUTED_VALUE"""),1058000)</f>
        <v>1058000</v>
      </c>
      <c r="H636" s="1" t="str">
        <f t="shared" ca="1" si="32"/>
        <v>Attacking Midfield</v>
      </c>
      <c r="I636" s="3" t="str">
        <f t="shared" ca="1" si="33"/>
        <v>Attacking Midfield</v>
      </c>
      <c r="J636" s="1" t="str">
        <f t="shared" ca="1" si="34"/>
        <v>Attacking Midfield</v>
      </c>
      <c r="K636" s="1" t="str">
        <f t="shared" ca="1" si="47"/>
        <v>Attacking Midfield</v>
      </c>
      <c r="L636" s="1" t="str">
        <f t="shared" ca="1" si="35"/>
        <v>Attacking Midfield</v>
      </c>
      <c r="M636" s="1" t="str">
        <f t="shared" ca="1" si="36"/>
        <v>M</v>
      </c>
      <c r="N636" s="1" t="str">
        <f t="shared" ca="1" si="37"/>
        <v>M</v>
      </c>
      <c r="O636" s="1" t="str">
        <f t="shared" ca="1" si="38"/>
        <v>M</v>
      </c>
      <c r="P636" s="1" t="str">
        <f t="shared" ca="1" si="39"/>
        <v>M</v>
      </c>
      <c r="Q636" s="1" t="str">
        <f t="shared" ca="1" si="40"/>
        <v>M</v>
      </c>
      <c r="R636" s="1" t="str">
        <f t="shared" ca="1" si="41"/>
        <v>M</v>
      </c>
      <c r="S636" s="1" t="str">
        <f t="shared" ca="1" si="42"/>
        <v>M</v>
      </c>
      <c r="T636" s="1" t="str">
        <f t="shared" ca="1" si="43"/>
        <v>M</v>
      </c>
      <c r="U636" s="1" t="str">
        <f t="shared" ca="1" si="44"/>
        <v>M</v>
      </c>
      <c r="V636" s="1" t="str">
        <f t="shared" ca="1" si="45"/>
        <v>M</v>
      </c>
      <c r="W636" s="1" t="str">
        <f t="shared" ca="1" si="46"/>
        <v>Paxton Pomykal</v>
      </c>
    </row>
    <row r="637" spans="1:23">
      <c r="A637" s="1" t="str">
        <f ca="1">IFERROR(__xludf.DUMMYFUNCTION("""COMPUTED_VALUE"""),"Tomas")</f>
        <v>Tomas</v>
      </c>
      <c r="B637" s="1" t="str">
        <f ca="1">IFERROR(__xludf.DUMMYFUNCTION("""COMPUTED_VALUE"""),"Pondeca")</f>
        <v>Pondeca</v>
      </c>
      <c r="C637" s="1" t="str">
        <f ca="1">IFERROR(__xludf.DUMMYFUNCTION("""COMPUTED_VALUE"""),"FC Dallas")</f>
        <v>FC Dallas</v>
      </c>
      <c r="D637" s="1" t="str">
        <f ca="1">IFERROR(__xludf.DUMMYFUNCTION("""COMPUTED_VALUE"""),"Right Wing")</f>
        <v>Right Wing</v>
      </c>
      <c r="E637" s="2">
        <f ca="1">IFERROR(__xludf.DUMMYFUNCTION("""COMPUTED_VALUE"""),71401)</f>
        <v>71401</v>
      </c>
      <c r="F637" s="2">
        <f ca="1">IFERROR(__xludf.DUMMYFUNCTION("""COMPUTED_VALUE"""),71401)</f>
        <v>71401</v>
      </c>
      <c r="H637" s="1" t="str">
        <f t="shared" ca="1" si="32"/>
        <v>Right Wing</v>
      </c>
      <c r="I637" s="3" t="str">
        <f t="shared" ca="1" si="33"/>
        <v>Right Wing</v>
      </c>
      <c r="J637" s="1" t="str">
        <f t="shared" ca="1" si="34"/>
        <v>Right Wing</v>
      </c>
      <c r="K637" s="1" t="str">
        <f t="shared" ca="1" si="47"/>
        <v>Right Wing</v>
      </c>
      <c r="L637" s="1" t="str">
        <f t="shared" ca="1" si="35"/>
        <v>Right Wing</v>
      </c>
      <c r="M637" s="1" t="str">
        <f t="shared" ca="1" si="36"/>
        <v>Right Wing</v>
      </c>
      <c r="N637" s="1" t="str">
        <f t="shared" ca="1" si="37"/>
        <v>F</v>
      </c>
      <c r="O637" s="1" t="str">
        <f t="shared" ca="1" si="38"/>
        <v>F</v>
      </c>
      <c r="P637" s="1" t="str">
        <f t="shared" ca="1" si="39"/>
        <v>F</v>
      </c>
      <c r="Q637" s="1" t="str">
        <f t="shared" ca="1" si="40"/>
        <v>F</v>
      </c>
      <c r="R637" s="1" t="str">
        <f t="shared" ca="1" si="41"/>
        <v>F</v>
      </c>
      <c r="S637" s="1" t="str">
        <f t="shared" ca="1" si="42"/>
        <v>F</v>
      </c>
      <c r="T637" s="1" t="str">
        <f t="shared" ca="1" si="43"/>
        <v>F</v>
      </c>
      <c r="U637" s="1" t="str">
        <f t="shared" ca="1" si="44"/>
        <v>F</v>
      </c>
      <c r="V637" s="1" t="str">
        <f t="shared" ca="1" si="45"/>
        <v>F</v>
      </c>
      <c r="W637" s="1" t="str">
        <f t="shared" ca="1" si="46"/>
        <v>Tomas Pondeca</v>
      </c>
    </row>
    <row r="638" spans="1:23">
      <c r="A638" s="1" t="str">
        <f ca="1">IFERROR(__xludf.DUMMYFUNCTION("""COMPUTED_VALUE"""),"Alvas")</f>
        <v>Alvas</v>
      </c>
      <c r="B638" s="1" t="str">
        <f ca="1">IFERROR(__xludf.DUMMYFUNCTION("""COMPUTED_VALUE"""),"Powell")</f>
        <v>Powell</v>
      </c>
      <c r="C638" s="1" t="str">
        <f ca="1">IFERROR(__xludf.DUMMYFUNCTION("""COMPUTED_VALUE"""),"FC Cincinnati")</f>
        <v>FC Cincinnati</v>
      </c>
      <c r="D638" s="1" t="str">
        <f ca="1">IFERROR(__xludf.DUMMYFUNCTION("""COMPUTED_VALUE"""),"Right-back")</f>
        <v>Right-back</v>
      </c>
      <c r="E638" s="2">
        <f ca="1">IFERROR(__xludf.DUMMYFUNCTION("""COMPUTED_VALUE"""),250000)</f>
        <v>250000</v>
      </c>
      <c r="F638" s="2">
        <f ca="1">IFERROR(__xludf.DUMMYFUNCTION("""COMPUTED_VALUE"""),294500)</f>
        <v>294500</v>
      </c>
      <c r="H638" s="1" t="str">
        <f t="shared" ca="1" si="32"/>
        <v>Right-back</v>
      </c>
      <c r="I638" s="3" t="str">
        <f t="shared" ca="1" si="33"/>
        <v>Right-back</v>
      </c>
      <c r="J638" s="1" t="str">
        <f t="shared" ca="1" si="34"/>
        <v>D</v>
      </c>
      <c r="K638" s="1" t="str">
        <f t="shared" ca="1" si="47"/>
        <v>D</v>
      </c>
      <c r="L638" s="1" t="str">
        <f t="shared" ca="1" si="35"/>
        <v>D</v>
      </c>
      <c r="M638" s="1" t="str">
        <f t="shared" ca="1" si="36"/>
        <v>D</v>
      </c>
      <c r="N638" s="1" t="str">
        <f t="shared" ca="1" si="37"/>
        <v>D</v>
      </c>
      <c r="O638" s="1" t="str">
        <f t="shared" ca="1" si="38"/>
        <v>D</v>
      </c>
      <c r="P638" s="1" t="str">
        <f t="shared" ca="1" si="39"/>
        <v>D</v>
      </c>
      <c r="Q638" s="1" t="str">
        <f t="shared" ca="1" si="40"/>
        <v>D</v>
      </c>
      <c r="R638" s="1" t="str">
        <f t="shared" ca="1" si="41"/>
        <v>D</v>
      </c>
      <c r="S638" s="1" t="str">
        <f t="shared" ca="1" si="42"/>
        <v>D</v>
      </c>
      <c r="T638" s="1" t="str">
        <f t="shared" ca="1" si="43"/>
        <v>D</v>
      </c>
      <c r="U638" s="1" t="str">
        <f t="shared" ca="1" si="44"/>
        <v>D</v>
      </c>
      <c r="V638" s="1" t="str">
        <f t="shared" ca="1" si="45"/>
        <v>D</v>
      </c>
      <c r="W638" s="1" t="str">
        <f t="shared" ca="1" si="46"/>
        <v>Alvas Powell</v>
      </c>
    </row>
    <row r="639" spans="1:23">
      <c r="A639" s="1" t="str">
        <f ca="1">IFERROR(__xludf.DUMMYFUNCTION("""COMPUTED_VALUE"""),"Ralph")</f>
        <v>Ralph</v>
      </c>
      <c r="B639" s="1" t="str">
        <f ca="1">IFERROR(__xludf.DUMMYFUNCTION("""COMPUTED_VALUE"""),"Priso")</f>
        <v>Priso</v>
      </c>
      <c r="C639" s="1" t="str">
        <f ca="1">IFERROR(__xludf.DUMMYFUNCTION("""COMPUTED_VALUE"""),"Vancouver Whitecaps")</f>
        <v>Vancouver Whitecaps</v>
      </c>
      <c r="D639" s="1" t="str">
        <f ca="1">IFERROR(__xludf.DUMMYFUNCTION("""COMPUTED_VALUE"""),"Defensive Midfield")</f>
        <v>Defensive Midfield</v>
      </c>
      <c r="E639" s="2">
        <f ca="1">IFERROR(__xludf.DUMMYFUNCTION("""COMPUTED_VALUE"""),125000)</f>
        <v>125000</v>
      </c>
      <c r="F639" s="2">
        <f ca="1">IFERROR(__xludf.DUMMYFUNCTION("""COMPUTED_VALUE"""),125000)</f>
        <v>125000</v>
      </c>
      <c r="H639" s="1" t="str">
        <f t="shared" ca="1" si="32"/>
        <v>Defensive Midfield</v>
      </c>
      <c r="I639" s="3" t="str">
        <f t="shared" ca="1" si="33"/>
        <v>Defensive Midfield</v>
      </c>
      <c r="J639" s="1" t="str">
        <f t="shared" ca="1" si="34"/>
        <v>Defensive Midfield</v>
      </c>
      <c r="K639" s="1" t="str">
        <f t="shared" ca="1" si="47"/>
        <v>M</v>
      </c>
      <c r="L639" s="1" t="str">
        <f t="shared" ca="1" si="35"/>
        <v>M</v>
      </c>
      <c r="M639" s="1" t="str">
        <f t="shared" ca="1" si="36"/>
        <v>M</v>
      </c>
      <c r="N639" s="1" t="str">
        <f t="shared" ca="1" si="37"/>
        <v>M</v>
      </c>
      <c r="O639" s="1" t="str">
        <f t="shared" ca="1" si="38"/>
        <v>M</v>
      </c>
      <c r="P639" s="1" t="str">
        <f t="shared" ca="1" si="39"/>
        <v>M</v>
      </c>
      <c r="Q639" s="1" t="str">
        <f t="shared" ca="1" si="40"/>
        <v>M</v>
      </c>
      <c r="R639" s="1" t="str">
        <f t="shared" ca="1" si="41"/>
        <v>M</v>
      </c>
      <c r="S639" s="1" t="str">
        <f t="shared" ca="1" si="42"/>
        <v>M</v>
      </c>
      <c r="T639" s="1" t="str">
        <f t="shared" ca="1" si="43"/>
        <v>M</v>
      </c>
      <c r="U639" s="1" t="str">
        <f t="shared" ca="1" si="44"/>
        <v>M</v>
      </c>
      <c r="V639" s="1" t="str">
        <f t="shared" ca="1" si="45"/>
        <v>M</v>
      </c>
      <c r="W639" s="1" t="str">
        <f t="shared" ca="1" si="46"/>
        <v>Ralph Priso</v>
      </c>
    </row>
    <row r="640" spans="1:23">
      <c r="A640" s="1" t="str">
        <f ca="1">IFERROR(__xludf.DUMMYFUNCTION("""COMPUTED_VALUE"""),"Andrew")</f>
        <v>Andrew</v>
      </c>
      <c r="B640" s="1" t="str">
        <f ca="1">IFERROR(__xludf.DUMMYFUNCTION("""COMPUTED_VALUE"""),"Privett")</f>
        <v>Privett</v>
      </c>
      <c r="C640" s="1" t="str">
        <f ca="1">IFERROR(__xludf.DUMMYFUNCTION("""COMPUTED_VALUE"""),"Charlotte FC")</f>
        <v>Charlotte FC</v>
      </c>
      <c r="D640" s="1" t="str">
        <f ca="1">IFERROR(__xludf.DUMMYFUNCTION("""COMPUTED_VALUE"""),"Center-back")</f>
        <v>Center-back</v>
      </c>
      <c r="E640" s="2">
        <f ca="1">IFERROR(__xludf.DUMMYFUNCTION("""COMPUTED_VALUE"""),71401)</f>
        <v>71401</v>
      </c>
      <c r="F640" s="2">
        <f ca="1">IFERROR(__xludf.DUMMYFUNCTION("""COMPUTED_VALUE"""),71401)</f>
        <v>71401</v>
      </c>
      <c r="H640" s="1" t="str">
        <f t="shared" ca="1" si="32"/>
        <v>D</v>
      </c>
      <c r="I640" s="3" t="str">
        <f t="shared" ca="1" si="33"/>
        <v>D</v>
      </c>
      <c r="J640" s="1" t="str">
        <f t="shared" ca="1" si="34"/>
        <v>D</v>
      </c>
      <c r="K640" s="1" t="str">
        <f t="shared" ca="1" si="47"/>
        <v>D</v>
      </c>
      <c r="L640" s="1" t="str">
        <f t="shared" ca="1" si="35"/>
        <v>D</v>
      </c>
      <c r="M640" s="1" t="str">
        <f t="shared" ca="1" si="36"/>
        <v>D</v>
      </c>
      <c r="N640" s="1" t="str">
        <f t="shared" ca="1" si="37"/>
        <v>D</v>
      </c>
      <c r="O640" s="1" t="str">
        <f t="shared" ca="1" si="38"/>
        <v>D</v>
      </c>
      <c r="P640" s="1" t="str">
        <f t="shared" ca="1" si="39"/>
        <v>D</v>
      </c>
      <c r="Q640" s="1" t="str">
        <f t="shared" ca="1" si="40"/>
        <v>D</v>
      </c>
      <c r="R640" s="1" t="str">
        <f t="shared" ca="1" si="41"/>
        <v>D</v>
      </c>
      <c r="S640" s="1" t="str">
        <f t="shared" ca="1" si="42"/>
        <v>D</v>
      </c>
      <c r="T640" s="1" t="str">
        <f t="shared" ca="1" si="43"/>
        <v>D</v>
      </c>
      <c r="U640" s="1" t="str">
        <f t="shared" ca="1" si="44"/>
        <v>D</v>
      </c>
      <c r="V640" s="1" t="str">
        <f t="shared" ca="1" si="45"/>
        <v>D</v>
      </c>
      <c r="W640" s="1" t="str">
        <f t="shared" ca="1" si="46"/>
        <v>Andrew Privett</v>
      </c>
    </row>
    <row r="641" spans="1:23">
      <c r="A641" s="1" t="str">
        <f ca="1">IFERROR(__xludf.DUMMYFUNCTION("""COMPUTED_VALUE"""),"Riqui")</f>
        <v>Riqui</v>
      </c>
      <c r="B641" s="1" t="str">
        <f ca="1">IFERROR(__xludf.DUMMYFUNCTION("""COMPUTED_VALUE"""),"Puig")</f>
        <v>Puig</v>
      </c>
      <c r="C641" s="1" t="str">
        <f ca="1">IFERROR(__xludf.DUMMYFUNCTION("""COMPUTED_VALUE"""),"LA Galaxy")</f>
        <v>LA Galaxy</v>
      </c>
      <c r="D641" s="1" t="str">
        <f ca="1">IFERROR(__xludf.DUMMYFUNCTION("""COMPUTED_VALUE"""),"Central Midfield")</f>
        <v>Central Midfield</v>
      </c>
      <c r="E641" s="2">
        <f ca="1">IFERROR(__xludf.DUMMYFUNCTION("""COMPUTED_VALUE"""),2349996)</f>
        <v>2349996</v>
      </c>
      <c r="F641" s="2">
        <f ca="1">IFERROR(__xludf.DUMMYFUNCTION("""COMPUTED_VALUE"""),2449996)</f>
        <v>2449996</v>
      </c>
      <c r="H641" s="1" t="str">
        <f t="shared" ca="1" si="32"/>
        <v>Central Midfield</v>
      </c>
      <c r="I641" s="3" t="str">
        <f t="shared" ca="1" si="33"/>
        <v>Central Midfield</v>
      </c>
      <c r="J641" s="1" t="str">
        <f t="shared" ca="1" si="34"/>
        <v>Central Midfield</v>
      </c>
      <c r="K641" s="1" t="str">
        <f t="shared" ca="1" si="47"/>
        <v>Central Midfield</v>
      </c>
      <c r="L641" s="1" t="str">
        <f t="shared" ca="1" si="35"/>
        <v>M</v>
      </c>
      <c r="M641" s="1" t="str">
        <f t="shared" ca="1" si="36"/>
        <v>M</v>
      </c>
      <c r="N641" s="1" t="str">
        <f t="shared" ca="1" si="37"/>
        <v>M</v>
      </c>
      <c r="O641" s="1" t="str">
        <f t="shared" ca="1" si="38"/>
        <v>M</v>
      </c>
      <c r="P641" s="1" t="str">
        <f t="shared" ca="1" si="39"/>
        <v>M</v>
      </c>
      <c r="Q641" s="1" t="str">
        <f t="shared" ca="1" si="40"/>
        <v>M</v>
      </c>
      <c r="R641" s="1" t="str">
        <f t="shared" ca="1" si="41"/>
        <v>M</v>
      </c>
      <c r="S641" s="1" t="str">
        <f t="shared" ca="1" si="42"/>
        <v>M</v>
      </c>
      <c r="T641" s="1" t="str">
        <f t="shared" ca="1" si="43"/>
        <v>M</v>
      </c>
      <c r="U641" s="1" t="str">
        <f t="shared" ca="1" si="44"/>
        <v>M</v>
      </c>
      <c r="V641" s="1" t="str">
        <f t="shared" ca="1" si="45"/>
        <v>M</v>
      </c>
      <c r="W641" s="1" t="str">
        <f t="shared" ca="1" si="46"/>
        <v>Riqui Puig</v>
      </c>
    </row>
    <row r="642" spans="1:23">
      <c r="A642" s="1" t="str">
        <f ca="1">IFERROR(__xludf.DUMMYFUNCTION("""COMPUTED_VALUE"""),"Teemu")</f>
        <v>Teemu</v>
      </c>
      <c r="B642" s="1" t="str">
        <f ca="1">IFERROR(__xludf.DUMMYFUNCTION("""COMPUTED_VALUE"""),"Pukki")</f>
        <v>Pukki</v>
      </c>
      <c r="C642" s="1" t="str">
        <f ca="1">IFERROR(__xludf.DUMMYFUNCTION("""COMPUTED_VALUE"""),"Minnesota United")</f>
        <v>Minnesota United</v>
      </c>
      <c r="D642" s="1" t="str">
        <f ca="1">IFERROR(__xludf.DUMMYFUNCTION("""COMPUTED_VALUE"""),"Center Forward")</f>
        <v>Center Forward</v>
      </c>
      <c r="E642" s="2">
        <f ca="1">IFERROR(__xludf.DUMMYFUNCTION("""COMPUTED_VALUE"""),3200000)</f>
        <v>3200000</v>
      </c>
      <c r="F642" s="2">
        <f ca="1">IFERROR(__xludf.DUMMYFUNCTION("""COMPUTED_VALUE"""),3550000)</f>
        <v>3550000</v>
      </c>
      <c r="H642" s="1" t="str">
        <f t="shared" ca="1" si="32"/>
        <v>Center Forward</v>
      </c>
      <c r="I642" s="3" t="str">
        <f t="shared" ca="1" si="33"/>
        <v>Center Forward</v>
      </c>
      <c r="J642" s="1" t="str">
        <f t="shared" ca="1" si="34"/>
        <v>Center Forward</v>
      </c>
      <c r="K642" s="1" t="str">
        <f t="shared" ca="1" si="47"/>
        <v>Center Forward</v>
      </c>
      <c r="L642" s="1" t="str">
        <f t="shared" ca="1" si="35"/>
        <v>Center Forward</v>
      </c>
      <c r="M642" s="1" t="str">
        <f t="shared" ca="1" si="36"/>
        <v>Center Forward</v>
      </c>
      <c r="N642" s="1" t="str">
        <f t="shared" ca="1" si="37"/>
        <v>Center Forward</v>
      </c>
      <c r="O642" s="1" t="str">
        <f t="shared" ca="1" si="38"/>
        <v>F</v>
      </c>
      <c r="P642" s="1" t="str">
        <f t="shared" ca="1" si="39"/>
        <v>F</v>
      </c>
      <c r="Q642" s="1" t="str">
        <f t="shared" ca="1" si="40"/>
        <v>F</v>
      </c>
      <c r="R642" s="1" t="str">
        <f t="shared" ca="1" si="41"/>
        <v>F</v>
      </c>
      <c r="S642" s="1" t="str">
        <f t="shared" ca="1" si="42"/>
        <v>F</v>
      </c>
      <c r="T642" s="1" t="str">
        <f t="shared" ca="1" si="43"/>
        <v>F</v>
      </c>
      <c r="U642" s="1" t="str">
        <f t="shared" ca="1" si="44"/>
        <v>F</v>
      </c>
      <c r="V642" s="1" t="str">
        <f t="shared" ca="1" si="45"/>
        <v>F</v>
      </c>
      <c r="W642" s="1" t="str">
        <f t="shared" ca="1" si="46"/>
        <v>Teemu Pukki</v>
      </c>
    </row>
    <row r="643" spans="1:23">
      <c r="A643" s="1" t="str">
        <f ca="1">IFERROR(__xludf.DUMMYFUNCTION("""COMPUTED_VALUE"""),"Alan")</f>
        <v>Alan</v>
      </c>
      <c r="B643" s="1" t="str">
        <f ca="1">IFERROR(__xludf.DUMMYFUNCTION("""COMPUTED_VALUE"""),"Pulido")</f>
        <v>Pulido</v>
      </c>
      <c r="C643" s="1" t="str">
        <f ca="1">IFERROR(__xludf.DUMMYFUNCTION("""COMPUTED_VALUE"""),"Sporting Kansas City")</f>
        <v>Sporting Kansas City</v>
      </c>
      <c r="D643" s="1" t="str">
        <f ca="1">IFERROR(__xludf.DUMMYFUNCTION("""COMPUTED_VALUE"""),"Center Forward")</f>
        <v>Center Forward</v>
      </c>
      <c r="E643" s="2">
        <f ca="1">IFERROR(__xludf.DUMMYFUNCTION("""COMPUTED_VALUE"""),3600000)</f>
        <v>3600000</v>
      </c>
      <c r="F643" s="2">
        <f ca="1">IFERROR(__xludf.DUMMYFUNCTION("""COMPUTED_VALUE"""),3600000)</f>
        <v>3600000</v>
      </c>
      <c r="H643" s="1" t="str">
        <f t="shared" ca="1" si="32"/>
        <v>Center Forward</v>
      </c>
      <c r="I643" s="3" t="str">
        <f t="shared" ca="1" si="33"/>
        <v>Center Forward</v>
      </c>
      <c r="J643" s="1" t="str">
        <f t="shared" ca="1" si="34"/>
        <v>Center Forward</v>
      </c>
      <c r="K643" s="1" t="str">
        <f t="shared" ca="1" si="47"/>
        <v>Center Forward</v>
      </c>
      <c r="L643" s="1" t="str">
        <f t="shared" ca="1" si="35"/>
        <v>Center Forward</v>
      </c>
      <c r="M643" s="1" t="str">
        <f t="shared" ca="1" si="36"/>
        <v>Center Forward</v>
      </c>
      <c r="N643" s="1" t="str">
        <f t="shared" ca="1" si="37"/>
        <v>Center Forward</v>
      </c>
      <c r="O643" s="1" t="str">
        <f t="shared" ca="1" si="38"/>
        <v>F</v>
      </c>
      <c r="P643" s="1" t="str">
        <f t="shared" ca="1" si="39"/>
        <v>F</v>
      </c>
      <c r="Q643" s="1" t="str">
        <f t="shared" ca="1" si="40"/>
        <v>F</v>
      </c>
      <c r="R643" s="1" t="str">
        <f t="shared" ca="1" si="41"/>
        <v>F</v>
      </c>
      <c r="S643" s="1" t="str">
        <f t="shared" ca="1" si="42"/>
        <v>F</v>
      </c>
      <c r="T643" s="1" t="str">
        <f t="shared" ca="1" si="43"/>
        <v>F</v>
      </c>
      <c r="U643" s="1" t="str">
        <f t="shared" ca="1" si="44"/>
        <v>F</v>
      </c>
      <c r="V643" s="1" t="str">
        <f t="shared" ca="1" si="45"/>
        <v>F</v>
      </c>
      <c r="W643" s="1" t="str">
        <f t="shared" ca="1" si="46"/>
        <v>Alan Pulido</v>
      </c>
    </row>
    <row r="644" spans="1:23">
      <c r="A644" s="1" t="str">
        <f ca="1">IFERROR(__xludf.DUMMYFUNCTION("""COMPUTED_VALUE"""),"John")</f>
        <v>John</v>
      </c>
      <c r="B644" s="1" t="str">
        <f ca="1">IFERROR(__xludf.DUMMYFUNCTION("""COMPUTED_VALUE"""),"Pulskamp")</f>
        <v>Pulskamp</v>
      </c>
      <c r="C644" s="1" t="str">
        <f ca="1">IFERROR(__xludf.DUMMYFUNCTION("""COMPUTED_VALUE"""),"Sporting Kansas City")</f>
        <v>Sporting Kansas City</v>
      </c>
      <c r="D644" s="1" t="str">
        <f ca="1">IFERROR(__xludf.DUMMYFUNCTION("""COMPUTED_VALUE"""),"Goalkeeper")</f>
        <v>Goalkeeper</v>
      </c>
      <c r="E644" s="2">
        <f ca="1">IFERROR(__xludf.DUMMYFUNCTION("""COMPUTED_VALUE"""),200000)</f>
        <v>200000</v>
      </c>
      <c r="F644" s="2">
        <f ca="1">IFERROR(__xludf.DUMMYFUNCTION("""COMPUTED_VALUE"""),223500)</f>
        <v>223500</v>
      </c>
      <c r="H644" s="1" t="str">
        <f t="shared" ca="1" si="32"/>
        <v>Goalkeeper</v>
      </c>
      <c r="I644" s="3" t="str">
        <f t="shared" ca="1" si="33"/>
        <v>Goalkeeper</v>
      </c>
      <c r="J644" s="1" t="str">
        <f t="shared" ca="1" si="34"/>
        <v>Goalkeeper</v>
      </c>
      <c r="K644" s="1" t="str">
        <f t="shared" ca="1" si="47"/>
        <v>Goalkeeper</v>
      </c>
      <c r="L644" s="1" t="str">
        <f t="shared" ca="1" si="35"/>
        <v>Goalkeeper</v>
      </c>
      <c r="M644" s="1" t="str">
        <f t="shared" ca="1" si="36"/>
        <v>Goalkeeper</v>
      </c>
      <c r="N644" s="1" t="str">
        <f t="shared" ca="1" si="37"/>
        <v>Goalkeeper</v>
      </c>
      <c r="O644" s="1" t="str">
        <f t="shared" ca="1" si="38"/>
        <v>Goalkeeper</v>
      </c>
      <c r="P644" s="1" t="str">
        <f t="shared" ca="1" si="39"/>
        <v>Goalkeeper</v>
      </c>
      <c r="Q644" s="1" t="str">
        <f t="shared" ca="1" si="40"/>
        <v>Goalkeeper</v>
      </c>
      <c r="R644" s="1" t="str">
        <f t="shared" ca="1" si="41"/>
        <v>GK</v>
      </c>
      <c r="S644" s="1" t="str">
        <f t="shared" ca="1" si="42"/>
        <v>GK</v>
      </c>
      <c r="T644" s="1" t="str">
        <f t="shared" ca="1" si="43"/>
        <v>GK</v>
      </c>
      <c r="U644" s="1" t="str">
        <f t="shared" ca="1" si="44"/>
        <v>GK</v>
      </c>
      <c r="V644" s="1" t="str">
        <f t="shared" ca="1" si="45"/>
        <v>GK</v>
      </c>
      <c r="W644" s="1" t="str">
        <f t="shared" ca="1" si="46"/>
        <v>John Pulskamp</v>
      </c>
    </row>
    <row r="645" spans="1:23">
      <c r="A645" s="1" t="str">
        <f ca="1">IFERROR(__xludf.DUMMYFUNCTION("""COMPUTED_VALUE"""),"Nelson")</f>
        <v>Nelson</v>
      </c>
      <c r="B645" s="1" t="str">
        <f ca="1">IFERROR(__xludf.DUMMYFUNCTION("""COMPUTED_VALUE"""),"Quiñónes")</f>
        <v>Quiñónes</v>
      </c>
      <c r="C645" s="1" t="str">
        <f ca="1">IFERROR(__xludf.DUMMYFUNCTION("""COMPUTED_VALUE"""),"Houston Dynamo")</f>
        <v>Houston Dynamo</v>
      </c>
      <c r="D645" s="1" t="str">
        <f ca="1">IFERROR(__xludf.DUMMYFUNCTION("""COMPUTED_VALUE"""),"Left Wing")</f>
        <v>Left Wing</v>
      </c>
      <c r="E645" s="2">
        <f ca="1">IFERROR(__xludf.DUMMYFUNCTION("""COMPUTED_VALUE"""),231996)</f>
        <v>231996</v>
      </c>
      <c r="F645" s="2">
        <f ca="1">IFERROR(__xludf.DUMMYFUNCTION("""COMPUTED_VALUE"""),252890)</f>
        <v>252890</v>
      </c>
      <c r="H645" s="1" t="str">
        <f t="shared" ca="1" si="32"/>
        <v>Left Wing</v>
      </c>
      <c r="I645" s="3" t="str">
        <f t="shared" ca="1" si="33"/>
        <v>Left Wing</v>
      </c>
      <c r="J645" s="1" t="str">
        <f t="shared" ca="1" si="34"/>
        <v>Left Wing</v>
      </c>
      <c r="K645" s="1" t="str">
        <f t="shared" ca="1" si="47"/>
        <v>Left Wing</v>
      </c>
      <c r="L645" s="1" t="str">
        <f t="shared" ca="1" si="35"/>
        <v>Left Wing</v>
      </c>
      <c r="M645" s="1" t="str">
        <f t="shared" ca="1" si="36"/>
        <v>Left Wing</v>
      </c>
      <c r="N645" s="1" t="str">
        <f t="shared" ca="1" si="37"/>
        <v>Left Wing</v>
      </c>
      <c r="O645" s="1" t="str">
        <f t="shared" ca="1" si="38"/>
        <v>Left Wing</v>
      </c>
      <c r="P645" s="1" t="str">
        <f t="shared" ca="1" si="39"/>
        <v>F</v>
      </c>
      <c r="Q645" s="1" t="str">
        <f t="shared" ca="1" si="40"/>
        <v>F</v>
      </c>
      <c r="R645" s="1" t="str">
        <f t="shared" ca="1" si="41"/>
        <v>F</v>
      </c>
      <c r="S645" s="1" t="str">
        <f t="shared" ca="1" si="42"/>
        <v>F</v>
      </c>
      <c r="T645" s="1" t="str">
        <f t="shared" ca="1" si="43"/>
        <v>F</v>
      </c>
      <c r="U645" s="1" t="str">
        <f t="shared" ca="1" si="44"/>
        <v>F</v>
      </c>
      <c r="V645" s="1" t="str">
        <f t="shared" ca="1" si="45"/>
        <v>F</v>
      </c>
      <c r="W645" s="1" t="str">
        <f t="shared" ca="1" si="46"/>
        <v>Nelson Quiñónes</v>
      </c>
    </row>
    <row r="646" spans="1:23">
      <c r="A646" s="1" t="str">
        <f ca="1">IFERROR(__xludf.DUMMYFUNCTION("""COMPUTED_VALUE"""),"Philip")</f>
        <v>Philip</v>
      </c>
      <c r="B646" s="1" t="str">
        <f ca="1">IFERROR(__xludf.DUMMYFUNCTION("""COMPUTED_VALUE"""),"Quinton")</f>
        <v>Quinton</v>
      </c>
      <c r="C646" s="1" t="str">
        <f ca="1">IFERROR(__xludf.DUMMYFUNCTION("""COMPUTED_VALUE"""),"Real Salt Lake")</f>
        <v>Real Salt Lake</v>
      </c>
      <c r="D646" s="1" t="str">
        <f ca="1">IFERROR(__xludf.DUMMYFUNCTION("""COMPUTED_VALUE"""),"Center-back")</f>
        <v>Center-back</v>
      </c>
      <c r="E646" s="2">
        <f ca="1">IFERROR(__xludf.DUMMYFUNCTION("""COMPUTED_VALUE"""),89716)</f>
        <v>89716</v>
      </c>
      <c r="F646" s="2">
        <f ca="1">IFERROR(__xludf.DUMMYFUNCTION("""COMPUTED_VALUE"""),89716)</f>
        <v>89716</v>
      </c>
      <c r="H646" s="1" t="str">
        <f t="shared" ca="1" si="32"/>
        <v>D</v>
      </c>
      <c r="I646" s="3" t="str">
        <f t="shared" ca="1" si="33"/>
        <v>D</v>
      </c>
      <c r="J646" s="1" t="str">
        <f t="shared" ca="1" si="34"/>
        <v>D</v>
      </c>
      <c r="K646" s="1" t="str">
        <f t="shared" ca="1" si="47"/>
        <v>D</v>
      </c>
      <c r="L646" s="1" t="str">
        <f t="shared" ca="1" si="35"/>
        <v>D</v>
      </c>
      <c r="M646" s="1" t="str">
        <f t="shared" ca="1" si="36"/>
        <v>D</v>
      </c>
      <c r="N646" s="1" t="str">
        <f t="shared" ca="1" si="37"/>
        <v>D</v>
      </c>
      <c r="O646" s="1" t="str">
        <f t="shared" ca="1" si="38"/>
        <v>D</v>
      </c>
      <c r="P646" s="1" t="str">
        <f t="shared" ca="1" si="39"/>
        <v>D</v>
      </c>
      <c r="Q646" s="1" t="str">
        <f t="shared" ca="1" si="40"/>
        <v>D</v>
      </c>
      <c r="R646" s="1" t="str">
        <f t="shared" ca="1" si="41"/>
        <v>D</v>
      </c>
      <c r="S646" s="1" t="str">
        <f t="shared" ca="1" si="42"/>
        <v>D</v>
      </c>
      <c r="T646" s="1" t="str">
        <f t="shared" ca="1" si="43"/>
        <v>D</v>
      </c>
      <c r="U646" s="1" t="str">
        <f t="shared" ca="1" si="44"/>
        <v>D</v>
      </c>
      <c r="V646" s="1" t="str">
        <f t="shared" ca="1" si="45"/>
        <v>D</v>
      </c>
      <c r="W646" s="1" t="str">
        <f t="shared" ca="1" si="46"/>
        <v>Philip Quinton</v>
      </c>
    </row>
    <row r="647" spans="1:23">
      <c r="A647" s="1" t="str">
        <f ca="1">IFERROR(__xludf.DUMMYFUNCTION("""COMPUTED_VALUE"""),"Daniel")</f>
        <v>Daniel</v>
      </c>
      <c r="B647" s="1" t="str">
        <f ca="1">IFERROR(__xludf.DUMMYFUNCTION("""COMPUTED_VALUE"""),"Ríos")</f>
        <v>Ríos</v>
      </c>
      <c r="C647" s="1" t="str">
        <f ca="1">IFERROR(__xludf.DUMMYFUNCTION("""COMPUTED_VALUE"""),"Atlanta United")</f>
        <v>Atlanta United</v>
      </c>
      <c r="D647" s="1" t="str">
        <f ca="1">IFERROR(__xludf.DUMMYFUNCTION("""COMPUTED_VALUE"""),"Center Forward")</f>
        <v>Center Forward</v>
      </c>
      <c r="E647" s="2">
        <f ca="1">IFERROR(__xludf.DUMMYFUNCTION("""COMPUTED_VALUE"""),89716)</f>
        <v>89716</v>
      </c>
      <c r="F647" s="2">
        <f ca="1">IFERROR(__xludf.DUMMYFUNCTION("""COMPUTED_VALUE"""),126383)</f>
        <v>126383</v>
      </c>
      <c r="H647" s="1" t="str">
        <f t="shared" ca="1" si="32"/>
        <v>Center Forward</v>
      </c>
      <c r="I647" s="3" t="str">
        <f t="shared" ca="1" si="33"/>
        <v>Center Forward</v>
      </c>
      <c r="J647" s="1" t="str">
        <f t="shared" ca="1" si="34"/>
        <v>Center Forward</v>
      </c>
      <c r="K647" s="1" t="str">
        <f t="shared" ca="1" si="47"/>
        <v>Center Forward</v>
      </c>
      <c r="L647" s="1" t="str">
        <f t="shared" ca="1" si="35"/>
        <v>Center Forward</v>
      </c>
      <c r="M647" s="1" t="str">
        <f t="shared" ca="1" si="36"/>
        <v>Center Forward</v>
      </c>
      <c r="N647" s="1" t="str">
        <f t="shared" ca="1" si="37"/>
        <v>Center Forward</v>
      </c>
      <c r="O647" s="1" t="str">
        <f t="shared" ca="1" si="38"/>
        <v>F</v>
      </c>
      <c r="P647" s="1" t="str">
        <f t="shared" ca="1" si="39"/>
        <v>F</v>
      </c>
      <c r="Q647" s="1" t="str">
        <f t="shared" ca="1" si="40"/>
        <v>F</v>
      </c>
      <c r="R647" s="1" t="str">
        <f t="shared" ca="1" si="41"/>
        <v>F</v>
      </c>
      <c r="S647" s="1" t="str">
        <f t="shared" ca="1" si="42"/>
        <v>F</v>
      </c>
      <c r="T647" s="1" t="str">
        <f t="shared" ca="1" si="43"/>
        <v>F</v>
      </c>
      <c r="U647" s="1" t="str">
        <f t="shared" ca="1" si="44"/>
        <v>F</v>
      </c>
      <c r="V647" s="1" t="str">
        <f t="shared" ca="1" si="45"/>
        <v>F</v>
      </c>
      <c r="W647" s="1" t="str">
        <f t="shared" ca="1" si="46"/>
        <v>Daniel Ríos</v>
      </c>
    </row>
    <row r="648" spans="1:23">
      <c r="A648" s="1" t="str">
        <f ca="1">IFERROR(__xludf.DUMMYFUNCTION("""COMPUTED_VALUE"""),"Nemanja")</f>
        <v>Nemanja</v>
      </c>
      <c r="B648" s="1" t="str">
        <f ca="1">IFERROR(__xludf.DUMMYFUNCTION("""COMPUTED_VALUE"""),"Radoja")</f>
        <v>Radoja</v>
      </c>
      <c r="C648" s="1" t="str">
        <f ca="1">IFERROR(__xludf.DUMMYFUNCTION("""COMPUTED_VALUE"""),"Sporting Kansas City")</f>
        <v>Sporting Kansas City</v>
      </c>
      <c r="D648" s="1" t="str">
        <f ca="1">IFERROR(__xludf.DUMMYFUNCTION("""COMPUTED_VALUE"""),"Defensive Midfield")</f>
        <v>Defensive Midfield</v>
      </c>
      <c r="E648" s="2">
        <f ca="1">IFERROR(__xludf.DUMMYFUNCTION("""COMPUTED_VALUE"""),1440000)</f>
        <v>1440000</v>
      </c>
      <c r="F648" s="2">
        <f ca="1">IFERROR(__xludf.DUMMYFUNCTION("""COMPUTED_VALUE"""),1530000)</f>
        <v>1530000</v>
      </c>
      <c r="H648" s="1" t="str">
        <f t="shared" ca="1" si="32"/>
        <v>Defensive Midfield</v>
      </c>
      <c r="I648" s="3" t="str">
        <f t="shared" ca="1" si="33"/>
        <v>Defensive Midfield</v>
      </c>
      <c r="J648" s="1" t="str">
        <f t="shared" ca="1" si="34"/>
        <v>Defensive Midfield</v>
      </c>
      <c r="K648" s="1" t="str">
        <f t="shared" ca="1" si="47"/>
        <v>M</v>
      </c>
      <c r="L648" s="1" t="str">
        <f t="shared" ca="1" si="35"/>
        <v>M</v>
      </c>
      <c r="M648" s="1" t="str">
        <f t="shared" ca="1" si="36"/>
        <v>M</v>
      </c>
      <c r="N648" s="1" t="str">
        <f t="shared" ca="1" si="37"/>
        <v>M</v>
      </c>
      <c r="O648" s="1" t="str">
        <f t="shared" ca="1" si="38"/>
        <v>M</v>
      </c>
      <c r="P648" s="1" t="str">
        <f t="shared" ca="1" si="39"/>
        <v>M</v>
      </c>
      <c r="Q648" s="1" t="str">
        <f t="shared" ca="1" si="40"/>
        <v>M</v>
      </c>
      <c r="R648" s="1" t="str">
        <f t="shared" ca="1" si="41"/>
        <v>M</v>
      </c>
      <c r="S648" s="1" t="str">
        <f t="shared" ca="1" si="42"/>
        <v>M</v>
      </c>
      <c r="T648" s="1" t="str">
        <f t="shared" ca="1" si="43"/>
        <v>M</v>
      </c>
      <c r="U648" s="1" t="str">
        <f t="shared" ca="1" si="44"/>
        <v>M</v>
      </c>
      <c r="V648" s="1" t="str">
        <f t="shared" ca="1" si="45"/>
        <v>M</v>
      </c>
      <c r="W648" s="1" t="str">
        <f t="shared" ca="1" si="46"/>
        <v>Nemanja Radoja</v>
      </c>
    </row>
    <row r="649" spans="1:23">
      <c r="A649" s="1" t="str">
        <f ca="1">IFERROR(__xludf.DUMMYFUNCTION("""COMPUTED_VALUE"""),"Jeremy")</f>
        <v>Jeremy</v>
      </c>
      <c r="B649" s="1" t="str">
        <f ca="1">IFERROR(__xludf.DUMMYFUNCTION("""COMPUTED_VALUE"""),"Rafanello")</f>
        <v>Rafanello</v>
      </c>
      <c r="C649" s="1" t="str">
        <f ca="1">IFERROR(__xludf.DUMMYFUNCTION("""COMPUTED_VALUE"""),"Philadelphia Union")</f>
        <v>Philadelphia Union</v>
      </c>
      <c r="D649" s="1" t="str">
        <f ca="1">IFERROR(__xludf.DUMMYFUNCTION("""COMPUTED_VALUE"""),"Attacking Midfield")</f>
        <v>Attacking Midfield</v>
      </c>
      <c r="E649" s="2">
        <f ca="1">IFERROR(__xludf.DUMMYFUNCTION("""COMPUTED_VALUE"""),100000)</f>
        <v>100000</v>
      </c>
      <c r="F649" s="2">
        <f ca="1">IFERROR(__xludf.DUMMYFUNCTION("""COMPUTED_VALUE"""),107636)</f>
        <v>107636</v>
      </c>
      <c r="H649" s="1" t="str">
        <f t="shared" ca="1" si="32"/>
        <v>Attacking Midfield</v>
      </c>
      <c r="I649" s="3" t="str">
        <f t="shared" ca="1" si="33"/>
        <v>Attacking Midfield</v>
      </c>
      <c r="J649" s="1" t="str">
        <f t="shared" ca="1" si="34"/>
        <v>Attacking Midfield</v>
      </c>
      <c r="K649" s="1" t="str">
        <f t="shared" ca="1" si="47"/>
        <v>Attacking Midfield</v>
      </c>
      <c r="L649" s="1" t="str">
        <f t="shared" ca="1" si="35"/>
        <v>Attacking Midfield</v>
      </c>
      <c r="M649" s="1" t="str">
        <f t="shared" ca="1" si="36"/>
        <v>M</v>
      </c>
      <c r="N649" s="1" t="str">
        <f t="shared" ca="1" si="37"/>
        <v>M</v>
      </c>
      <c r="O649" s="1" t="str">
        <f t="shared" ca="1" si="38"/>
        <v>M</v>
      </c>
      <c r="P649" s="1" t="str">
        <f t="shared" ca="1" si="39"/>
        <v>M</v>
      </c>
      <c r="Q649" s="1" t="str">
        <f t="shared" ca="1" si="40"/>
        <v>M</v>
      </c>
      <c r="R649" s="1" t="str">
        <f t="shared" ca="1" si="41"/>
        <v>M</v>
      </c>
      <c r="S649" s="1" t="str">
        <f t="shared" ca="1" si="42"/>
        <v>M</v>
      </c>
      <c r="T649" s="1" t="str">
        <f t="shared" ca="1" si="43"/>
        <v>M</v>
      </c>
      <c r="U649" s="1" t="str">
        <f t="shared" ca="1" si="44"/>
        <v>M</v>
      </c>
      <c r="V649" s="1" t="str">
        <f t="shared" ca="1" si="45"/>
        <v>M</v>
      </c>
      <c r="W649" s="1" t="str">
        <f t="shared" ca="1" si="46"/>
        <v>Jeremy Rafanello</v>
      </c>
    </row>
    <row r="650" spans="1:23">
      <c r="A650" s="1" t="str">
        <f ca="1">IFERROR(__xludf.DUMMYFUNCTION("""COMPUTED_VALUE"""),"Jackson")</f>
        <v>Jackson</v>
      </c>
      <c r="B650" s="1" t="str">
        <f ca="1">IFERROR(__xludf.DUMMYFUNCTION("""COMPUTED_VALUE"""),"Ragen")</f>
        <v>Ragen</v>
      </c>
      <c r="C650" s="1" t="str">
        <f ca="1">IFERROR(__xludf.DUMMYFUNCTION("""COMPUTED_VALUE"""),"Seattle Sounders FC")</f>
        <v>Seattle Sounders FC</v>
      </c>
      <c r="D650" s="1" t="str">
        <f ca="1">IFERROR(__xludf.DUMMYFUNCTION("""COMPUTED_VALUE"""),"Center-back")</f>
        <v>Center-back</v>
      </c>
      <c r="E650" s="2">
        <f ca="1">IFERROR(__xludf.DUMMYFUNCTION("""COMPUTED_VALUE"""),98261)</f>
        <v>98261</v>
      </c>
      <c r="F650" s="2">
        <f ca="1">IFERROR(__xludf.DUMMYFUNCTION("""COMPUTED_VALUE"""),98261)</f>
        <v>98261</v>
      </c>
      <c r="H650" s="1" t="str">
        <f t="shared" ca="1" si="32"/>
        <v>D</v>
      </c>
      <c r="I650" s="3" t="str">
        <f t="shared" ca="1" si="33"/>
        <v>D</v>
      </c>
      <c r="J650" s="1" t="str">
        <f t="shared" ca="1" si="34"/>
        <v>D</v>
      </c>
      <c r="K650" s="1" t="str">
        <f t="shared" ca="1" si="47"/>
        <v>D</v>
      </c>
      <c r="L650" s="1" t="str">
        <f t="shared" ca="1" si="35"/>
        <v>D</v>
      </c>
      <c r="M650" s="1" t="str">
        <f t="shared" ca="1" si="36"/>
        <v>D</v>
      </c>
      <c r="N650" s="1" t="str">
        <f t="shared" ca="1" si="37"/>
        <v>D</v>
      </c>
      <c r="O650" s="1" t="str">
        <f t="shared" ca="1" si="38"/>
        <v>D</v>
      </c>
      <c r="P650" s="1" t="str">
        <f t="shared" ca="1" si="39"/>
        <v>D</v>
      </c>
      <c r="Q650" s="1" t="str">
        <f t="shared" ca="1" si="40"/>
        <v>D</v>
      </c>
      <c r="R650" s="1" t="str">
        <f t="shared" ca="1" si="41"/>
        <v>D</v>
      </c>
      <c r="S650" s="1" t="str">
        <f t="shared" ca="1" si="42"/>
        <v>D</v>
      </c>
      <c r="T650" s="1" t="str">
        <f t="shared" ca="1" si="43"/>
        <v>D</v>
      </c>
      <c r="U650" s="1" t="str">
        <f t="shared" ca="1" si="44"/>
        <v>D</v>
      </c>
      <c r="V650" s="1" t="str">
        <f t="shared" ca="1" si="45"/>
        <v>D</v>
      </c>
      <c r="W650" s="1" t="str">
        <f t="shared" ca="1" si="46"/>
        <v>Jackson Ragen</v>
      </c>
    </row>
    <row r="651" spans="1:23">
      <c r="A651" s="1" t="str">
        <f ca="1">IFERROR(__xludf.DUMMYFUNCTION("""COMPUTED_VALUE"""),"Brooklyn")</f>
        <v>Brooklyn</v>
      </c>
      <c r="B651" s="1" t="str">
        <f ca="1">IFERROR(__xludf.DUMMYFUNCTION("""COMPUTED_VALUE"""),"Raines")</f>
        <v>Raines</v>
      </c>
      <c r="C651" s="1" t="str">
        <f ca="1">IFERROR(__xludf.DUMMYFUNCTION("""COMPUTED_VALUE"""),"Houston Dynamo")</f>
        <v>Houston Dynamo</v>
      </c>
      <c r="D651" s="1" t="str">
        <f ca="1">IFERROR(__xludf.DUMMYFUNCTION("""COMPUTED_VALUE"""),"Central Midfield")</f>
        <v>Central Midfield</v>
      </c>
      <c r="E651" s="2">
        <f ca="1">IFERROR(__xludf.DUMMYFUNCTION("""COMPUTED_VALUE"""),100000)</f>
        <v>100000</v>
      </c>
      <c r="F651" s="2">
        <f ca="1">IFERROR(__xludf.DUMMYFUNCTION("""COMPUTED_VALUE"""),118063)</f>
        <v>118063</v>
      </c>
      <c r="H651" s="1" t="str">
        <f t="shared" ca="1" si="32"/>
        <v>Central Midfield</v>
      </c>
      <c r="I651" s="3" t="str">
        <f t="shared" ca="1" si="33"/>
        <v>Central Midfield</v>
      </c>
      <c r="J651" s="1" t="str">
        <f t="shared" ca="1" si="34"/>
        <v>Central Midfield</v>
      </c>
      <c r="K651" s="1" t="str">
        <f t="shared" ca="1" si="47"/>
        <v>Central Midfield</v>
      </c>
      <c r="L651" s="1" t="str">
        <f t="shared" ca="1" si="35"/>
        <v>M</v>
      </c>
      <c r="M651" s="1" t="str">
        <f t="shared" ca="1" si="36"/>
        <v>M</v>
      </c>
      <c r="N651" s="1" t="str">
        <f t="shared" ca="1" si="37"/>
        <v>M</v>
      </c>
      <c r="O651" s="1" t="str">
        <f t="shared" ca="1" si="38"/>
        <v>M</v>
      </c>
      <c r="P651" s="1" t="str">
        <f t="shared" ca="1" si="39"/>
        <v>M</v>
      </c>
      <c r="Q651" s="1" t="str">
        <f t="shared" ca="1" si="40"/>
        <v>M</v>
      </c>
      <c r="R651" s="1" t="str">
        <f t="shared" ca="1" si="41"/>
        <v>M</v>
      </c>
      <c r="S651" s="1" t="str">
        <f t="shared" ca="1" si="42"/>
        <v>M</v>
      </c>
      <c r="T651" s="1" t="str">
        <f t="shared" ca="1" si="43"/>
        <v>M</v>
      </c>
      <c r="U651" s="1" t="str">
        <f t="shared" ca="1" si="44"/>
        <v>M</v>
      </c>
      <c r="V651" s="1" t="str">
        <f t="shared" ca="1" si="45"/>
        <v>M</v>
      </c>
      <c r="W651" s="1" t="str">
        <f t="shared" ca="1" si="46"/>
        <v>Brooklyn Raines</v>
      </c>
    </row>
    <row r="652" spans="1:23">
      <c r="A652" s="1" t="str">
        <f ca="1">IFERROR(__xludf.DUMMYFUNCTION("""COMPUTED_VALUE"""),"Christian")</f>
        <v>Christian</v>
      </c>
      <c r="B652" s="1" t="str">
        <f ca="1">IFERROR(__xludf.DUMMYFUNCTION("""COMPUTED_VALUE"""),"Ramirez")</f>
        <v>Ramirez</v>
      </c>
      <c r="C652" s="1" t="str">
        <f ca="1">IFERROR(__xludf.DUMMYFUNCTION("""COMPUTED_VALUE"""),"Columbus Crew")</f>
        <v>Columbus Crew</v>
      </c>
      <c r="D652" s="1" t="str">
        <f ca="1">IFERROR(__xludf.DUMMYFUNCTION("""COMPUTED_VALUE"""),"Center Forward")</f>
        <v>Center Forward</v>
      </c>
      <c r="E652" s="2">
        <f ca="1">IFERROR(__xludf.DUMMYFUNCTION("""COMPUTED_VALUE"""),450000)</f>
        <v>450000</v>
      </c>
      <c r="F652" s="2">
        <f ca="1">IFERROR(__xludf.DUMMYFUNCTION("""COMPUTED_VALUE"""),495833)</f>
        <v>495833</v>
      </c>
      <c r="H652" s="1" t="str">
        <f t="shared" ca="1" si="32"/>
        <v>Center Forward</v>
      </c>
      <c r="I652" s="3" t="str">
        <f t="shared" ca="1" si="33"/>
        <v>Center Forward</v>
      </c>
      <c r="J652" s="1" t="str">
        <f t="shared" ca="1" si="34"/>
        <v>Center Forward</v>
      </c>
      <c r="K652" s="1" t="str">
        <f t="shared" ca="1" si="47"/>
        <v>Center Forward</v>
      </c>
      <c r="L652" s="1" t="str">
        <f t="shared" ca="1" si="35"/>
        <v>Center Forward</v>
      </c>
      <c r="M652" s="1" t="str">
        <f t="shared" ca="1" si="36"/>
        <v>Center Forward</v>
      </c>
      <c r="N652" s="1" t="str">
        <f t="shared" ca="1" si="37"/>
        <v>Center Forward</v>
      </c>
      <c r="O652" s="1" t="str">
        <f t="shared" ca="1" si="38"/>
        <v>F</v>
      </c>
      <c r="P652" s="1" t="str">
        <f t="shared" ca="1" si="39"/>
        <v>F</v>
      </c>
      <c r="Q652" s="1" t="str">
        <f t="shared" ca="1" si="40"/>
        <v>F</v>
      </c>
      <c r="R652" s="1" t="str">
        <f t="shared" ca="1" si="41"/>
        <v>F</v>
      </c>
      <c r="S652" s="1" t="str">
        <f t="shared" ca="1" si="42"/>
        <v>F</v>
      </c>
      <c r="T652" s="1" t="str">
        <f t="shared" ca="1" si="43"/>
        <v>F</v>
      </c>
      <c r="U652" s="1" t="str">
        <f t="shared" ca="1" si="44"/>
        <v>F</v>
      </c>
      <c r="V652" s="1" t="str">
        <f t="shared" ca="1" si="45"/>
        <v>F</v>
      </c>
      <c r="W652" s="1" t="str">
        <f t="shared" ca="1" si="46"/>
        <v>Christian Ramirez</v>
      </c>
    </row>
    <row r="653" spans="1:23">
      <c r="A653" s="1" t="str">
        <f ca="1">IFERROR(__xludf.DUMMYFUNCTION("""COMPUTED_VALUE"""),"Alex")</f>
        <v>Alex</v>
      </c>
      <c r="B653" s="1" t="str">
        <f ca="1">IFERROR(__xludf.DUMMYFUNCTION("""COMPUTED_VALUE"""),"Rando")</f>
        <v>Rando</v>
      </c>
      <c r="C653" s="1" t="str">
        <f ca="1">IFERROR(__xludf.DUMMYFUNCTION("""COMPUTED_VALUE"""),"New York City FC")</f>
        <v>New York City FC</v>
      </c>
      <c r="D653" s="1" t="str">
        <f ca="1">IFERROR(__xludf.DUMMYFUNCTION("""COMPUTED_VALUE"""),"Goalkeeper")</f>
        <v>Goalkeeper</v>
      </c>
      <c r="E653" s="2">
        <f ca="1">IFERROR(__xludf.DUMMYFUNCTION("""COMPUTED_VALUE"""),71401)</f>
        <v>71401</v>
      </c>
      <c r="F653" s="2">
        <f ca="1">IFERROR(__xludf.DUMMYFUNCTION("""COMPUTED_VALUE"""),71401)</f>
        <v>71401</v>
      </c>
      <c r="H653" s="1" t="str">
        <f t="shared" ca="1" si="32"/>
        <v>Goalkeeper</v>
      </c>
      <c r="I653" s="3" t="str">
        <f t="shared" ca="1" si="33"/>
        <v>Goalkeeper</v>
      </c>
      <c r="J653" s="1" t="str">
        <f t="shared" ca="1" si="34"/>
        <v>Goalkeeper</v>
      </c>
      <c r="K653" s="1" t="str">
        <f t="shared" ca="1" si="47"/>
        <v>Goalkeeper</v>
      </c>
      <c r="L653" s="1" t="str">
        <f t="shared" ca="1" si="35"/>
        <v>Goalkeeper</v>
      </c>
      <c r="M653" s="1" t="str">
        <f t="shared" ca="1" si="36"/>
        <v>Goalkeeper</v>
      </c>
      <c r="N653" s="1" t="str">
        <f t="shared" ca="1" si="37"/>
        <v>Goalkeeper</v>
      </c>
      <c r="O653" s="1" t="str">
        <f t="shared" ca="1" si="38"/>
        <v>Goalkeeper</v>
      </c>
      <c r="P653" s="1" t="str">
        <f t="shared" ca="1" si="39"/>
        <v>Goalkeeper</v>
      </c>
      <c r="Q653" s="1" t="str">
        <f t="shared" ca="1" si="40"/>
        <v>Goalkeeper</v>
      </c>
      <c r="R653" s="1" t="str">
        <f t="shared" ca="1" si="41"/>
        <v>GK</v>
      </c>
      <c r="S653" s="1" t="str">
        <f t="shared" ca="1" si="42"/>
        <v>GK</v>
      </c>
      <c r="T653" s="1" t="str">
        <f t="shared" ca="1" si="43"/>
        <v>GK</v>
      </c>
      <c r="U653" s="1" t="str">
        <f t="shared" ca="1" si="44"/>
        <v>GK</v>
      </c>
      <c r="V653" s="1" t="str">
        <f t="shared" ca="1" si="45"/>
        <v>GK</v>
      </c>
      <c r="W653" s="1" t="str">
        <f t="shared" ca="1" si="46"/>
        <v>Alex Rando</v>
      </c>
    </row>
    <row r="654" spans="1:23">
      <c r="A654" s="1" t="str">
        <f ca="1">IFERROR(__xludf.DUMMYFUNCTION("""COMPUTED_VALUE"""),"Greg")</f>
        <v>Greg</v>
      </c>
      <c r="B654" s="1" t="str">
        <f ca="1">IFERROR(__xludf.DUMMYFUNCTION("""COMPUTED_VALUE"""),"Ranjitsingh")</f>
        <v>Ranjitsingh</v>
      </c>
      <c r="C654" s="1" t="str">
        <f ca="1">IFERROR(__xludf.DUMMYFUNCTION("""COMPUTED_VALUE"""),"Toronto FC")</f>
        <v>Toronto FC</v>
      </c>
      <c r="D654" s="1" t="str">
        <f ca="1">IFERROR(__xludf.DUMMYFUNCTION("""COMPUTED_VALUE"""),"Goalkeeper")</f>
        <v>Goalkeeper</v>
      </c>
      <c r="E654" s="2">
        <f ca="1">IFERROR(__xludf.DUMMYFUNCTION("""COMPUTED_VALUE"""),94202)</f>
        <v>94202</v>
      </c>
      <c r="F654" s="2">
        <f ca="1">IFERROR(__xludf.DUMMYFUNCTION("""COMPUTED_VALUE"""),94202)</f>
        <v>94202</v>
      </c>
      <c r="H654" s="1" t="str">
        <f t="shared" ca="1" si="32"/>
        <v>Goalkeeper</v>
      </c>
      <c r="I654" s="3" t="str">
        <f t="shared" ca="1" si="33"/>
        <v>Goalkeeper</v>
      </c>
      <c r="J654" s="1" t="str">
        <f t="shared" ca="1" si="34"/>
        <v>Goalkeeper</v>
      </c>
      <c r="K654" s="1" t="str">
        <f t="shared" ca="1" si="47"/>
        <v>Goalkeeper</v>
      </c>
      <c r="L654" s="1" t="str">
        <f t="shared" ca="1" si="35"/>
        <v>Goalkeeper</v>
      </c>
      <c r="M654" s="1" t="str">
        <f t="shared" ca="1" si="36"/>
        <v>Goalkeeper</v>
      </c>
      <c r="N654" s="1" t="str">
        <f t="shared" ca="1" si="37"/>
        <v>Goalkeeper</v>
      </c>
      <c r="O654" s="1" t="str">
        <f t="shared" ca="1" si="38"/>
        <v>Goalkeeper</v>
      </c>
      <c r="P654" s="1" t="str">
        <f t="shared" ca="1" si="39"/>
        <v>Goalkeeper</v>
      </c>
      <c r="Q654" s="1" t="str">
        <f t="shared" ca="1" si="40"/>
        <v>Goalkeeper</v>
      </c>
      <c r="R654" s="1" t="str">
        <f t="shared" ca="1" si="41"/>
        <v>GK</v>
      </c>
      <c r="S654" s="1" t="str">
        <f t="shared" ca="1" si="42"/>
        <v>GK</v>
      </c>
      <c r="T654" s="1" t="str">
        <f t="shared" ca="1" si="43"/>
        <v>GK</v>
      </c>
      <c r="U654" s="1" t="str">
        <f t="shared" ca="1" si="44"/>
        <v>GK</v>
      </c>
      <c r="V654" s="1" t="str">
        <f t="shared" ca="1" si="45"/>
        <v>GK</v>
      </c>
      <c r="W654" s="1" t="str">
        <f t="shared" ca="1" si="46"/>
        <v>Greg Ranjitsingh</v>
      </c>
    </row>
    <row r="655" spans="1:23">
      <c r="A655" s="1" t="str">
        <f ca="1">IFERROR(__xludf.DUMMYFUNCTION("""COMPUTED_VALUE"""),"Ryan")</f>
        <v>Ryan</v>
      </c>
      <c r="B655" s="1" t="str">
        <f ca="1">IFERROR(__xludf.DUMMYFUNCTION("""COMPUTED_VALUE"""),"Raposo")</f>
        <v>Raposo</v>
      </c>
      <c r="C655" s="1" t="str">
        <f ca="1">IFERROR(__xludf.DUMMYFUNCTION("""COMPUTED_VALUE"""),"Vancouver Whitecaps")</f>
        <v>Vancouver Whitecaps</v>
      </c>
      <c r="D655" s="1" t="str">
        <f ca="1">IFERROR(__xludf.DUMMYFUNCTION("""COMPUTED_VALUE"""),"Left Midfield")</f>
        <v>Left Midfield</v>
      </c>
      <c r="E655" s="2">
        <f ca="1">IFERROR(__xludf.DUMMYFUNCTION("""COMPUTED_VALUE"""),150000)</f>
        <v>150000</v>
      </c>
      <c r="F655" s="2">
        <f ca="1">IFERROR(__xludf.DUMMYFUNCTION("""COMPUTED_VALUE"""),155000)</f>
        <v>155000</v>
      </c>
      <c r="H655" s="1" t="str">
        <f t="shared" ca="1" si="32"/>
        <v>Left Midfield</v>
      </c>
      <c r="I655" s="3" t="str">
        <f t="shared" ca="1" si="33"/>
        <v>Left Midfield</v>
      </c>
      <c r="J655" s="1" t="str">
        <f t="shared" ca="1" si="34"/>
        <v>Left Midfield</v>
      </c>
      <c r="K655" s="1" t="str">
        <f t="shared" ca="1" si="47"/>
        <v>Left Midfield</v>
      </c>
      <c r="L655" s="1" t="str">
        <f t="shared" ca="1" si="35"/>
        <v>Left Midfield</v>
      </c>
      <c r="M655" s="1" t="str">
        <f t="shared" ca="1" si="36"/>
        <v>Left Midfield</v>
      </c>
      <c r="N655" s="1" t="str">
        <f t="shared" ca="1" si="37"/>
        <v>Left Midfield</v>
      </c>
      <c r="O655" s="1" t="str">
        <f t="shared" ca="1" si="38"/>
        <v>Left Midfield</v>
      </c>
      <c r="P655" s="1" t="str">
        <f t="shared" ca="1" si="39"/>
        <v>Left Midfield</v>
      </c>
      <c r="Q655" s="1" t="str">
        <f t="shared" ca="1" si="40"/>
        <v>Left Midfield</v>
      </c>
      <c r="R655" s="1" t="str">
        <f t="shared" ca="1" si="41"/>
        <v>Left Midfield</v>
      </c>
      <c r="S655" s="1" t="str">
        <f t="shared" ca="1" si="42"/>
        <v>M</v>
      </c>
      <c r="T655" s="1" t="str">
        <f t="shared" ca="1" si="43"/>
        <v>M</v>
      </c>
      <c r="U655" s="1" t="str">
        <f t="shared" ca="1" si="44"/>
        <v>M</v>
      </c>
      <c r="V655" s="1" t="str">
        <f t="shared" ca="1" si="45"/>
        <v>M</v>
      </c>
      <c r="W655" s="1" t="str">
        <f t="shared" ca="1" si="46"/>
        <v>Ryan Raposo</v>
      </c>
    </row>
    <row r="656" spans="1:23">
      <c r="A656" s="1" t="str">
        <f ca="1">IFERROR(__xludf.DUMMYFUNCTION("""COMPUTED_VALUE"""),"Henrich")</f>
        <v>Henrich</v>
      </c>
      <c r="B656" s="1" t="str">
        <f ca="1">IFERROR(__xludf.DUMMYFUNCTION("""COMPUTED_VALUE"""),"Ravas")</f>
        <v>Ravas</v>
      </c>
      <c r="C656" s="1" t="str">
        <f ca="1">IFERROR(__xludf.DUMMYFUNCTION("""COMPUTED_VALUE"""),"New England Revolution")</f>
        <v>New England Revolution</v>
      </c>
      <c r="D656" s="1" t="str">
        <f ca="1">IFERROR(__xludf.DUMMYFUNCTION("""COMPUTED_VALUE"""),"Goalkeeper")</f>
        <v>Goalkeeper</v>
      </c>
      <c r="E656" s="2">
        <f ca="1">IFERROR(__xludf.DUMMYFUNCTION("""COMPUTED_VALUE"""),240000)</f>
        <v>240000</v>
      </c>
      <c r="F656" s="2">
        <f ca="1">IFERROR(__xludf.DUMMYFUNCTION("""COMPUTED_VALUE"""),267000)</f>
        <v>267000</v>
      </c>
      <c r="H656" s="1" t="str">
        <f t="shared" ca="1" si="32"/>
        <v>Goalkeeper</v>
      </c>
      <c r="I656" s="3" t="str">
        <f t="shared" ca="1" si="33"/>
        <v>Goalkeeper</v>
      </c>
      <c r="J656" s="1" t="str">
        <f t="shared" ca="1" si="34"/>
        <v>Goalkeeper</v>
      </c>
      <c r="K656" s="1" t="str">
        <f t="shared" ca="1" si="47"/>
        <v>Goalkeeper</v>
      </c>
      <c r="L656" s="1" t="str">
        <f t="shared" ca="1" si="35"/>
        <v>Goalkeeper</v>
      </c>
      <c r="M656" s="1" t="str">
        <f t="shared" ca="1" si="36"/>
        <v>Goalkeeper</v>
      </c>
      <c r="N656" s="1" t="str">
        <f t="shared" ca="1" si="37"/>
        <v>Goalkeeper</v>
      </c>
      <c r="O656" s="1" t="str">
        <f t="shared" ca="1" si="38"/>
        <v>Goalkeeper</v>
      </c>
      <c r="P656" s="1" t="str">
        <f t="shared" ca="1" si="39"/>
        <v>Goalkeeper</v>
      </c>
      <c r="Q656" s="1" t="str">
        <f t="shared" ca="1" si="40"/>
        <v>Goalkeeper</v>
      </c>
      <c r="R656" s="1" t="str">
        <f t="shared" ca="1" si="41"/>
        <v>GK</v>
      </c>
      <c r="S656" s="1" t="str">
        <f t="shared" ca="1" si="42"/>
        <v>GK</v>
      </c>
      <c r="T656" s="1" t="str">
        <f t="shared" ca="1" si="43"/>
        <v>GK</v>
      </c>
      <c r="U656" s="1" t="str">
        <f t="shared" ca="1" si="44"/>
        <v>GK</v>
      </c>
      <c r="V656" s="1" t="str">
        <f t="shared" ca="1" si="45"/>
        <v>GK</v>
      </c>
      <c r="W656" s="1" t="str">
        <f t="shared" ca="1" si="46"/>
        <v>Henrich Ravas</v>
      </c>
    </row>
    <row r="657" spans="1:23">
      <c r="A657" s="1" t="str">
        <f ca="1">IFERROR(__xludf.DUMMYFUNCTION("""COMPUTED_VALUE"""),"Matt")</f>
        <v>Matt</v>
      </c>
      <c r="B657" s="1" t="str">
        <f ca="1">IFERROR(__xludf.DUMMYFUNCTION("""COMPUTED_VALUE"""),"Real")</f>
        <v>Real</v>
      </c>
      <c r="C657" s="1" t="str">
        <f ca="1">IFERROR(__xludf.DUMMYFUNCTION("""COMPUTED_VALUE"""),"Philadelphia Union")</f>
        <v>Philadelphia Union</v>
      </c>
      <c r="D657" s="1" t="str">
        <f ca="1">IFERROR(__xludf.DUMMYFUNCTION("""COMPUTED_VALUE"""),"Left-back")</f>
        <v>Left-back</v>
      </c>
      <c r="E657" s="2">
        <f ca="1">IFERROR(__xludf.DUMMYFUNCTION("""COMPUTED_VALUE"""),155000)</f>
        <v>155000</v>
      </c>
      <c r="F657" s="2">
        <f ca="1">IFERROR(__xludf.DUMMYFUNCTION("""COMPUTED_VALUE"""),171500)</f>
        <v>171500</v>
      </c>
      <c r="H657" s="1" t="str">
        <f t="shared" ca="1" si="32"/>
        <v>Left-back</v>
      </c>
      <c r="I657" s="3" t="str">
        <f t="shared" ca="1" si="33"/>
        <v>D</v>
      </c>
      <c r="J657" s="1" t="str">
        <f t="shared" ca="1" si="34"/>
        <v>D</v>
      </c>
      <c r="K657" s="1" t="str">
        <f t="shared" ca="1" si="47"/>
        <v>D</v>
      </c>
      <c r="L657" s="1" t="str">
        <f t="shared" ca="1" si="35"/>
        <v>D</v>
      </c>
      <c r="M657" s="1" t="str">
        <f t="shared" ca="1" si="36"/>
        <v>D</v>
      </c>
      <c r="N657" s="1" t="str">
        <f t="shared" ca="1" si="37"/>
        <v>D</v>
      </c>
      <c r="O657" s="1" t="str">
        <f t="shared" ca="1" si="38"/>
        <v>D</v>
      </c>
      <c r="P657" s="1" t="str">
        <f t="shared" ca="1" si="39"/>
        <v>D</v>
      </c>
      <c r="Q657" s="1" t="str">
        <f t="shared" ca="1" si="40"/>
        <v>D</v>
      </c>
      <c r="R657" s="1" t="str">
        <f t="shared" ca="1" si="41"/>
        <v>D</v>
      </c>
      <c r="S657" s="1" t="str">
        <f t="shared" ca="1" si="42"/>
        <v>D</v>
      </c>
      <c r="T657" s="1" t="str">
        <f t="shared" ca="1" si="43"/>
        <v>D</v>
      </c>
      <c r="U657" s="1" t="str">
        <f t="shared" ca="1" si="44"/>
        <v>D</v>
      </c>
      <c r="V657" s="1" t="str">
        <f t="shared" ca="1" si="45"/>
        <v>D</v>
      </c>
      <c r="W657" s="1" t="str">
        <f t="shared" ca="1" si="46"/>
        <v>Matt Real</v>
      </c>
    </row>
    <row r="658" spans="1:23">
      <c r="A658" s="1" t="str">
        <f ca="1">IFERROR(__xludf.DUMMYFUNCTION("""COMPUTED_VALUE"""),"Federico")</f>
        <v>Federico</v>
      </c>
      <c r="B658" s="1" t="str">
        <f ca="1">IFERROR(__xludf.DUMMYFUNCTION("""COMPUTED_VALUE"""),"Redondo")</f>
        <v>Redondo</v>
      </c>
      <c r="C658" s="1" t="str">
        <f ca="1">IFERROR(__xludf.DUMMYFUNCTION("""COMPUTED_VALUE"""),"Inter Miami")</f>
        <v>Inter Miami</v>
      </c>
      <c r="D658" s="1" t="str">
        <f ca="1">IFERROR(__xludf.DUMMYFUNCTION("""COMPUTED_VALUE"""),"Defensive Midfield")</f>
        <v>Defensive Midfield</v>
      </c>
      <c r="E658" s="2">
        <f ca="1">IFERROR(__xludf.DUMMYFUNCTION("""COMPUTED_VALUE"""),150000)</f>
        <v>150000</v>
      </c>
      <c r="F658" s="2">
        <f ca="1">IFERROR(__xludf.DUMMYFUNCTION("""COMPUTED_VALUE"""),255000)</f>
        <v>255000</v>
      </c>
      <c r="H658" s="1" t="str">
        <f t="shared" ca="1" si="32"/>
        <v>Defensive Midfield</v>
      </c>
      <c r="I658" s="3" t="str">
        <f t="shared" ca="1" si="33"/>
        <v>Defensive Midfield</v>
      </c>
      <c r="J658" s="1" t="str">
        <f t="shared" ca="1" si="34"/>
        <v>Defensive Midfield</v>
      </c>
      <c r="K658" s="1" t="str">
        <f t="shared" ca="1" si="47"/>
        <v>M</v>
      </c>
      <c r="L658" s="1" t="str">
        <f t="shared" ca="1" si="35"/>
        <v>M</v>
      </c>
      <c r="M658" s="1" t="str">
        <f t="shared" ca="1" si="36"/>
        <v>M</v>
      </c>
      <c r="N658" s="1" t="str">
        <f t="shared" ca="1" si="37"/>
        <v>M</v>
      </c>
      <c r="O658" s="1" t="str">
        <f t="shared" ca="1" si="38"/>
        <v>M</v>
      </c>
      <c r="P658" s="1" t="str">
        <f t="shared" ca="1" si="39"/>
        <v>M</v>
      </c>
      <c r="Q658" s="1" t="str">
        <f t="shared" ca="1" si="40"/>
        <v>M</v>
      </c>
      <c r="R658" s="1" t="str">
        <f t="shared" ca="1" si="41"/>
        <v>M</v>
      </c>
      <c r="S658" s="1" t="str">
        <f t="shared" ca="1" si="42"/>
        <v>M</v>
      </c>
      <c r="T658" s="1" t="str">
        <f t="shared" ca="1" si="43"/>
        <v>M</v>
      </c>
      <c r="U658" s="1" t="str">
        <f t="shared" ca="1" si="44"/>
        <v>M</v>
      </c>
      <c r="V658" s="1" t="str">
        <f t="shared" ca="1" si="45"/>
        <v>M</v>
      </c>
      <c r="W658" s="1" t="str">
        <f t="shared" ca="1" si="46"/>
        <v>Federico Redondo</v>
      </c>
    </row>
    <row r="659" spans="1:23">
      <c r="A659" s="1" t="str">
        <f ca="1">IFERROR(__xludf.DUMMYFUNCTION("""COMPUTED_VALUE"""),"João Pedro")</f>
        <v>João Pedro</v>
      </c>
      <c r="B659" s="1" t="str">
        <f ca="1">IFERROR(__xludf.DUMMYFUNCTION("""COMPUTED_VALUE"""),"Reginaldo")</f>
        <v>Reginaldo</v>
      </c>
      <c r="C659" s="1" t="str">
        <f ca="1">IFERROR(__xludf.DUMMYFUNCTION("""COMPUTED_VALUE"""),"Charlotte FC")</f>
        <v>Charlotte FC</v>
      </c>
      <c r="D659" s="1" t="str">
        <f ca="1">IFERROR(__xludf.DUMMYFUNCTION("""COMPUTED_VALUE"""),"Center-back")</f>
        <v>Center-back</v>
      </c>
      <c r="E659" s="2">
        <f ca="1">IFERROR(__xludf.DUMMYFUNCTION("""COMPUTED_VALUE"""),89716)</f>
        <v>89716</v>
      </c>
      <c r="F659" s="2">
        <f ca="1">IFERROR(__xludf.DUMMYFUNCTION("""COMPUTED_VALUE"""),101311)</f>
        <v>101311</v>
      </c>
      <c r="H659" s="1" t="str">
        <f t="shared" ca="1" si="32"/>
        <v>D</v>
      </c>
      <c r="I659" s="3" t="str">
        <f t="shared" ca="1" si="33"/>
        <v>D</v>
      </c>
      <c r="J659" s="1" t="str">
        <f t="shared" ca="1" si="34"/>
        <v>D</v>
      </c>
      <c r="K659" s="1" t="str">
        <f t="shared" ca="1" si="47"/>
        <v>D</v>
      </c>
      <c r="L659" s="1" t="str">
        <f t="shared" ca="1" si="35"/>
        <v>D</v>
      </c>
      <c r="M659" s="1" t="str">
        <f t="shared" ca="1" si="36"/>
        <v>D</v>
      </c>
      <c r="N659" s="1" t="str">
        <f t="shared" ca="1" si="37"/>
        <v>D</v>
      </c>
      <c r="O659" s="1" t="str">
        <f t="shared" ca="1" si="38"/>
        <v>D</v>
      </c>
      <c r="P659" s="1" t="str">
        <f t="shared" ca="1" si="39"/>
        <v>D</v>
      </c>
      <c r="Q659" s="1" t="str">
        <f t="shared" ca="1" si="40"/>
        <v>D</v>
      </c>
      <c r="R659" s="1" t="str">
        <f t="shared" ca="1" si="41"/>
        <v>D</v>
      </c>
      <c r="S659" s="1" t="str">
        <f t="shared" ca="1" si="42"/>
        <v>D</v>
      </c>
      <c r="T659" s="1" t="str">
        <f t="shared" ca="1" si="43"/>
        <v>D</v>
      </c>
      <c r="U659" s="1" t="str">
        <f t="shared" ca="1" si="44"/>
        <v>D</v>
      </c>
      <c r="V659" s="1" t="str">
        <f t="shared" ca="1" si="45"/>
        <v>D</v>
      </c>
      <c r="W659" s="1" t="str">
        <f t="shared" ca="1" si="46"/>
        <v>João Pedro Reginaldo</v>
      </c>
    </row>
    <row r="660" spans="1:23">
      <c r="A660" s="1" t="str">
        <f ca="1">IFERROR(__xludf.DUMMYFUNCTION("""COMPUTED_VALUE"""),"Tahir")</f>
        <v>Tahir</v>
      </c>
      <c r="B660" s="1" t="str">
        <f ca="1">IFERROR(__xludf.DUMMYFUNCTION("""COMPUTED_VALUE"""),"Reid-Brown")</f>
        <v>Reid-Brown</v>
      </c>
      <c r="C660" s="1" t="str">
        <f ca="1">IFERROR(__xludf.DUMMYFUNCTION("""COMPUTED_VALUE"""),"Orlando City SC")</f>
        <v>Orlando City SC</v>
      </c>
      <c r="D660" s="1" t="str">
        <f ca="1">IFERROR(__xludf.DUMMYFUNCTION("""COMPUTED_VALUE"""),"Left-back")</f>
        <v>Left-back</v>
      </c>
      <c r="E660" s="2">
        <f ca="1">IFERROR(__xludf.DUMMYFUNCTION("""COMPUTED_VALUE"""),71401)</f>
        <v>71401</v>
      </c>
      <c r="F660" s="2">
        <f ca="1">IFERROR(__xludf.DUMMYFUNCTION("""COMPUTED_VALUE"""),85909)</f>
        <v>85909</v>
      </c>
      <c r="H660" s="1" t="str">
        <f t="shared" ca="1" si="32"/>
        <v>Left-back</v>
      </c>
      <c r="I660" s="3" t="str">
        <f t="shared" ca="1" si="33"/>
        <v>D</v>
      </c>
      <c r="J660" s="1" t="str">
        <f t="shared" ca="1" si="34"/>
        <v>D</v>
      </c>
      <c r="K660" s="1" t="str">
        <f t="shared" ca="1" si="47"/>
        <v>D</v>
      </c>
      <c r="L660" s="1" t="str">
        <f t="shared" ca="1" si="35"/>
        <v>D</v>
      </c>
      <c r="M660" s="1" t="str">
        <f t="shared" ca="1" si="36"/>
        <v>D</v>
      </c>
      <c r="N660" s="1" t="str">
        <f t="shared" ca="1" si="37"/>
        <v>D</v>
      </c>
      <c r="O660" s="1" t="str">
        <f t="shared" ca="1" si="38"/>
        <v>D</v>
      </c>
      <c r="P660" s="1" t="str">
        <f t="shared" ca="1" si="39"/>
        <v>D</v>
      </c>
      <c r="Q660" s="1" t="str">
        <f t="shared" ca="1" si="40"/>
        <v>D</v>
      </c>
      <c r="R660" s="1" t="str">
        <f t="shared" ca="1" si="41"/>
        <v>D</v>
      </c>
      <c r="S660" s="1" t="str">
        <f t="shared" ca="1" si="42"/>
        <v>D</v>
      </c>
      <c r="T660" s="1" t="str">
        <f t="shared" ca="1" si="43"/>
        <v>D</v>
      </c>
      <c r="U660" s="1" t="str">
        <f t="shared" ca="1" si="44"/>
        <v>D</v>
      </c>
      <c r="V660" s="1" t="str">
        <f t="shared" ca="1" si="45"/>
        <v>D</v>
      </c>
      <c r="W660" s="1" t="str">
        <f t="shared" ca="1" si="46"/>
        <v>Tahir Reid-Brown</v>
      </c>
    </row>
    <row r="661" spans="1:23">
      <c r="A661" s="1" t="str">
        <f ca="1">IFERROR(__xludf.DUMMYFUNCTION("""COMPUTED_VALUE"""),"Andrés")</f>
        <v>Andrés</v>
      </c>
      <c r="B661" s="1" t="str">
        <f ca="1">IFERROR(__xludf.DUMMYFUNCTION("""COMPUTED_VALUE"""),"Reyes")</f>
        <v>Reyes</v>
      </c>
      <c r="C661" s="1" t="str">
        <f ca="1">IFERROR(__xludf.DUMMYFUNCTION("""COMPUTED_VALUE"""),"New York Red Bulls")</f>
        <v>New York Red Bulls</v>
      </c>
      <c r="D661" s="1" t="str">
        <f ca="1">IFERROR(__xludf.DUMMYFUNCTION("""COMPUTED_VALUE"""),"Center-back")</f>
        <v>Center-back</v>
      </c>
      <c r="E661" s="2">
        <f ca="1">IFERROR(__xludf.DUMMYFUNCTION("""COMPUTED_VALUE"""),642000)</f>
        <v>642000</v>
      </c>
      <c r="F661" s="2">
        <f ca="1">IFERROR(__xludf.DUMMYFUNCTION("""COMPUTED_VALUE"""),792000)</f>
        <v>792000</v>
      </c>
      <c r="H661" s="1" t="str">
        <f t="shared" ca="1" si="32"/>
        <v>D</v>
      </c>
      <c r="I661" s="3" t="str">
        <f t="shared" ca="1" si="33"/>
        <v>D</v>
      </c>
      <c r="J661" s="1" t="str">
        <f t="shared" ca="1" si="34"/>
        <v>D</v>
      </c>
      <c r="K661" s="1" t="str">
        <f t="shared" ca="1" si="47"/>
        <v>D</v>
      </c>
      <c r="L661" s="1" t="str">
        <f t="shared" ca="1" si="35"/>
        <v>D</v>
      </c>
      <c r="M661" s="1" t="str">
        <f t="shared" ca="1" si="36"/>
        <v>D</v>
      </c>
      <c r="N661" s="1" t="str">
        <f t="shared" ca="1" si="37"/>
        <v>D</v>
      </c>
      <c r="O661" s="1" t="str">
        <f t="shared" ca="1" si="38"/>
        <v>D</v>
      </c>
      <c r="P661" s="1" t="str">
        <f t="shared" ca="1" si="39"/>
        <v>D</v>
      </c>
      <c r="Q661" s="1" t="str">
        <f t="shared" ca="1" si="40"/>
        <v>D</v>
      </c>
      <c r="R661" s="1" t="str">
        <f t="shared" ca="1" si="41"/>
        <v>D</v>
      </c>
      <c r="S661" s="1" t="str">
        <f t="shared" ca="1" si="42"/>
        <v>D</v>
      </c>
      <c r="T661" s="1" t="str">
        <f t="shared" ca="1" si="43"/>
        <v>D</v>
      </c>
      <c r="U661" s="1" t="str">
        <f t="shared" ca="1" si="44"/>
        <v>D</v>
      </c>
      <c r="V661" s="1" t="str">
        <f t="shared" ca="1" si="45"/>
        <v>D</v>
      </c>
      <c r="W661" s="1" t="str">
        <f t="shared" ca="1" si="46"/>
        <v>Andrés Reyes</v>
      </c>
    </row>
    <row r="662" spans="1:23">
      <c r="A662" s="1" t="str">
        <f ca="1">IFERROR(__xludf.DUMMYFUNCTION("""COMPUTED_VALUE"""),"Justin")</f>
        <v>Justin</v>
      </c>
      <c r="B662" s="1" t="str">
        <f ca="1">IFERROR(__xludf.DUMMYFUNCTION("""COMPUTED_VALUE"""),"Reynolds")</f>
        <v>Reynolds</v>
      </c>
      <c r="C662" s="1" t="str">
        <f ca="1">IFERROR(__xludf.DUMMYFUNCTION("""COMPUTED_VALUE"""),"Chicago Fire")</f>
        <v>Chicago Fire</v>
      </c>
      <c r="D662" s="1" t="str">
        <f ca="1">IFERROR(__xludf.DUMMYFUNCTION("""COMPUTED_VALUE"""),"Right-back")</f>
        <v>Right-back</v>
      </c>
      <c r="E662" s="2">
        <f ca="1">IFERROR(__xludf.DUMMYFUNCTION("""COMPUTED_VALUE"""),71401)</f>
        <v>71401</v>
      </c>
      <c r="F662" s="2">
        <f ca="1">IFERROR(__xludf.DUMMYFUNCTION("""COMPUTED_VALUE"""),71401)</f>
        <v>71401</v>
      </c>
      <c r="H662" s="1" t="str">
        <f t="shared" ca="1" si="32"/>
        <v>Right-back</v>
      </c>
      <c r="I662" s="3" t="str">
        <f t="shared" ca="1" si="33"/>
        <v>Right-back</v>
      </c>
      <c r="J662" s="1" t="str">
        <f t="shared" ca="1" si="34"/>
        <v>D</v>
      </c>
      <c r="K662" s="1" t="str">
        <f t="shared" ca="1" si="47"/>
        <v>D</v>
      </c>
      <c r="L662" s="1" t="str">
        <f t="shared" ca="1" si="35"/>
        <v>D</v>
      </c>
      <c r="M662" s="1" t="str">
        <f t="shared" ca="1" si="36"/>
        <v>D</v>
      </c>
      <c r="N662" s="1" t="str">
        <f t="shared" ca="1" si="37"/>
        <v>D</v>
      </c>
      <c r="O662" s="1" t="str">
        <f t="shared" ca="1" si="38"/>
        <v>D</v>
      </c>
      <c r="P662" s="1" t="str">
        <f t="shared" ca="1" si="39"/>
        <v>D</v>
      </c>
      <c r="Q662" s="1" t="str">
        <f t="shared" ca="1" si="40"/>
        <v>D</v>
      </c>
      <c r="R662" s="1" t="str">
        <f t="shared" ca="1" si="41"/>
        <v>D</v>
      </c>
      <c r="S662" s="1" t="str">
        <f t="shared" ca="1" si="42"/>
        <v>D</v>
      </c>
      <c r="T662" s="1" t="str">
        <f t="shared" ca="1" si="43"/>
        <v>D</v>
      </c>
      <c r="U662" s="1" t="str">
        <f t="shared" ca="1" si="44"/>
        <v>D</v>
      </c>
      <c r="V662" s="1" t="str">
        <f t="shared" ca="1" si="45"/>
        <v>D</v>
      </c>
      <c r="W662" s="1" t="str">
        <f t="shared" ca="1" si="46"/>
        <v>Justin Reynolds</v>
      </c>
    </row>
    <row r="663" spans="1:23">
      <c r="A663" s="1" t="str">
        <f ca="1">IFERROR(__xludf.DUMMYFUNCTION("""COMPUTED_VALUE"""),"Emanuel")</f>
        <v>Emanuel</v>
      </c>
      <c r="B663" s="1" t="str">
        <f ca="1">IFERROR(__xludf.DUMMYFUNCTION("""COMPUTED_VALUE"""),"Reynoso")</f>
        <v>Reynoso</v>
      </c>
      <c r="C663" s="1" t="str">
        <f ca="1">IFERROR(__xludf.DUMMYFUNCTION("""COMPUTED_VALUE"""),"Minnesota United")</f>
        <v>Minnesota United</v>
      </c>
      <c r="D663" s="1" t="str">
        <f ca="1">IFERROR(__xludf.DUMMYFUNCTION("""COMPUTED_VALUE"""),"Attacking Midfield")</f>
        <v>Attacking Midfield</v>
      </c>
      <c r="E663" s="2">
        <f ca="1">IFERROR(__xludf.DUMMYFUNCTION("""COMPUTED_VALUE"""),1700000)</f>
        <v>1700000</v>
      </c>
      <c r="F663" s="2">
        <f ca="1">IFERROR(__xludf.DUMMYFUNCTION("""COMPUTED_VALUE"""),2251200)</f>
        <v>2251200</v>
      </c>
      <c r="H663" s="1" t="str">
        <f t="shared" ca="1" si="32"/>
        <v>Attacking Midfield</v>
      </c>
      <c r="I663" s="3" t="str">
        <f t="shared" ca="1" si="33"/>
        <v>Attacking Midfield</v>
      </c>
      <c r="J663" s="1" t="str">
        <f t="shared" ca="1" si="34"/>
        <v>Attacking Midfield</v>
      </c>
      <c r="K663" s="1" t="str">
        <f t="shared" ca="1" si="47"/>
        <v>Attacking Midfield</v>
      </c>
      <c r="L663" s="1" t="str">
        <f t="shared" ca="1" si="35"/>
        <v>Attacking Midfield</v>
      </c>
      <c r="M663" s="1" t="str">
        <f t="shared" ca="1" si="36"/>
        <v>M</v>
      </c>
      <c r="N663" s="1" t="str">
        <f t="shared" ca="1" si="37"/>
        <v>M</v>
      </c>
      <c r="O663" s="1" t="str">
        <f t="shared" ca="1" si="38"/>
        <v>M</v>
      </c>
      <c r="P663" s="1" t="str">
        <f t="shared" ca="1" si="39"/>
        <v>M</v>
      </c>
      <c r="Q663" s="1" t="str">
        <f t="shared" ca="1" si="40"/>
        <v>M</v>
      </c>
      <c r="R663" s="1" t="str">
        <f t="shared" ca="1" si="41"/>
        <v>M</v>
      </c>
      <c r="S663" s="1" t="str">
        <f t="shared" ca="1" si="42"/>
        <v>M</v>
      </c>
      <c r="T663" s="1" t="str">
        <f t="shared" ca="1" si="43"/>
        <v>M</v>
      </c>
      <c r="U663" s="1" t="str">
        <f t="shared" ca="1" si="44"/>
        <v>M</v>
      </c>
      <c r="V663" s="1" t="str">
        <f t="shared" ca="1" si="45"/>
        <v>M</v>
      </c>
      <c r="W663" s="1" t="str">
        <f t="shared" ca="1" si="46"/>
        <v>Emanuel Reynoso</v>
      </c>
    </row>
    <row r="664" spans="1:23">
      <c r="A664" s="1" t="str">
        <f ca="1">IFERROR(__xludf.DUMMYFUNCTION("""COMPUTED_VALUE"""),"Spencer")</f>
        <v>Spencer</v>
      </c>
      <c r="B664" s="1" t="str">
        <f ca="1">IFERROR(__xludf.DUMMYFUNCTION("""COMPUTED_VALUE"""),"Richey")</f>
        <v>Richey</v>
      </c>
      <c r="C664" s="1" t="str">
        <f ca="1">IFERROR(__xludf.DUMMYFUNCTION("""COMPUTED_VALUE"""),"Chicago Fire")</f>
        <v>Chicago Fire</v>
      </c>
      <c r="D664" s="1" t="str">
        <f ca="1">IFERROR(__xludf.DUMMYFUNCTION("""COMPUTED_VALUE"""),"Goalkeeper")</f>
        <v>Goalkeeper</v>
      </c>
      <c r="E664" s="2">
        <f ca="1">IFERROR(__xludf.DUMMYFUNCTION("""COMPUTED_VALUE"""),165000)</f>
        <v>165000</v>
      </c>
      <c r="F664" s="2">
        <f ca="1">IFERROR(__xludf.DUMMYFUNCTION("""COMPUTED_VALUE"""),165000)</f>
        <v>165000</v>
      </c>
      <c r="H664" s="1" t="str">
        <f t="shared" ca="1" si="32"/>
        <v>Goalkeeper</v>
      </c>
      <c r="I664" s="3" t="str">
        <f t="shared" ca="1" si="33"/>
        <v>Goalkeeper</v>
      </c>
      <c r="J664" s="1" t="str">
        <f t="shared" ca="1" si="34"/>
        <v>Goalkeeper</v>
      </c>
      <c r="K664" s="1" t="str">
        <f t="shared" ca="1" si="47"/>
        <v>Goalkeeper</v>
      </c>
      <c r="L664" s="1" t="str">
        <f t="shared" ca="1" si="35"/>
        <v>Goalkeeper</v>
      </c>
      <c r="M664" s="1" t="str">
        <f t="shared" ca="1" si="36"/>
        <v>Goalkeeper</v>
      </c>
      <c r="N664" s="1" t="str">
        <f t="shared" ca="1" si="37"/>
        <v>Goalkeeper</v>
      </c>
      <c r="O664" s="1" t="str">
        <f t="shared" ca="1" si="38"/>
        <v>Goalkeeper</v>
      </c>
      <c r="P664" s="1" t="str">
        <f t="shared" ca="1" si="39"/>
        <v>Goalkeeper</v>
      </c>
      <c r="Q664" s="1" t="str">
        <f t="shared" ca="1" si="40"/>
        <v>Goalkeeper</v>
      </c>
      <c r="R664" s="1" t="str">
        <f t="shared" ca="1" si="41"/>
        <v>GK</v>
      </c>
      <c r="S664" s="1" t="str">
        <f t="shared" ca="1" si="42"/>
        <v>GK</v>
      </c>
      <c r="T664" s="1" t="str">
        <f t="shared" ca="1" si="43"/>
        <v>GK</v>
      </c>
      <c r="U664" s="1" t="str">
        <f t="shared" ca="1" si="44"/>
        <v>GK</v>
      </c>
      <c r="V664" s="1" t="str">
        <f t="shared" ca="1" si="45"/>
        <v>GK</v>
      </c>
      <c r="W664" s="1" t="str">
        <f t="shared" ca="1" si="46"/>
        <v>Spencer Richey</v>
      </c>
    </row>
    <row r="665" spans="1:23">
      <c r="A665" s="1" t="str">
        <f ca="1">IFERROR(__xludf.DUMMYFUNCTION("""COMPUTED_VALUE"""),"Will")</f>
        <v>Will</v>
      </c>
      <c r="B665" s="1" t="str">
        <f ca="1">IFERROR(__xludf.DUMMYFUNCTION("""COMPUTED_VALUE"""),"Richmond")</f>
        <v>Richmond</v>
      </c>
      <c r="C665" s="1" t="str">
        <f ca="1">IFERROR(__xludf.DUMMYFUNCTION("""COMPUTED_VALUE"""),"San Jose Earthquakes")</f>
        <v>San Jose Earthquakes</v>
      </c>
      <c r="D665" s="1" t="str">
        <f ca="1">IFERROR(__xludf.DUMMYFUNCTION("""COMPUTED_VALUE"""),"Right Wing")</f>
        <v>Right Wing</v>
      </c>
      <c r="E665" s="2">
        <f ca="1">IFERROR(__xludf.DUMMYFUNCTION("""COMPUTED_VALUE"""),89716)</f>
        <v>89716</v>
      </c>
      <c r="F665" s="2">
        <f ca="1">IFERROR(__xludf.DUMMYFUNCTION("""COMPUTED_VALUE"""),89716)</f>
        <v>89716</v>
      </c>
      <c r="H665" s="1" t="str">
        <f t="shared" ca="1" si="32"/>
        <v>Right Wing</v>
      </c>
      <c r="I665" s="3" t="str">
        <f t="shared" ca="1" si="33"/>
        <v>Right Wing</v>
      </c>
      <c r="J665" s="1" t="str">
        <f t="shared" ca="1" si="34"/>
        <v>Right Wing</v>
      </c>
      <c r="K665" s="1" t="str">
        <f t="shared" ca="1" si="47"/>
        <v>Right Wing</v>
      </c>
      <c r="L665" s="1" t="str">
        <f t="shared" ca="1" si="35"/>
        <v>Right Wing</v>
      </c>
      <c r="M665" s="1" t="str">
        <f t="shared" ca="1" si="36"/>
        <v>Right Wing</v>
      </c>
      <c r="N665" s="1" t="str">
        <f t="shared" ca="1" si="37"/>
        <v>F</v>
      </c>
      <c r="O665" s="1" t="str">
        <f t="shared" ca="1" si="38"/>
        <v>F</v>
      </c>
      <c r="P665" s="1" t="str">
        <f t="shared" ca="1" si="39"/>
        <v>F</v>
      </c>
      <c r="Q665" s="1" t="str">
        <f t="shared" ca="1" si="40"/>
        <v>F</v>
      </c>
      <c r="R665" s="1" t="str">
        <f t="shared" ca="1" si="41"/>
        <v>F</v>
      </c>
      <c r="S665" s="1" t="str">
        <f t="shared" ca="1" si="42"/>
        <v>F</v>
      </c>
      <c r="T665" s="1" t="str">
        <f t="shared" ca="1" si="43"/>
        <v>F</v>
      </c>
      <c r="U665" s="1" t="str">
        <f t="shared" ca="1" si="44"/>
        <v>F</v>
      </c>
      <c r="V665" s="1" t="str">
        <f t="shared" ca="1" si="45"/>
        <v>F</v>
      </c>
      <c r="W665" s="1" t="str">
        <f t="shared" ca="1" si="46"/>
        <v>Will Richmond</v>
      </c>
    </row>
    <row r="666" spans="1:23">
      <c r="A666" s="1" t="str">
        <f ca="1">IFERROR(__xludf.DUMMYFUNCTION("""COMPUTED_VALUE"""),"Jamar")</f>
        <v>Jamar</v>
      </c>
      <c r="B666" s="1" t="str">
        <f ca="1">IFERROR(__xludf.DUMMYFUNCTION("""COMPUTED_VALUE"""),"Ricketts")</f>
        <v>Ricketts</v>
      </c>
      <c r="C666" s="1" t="str">
        <f ca="1">IFERROR(__xludf.DUMMYFUNCTION("""COMPUTED_VALUE"""),"San Jose Earthquakes")</f>
        <v>San Jose Earthquakes</v>
      </c>
      <c r="D666" s="1" t="str">
        <f ca="1">IFERROR(__xludf.DUMMYFUNCTION("""COMPUTED_VALUE"""),"Left-back")</f>
        <v>Left-back</v>
      </c>
      <c r="E666" s="2">
        <f ca="1">IFERROR(__xludf.DUMMYFUNCTION("""COMPUTED_VALUE"""),71401)</f>
        <v>71401</v>
      </c>
      <c r="F666" s="2">
        <f ca="1">IFERROR(__xludf.DUMMYFUNCTION("""COMPUTED_VALUE"""),72988)</f>
        <v>72988</v>
      </c>
      <c r="H666" s="1" t="str">
        <f t="shared" ca="1" si="32"/>
        <v>Left-back</v>
      </c>
      <c r="I666" s="3" t="str">
        <f t="shared" ca="1" si="33"/>
        <v>D</v>
      </c>
      <c r="J666" s="1" t="str">
        <f t="shared" ca="1" si="34"/>
        <v>D</v>
      </c>
      <c r="K666" s="1" t="str">
        <f t="shared" ca="1" si="47"/>
        <v>D</v>
      </c>
      <c r="L666" s="1" t="str">
        <f t="shared" ca="1" si="35"/>
        <v>D</v>
      </c>
      <c r="M666" s="1" t="str">
        <f t="shared" ca="1" si="36"/>
        <v>D</v>
      </c>
      <c r="N666" s="1" t="str">
        <f t="shared" ca="1" si="37"/>
        <v>D</v>
      </c>
      <c r="O666" s="1" t="str">
        <f t="shared" ca="1" si="38"/>
        <v>D</v>
      </c>
      <c r="P666" s="1" t="str">
        <f t="shared" ca="1" si="39"/>
        <v>D</v>
      </c>
      <c r="Q666" s="1" t="str">
        <f t="shared" ca="1" si="40"/>
        <v>D</v>
      </c>
      <c r="R666" s="1" t="str">
        <f t="shared" ca="1" si="41"/>
        <v>D</v>
      </c>
      <c r="S666" s="1" t="str">
        <f t="shared" ca="1" si="42"/>
        <v>D</v>
      </c>
      <c r="T666" s="1" t="str">
        <f t="shared" ca="1" si="43"/>
        <v>D</v>
      </c>
      <c r="U666" s="1" t="str">
        <f t="shared" ca="1" si="44"/>
        <v>D</v>
      </c>
      <c r="V666" s="1" t="str">
        <f t="shared" ca="1" si="45"/>
        <v>D</v>
      </c>
      <c r="W666" s="1" t="str">
        <f t="shared" ca="1" si="46"/>
        <v>Jamar Ricketts</v>
      </c>
    </row>
    <row r="667" spans="1:23">
      <c r="A667" s="1" t="str">
        <f ca="1">IFERROR(__xludf.DUMMYFUNCTION("""COMPUTED_VALUE"""),"Emiliano")</f>
        <v>Emiliano</v>
      </c>
      <c r="B667" s="1" t="str">
        <f ca="1">IFERROR(__xludf.DUMMYFUNCTION("""COMPUTED_VALUE"""),"Rigoni")</f>
        <v>Rigoni</v>
      </c>
      <c r="C667" s="1" t="str">
        <f ca="1">IFERROR(__xludf.DUMMYFUNCTION("""COMPUTED_VALUE"""),"Austin FC")</f>
        <v>Austin FC</v>
      </c>
      <c r="D667" s="1" t="str">
        <f ca="1">IFERROR(__xludf.DUMMYFUNCTION("""COMPUTED_VALUE"""),"Right Wing")</f>
        <v>Right Wing</v>
      </c>
      <c r="E667" s="2">
        <f ca="1">IFERROR(__xludf.DUMMYFUNCTION("""COMPUTED_VALUE"""),1599996)</f>
        <v>1599996</v>
      </c>
      <c r="F667" s="2">
        <f ca="1">IFERROR(__xludf.DUMMYFUNCTION("""COMPUTED_VALUE"""),2047996)</f>
        <v>2047996</v>
      </c>
      <c r="H667" s="1" t="str">
        <f t="shared" ca="1" si="32"/>
        <v>Right Wing</v>
      </c>
      <c r="I667" s="3" t="str">
        <f t="shared" ca="1" si="33"/>
        <v>Right Wing</v>
      </c>
      <c r="J667" s="1" t="str">
        <f t="shared" ca="1" si="34"/>
        <v>Right Wing</v>
      </c>
      <c r="K667" s="1" t="str">
        <f t="shared" ca="1" si="47"/>
        <v>Right Wing</v>
      </c>
      <c r="L667" s="1" t="str">
        <f t="shared" ca="1" si="35"/>
        <v>Right Wing</v>
      </c>
      <c r="M667" s="1" t="str">
        <f t="shared" ca="1" si="36"/>
        <v>Right Wing</v>
      </c>
      <c r="N667" s="1" t="str">
        <f t="shared" ca="1" si="37"/>
        <v>F</v>
      </c>
      <c r="O667" s="1" t="str">
        <f t="shared" ca="1" si="38"/>
        <v>F</v>
      </c>
      <c r="P667" s="1" t="str">
        <f t="shared" ca="1" si="39"/>
        <v>F</v>
      </c>
      <c r="Q667" s="1" t="str">
        <f t="shared" ca="1" si="40"/>
        <v>F</v>
      </c>
      <c r="R667" s="1" t="str">
        <f t="shared" ca="1" si="41"/>
        <v>F</v>
      </c>
      <c r="S667" s="1" t="str">
        <f t="shared" ca="1" si="42"/>
        <v>F</v>
      </c>
      <c r="T667" s="1" t="str">
        <f t="shared" ca="1" si="43"/>
        <v>F</v>
      </c>
      <c r="U667" s="1" t="str">
        <f t="shared" ca="1" si="44"/>
        <v>F</v>
      </c>
      <c r="V667" s="1" t="str">
        <f t="shared" ca="1" si="45"/>
        <v>F</v>
      </c>
      <c r="W667" s="1" t="str">
        <f t="shared" ca="1" si="46"/>
        <v>Emiliano Rigoni</v>
      </c>
    </row>
    <row r="668" spans="1:23">
      <c r="A668" s="1" t="str">
        <f ca="1">IFERROR(__xludf.DUMMYFUNCTION("""COMPUTED_VALUE"""),"Chris")</f>
        <v>Chris</v>
      </c>
      <c r="B668" s="1" t="str">
        <f ca="1">IFERROR(__xludf.DUMMYFUNCTION("""COMPUTED_VALUE"""),"Rindov")</f>
        <v>Rindov</v>
      </c>
      <c r="C668" s="1" t="str">
        <f ca="1">IFERROR(__xludf.DUMMYFUNCTION("""COMPUTED_VALUE"""),"Sporting Kansas City")</f>
        <v>Sporting Kansas City</v>
      </c>
      <c r="D668" s="1" t="str">
        <f ca="1">IFERROR(__xludf.DUMMYFUNCTION("""COMPUTED_VALUE"""),"Center-back")</f>
        <v>Center-back</v>
      </c>
      <c r="E668" s="2">
        <f ca="1">IFERROR(__xludf.DUMMYFUNCTION("""COMPUTED_VALUE"""),71401)</f>
        <v>71401</v>
      </c>
      <c r="F668" s="2">
        <f ca="1">IFERROR(__xludf.DUMMYFUNCTION("""COMPUTED_VALUE"""),71401)</f>
        <v>71401</v>
      </c>
      <c r="H668" s="1" t="str">
        <f t="shared" ca="1" si="32"/>
        <v>D</v>
      </c>
      <c r="I668" s="3" t="str">
        <f t="shared" ca="1" si="33"/>
        <v>D</v>
      </c>
      <c r="J668" s="1" t="str">
        <f t="shared" ca="1" si="34"/>
        <v>D</v>
      </c>
      <c r="K668" s="1" t="str">
        <f t="shared" ca="1" si="47"/>
        <v>D</v>
      </c>
      <c r="L668" s="1" t="str">
        <f t="shared" ca="1" si="35"/>
        <v>D</v>
      </c>
      <c r="M668" s="1" t="str">
        <f t="shared" ca="1" si="36"/>
        <v>D</v>
      </c>
      <c r="N668" s="1" t="str">
        <f t="shared" ca="1" si="37"/>
        <v>D</v>
      </c>
      <c r="O668" s="1" t="str">
        <f t="shared" ca="1" si="38"/>
        <v>D</v>
      </c>
      <c r="P668" s="1" t="str">
        <f t="shared" ca="1" si="39"/>
        <v>D</v>
      </c>
      <c r="Q668" s="1" t="str">
        <f t="shared" ca="1" si="40"/>
        <v>D</v>
      </c>
      <c r="R668" s="1" t="str">
        <f t="shared" ca="1" si="41"/>
        <v>D</v>
      </c>
      <c r="S668" s="1" t="str">
        <f t="shared" ca="1" si="42"/>
        <v>D</v>
      </c>
      <c r="T668" s="1" t="str">
        <f t="shared" ca="1" si="43"/>
        <v>D</v>
      </c>
      <c r="U668" s="1" t="str">
        <f t="shared" ca="1" si="44"/>
        <v>D</v>
      </c>
      <c r="V668" s="1" t="str">
        <f t="shared" ca="1" si="45"/>
        <v>D</v>
      </c>
      <c r="W668" s="1" t="str">
        <f t="shared" ca="1" si="46"/>
        <v>Chris Rindov</v>
      </c>
    </row>
    <row r="669" spans="1:23">
      <c r="A669" s="1" t="str">
        <f ca="1">IFERROR(__xludf.DUMMYFUNCTION("""COMPUTED_VALUE"""),"Alexander")</f>
        <v>Alexander</v>
      </c>
      <c r="B669" s="1" t="str">
        <f ca="1">IFERROR(__xludf.DUMMYFUNCTION("""COMPUTED_VALUE"""),"Ring")</f>
        <v>Ring</v>
      </c>
      <c r="C669" s="1" t="str">
        <f ca="1">IFERROR(__xludf.DUMMYFUNCTION("""COMPUTED_VALUE"""),"Austin FC")</f>
        <v>Austin FC</v>
      </c>
      <c r="D669" s="1" t="str">
        <f ca="1">IFERROR(__xludf.DUMMYFUNCTION("""COMPUTED_VALUE"""),"Central Midfield")</f>
        <v>Central Midfield</v>
      </c>
      <c r="E669" s="2">
        <f ca="1">IFERROR(__xludf.DUMMYFUNCTION("""COMPUTED_VALUE"""),1525000)</f>
        <v>1525000</v>
      </c>
      <c r="F669" s="2">
        <f ca="1">IFERROR(__xludf.DUMMYFUNCTION("""COMPUTED_VALUE"""),1665000)</f>
        <v>1665000</v>
      </c>
      <c r="H669" s="1" t="str">
        <f t="shared" ca="1" si="32"/>
        <v>Central Midfield</v>
      </c>
      <c r="I669" s="3" t="str">
        <f t="shared" ca="1" si="33"/>
        <v>Central Midfield</v>
      </c>
      <c r="J669" s="1" t="str">
        <f t="shared" ca="1" si="34"/>
        <v>Central Midfield</v>
      </c>
      <c r="K669" s="1" t="str">
        <f t="shared" ca="1" si="47"/>
        <v>Central Midfield</v>
      </c>
      <c r="L669" s="1" t="str">
        <f t="shared" ca="1" si="35"/>
        <v>M</v>
      </c>
      <c r="M669" s="1" t="str">
        <f t="shared" ca="1" si="36"/>
        <v>M</v>
      </c>
      <c r="N669" s="1" t="str">
        <f t="shared" ca="1" si="37"/>
        <v>M</v>
      </c>
      <c r="O669" s="1" t="str">
        <f t="shared" ca="1" si="38"/>
        <v>M</v>
      </c>
      <c r="P669" s="1" t="str">
        <f t="shared" ca="1" si="39"/>
        <v>M</v>
      </c>
      <c r="Q669" s="1" t="str">
        <f t="shared" ca="1" si="40"/>
        <v>M</v>
      </c>
      <c r="R669" s="1" t="str">
        <f t="shared" ca="1" si="41"/>
        <v>M</v>
      </c>
      <c r="S669" s="1" t="str">
        <f t="shared" ca="1" si="42"/>
        <v>M</v>
      </c>
      <c r="T669" s="1" t="str">
        <f t="shared" ca="1" si="43"/>
        <v>M</v>
      </c>
      <c r="U669" s="1" t="str">
        <f t="shared" ca="1" si="44"/>
        <v>M</v>
      </c>
      <c r="V669" s="1" t="str">
        <f t="shared" ca="1" si="45"/>
        <v>M</v>
      </c>
      <c r="W669" s="1" t="str">
        <f t="shared" ca="1" si="46"/>
        <v>Alexander Ring</v>
      </c>
    </row>
    <row r="670" spans="1:23">
      <c r="A670" s="1" t="str">
        <f ca="1">IFERROR(__xludf.DUMMYFUNCTION("""COMPUTED_VALUE"""),"Birk")</f>
        <v>Birk</v>
      </c>
      <c r="B670" s="1" t="str">
        <f ca="1">IFERROR(__xludf.DUMMYFUNCTION("""COMPUTED_VALUE"""),"Risa")</f>
        <v>Risa</v>
      </c>
      <c r="C670" s="1" t="str">
        <f ca="1">IFERROR(__xludf.DUMMYFUNCTION("""COMPUTED_VALUE"""),"New York City FC")</f>
        <v>New York City FC</v>
      </c>
      <c r="D670" s="1" t="str">
        <f ca="1">IFERROR(__xludf.DUMMYFUNCTION("""COMPUTED_VALUE"""),"Center-back")</f>
        <v>Center-back</v>
      </c>
      <c r="E670" s="2">
        <f ca="1">IFERROR(__xludf.DUMMYFUNCTION("""COMPUTED_VALUE"""),660000)</f>
        <v>660000</v>
      </c>
      <c r="F670" s="2">
        <f ca="1">IFERROR(__xludf.DUMMYFUNCTION("""COMPUTED_VALUE"""),749750)</f>
        <v>749750</v>
      </c>
      <c r="H670" s="1" t="str">
        <f t="shared" ca="1" si="32"/>
        <v>D</v>
      </c>
      <c r="I670" s="3" t="str">
        <f t="shared" ca="1" si="33"/>
        <v>D</v>
      </c>
      <c r="J670" s="1" t="str">
        <f t="shared" ca="1" si="34"/>
        <v>D</v>
      </c>
      <c r="K670" s="1" t="str">
        <f t="shared" ca="1" si="47"/>
        <v>D</v>
      </c>
      <c r="L670" s="1" t="str">
        <f t="shared" ca="1" si="35"/>
        <v>D</v>
      </c>
      <c r="M670" s="1" t="str">
        <f t="shared" ca="1" si="36"/>
        <v>D</v>
      </c>
      <c r="N670" s="1" t="str">
        <f t="shared" ca="1" si="37"/>
        <v>D</v>
      </c>
      <c r="O670" s="1" t="str">
        <f t="shared" ca="1" si="38"/>
        <v>D</v>
      </c>
      <c r="P670" s="1" t="str">
        <f t="shared" ca="1" si="39"/>
        <v>D</v>
      </c>
      <c r="Q670" s="1" t="str">
        <f t="shared" ca="1" si="40"/>
        <v>D</v>
      </c>
      <c r="R670" s="1" t="str">
        <f t="shared" ca="1" si="41"/>
        <v>D</v>
      </c>
      <c r="S670" s="1" t="str">
        <f t="shared" ca="1" si="42"/>
        <v>D</v>
      </c>
      <c r="T670" s="1" t="str">
        <f t="shared" ca="1" si="43"/>
        <v>D</v>
      </c>
      <c r="U670" s="1" t="str">
        <f t="shared" ca="1" si="44"/>
        <v>D</v>
      </c>
      <c r="V670" s="1" t="str">
        <f t="shared" ca="1" si="45"/>
        <v>D</v>
      </c>
      <c r="W670" s="1" t="str">
        <f t="shared" ca="1" si="46"/>
        <v>Birk Risa</v>
      </c>
    </row>
    <row r="671" spans="1:23">
      <c r="A671" s="1" t="str">
        <f ca="1">IFERROR(__xludf.DUMMYFUNCTION("""COMPUTED_VALUE"""),"Luis")</f>
        <v>Luis</v>
      </c>
      <c r="B671" s="1" t="str">
        <f ca="1">IFERROR(__xludf.DUMMYFUNCTION("""COMPUTED_VALUE"""),"Rivera")</f>
        <v>Rivera</v>
      </c>
      <c r="C671" s="1" t="str">
        <f ca="1">IFERROR(__xludf.DUMMYFUNCTION("""COMPUTED_VALUE"""),"Real Salt Lake")</f>
        <v>Real Salt Lake</v>
      </c>
      <c r="D671" s="1" t="str">
        <f ca="1">IFERROR(__xludf.DUMMYFUNCTION("""COMPUTED_VALUE"""),"Left-back")</f>
        <v>Left-back</v>
      </c>
      <c r="E671" s="2">
        <f ca="1">IFERROR(__xludf.DUMMYFUNCTION("""COMPUTED_VALUE"""),89716)</f>
        <v>89716</v>
      </c>
      <c r="F671" s="2">
        <f ca="1">IFERROR(__xludf.DUMMYFUNCTION("""COMPUTED_VALUE"""),100816)</f>
        <v>100816</v>
      </c>
      <c r="H671" s="1" t="str">
        <f t="shared" ca="1" si="32"/>
        <v>Left-back</v>
      </c>
      <c r="I671" s="3" t="str">
        <f t="shared" ca="1" si="33"/>
        <v>D</v>
      </c>
      <c r="J671" s="1" t="str">
        <f t="shared" ca="1" si="34"/>
        <v>D</v>
      </c>
      <c r="K671" s="1" t="str">
        <f t="shared" ca="1" si="47"/>
        <v>D</v>
      </c>
      <c r="L671" s="1" t="str">
        <f t="shared" ca="1" si="35"/>
        <v>D</v>
      </c>
      <c r="M671" s="1" t="str">
        <f t="shared" ca="1" si="36"/>
        <v>D</v>
      </c>
      <c r="N671" s="1" t="str">
        <f t="shared" ca="1" si="37"/>
        <v>D</v>
      </c>
      <c r="O671" s="1" t="str">
        <f t="shared" ca="1" si="38"/>
        <v>D</v>
      </c>
      <c r="P671" s="1" t="str">
        <f t="shared" ca="1" si="39"/>
        <v>D</v>
      </c>
      <c r="Q671" s="1" t="str">
        <f t="shared" ca="1" si="40"/>
        <v>D</v>
      </c>
      <c r="R671" s="1" t="str">
        <f t="shared" ca="1" si="41"/>
        <v>D</v>
      </c>
      <c r="S671" s="1" t="str">
        <f t="shared" ca="1" si="42"/>
        <v>D</v>
      </c>
      <c r="T671" s="1" t="str">
        <f t="shared" ca="1" si="43"/>
        <v>D</v>
      </c>
      <c r="U671" s="1" t="str">
        <f t="shared" ca="1" si="44"/>
        <v>D</v>
      </c>
      <c r="V671" s="1" t="str">
        <f t="shared" ca="1" si="45"/>
        <v>D</v>
      </c>
      <c r="W671" s="1" t="str">
        <f t="shared" ca="1" si="46"/>
        <v>Luis Rivera</v>
      </c>
    </row>
    <row r="672" spans="1:23">
      <c r="A672" s="1" t="str">
        <f ca="1">IFERROR(__xludf.DUMMYFUNCTION("""COMPUTED_VALUE"""),"Damián")</f>
        <v>Damián</v>
      </c>
      <c r="B672" s="1" t="str">
        <f ca="1">IFERROR(__xludf.DUMMYFUNCTION("""COMPUTED_VALUE"""),"Rivera")</f>
        <v>Rivera</v>
      </c>
      <c r="C672" s="1" t="str">
        <f ca="1">IFERROR(__xludf.DUMMYFUNCTION("""COMPUTED_VALUE"""),"New England Revolution")</f>
        <v>New England Revolution</v>
      </c>
      <c r="D672" s="1" t="str">
        <f ca="1">IFERROR(__xludf.DUMMYFUNCTION("""COMPUTED_VALUE"""),"Left Wing")</f>
        <v>Left Wing</v>
      </c>
      <c r="E672" s="2">
        <f ca="1">IFERROR(__xludf.DUMMYFUNCTION("""COMPUTED_VALUE"""),92610)</f>
        <v>92610</v>
      </c>
      <c r="F672" s="2">
        <f ca="1">IFERROR(__xludf.DUMMYFUNCTION("""COMPUTED_VALUE"""),92610)</f>
        <v>92610</v>
      </c>
      <c r="H672" s="1" t="str">
        <f t="shared" ca="1" si="32"/>
        <v>Left Wing</v>
      </c>
      <c r="I672" s="3" t="str">
        <f t="shared" ca="1" si="33"/>
        <v>Left Wing</v>
      </c>
      <c r="J672" s="1" t="str">
        <f t="shared" ca="1" si="34"/>
        <v>Left Wing</v>
      </c>
      <c r="K672" s="1" t="str">
        <f t="shared" ca="1" si="47"/>
        <v>Left Wing</v>
      </c>
      <c r="L672" s="1" t="str">
        <f t="shared" ca="1" si="35"/>
        <v>Left Wing</v>
      </c>
      <c r="M672" s="1" t="str">
        <f t="shared" ca="1" si="36"/>
        <v>Left Wing</v>
      </c>
      <c r="N672" s="1" t="str">
        <f t="shared" ca="1" si="37"/>
        <v>Left Wing</v>
      </c>
      <c r="O672" s="1" t="str">
        <f t="shared" ca="1" si="38"/>
        <v>Left Wing</v>
      </c>
      <c r="P672" s="1" t="str">
        <f t="shared" ca="1" si="39"/>
        <v>F</v>
      </c>
      <c r="Q672" s="1" t="str">
        <f t="shared" ca="1" si="40"/>
        <v>F</v>
      </c>
      <c r="R672" s="1" t="str">
        <f t="shared" ca="1" si="41"/>
        <v>F</v>
      </c>
      <c r="S672" s="1" t="str">
        <f t="shared" ca="1" si="42"/>
        <v>F</v>
      </c>
      <c r="T672" s="1" t="str">
        <f t="shared" ca="1" si="43"/>
        <v>F</v>
      </c>
      <c r="U672" s="1" t="str">
        <f t="shared" ca="1" si="44"/>
        <v>F</v>
      </c>
      <c r="V672" s="1" t="str">
        <f t="shared" ca="1" si="45"/>
        <v>F</v>
      </c>
      <c r="W672" s="1" t="str">
        <f t="shared" ca="1" si="46"/>
        <v>Damián Rivera</v>
      </c>
    </row>
    <row r="673" spans="1:23">
      <c r="A673" s="1" t="str">
        <f ca="1">IFERROR(__xludf.DUMMYFUNCTION("""COMPUTED_VALUE"""),"Miles")</f>
        <v>Miles</v>
      </c>
      <c r="B673" s="1" t="str">
        <f ca="1">IFERROR(__xludf.DUMMYFUNCTION("""COMPUTED_VALUE"""),"Robinson")</f>
        <v>Robinson</v>
      </c>
      <c r="C673" s="1" t="str">
        <f ca="1">IFERROR(__xludf.DUMMYFUNCTION("""COMPUTED_VALUE"""),"FC Cincinnati")</f>
        <v>FC Cincinnati</v>
      </c>
      <c r="D673" s="1" t="str">
        <f ca="1">IFERROR(__xludf.DUMMYFUNCTION("""COMPUTED_VALUE"""),"Center-back")</f>
        <v>Center-back</v>
      </c>
      <c r="E673" s="2">
        <f ca="1">IFERROR(__xludf.DUMMYFUNCTION("""COMPUTED_VALUE"""),1431820)</f>
        <v>1431820</v>
      </c>
      <c r="F673" s="2">
        <f ca="1">IFERROR(__xludf.DUMMYFUNCTION("""COMPUTED_VALUE"""),1578580)</f>
        <v>1578580</v>
      </c>
      <c r="H673" s="1" t="str">
        <f t="shared" ca="1" si="32"/>
        <v>D</v>
      </c>
      <c r="I673" s="3" t="str">
        <f t="shared" ca="1" si="33"/>
        <v>D</v>
      </c>
      <c r="J673" s="1" t="str">
        <f t="shared" ca="1" si="34"/>
        <v>D</v>
      </c>
      <c r="K673" s="1" t="str">
        <f t="shared" ca="1" si="47"/>
        <v>D</v>
      </c>
      <c r="L673" s="1" t="str">
        <f t="shared" ca="1" si="35"/>
        <v>D</v>
      </c>
      <c r="M673" s="1" t="str">
        <f t="shared" ca="1" si="36"/>
        <v>D</v>
      </c>
      <c r="N673" s="1" t="str">
        <f t="shared" ca="1" si="37"/>
        <v>D</v>
      </c>
      <c r="O673" s="1" t="str">
        <f t="shared" ca="1" si="38"/>
        <v>D</v>
      </c>
      <c r="P673" s="1" t="str">
        <f t="shared" ca="1" si="39"/>
        <v>D</v>
      </c>
      <c r="Q673" s="1" t="str">
        <f t="shared" ca="1" si="40"/>
        <v>D</v>
      </c>
      <c r="R673" s="1" t="str">
        <f t="shared" ca="1" si="41"/>
        <v>D</v>
      </c>
      <c r="S673" s="1" t="str">
        <f t="shared" ca="1" si="42"/>
        <v>D</v>
      </c>
      <c r="T673" s="1" t="str">
        <f t="shared" ca="1" si="43"/>
        <v>D</v>
      </c>
      <c r="U673" s="1" t="str">
        <f t="shared" ca="1" si="44"/>
        <v>D</v>
      </c>
      <c r="V673" s="1" t="str">
        <f t="shared" ca="1" si="45"/>
        <v>D</v>
      </c>
      <c r="W673" s="1" t="str">
        <f t="shared" ca="1" si="46"/>
        <v>Miles Robinson</v>
      </c>
    </row>
    <row r="674" spans="1:23">
      <c r="A674" s="1" t="str">
        <f ca="1">IFERROR(__xludf.DUMMYFUNCTION("""COMPUTED_VALUE"""),"Robbie")</f>
        <v>Robbie</v>
      </c>
      <c r="B674" s="1" t="str">
        <f ca="1">IFERROR(__xludf.DUMMYFUNCTION("""COMPUTED_VALUE"""),"Robinson")</f>
        <v>Robinson</v>
      </c>
      <c r="C674" s="1" t="str">
        <f ca="1">IFERROR(__xludf.DUMMYFUNCTION("""COMPUTED_VALUE"""),"Inter Miami")</f>
        <v>Inter Miami</v>
      </c>
      <c r="D674" s="1" t="str">
        <f ca="1">IFERROR(__xludf.DUMMYFUNCTION("""COMPUTED_VALUE"""),"Left Wing")</f>
        <v>Left Wing</v>
      </c>
      <c r="E674" s="2">
        <f ca="1">IFERROR(__xludf.DUMMYFUNCTION("""COMPUTED_VALUE"""),250000)</f>
        <v>250000</v>
      </c>
      <c r="F674" s="2">
        <f ca="1">IFERROR(__xludf.DUMMYFUNCTION("""COMPUTED_VALUE"""),262000)</f>
        <v>262000</v>
      </c>
      <c r="H674" s="1" t="str">
        <f t="shared" ca="1" si="32"/>
        <v>Left Wing</v>
      </c>
      <c r="I674" s="3" t="str">
        <f t="shared" ca="1" si="33"/>
        <v>Left Wing</v>
      </c>
      <c r="J674" s="1" t="str">
        <f t="shared" ca="1" si="34"/>
        <v>Left Wing</v>
      </c>
      <c r="K674" s="1" t="str">
        <f t="shared" ca="1" si="47"/>
        <v>Left Wing</v>
      </c>
      <c r="L674" s="1" t="str">
        <f t="shared" ca="1" si="35"/>
        <v>Left Wing</v>
      </c>
      <c r="M674" s="1" t="str">
        <f t="shared" ca="1" si="36"/>
        <v>Left Wing</v>
      </c>
      <c r="N674" s="1" t="str">
        <f t="shared" ca="1" si="37"/>
        <v>Left Wing</v>
      </c>
      <c r="O674" s="1" t="str">
        <f t="shared" ca="1" si="38"/>
        <v>Left Wing</v>
      </c>
      <c r="P674" s="1" t="str">
        <f t="shared" ca="1" si="39"/>
        <v>F</v>
      </c>
      <c r="Q674" s="1" t="str">
        <f t="shared" ca="1" si="40"/>
        <v>F</v>
      </c>
      <c r="R674" s="1" t="str">
        <f t="shared" ca="1" si="41"/>
        <v>F</v>
      </c>
      <c r="S674" s="1" t="str">
        <f t="shared" ca="1" si="42"/>
        <v>F</v>
      </c>
      <c r="T674" s="1" t="str">
        <f t="shared" ca="1" si="43"/>
        <v>F</v>
      </c>
      <c r="U674" s="1" t="str">
        <f t="shared" ca="1" si="44"/>
        <v>F</v>
      </c>
      <c r="V674" s="1" t="str">
        <f t="shared" ca="1" si="45"/>
        <v>F</v>
      </c>
      <c r="W674" s="1" t="str">
        <f t="shared" ca="1" si="46"/>
        <v>Robbie Robinson</v>
      </c>
    </row>
    <row r="675" spans="1:23">
      <c r="A675" s="1" t="str">
        <f ca="1">IFERROR(__xludf.DUMMYFUNCTION("""COMPUTED_VALUE"""),"Missael")</f>
        <v>Missael</v>
      </c>
      <c r="B675" s="1" t="str">
        <f ca="1">IFERROR(__xludf.DUMMYFUNCTION("""COMPUTED_VALUE"""),"Rodríguez")</f>
        <v>Rodríguez</v>
      </c>
      <c r="C675" s="1" t="str">
        <f ca="1">IFERROR(__xludf.DUMMYFUNCTION("""COMPUTED_VALUE"""),"Chicago Fire")</f>
        <v>Chicago Fire</v>
      </c>
      <c r="D675" s="1" t="str">
        <f ca="1">IFERROR(__xludf.DUMMYFUNCTION("""COMPUTED_VALUE"""),"Center Forward")</f>
        <v>Center Forward</v>
      </c>
      <c r="E675" s="2">
        <f ca="1">IFERROR(__xludf.DUMMYFUNCTION("""COMPUTED_VALUE"""),89716)</f>
        <v>89716</v>
      </c>
      <c r="F675" s="2">
        <f ca="1">IFERROR(__xludf.DUMMYFUNCTION("""COMPUTED_VALUE"""),89716)</f>
        <v>89716</v>
      </c>
      <c r="H675" s="1" t="str">
        <f t="shared" ca="1" si="32"/>
        <v>Center Forward</v>
      </c>
      <c r="I675" s="3" t="str">
        <f t="shared" ca="1" si="33"/>
        <v>Center Forward</v>
      </c>
      <c r="J675" s="1" t="str">
        <f t="shared" ca="1" si="34"/>
        <v>Center Forward</v>
      </c>
      <c r="K675" s="1" t="str">
        <f t="shared" ca="1" si="47"/>
        <v>Center Forward</v>
      </c>
      <c r="L675" s="1" t="str">
        <f t="shared" ca="1" si="35"/>
        <v>Center Forward</v>
      </c>
      <c r="M675" s="1" t="str">
        <f t="shared" ca="1" si="36"/>
        <v>Center Forward</v>
      </c>
      <c r="N675" s="1" t="str">
        <f t="shared" ca="1" si="37"/>
        <v>Center Forward</v>
      </c>
      <c r="O675" s="1" t="str">
        <f t="shared" ca="1" si="38"/>
        <v>F</v>
      </c>
      <c r="P675" s="1" t="str">
        <f t="shared" ca="1" si="39"/>
        <v>F</v>
      </c>
      <c r="Q675" s="1" t="str">
        <f t="shared" ca="1" si="40"/>
        <v>F</v>
      </c>
      <c r="R675" s="1" t="str">
        <f t="shared" ca="1" si="41"/>
        <v>F</v>
      </c>
      <c r="S675" s="1" t="str">
        <f t="shared" ca="1" si="42"/>
        <v>F</v>
      </c>
      <c r="T675" s="1" t="str">
        <f t="shared" ca="1" si="43"/>
        <v>F</v>
      </c>
      <c r="U675" s="1" t="str">
        <f t="shared" ca="1" si="44"/>
        <v>F</v>
      </c>
      <c r="V675" s="1" t="str">
        <f t="shared" ca="1" si="45"/>
        <v>F</v>
      </c>
      <c r="W675" s="1" t="str">
        <f t="shared" ca="1" si="46"/>
        <v>Missael Rodríguez</v>
      </c>
    </row>
    <row r="676" spans="1:23">
      <c r="A676" s="1" t="str">
        <f ca="1">IFERROR(__xludf.DUMMYFUNCTION("""COMPUTED_VALUE"""),"Martín")</f>
        <v>Martín</v>
      </c>
      <c r="B676" s="1" t="str">
        <f ca="1">IFERROR(__xludf.DUMMYFUNCTION("""COMPUTED_VALUE"""),"Rodríguez")</f>
        <v>Rodríguez</v>
      </c>
      <c r="C676" s="1" t="str">
        <f ca="1">IFERROR(__xludf.DUMMYFUNCTION("""COMPUTED_VALUE"""),"DC United")</f>
        <v>DC United</v>
      </c>
      <c r="D676" s="1" t="str">
        <f ca="1">IFERROR(__xludf.DUMMYFUNCTION("""COMPUTED_VALUE"""),"Left Wing")</f>
        <v>Left Wing</v>
      </c>
      <c r="E676" s="2">
        <f ca="1">IFERROR(__xludf.DUMMYFUNCTION("""COMPUTED_VALUE"""),1100000)</f>
        <v>1100000</v>
      </c>
      <c r="F676" s="2">
        <f ca="1">IFERROR(__xludf.DUMMYFUNCTION("""COMPUTED_VALUE"""),1366200)</f>
        <v>1366200</v>
      </c>
      <c r="H676" s="1" t="str">
        <f t="shared" ca="1" si="32"/>
        <v>Left Wing</v>
      </c>
      <c r="I676" s="3" t="str">
        <f t="shared" ca="1" si="33"/>
        <v>Left Wing</v>
      </c>
      <c r="J676" s="1" t="str">
        <f t="shared" ca="1" si="34"/>
        <v>Left Wing</v>
      </c>
      <c r="K676" s="1" t="str">
        <f t="shared" ca="1" si="47"/>
        <v>Left Wing</v>
      </c>
      <c r="L676" s="1" t="str">
        <f t="shared" ca="1" si="35"/>
        <v>Left Wing</v>
      </c>
      <c r="M676" s="1" t="str">
        <f t="shared" ca="1" si="36"/>
        <v>Left Wing</v>
      </c>
      <c r="N676" s="1" t="str">
        <f t="shared" ca="1" si="37"/>
        <v>Left Wing</v>
      </c>
      <c r="O676" s="1" t="str">
        <f t="shared" ca="1" si="38"/>
        <v>Left Wing</v>
      </c>
      <c r="P676" s="1" t="str">
        <f t="shared" ca="1" si="39"/>
        <v>F</v>
      </c>
      <c r="Q676" s="1" t="str">
        <f t="shared" ca="1" si="40"/>
        <v>F</v>
      </c>
      <c r="R676" s="1" t="str">
        <f t="shared" ca="1" si="41"/>
        <v>F</v>
      </c>
      <c r="S676" s="1" t="str">
        <f t="shared" ca="1" si="42"/>
        <v>F</v>
      </c>
      <c r="T676" s="1" t="str">
        <f t="shared" ca="1" si="43"/>
        <v>F</v>
      </c>
      <c r="U676" s="1" t="str">
        <f t="shared" ca="1" si="44"/>
        <v>F</v>
      </c>
      <c r="V676" s="1" t="str">
        <f t="shared" ca="1" si="45"/>
        <v>F</v>
      </c>
      <c r="W676" s="1" t="str">
        <f t="shared" ca="1" si="46"/>
        <v>Martín Rodríguez</v>
      </c>
    </row>
    <row r="677" spans="1:23">
      <c r="A677" s="1" t="str">
        <f ca="1">IFERROR(__xludf.DUMMYFUNCTION("""COMPUTED_VALUE"""),"Santiago")</f>
        <v>Santiago</v>
      </c>
      <c r="B677" s="1" t="str">
        <f ca="1">IFERROR(__xludf.DUMMYFUNCTION("""COMPUTED_VALUE"""),"Rodríguez")</f>
        <v>Rodríguez</v>
      </c>
      <c r="C677" s="1" t="str">
        <f ca="1">IFERROR(__xludf.DUMMYFUNCTION("""COMPUTED_VALUE"""),"New York City FC")</f>
        <v>New York City FC</v>
      </c>
      <c r="D677" s="1" t="str">
        <f ca="1">IFERROR(__xludf.DUMMYFUNCTION("""COMPUTED_VALUE"""),"Attacking Midfield")</f>
        <v>Attacking Midfield</v>
      </c>
      <c r="E677" s="2">
        <f ca="1">IFERROR(__xludf.DUMMYFUNCTION("""COMPUTED_VALUE"""),1200000)</f>
        <v>1200000</v>
      </c>
      <c r="F677" s="2">
        <f ca="1">IFERROR(__xludf.DUMMYFUNCTION("""COMPUTED_VALUE"""),1331333)</f>
        <v>1331333</v>
      </c>
      <c r="H677" s="1" t="str">
        <f t="shared" ca="1" si="32"/>
        <v>Attacking Midfield</v>
      </c>
      <c r="I677" s="3" t="str">
        <f t="shared" ca="1" si="33"/>
        <v>Attacking Midfield</v>
      </c>
      <c r="J677" s="1" t="str">
        <f t="shared" ca="1" si="34"/>
        <v>Attacking Midfield</v>
      </c>
      <c r="K677" s="1" t="str">
        <f t="shared" ca="1" si="47"/>
        <v>Attacking Midfield</v>
      </c>
      <c r="L677" s="1" t="str">
        <f t="shared" ca="1" si="35"/>
        <v>Attacking Midfield</v>
      </c>
      <c r="M677" s="1" t="str">
        <f t="shared" ca="1" si="36"/>
        <v>M</v>
      </c>
      <c r="N677" s="1" t="str">
        <f t="shared" ca="1" si="37"/>
        <v>M</v>
      </c>
      <c r="O677" s="1" t="str">
        <f t="shared" ca="1" si="38"/>
        <v>M</v>
      </c>
      <c r="P677" s="1" t="str">
        <f t="shared" ca="1" si="39"/>
        <v>M</v>
      </c>
      <c r="Q677" s="1" t="str">
        <f t="shared" ca="1" si="40"/>
        <v>M</v>
      </c>
      <c r="R677" s="1" t="str">
        <f t="shared" ca="1" si="41"/>
        <v>M</v>
      </c>
      <c r="S677" s="1" t="str">
        <f t="shared" ca="1" si="42"/>
        <v>M</v>
      </c>
      <c r="T677" s="1" t="str">
        <f t="shared" ca="1" si="43"/>
        <v>M</v>
      </c>
      <c r="U677" s="1" t="str">
        <f t="shared" ca="1" si="44"/>
        <v>M</v>
      </c>
      <c r="V677" s="1" t="str">
        <f t="shared" ca="1" si="45"/>
        <v>M</v>
      </c>
      <c r="W677" s="1" t="str">
        <f t="shared" ca="1" si="46"/>
        <v>Santiago Rodríguez</v>
      </c>
    </row>
    <row r="678" spans="1:23">
      <c r="A678" s="1" t="str">
        <f ca="1">IFERROR(__xludf.DUMMYFUNCTION("""COMPUTED_VALUE"""),"Memo")</f>
        <v>Memo</v>
      </c>
      <c r="B678" s="1" t="str">
        <f ca="1">IFERROR(__xludf.DUMMYFUNCTION("""COMPUTED_VALUE"""),"Rodríguez")</f>
        <v>Rodríguez</v>
      </c>
      <c r="C678" s="1" t="str">
        <f ca="1">IFERROR(__xludf.DUMMYFUNCTION("""COMPUTED_VALUE"""),"Sporting Kansas City")</f>
        <v>Sporting Kansas City</v>
      </c>
      <c r="D678" s="1" t="str">
        <f ca="1">IFERROR(__xludf.DUMMYFUNCTION("""COMPUTED_VALUE"""),"Left Midfield")</f>
        <v>Left Midfield</v>
      </c>
      <c r="E678" s="2">
        <f ca="1">IFERROR(__xludf.DUMMYFUNCTION("""COMPUTED_VALUE"""),89716)</f>
        <v>89716</v>
      </c>
      <c r="F678" s="2">
        <f ca="1">IFERROR(__xludf.DUMMYFUNCTION("""COMPUTED_VALUE"""),98716)</f>
        <v>98716</v>
      </c>
      <c r="H678" s="1" t="str">
        <f t="shared" ca="1" si="32"/>
        <v>Left Midfield</v>
      </c>
      <c r="I678" s="3" t="str">
        <f t="shared" ca="1" si="33"/>
        <v>Left Midfield</v>
      </c>
      <c r="J678" s="1" t="str">
        <f t="shared" ca="1" si="34"/>
        <v>Left Midfield</v>
      </c>
      <c r="K678" s="1" t="str">
        <f t="shared" ca="1" si="47"/>
        <v>Left Midfield</v>
      </c>
      <c r="L678" s="1" t="str">
        <f t="shared" ca="1" si="35"/>
        <v>Left Midfield</v>
      </c>
      <c r="M678" s="1" t="str">
        <f t="shared" ca="1" si="36"/>
        <v>Left Midfield</v>
      </c>
      <c r="N678" s="1" t="str">
        <f t="shared" ca="1" si="37"/>
        <v>Left Midfield</v>
      </c>
      <c r="O678" s="1" t="str">
        <f t="shared" ca="1" si="38"/>
        <v>Left Midfield</v>
      </c>
      <c r="P678" s="1" t="str">
        <f t="shared" ca="1" si="39"/>
        <v>Left Midfield</v>
      </c>
      <c r="Q678" s="1" t="str">
        <f t="shared" ca="1" si="40"/>
        <v>Left Midfield</v>
      </c>
      <c r="R678" s="1" t="str">
        <f t="shared" ca="1" si="41"/>
        <v>Left Midfield</v>
      </c>
      <c r="S678" s="1" t="str">
        <f t="shared" ca="1" si="42"/>
        <v>M</v>
      </c>
      <c r="T678" s="1" t="str">
        <f t="shared" ca="1" si="43"/>
        <v>M</v>
      </c>
      <c r="U678" s="1" t="str">
        <f t="shared" ca="1" si="44"/>
        <v>M</v>
      </c>
      <c r="V678" s="1" t="str">
        <f t="shared" ca="1" si="45"/>
        <v>M</v>
      </c>
      <c r="W678" s="1" t="str">
        <f t="shared" ca="1" si="46"/>
        <v>Memo Rodríguez</v>
      </c>
    </row>
    <row r="679" spans="1:23">
      <c r="A679" s="1" t="str">
        <f ca="1">IFERROR(__xludf.DUMMYFUNCTION("""COMPUTED_VALUE"""),"Emerson")</f>
        <v>Emerson</v>
      </c>
      <c r="B679" s="1" t="str">
        <f ca="1">IFERROR(__xludf.DUMMYFUNCTION("""COMPUTED_VALUE"""),"Rodríguez")</f>
        <v>Rodríguez</v>
      </c>
      <c r="C679" s="1" t="str">
        <f ca="1">IFERROR(__xludf.DUMMYFUNCTION("""COMPUTED_VALUE"""),"Inter Miami")</f>
        <v>Inter Miami</v>
      </c>
      <c r="D679" s="1" t="str">
        <f ca="1">IFERROR(__xludf.DUMMYFUNCTION("""COMPUTED_VALUE"""),"Right Wing")</f>
        <v>Right Wing</v>
      </c>
      <c r="E679" s="2">
        <f ca="1">IFERROR(__xludf.DUMMYFUNCTION("""COMPUTED_VALUE"""),345000)</f>
        <v>345000</v>
      </c>
      <c r="F679" s="2">
        <f ca="1">IFERROR(__xludf.DUMMYFUNCTION("""COMPUTED_VALUE"""),380700)</f>
        <v>380700</v>
      </c>
      <c r="H679" s="1" t="str">
        <f t="shared" ca="1" si="32"/>
        <v>Right Wing</v>
      </c>
      <c r="I679" s="3" t="str">
        <f t="shared" ca="1" si="33"/>
        <v>Right Wing</v>
      </c>
      <c r="J679" s="1" t="str">
        <f t="shared" ca="1" si="34"/>
        <v>Right Wing</v>
      </c>
      <c r="K679" s="1" t="str">
        <f t="shared" ca="1" si="47"/>
        <v>Right Wing</v>
      </c>
      <c r="L679" s="1" t="str">
        <f t="shared" ca="1" si="35"/>
        <v>Right Wing</v>
      </c>
      <c r="M679" s="1" t="str">
        <f t="shared" ca="1" si="36"/>
        <v>Right Wing</v>
      </c>
      <c r="N679" s="1" t="str">
        <f t="shared" ca="1" si="37"/>
        <v>F</v>
      </c>
      <c r="O679" s="1" t="str">
        <f t="shared" ca="1" si="38"/>
        <v>F</v>
      </c>
      <c r="P679" s="1" t="str">
        <f t="shared" ca="1" si="39"/>
        <v>F</v>
      </c>
      <c r="Q679" s="1" t="str">
        <f t="shared" ca="1" si="40"/>
        <v>F</v>
      </c>
      <c r="R679" s="1" t="str">
        <f t="shared" ca="1" si="41"/>
        <v>F</v>
      </c>
      <c r="S679" s="1" t="str">
        <f t="shared" ca="1" si="42"/>
        <v>F</v>
      </c>
      <c r="T679" s="1" t="str">
        <f t="shared" ca="1" si="43"/>
        <v>F</v>
      </c>
      <c r="U679" s="1" t="str">
        <f t="shared" ca="1" si="44"/>
        <v>F</v>
      </c>
      <c r="V679" s="1" t="str">
        <f t="shared" ca="1" si="45"/>
        <v>F</v>
      </c>
      <c r="W679" s="1" t="str">
        <f t="shared" ca="1" si="46"/>
        <v>Emerson Rodríguez</v>
      </c>
    </row>
    <row r="680" spans="1:23">
      <c r="A680" s="1" t="str">
        <f ca="1">IFERROR(__xludf.DUMMYFUNCTION("""COMPUTED_VALUE"""),"Jonathan")</f>
        <v>Jonathan</v>
      </c>
      <c r="B680" s="1" t="str">
        <f ca="1">IFERROR(__xludf.DUMMYFUNCTION("""COMPUTED_VALUE"""),"Rodríguez")</f>
        <v>Rodríguez</v>
      </c>
      <c r="C680" s="1" t="str">
        <f ca="1">IFERROR(__xludf.DUMMYFUNCTION("""COMPUTED_VALUE"""),"Portland Timbers")</f>
        <v>Portland Timbers</v>
      </c>
      <c r="D680" s="1" t="str">
        <f ca="1">IFERROR(__xludf.DUMMYFUNCTION("""COMPUTED_VALUE"""),"Center Forward")</f>
        <v>Center Forward</v>
      </c>
      <c r="E680" s="2">
        <f ca="1">IFERROR(__xludf.DUMMYFUNCTION("""COMPUTED_VALUE"""),1775000)</f>
        <v>1775000</v>
      </c>
      <c r="F680" s="2">
        <f ca="1">IFERROR(__xludf.DUMMYFUNCTION("""COMPUTED_VALUE"""),2627500)</f>
        <v>2627500</v>
      </c>
      <c r="H680" s="1" t="str">
        <f t="shared" ca="1" si="32"/>
        <v>Center Forward</v>
      </c>
      <c r="I680" s="3" t="str">
        <f t="shared" ca="1" si="33"/>
        <v>Center Forward</v>
      </c>
      <c r="J680" s="1" t="str">
        <f t="shared" ca="1" si="34"/>
        <v>Center Forward</v>
      </c>
      <c r="K680" s="1" t="str">
        <f t="shared" ca="1" si="47"/>
        <v>Center Forward</v>
      </c>
      <c r="L680" s="1" t="str">
        <f t="shared" ca="1" si="35"/>
        <v>Center Forward</v>
      </c>
      <c r="M680" s="1" t="str">
        <f t="shared" ca="1" si="36"/>
        <v>Center Forward</v>
      </c>
      <c r="N680" s="1" t="str">
        <f t="shared" ca="1" si="37"/>
        <v>Center Forward</v>
      </c>
      <c r="O680" s="1" t="str">
        <f t="shared" ca="1" si="38"/>
        <v>F</v>
      </c>
      <c r="P680" s="1" t="str">
        <f t="shared" ca="1" si="39"/>
        <v>F</v>
      </c>
      <c r="Q680" s="1" t="str">
        <f t="shared" ca="1" si="40"/>
        <v>F</v>
      </c>
      <c r="R680" s="1" t="str">
        <f t="shared" ca="1" si="41"/>
        <v>F</v>
      </c>
      <c r="S680" s="1" t="str">
        <f t="shared" ca="1" si="42"/>
        <v>F</v>
      </c>
      <c r="T680" s="1" t="str">
        <f t="shared" ca="1" si="43"/>
        <v>F</v>
      </c>
      <c r="U680" s="1" t="str">
        <f t="shared" ca="1" si="44"/>
        <v>F</v>
      </c>
      <c r="V680" s="1" t="str">
        <f t="shared" ca="1" si="45"/>
        <v>F</v>
      </c>
      <c r="W680" s="1" t="str">
        <f t="shared" ca="1" si="46"/>
        <v>Jonathan Rodríguez</v>
      </c>
    </row>
    <row r="681" spans="1:23">
      <c r="A681" s="1" t="str">
        <f ca="1">IFERROR(__xludf.DUMMYFUNCTION("""COMPUTED_VALUE"""),"Braudílio")</f>
        <v>Braudílio</v>
      </c>
      <c r="B681" s="1" t="str">
        <f ca="1">IFERROR(__xludf.DUMMYFUNCTION("""COMPUTED_VALUE"""),"Rodrigues")</f>
        <v>Rodrigues</v>
      </c>
      <c r="C681" s="1" t="str">
        <f ca="1">IFERROR(__xludf.DUMMYFUNCTION("""COMPUTED_VALUE"""),"Seattle Sounders FC")</f>
        <v>Seattle Sounders FC</v>
      </c>
      <c r="D681" s="1" t="str">
        <f ca="1">IFERROR(__xludf.DUMMYFUNCTION("""COMPUTED_VALUE"""),"Left Wing")</f>
        <v>Left Wing</v>
      </c>
      <c r="E681" s="2">
        <f ca="1">IFERROR(__xludf.DUMMYFUNCTION("""COMPUTED_VALUE"""),89716)</f>
        <v>89716</v>
      </c>
      <c r="F681" s="2">
        <f ca="1">IFERROR(__xludf.DUMMYFUNCTION("""COMPUTED_VALUE"""),89716)</f>
        <v>89716</v>
      </c>
      <c r="H681" s="1" t="str">
        <f t="shared" ca="1" si="32"/>
        <v>Left Wing</v>
      </c>
      <c r="I681" s="3" t="str">
        <f t="shared" ca="1" si="33"/>
        <v>Left Wing</v>
      </c>
      <c r="J681" s="1" t="str">
        <f t="shared" ca="1" si="34"/>
        <v>Left Wing</v>
      </c>
      <c r="K681" s="1" t="str">
        <f t="shared" ca="1" si="47"/>
        <v>Left Wing</v>
      </c>
      <c r="L681" s="1" t="str">
        <f t="shared" ca="1" si="35"/>
        <v>Left Wing</v>
      </c>
      <c r="M681" s="1" t="str">
        <f t="shared" ca="1" si="36"/>
        <v>Left Wing</v>
      </c>
      <c r="N681" s="1" t="str">
        <f t="shared" ca="1" si="37"/>
        <v>Left Wing</v>
      </c>
      <c r="O681" s="1" t="str">
        <f t="shared" ca="1" si="38"/>
        <v>Left Wing</v>
      </c>
      <c r="P681" s="1" t="str">
        <f t="shared" ca="1" si="39"/>
        <v>F</v>
      </c>
      <c r="Q681" s="1" t="str">
        <f t="shared" ca="1" si="40"/>
        <v>F</v>
      </c>
      <c r="R681" s="1" t="str">
        <f t="shared" ca="1" si="41"/>
        <v>F</v>
      </c>
      <c r="S681" s="1" t="str">
        <f t="shared" ca="1" si="42"/>
        <v>F</v>
      </c>
      <c r="T681" s="1" t="str">
        <f t="shared" ca="1" si="43"/>
        <v>F</v>
      </c>
      <c r="U681" s="1" t="str">
        <f t="shared" ca="1" si="44"/>
        <v>F</v>
      </c>
      <c r="V681" s="1" t="str">
        <f t="shared" ca="1" si="45"/>
        <v>F</v>
      </c>
      <c r="W681" s="1" t="str">
        <f t="shared" ca="1" si="46"/>
        <v>Braudílio Rodrigues</v>
      </c>
    </row>
    <row r="682" spans="1:23">
      <c r="A682" s="1" t="str">
        <f ca="1">IFERROR(__xludf.DUMMYFUNCTION("""COMPUTED_VALUE"""),"Antônio Josenildo")</f>
        <v>Antônio Josenildo</v>
      </c>
      <c r="B682" s="1" t="str">
        <f ca="1">IFERROR(__xludf.DUMMYFUNCTION("""COMPUTED_VALUE"""),"Rodrigues de Oliveira")</f>
        <v>Rodrigues de Oliveira</v>
      </c>
      <c r="C682" s="1" t="str">
        <f ca="1">IFERROR(__xludf.DUMMYFUNCTION("""COMPUTED_VALUE"""),"San Jose Earthquakes")</f>
        <v>San Jose Earthquakes</v>
      </c>
      <c r="D682" s="1" t="str">
        <f ca="1">IFERROR(__xludf.DUMMYFUNCTION("""COMPUTED_VALUE"""),"Center-back")</f>
        <v>Center-back</v>
      </c>
      <c r="E682" s="2">
        <f ca="1">IFERROR(__xludf.DUMMYFUNCTION("""COMPUTED_VALUE"""),650000)</f>
        <v>650000</v>
      </c>
      <c r="F682" s="2">
        <f ca="1">IFERROR(__xludf.DUMMYFUNCTION("""COMPUTED_VALUE"""),708000)</f>
        <v>708000</v>
      </c>
      <c r="H682" s="1" t="str">
        <f t="shared" ca="1" si="32"/>
        <v>D</v>
      </c>
      <c r="I682" s="3" t="str">
        <f t="shared" ca="1" si="33"/>
        <v>D</v>
      </c>
      <c r="J682" s="1" t="str">
        <f t="shared" ca="1" si="34"/>
        <v>D</v>
      </c>
      <c r="K682" s="1" t="str">
        <f t="shared" ca="1" si="47"/>
        <v>D</v>
      </c>
      <c r="L682" s="1" t="str">
        <f t="shared" ca="1" si="35"/>
        <v>D</v>
      </c>
      <c r="M682" s="1" t="str">
        <f t="shared" ca="1" si="36"/>
        <v>D</v>
      </c>
      <c r="N682" s="1" t="str">
        <f t="shared" ca="1" si="37"/>
        <v>D</v>
      </c>
      <c r="O682" s="1" t="str">
        <f t="shared" ca="1" si="38"/>
        <v>D</v>
      </c>
      <c r="P682" s="1" t="str">
        <f t="shared" ca="1" si="39"/>
        <v>D</v>
      </c>
      <c r="Q682" s="1" t="str">
        <f t="shared" ca="1" si="40"/>
        <v>D</v>
      </c>
      <c r="R682" s="1" t="str">
        <f t="shared" ca="1" si="41"/>
        <v>D</v>
      </c>
      <c r="S682" s="1" t="str">
        <f t="shared" ca="1" si="42"/>
        <v>D</v>
      </c>
      <c r="T682" s="1" t="str">
        <f t="shared" ca="1" si="43"/>
        <v>D</v>
      </c>
      <c r="U682" s="1" t="str">
        <f t="shared" ca="1" si="44"/>
        <v>D</v>
      </c>
      <c r="V682" s="1" t="str">
        <f t="shared" ca="1" si="45"/>
        <v>D</v>
      </c>
      <c r="W682" s="1" t="str">
        <f t="shared" ca="1" si="46"/>
        <v>Antônio Josenildo Rodrigues de Oliveira</v>
      </c>
    </row>
    <row r="683" spans="1:23">
      <c r="A683" s="1" t="str">
        <f ca="1">IFERROR(__xludf.DUMMYFUNCTION("""COMPUTED_VALUE"""),"Matías")</f>
        <v>Matías</v>
      </c>
      <c r="B683" s="1" t="str">
        <f ca="1">IFERROR(__xludf.DUMMYFUNCTION("""COMPUTED_VALUE"""),"Rojas")</f>
        <v>Rojas</v>
      </c>
      <c r="C683" s="1" t="str">
        <f ca="1">IFERROR(__xludf.DUMMYFUNCTION("""COMPUTED_VALUE"""),"Inter Miami")</f>
        <v>Inter Miami</v>
      </c>
      <c r="D683" s="1" t="str">
        <f ca="1">IFERROR(__xludf.DUMMYFUNCTION("""COMPUTED_VALUE"""),"Attacking Midfield")</f>
        <v>Attacking Midfield</v>
      </c>
      <c r="E683" s="2">
        <f ca="1">IFERROR(__xludf.DUMMYFUNCTION("""COMPUTED_VALUE"""),150000)</f>
        <v>150000</v>
      </c>
      <c r="F683" s="2">
        <f ca="1">IFERROR(__xludf.DUMMYFUNCTION("""COMPUTED_VALUE"""),516667)</f>
        <v>516667</v>
      </c>
      <c r="H683" s="1" t="str">
        <f t="shared" ca="1" si="32"/>
        <v>Attacking Midfield</v>
      </c>
      <c r="I683" s="3" t="str">
        <f t="shared" ca="1" si="33"/>
        <v>Attacking Midfield</v>
      </c>
      <c r="J683" s="1" t="str">
        <f t="shared" ca="1" si="34"/>
        <v>Attacking Midfield</v>
      </c>
      <c r="K683" s="1" t="str">
        <f t="shared" ca="1" si="47"/>
        <v>Attacking Midfield</v>
      </c>
      <c r="L683" s="1" t="str">
        <f t="shared" ca="1" si="35"/>
        <v>Attacking Midfield</v>
      </c>
      <c r="M683" s="1" t="str">
        <f t="shared" ca="1" si="36"/>
        <v>M</v>
      </c>
      <c r="N683" s="1" t="str">
        <f t="shared" ca="1" si="37"/>
        <v>M</v>
      </c>
      <c r="O683" s="1" t="str">
        <f t="shared" ca="1" si="38"/>
        <v>M</v>
      </c>
      <c r="P683" s="1" t="str">
        <f t="shared" ca="1" si="39"/>
        <v>M</v>
      </c>
      <c r="Q683" s="1" t="str">
        <f t="shared" ca="1" si="40"/>
        <v>M</v>
      </c>
      <c r="R683" s="1" t="str">
        <f t="shared" ca="1" si="41"/>
        <v>M</v>
      </c>
      <c r="S683" s="1" t="str">
        <f t="shared" ca="1" si="42"/>
        <v>M</v>
      </c>
      <c r="T683" s="1" t="str">
        <f t="shared" ca="1" si="43"/>
        <v>M</v>
      </c>
      <c r="U683" s="1" t="str">
        <f t="shared" ca="1" si="44"/>
        <v>M</v>
      </c>
      <c r="V683" s="1" t="str">
        <f t="shared" ca="1" si="45"/>
        <v>M</v>
      </c>
      <c r="W683" s="1" t="str">
        <f t="shared" ca="1" si="46"/>
        <v>Matías Rojas</v>
      </c>
    </row>
    <row r="684" spans="1:23">
      <c r="A684" s="1" t="str">
        <f ca="1">IFERROR(__xludf.DUMMYFUNCTION("""COMPUTED_VALUE"""),"Cristian")</f>
        <v>Cristian</v>
      </c>
      <c r="B684" s="1" t="str">
        <f ca="1">IFERROR(__xludf.DUMMYFUNCTION("""COMPUTED_VALUE"""),"Roldán")</f>
        <v>Roldán</v>
      </c>
      <c r="C684" s="1" t="str">
        <f ca="1">IFERROR(__xludf.DUMMYFUNCTION("""COMPUTED_VALUE"""),"Seattle Sounders FC")</f>
        <v>Seattle Sounders FC</v>
      </c>
      <c r="D684" s="1" t="str">
        <f ca="1">IFERROR(__xludf.DUMMYFUNCTION("""COMPUTED_VALUE"""),"Central Midfield")</f>
        <v>Central Midfield</v>
      </c>
      <c r="E684" s="2">
        <f ca="1">IFERROR(__xludf.DUMMYFUNCTION("""COMPUTED_VALUE"""),1420000)</f>
        <v>1420000</v>
      </c>
      <c r="F684" s="2">
        <f ca="1">IFERROR(__xludf.DUMMYFUNCTION("""COMPUTED_VALUE"""),1541000)</f>
        <v>1541000</v>
      </c>
      <c r="H684" s="1" t="str">
        <f t="shared" ca="1" si="32"/>
        <v>Central Midfield</v>
      </c>
      <c r="I684" s="3" t="str">
        <f t="shared" ca="1" si="33"/>
        <v>Central Midfield</v>
      </c>
      <c r="J684" s="1" t="str">
        <f t="shared" ca="1" si="34"/>
        <v>Central Midfield</v>
      </c>
      <c r="K684" s="1" t="str">
        <f t="shared" ca="1" si="47"/>
        <v>Central Midfield</v>
      </c>
      <c r="L684" s="1" t="str">
        <f t="shared" ca="1" si="35"/>
        <v>M</v>
      </c>
      <c r="M684" s="1" t="str">
        <f t="shared" ca="1" si="36"/>
        <v>M</v>
      </c>
      <c r="N684" s="1" t="str">
        <f t="shared" ca="1" si="37"/>
        <v>M</v>
      </c>
      <c r="O684" s="1" t="str">
        <f t="shared" ca="1" si="38"/>
        <v>M</v>
      </c>
      <c r="P684" s="1" t="str">
        <f t="shared" ca="1" si="39"/>
        <v>M</v>
      </c>
      <c r="Q684" s="1" t="str">
        <f t="shared" ca="1" si="40"/>
        <v>M</v>
      </c>
      <c r="R684" s="1" t="str">
        <f t="shared" ca="1" si="41"/>
        <v>M</v>
      </c>
      <c r="S684" s="1" t="str">
        <f t="shared" ca="1" si="42"/>
        <v>M</v>
      </c>
      <c r="T684" s="1" t="str">
        <f t="shared" ca="1" si="43"/>
        <v>M</v>
      </c>
      <c r="U684" s="1" t="str">
        <f t="shared" ca="1" si="44"/>
        <v>M</v>
      </c>
      <c r="V684" s="1" t="str">
        <f t="shared" ca="1" si="45"/>
        <v>M</v>
      </c>
      <c r="W684" s="1" t="str">
        <f t="shared" ca="1" si="46"/>
        <v>Cristian Roldán</v>
      </c>
    </row>
    <row r="685" spans="1:23">
      <c r="A685" s="1" t="str">
        <f ca="1">IFERROR(__xludf.DUMMYFUNCTION("""COMPUTED_VALUE"""),"Álex")</f>
        <v>Álex</v>
      </c>
      <c r="B685" s="1" t="str">
        <f ca="1">IFERROR(__xludf.DUMMYFUNCTION("""COMPUTED_VALUE"""),"Roldán")</f>
        <v>Roldán</v>
      </c>
      <c r="C685" s="1" t="str">
        <f ca="1">IFERROR(__xludf.DUMMYFUNCTION("""COMPUTED_VALUE"""),"Seattle Sounders FC")</f>
        <v>Seattle Sounders FC</v>
      </c>
      <c r="D685" s="1" t="str">
        <f ca="1">IFERROR(__xludf.DUMMYFUNCTION("""COMPUTED_VALUE"""),"Right-back")</f>
        <v>Right-back</v>
      </c>
      <c r="E685" s="2">
        <f ca="1">IFERROR(__xludf.DUMMYFUNCTION("""COMPUTED_VALUE"""),465000)</f>
        <v>465000</v>
      </c>
      <c r="F685" s="2">
        <f ca="1">IFERROR(__xludf.DUMMYFUNCTION("""COMPUTED_VALUE"""),465000)</f>
        <v>465000</v>
      </c>
      <c r="H685" s="1" t="str">
        <f t="shared" ca="1" si="32"/>
        <v>Right-back</v>
      </c>
      <c r="I685" s="3" t="str">
        <f t="shared" ca="1" si="33"/>
        <v>Right-back</v>
      </c>
      <c r="J685" s="1" t="str">
        <f t="shared" ca="1" si="34"/>
        <v>D</v>
      </c>
      <c r="K685" s="1" t="str">
        <f t="shared" ca="1" si="47"/>
        <v>D</v>
      </c>
      <c r="L685" s="1" t="str">
        <f t="shared" ca="1" si="35"/>
        <v>D</v>
      </c>
      <c r="M685" s="1" t="str">
        <f t="shared" ca="1" si="36"/>
        <v>D</v>
      </c>
      <c r="N685" s="1" t="str">
        <f t="shared" ca="1" si="37"/>
        <v>D</v>
      </c>
      <c r="O685" s="1" t="str">
        <f t="shared" ca="1" si="38"/>
        <v>D</v>
      </c>
      <c r="P685" s="1" t="str">
        <f t="shared" ca="1" si="39"/>
        <v>D</v>
      </c>
      <c r="Q685" s="1" t="str">
        <f t="shared" ca="1" si="40"/>
        <v>D</v>
      </c>
      <c r="R685" s="1" t="str">
        <f t="shared" ca="1" si="41"/>
        <v>D</v>
      </c>
      <c r="S685" s="1" t="str">
        <f t="shared" ca="1" si="42"/>
        <v>D</v>
      </c>
      <c r="T685" s="1" t="str">
        <f t="shared" ca="1" si="43"/>
        <v>D</v>
      </c>
      <c r="U685" s="1" t="str">
        <f t="shared" ca="1" si="44"/>
        <v>D</v>
      </c>
      <c r="V685" s="1" t="str">
        <f t="shared" ca="1" si="45"/>
        <v>D</v>
      </c>
      <c r="W685" s="1" t="str">
        <f t="shared" ca="1" si="46"/>
        <v>Álex Roldán</v>
      </c>
    </row>
    <row r="686" spans="1:23">
      <c r="A686" s="1" t="str">
        <f ca="1">IFERROR(__xludf.DUMMYFUNCTION("""COMPUTED_VALUE"""),"Abraham")</f>
        <v>Abraham</v>
      </c>
      <c r="B686" s="1" t="str">
        <f ca="1">IFERROR(__xludf.DUMMYFUNCTION("""COMPUTED_VALUE"""),"Romero")</f>
        <v>Romero</v>
      </c>
      <c r="C686" s="1" t="str">
        <f ca="1">IFERROR(__xludf.DUMMYFUNCTION("""COMPUTED_VALUE"""),"LAFC")</f>
        <v>LAFC</v>
      </c>
      <c r="D686" s="1" t="str">
        <f ca="1">IFERROR(__xludf.DUMMYFUNCTION("""COMPUTED_VALUE"""),"Goalkeeper")</f>
        <v>Goalkeeper</v>
      </c>
      <c r="E686" s="2">
        <f ca="1">IFERROR(__xludf.DUMMYFUNCTION("""COMPUTED_VALUE"""),89716)</f>
        <v>89716</v>
      </c>
      <c r="F686" s="2">
        <f ca="1">IFERROR(__xludf.DUMMYFUNCTION("""COMPUTED_VALUE"""),89716)</f>
        <v>89716</v>
      </c>
      <c r="H686" s="1" t="str">
        <f t="shared" ca="1" si="32"/>
        <v>Goalkeeper</v>
      </c>
      <c r="I686" s="3" t="str">
        <f t="shared" ca="1" si="33"/>
        <v>Goalkeeper</v>
      </c>
      <c r="J686" s="1" t="str">
        <f t="shared" ca="1" si="34"/>
        <v>Goalkeeper</v>
      </c>
      <c r="K686" s="1" t="str">
        <f t="shared" ca="1" si="47"/>
        <v>Goalkeeper</v>
      </c>
      <c r="L686" s="1" t="str">
        <f t="shared" ca="1" si="35"/>
        <v>Goalkeeper</v>
      </c>
      <c r="M686" s="1" t="str">
        <f t="shared" ca="1" si="36"/>
        <v>Goalkeeper</v>
      </c>
      <c r="N686" s="1" t="str">
        <f t="shared" ca="1" si="37"/>
        <v>Goalkeeper</v>
      </c>
      <c r="O686" s="1" t="str">
        <f t="shared" ca="1" si="38"/>
        <v>Goalkeeper</v>
      </c>
      <c r="P686" s="1" t="str">
        <f t="shared" ca="1" si="39"/>
        <v>Goalkeeper</v>
      </c>
      <c r="Q686" s="1" t="str">
        <f t="shared" ca="1" si="40"/>
        <v>Goalkeeper</v>
      </c>
      <c r="R686" s="1" t="str">
        <f t="shared" ca="1" si="41"/>
        <v>GK</v>
      </c>
      <c r="S686" s="1" t="str">
        <f t="shared" ca="1" si="42"/>
        <v>GK</v>
      </c>
      <c r="T686" s="1" t="str">
        <f t="shared" ca="1" si="43"/>
        <v>GK</v>
      </c>
      <c r="U686" s="1" t="str">
        <f t="shared" ca="1" si="44"/>
        <v>GK</v>
      </c>
      <c r="V686" s="1" t="str">
        <f t="shared" ca="1" si="45"/>
        <v>GK</v>
      </c>
      <c r="W686" s="1" t="str">
        <f t="shared" ca="1" si="46"/>
        <v>Abraham Romero</v>
      </c>
    </row>
    <row r="687" spans="1:23">
      <c r="A687" s="1" t="str">
        <f ca="1">IFERROR(__xludf.DUMMYFUNCTION("""COMPUTED_VALUE"""),"Tomás")</f>
        <v>Tomás</v>
      </c>
      <c r="B687" s="1" t="str">
        <f ca="1">IFERROR(__xludf.DUMMYFUNCTION("""COMPUTED_VALUE"""),"Romero")</f>
        <v>Romero</v>
      </c>
      <c r="C687" s="1" t="str">
        <f ca="1">IFERROR(__xludf.DUMMYFUNCTION("""COMPUTED_VALUE"""),"New York City FC")</f>
        <v>New York City FC</v>
      </c>
      <c r="D687" s="1" t="str">
        <f ca="1">IFERROR(__xludf.DUMMYFUNCTION("""COMPUTED_VALUE"""),"Goalkeeper")</f>
        <v>Goalkeeper</v>
      </c>
      <c r="E687" s="2">
        <f ca="1">IFERROR(__xludf.DUMMYFUNCTION("""COMPUTED_VALUE"""),71401)</f>
        <v>71401</v>
      </c>
      <c r="F687" s="2">
        <f ca="1">IFERROR(__xludf.DUMMYFUNCTION("""COMPUTED_VALUE"""),71401)</f>
        <v>71401</v>
      </c>
      <c r="H687" s="1" t="str">
        <f t="shared" ca="1" si="32"/>
        <v>Goalkeeper</v>
      </c>
      <c r="I687" s="3" t="str">
        <f t="shared" ca="1" si="33"/>
        <v>Goalkeeper</v>
      </c>
      <c r="J687" s="1" t="str">
        <f t="shared" ca="1" si="34"/>
        <v>Goalkeeper</v>
      </c>
      <c r="K687" s="1" t="str">
        <f t="shared" ca="1" si="47"/>
        <v>Goalkeeper</v>
      </c>
      <c r="L687" s="1" t="str">
        <f t="shared" ca="1" si="35"/>
        <v>Goalkeeper</v>
      </c>
      <c r="M687" s="1" t="str">
        <f t="shared" ca="1" si="36"/>
        <v>Goalkeeper</v>
      </c>
      <c r="N687" s="1" t="str">
        <f t="shared" ca="1" si="37"/>
        <v>Goalkeeper</v>
      </c>
      <c r="O687" s="1" t="str">
        <f t="shared" ca="1" si="38"/>
        <v>Goalkeeper</v>
      </c>
      <c r="P687" s="1" t="str">
        <f t="shared" ca="1" si="39"/>
        <v>Goalkeeper</v>
      </c>
      <c r="Q687" s="1" t="str">
        <f t="shared" ca="1" si="40"/>
        <v>Goalkeeper</v>
      </c>
      <c r="R687" s="1" t="str">
        <f t="shared" ca="1" si="41"/>
        <v>GK</v>
      </c>
      <c r="S687" s="1" t="str">
        <f t="shared" ca="1" si="42"/>
        <v>GK</v>
      </c>
      <c r="T687" s="1" t="str">
        <f t="shared" ca="1" si="43"/>
        <v>GK</v>
      </c>
      <c r="U687" s="1" t="str">
        <f t="shared" ca="1" si="44"/>
        <v>GK</v>
      </c>
      <c r="V687" s="1" t="str">
        <f t="shared" ca="1" si="45"/>
        <v>GK</v>
      </c>
      <c r="W687" s="1" t="str">
        <f t="shared" ca="1" si="46"/>
        <v>Tomás Romero</v>
      </c>
    </row>
    <row r="688" spans="1:23">
      <c r="A688" s="1" t="str">
        <f ca="1">IFERROR(__xludf.DUMMYFUNCTION("""COMPUTED_VALUE"""),"Brian")</f>
        <v>Brian</v>
      </c>
      <c r="B688" s="1" t="str">
        <f ca="1">IFERROR(__xludf.DUMMYFUNCTION("""COMPUTED_VALUE"""),"Romero")</f>
        <v>Romero</v>
      </c>
      <c r="C688" s="1" t="str">
        <f ca="1">IFERROR(__xludf.DUMMYFUNCTION("""COMPUTED_VALUE"""),"Charlotte FC")</f>
        <v>Charlotte FC</v>
      </c>
      <c r="D688" s="1" t="str">
        <f ca="1">IFERROR(__xludf.DUMMYFUNCTION("""COMPUTED_VALUE"""),"Right Wing")</f>
        <v>Right Wing</v>
      </c>
      <c r="E688" s="2">
        <f ca="1">IFERROR(__xludf.DUMMYFUNCTION("""COMPUTED_VALUE"""),100000)</f>
        <v>100000</v>
      </c>
      <c r="F688" s="2">
        <f ca="1">IFERROR(__xludf.DUMMYFUNCTION("""COMPUTED_VALUE"""),110833)</f>
        <v>110833</v>
      </c>
      <c r="H688" s="1" t="str">
        <f t="shared" ca="1" si="32"/>
        <v>Right Wing</v>
      </c>
      <c r="I688" s="3" t="str">
        <f t="shared" ca="1" si="33"/>
        <v>Right Wing</v>
      </c>
      <c r="J688" s="1" t="str">
        <f t="shared" ca="1" si="34"/>
        <v>Right Wing</v>
      </c>
      <c r="K688" s="1" t="str">
        <f t="shared" ca="1" si="47"/>
        <v>Right Wing</v>
      </c>
      <c r="L688" s="1" t="str">
        <f t="shared" ca="1" si="35"/>
        <v>Right Wing</v>
      </c>
      <c r="M688" s="1" t="str">
        <f t="shared" ca="1" si="36"/>
        <v>Right Wing</v>
      </c>
      <c r="N688" s="1" t="str">
        <f t="shared" ca="1" si="37"/>
        <v>F</v>
      </c>
      <c r="O688" s="1" t="str">
        <f t="shared" ca="1" si="38"/>
        <v>F</v>
      </c>
      <c r="P688" s="1" t="str">
        <f t="shared" ca="1" si="39"/>
        <v>F</v>
      </c>
      <c r="Q688" s="1" t="str">
        <f t="shared" ca="1" si="40"/>
        <v>F</v>
      </c>
      <c r="R688" s="1" t="str">
        <f t="shared" ca="1" si="41"/>
        <v>F</v>
      </c>
      <c r="S688" s="1" t="str">
        <f t="shared" ca="1" si="42"/>
        <v>F</v>
      </c>
      <c r="T688" s="1" t="str">
        <f t="shared" ca="1" si="43"/>
        <v>F</v>
      </c>
      <c r="U688" s="1" t="str">
        <f t="shared" ca="1" si="44"/>
        <v>F</v>
      </c>
      <c r="V688" s="1" t="str">
        <f t="shared" ca="1" si="45"/>
        <v>F</v>
      </c>
      <c r="W688" s="1" t="str">
        <f t="shared" ca="1" si="46"/>
        <v>Brian Romero</v>
      </c>
    </row>
    <row r="689" spans="1:23">
      <c r="A689" s="1" t="str">
        <f ca="1">IFERROR(__xludf.DUMMYFUNCTION("""COMPUTED_VALUE"""),"Dave")</f>
        <v>Dave</v>
      </c>
      <c r="B689" s="1" t="str">
        <f ca="1">IFERROR(__xludf.DUMMYFUNCTION("""COMPUTED_VALUE"""),"Romney")</f>
        <v>Romney</v>
      </c>
      <c r="C689" s="1" t="str">
        <f ca="1">IFERROR(__xludf.DUMMYFUNCTION("""COMPUTED_VALUE"""),"New England Revolution")</f>
        <v>New England Revolution</v>
      </c>
      <c r="D689" s="1" t="str">
        <f ca="1">IFERROR(__xludf.DUMMYFUNCTION("""COMPUTED_VALUE"""),"Center-back")</f>
        <v>Center-back</v>
      </c>
      <c r="E689" s="2">
        <f ca="1">IFERROR(__xludf.DUMMYFUNCTION("""COMPUTED_VALUE"""),675000)</f>
        <v>675000</v>
      </c>
      <c r="F689" s="2">
        <f ca="1">IFERROR(__xludf.DUMMYFUNCTION("""COMPUTED_VALUE"""),721667)</f>
        <v>721667</v>
      </c>
      <c r="H689" s="1" t="str">
        <f t="shared" ca="1" si="32"/>
        <v>D</v>
      </c>
      <c r="I689" s="3" t="str">
        <f t="shared" ca="1" si="33"/>
        <v>D</v>
      </c>
      <c r="J689" s="1" t="str">
        <f t="shared" ca="1" si="34"/>
        <v>D</v>
      </c>
      <c r="K689" s="1" t="str">
        <f t="shared" ca="1" si="47"/>
        <v>D</v>
      </c>
      <c r="L689" s="1" t="str">
        <f t="shared" ca="1" si="35"/>
        <v>D</v>
      </c>
      <c r="M689" s="1" t="str">
        <f t="shared" ca="1" si="36"/>
        <v>D</v>
      </c>
      <c r="N689" s="1" t="str">
        <f t="shared" ca="1" si="37"/>
        <v>D</v>
      </c>
      <c r="O689" s="1" t="str">
        <f t="shared" ca="1" si="38"/>
        <v>D</v>
      </c>
      <c r="P689" s="1" t="str">
        <f t="shared" ca="1" si="39"/>
        <v>D</v>
      </c>
      <c r="Q689" s="1" t="str">
        <f t="shared" ca="1" si="40"/>
        <v>D</v>
      </c>
      <c r="R689" s="1" t="str">
        <f t="shared" ca="1" si="41"/>
        <v>D</v>
      </c>
      <c r="S689" s="1" t="str">
        <f t="shared" ca="1" si="42"/>
        <v>D</v>
      </c>
      <c r="T689" s="1" t="str">
        <f t="shared" ca="1" si="43"/>
        <v>D</v>
      </c>
      <c r="U689" s="1" t="str">
        <f t="shared" ca="1" si="44"/>
        <v>D</v>
      </c>
      <c r="V689" s="1" t="str">
        <f t="shared" ca="1" si="45"/>
        <v>D</v>
      </c>
      <c r="W689" s="1" t="str">
        <f t="shared" ca="1" si="46"/>
        <v>Dave Romney</v>
      </c>
    </row>
    <row r="690" spans="1:23">
      <c r="A690" s="1" t="str">
        <f ca="1">IFERROR(__xludf.DUMMYFUNCTION("""COMPUTED_VALUE"""),"Connor")</f>
        <v>Connor</v>
      </c>
      <c r="B690" s="1" t="str">
        <f ca="1">IFERROR(__xludf.DUMMYFUNCTION("""COMPUTED_VALUE"""),"Ronan")</f>
        <v>Ronan</v>
      </c>
      <c r="C690" s="1" t="str">
        <f ca="1">IFERROR(__xludf.DUMMYFUNCTION("""COMPUTED_VALUE"""),"Colorado Rapids")</f>
        <v>Colorado Rapids</v>
      </c>
      <c r="D690" s="1" t="str">
        <f ca="1">IFERROR(__xludf.DUMMYFUNCTION("""COMPUTED_VALUE"""),"Central Midfield")</f>
        <v>Central Midfield</v>
      </c>
      <c r="E690" s="2">
        <f ca="1">IFERROR(__xludf.DUMMYFUNCTION("""COMPUTED_VALUE"""),470000)</f>
        <v>470000</v>
      </c>
      <c r="F690" s="2">
        <f ca="1">IFERROR(__xludf.DUMMYFUNCTION("""COMPUTED_VALUE"""),522400)</f>
        <v>522400</v>
      </c>
      <c r="H690" s="1" t="str">
        <f t="shared" ca="1" si="32"/>
        <v>Central Midfield</v>
      </c>
      <c r="I690" s="3" t="str">
        <f t="shared" ca="1" si="33"/>
        <v>Central Midfield</v>
      </c>
      <c r="J690" s="1" t="str">
        <f t="shared" ca="1" si="34"/>
        <v>Central Midfield</v>
      </c>
      <c r="K690" s="1" t="str">
        <f t="shared" ca="1" si="47"/>
        <v>Central Midfield</v>
      </c>
      <c r="L690" s="1" t="str">
        <f t="shared" ca="1" si="35"/>
        <v>M</v>
      </c>
      <c r="M690" s="1" t="str">
        <f t="shared" ca="1" si="36"/>
        <v>M</v>
      </c>
      <c r="N690" s="1" t="str">
        <f t="shared" ca="1" si="37"/>
        <v>M</v>
      </c>
      <c r="O690" s="1" t="str">
        <f t="shared" ca="1" si="38"/>
        <v>M</v>
      </c>
      <c r="P690" s="1" t="str">
        <f t="shared" ca="1" si="39"/>
        <v>M</v>
      </c>
      <c r="Q690" s="1" t="str">
        <f t="shared" ca="1" si="40"/>
        <v>M</v>
      </c>
      <c r="R690" s="1" t="str">
        <f t="shared" ca="1" si="41"/>
        <v>M</v>
      </c>
      <c r="S690" s="1" t="str">
        <f t="shared" ca="1" si="42"/>
        <v>M</v>
      </c>
      <c r="T690" s="1" t="str">
        <f t="shared" ca="1" si="43"/>
        <v>M</v>
      </c>
      <c r="U690" s="1" t="str">
        <f t="shared" ca="1" si="44"/>
        <v>M</v>
      </c>
      <c r="V690" s="1" t="str">
        <f t="shared" ca="1" si="45"/>
        <v>M</v>
      </c>
      <c r="W690" s="1" t="str">
        <f t="shared" ca="1" si="46"/>
        <v>Connor Ronan</v>
      </c>
    </row>
    <row r="691" spans="1:23">
      <c r="A691" s="1" t="str">
        <f ca="1">IFERROR(__xludf.DUMMYFUNCTION("""COMPUTED_VALUE"""),"Joseph")</f>
        <v>Joseph</v>
      </c>
      <c r="B691" s="1" t="str">
        <f ca="1">IFERROR(__xludf.DUMMYFUNCTION("""COMPUTED_VALUE"""),"Rosales")</f>
        <v>Rosales</v>
      </c>
      <c r="C691" s="1" t="str">
        <f ca="1">IFERROR(__xludf.DUMMYFUNCTION("""COMPUTED_VALUE"""),"Minnesota United")</f>
        <v>Minnesota United</v>
      </c>
      <c r="D691" s="1" t="str">
        <f ca="1">IFERROR(__xludf.DUMMYFUNCTION("""COMPUTED_VALUE"""),"Central Midfield")</f>
        <v>Central Midfield</v>
      </c>
      <c r="E691" s="2">
        <f ca="1">IFERROR(__xludf.DUMMYFUNCTION("""COMPUTED_VALUE"""),93988)</f>
        <v>93988</v>
      </c>
      <c r="F691" s="2">
        <f ca="1">IFERROR(__xludf.DUMMYFUNCTION("""COMPUTED_VALUE"""),93988)</f>
        <v>93988</v>
      </c>
      <c r="H691" s="1" t="str">
        <f t="shared" ca="1" si="32"/>
        <v>Central Midfield</v>
      </c>
      <c r="I691" s="3" t="str">
        <f t="shared" ca="1" si="33"/>
        <v>Central Midfield</v>
      </c>
      <c r="J691" s="1" t="str">
        <f t="shared" ca="1" si="34"/>
        <v>Central Midfield</v>
      </c>
      <c r="K691" s="1" t="str">
        <f t="shared" ca="1" si="47"/>
        <v>Central Midfield</v>
      </c>
      <c r="L691" s="1" t="str">
        <f t="shared" ca="1" si="35"/>
        <v>M</v>
      </c>
      <c r="M691" s="1" t="str">
        <f t="shared" ca="1" si="36"/>
        <v>M</v>
      </c>
      <c r="N691" s="1" t="str">
        <f t="shared" ca="1" si="37"/>
        <v>M</v>
      </c>
      <c r="O691" s="1" t="str">
        <f t="shared" ca="1" si="38"/>
        <v>M</v>
      </c>
      <c r="P691" s="1" t="str">
        <f t="shared" ca="1" si="39"/>
        <v>M</v>
      </c>
      <c r="Q691" s="1" t="str">
        <f t="shared" ca="1" si="40"/>
        <v>M</v>
      </c>
      <c r="R691" s="1" t="str">
        <f t="shared" ca="1" si="41"/>
        <v>M</v>
      </c>
      <c r="S691" s="1" t="str">
        <f t="shared" ca="1" si="42"/>
        <v>M</v>
      </c>
      <c r="T691" s="1" t="str">
        <f t="shared" ca="1" si="43"/>
        <v>M</v>
      </c>
      <c r="U691" s="1" t="str">
        <f t="shared" ca="1" si="44"/>
        <v>M</v>
      </c>
      <c r="V691" s="1" t="str">
        <f t="shared" ca="1" si="45"/>
        <v>M</v>
      </c>
      <c r="W691" s="1" t="str">
        <f t="shared" ca="1" si="46"/>
        <v>Joseph Rosales</v>
      </c>
    </row>
    <row r="692" spans="1:23">
      <c r="A692" s="1" t="str">
        <f ca="1">IFERROR(__xludf.DUMMYFUNCTION("""COMPUTED_VALUE"""),"Keegan")</f>
        <v>Keegan</v>
      </c>
      <c r="B692" s="1" t="str">
        <f ca="1">IFERROR(__xludf.DUMMYFUNCTION("""COMPUTED_VALUE"""),"Rosenberry")</f>
        <v>Rosenberry</v>
      </c>
      <c r="C692" s="1" t="str">
        <f ca="1">IFERROR(__xludf.DUMMYFUNCTION("""COMPUTED_VALUE"""),"Colorado Rapids")</f>
        <v>Colorado Rapids</v>
      </c>
      <c r="D692" s="1" t="str">
        <f ca="1">IFERROR(__xludf.DUMMYFUNCTION("""COMPUTED_VALUE"""),"Right-back")</f>
        <v>Right-back</v>
      </c>
      <c r="E692" s="2">
        <f ca="1">IFERROR(__xludf.DUMMYFUNCTION("""COMPUTED_VALUE"""),400000)</f>
        <v>400000</v>
      </c>
      <c r="F692" s="2">
        <f ca="1">IFERROR(__xludf.DUMMYFUNCTION("""COMPUTED_VALUE"""),400000)</f>
        <v>400000</v>
      </c>
      <c r="H692" s="1" t="str">
        <f t="shared" ca="1" si="32"/>
        <v>Right-back</v>
      </c>
      <c r="I692" s="3" t="str">
        <f t="shared" ca="1" si="33"/>
        <v>Right-back</v>
      </c>
      <c r="J692" s="1" t="str">
        <f t="shared" ca="1" si="34"/>
        <v>D</v>
      </c>
      <c r="K692" s="1" t="str">
        <f t="shared" ca="1" si="47"/>
        <v>D</v>
      </c>
      <c r="L692" s="1" t="str">
        <f t="shared" ca="1" si="35"/>
        <v>D</v>
      </c>
      <c r="M692" s="1" t="str">
        <f t="shared" ca="1" si="36"/>
        <v>D</v>
      </c>
      <c r="N692" s="1" t="str">
        <f t="shared" ca="1" si="37"/>
        <v>D</v>
      </c>
      <c r="O692" s="1" t="str">
        <f t="shared" ca="1" si="38"/>
        <v>D</v>
      </c>
      <c r="P692" s="1" t="str">
        <f t="shared" ca="1" si="39"/>
        <v>D</v>
      </c>
      <c r="Q692" s="1" t="str">
        <f t="shared" ca="1" si="40"/>
        <v>D</v>
      </c>
      <c r="R692" s="1" t="str">
        <f t="shared" ca="1" si="41"/>
        <v>D</v>
      </c>
      <c r="S692" s="1" t="str">
        <f t="shared" ca="1" si="42"/>
        <v>D</v>
      </c>
      <c r="T692" s="1" t="str">
        <f t="shared" ca="1" si="43"/>
        <v>D</v>
      </c>
      <c r="U692" s="1" t="str">
        <f t="shared" ca="1" si="44"/>
        <v>D</v>
      </c>
      <c r="V692" s="1" t="str">
        <f t="shared" ca="1" si="45"/>
        <v>D</v>
      </c>
      <c r="W692" s="1" t="str">
        <f t="shared" ca="1" si="46"/>
        <v>Keegan Rosenberry</v>
      </c>
    </row>
    <row r="693" spans="1:23">
      <c r="A693" s="1" t="str">
        <f ca="1">IFERROR(__xludf.DUMMYFUNCTION("""COMPUTED_VALUE"""),"Dany")</f>
        <v>Dany</v>
      </c>
      <c r="B693" s="1" t="str">
        <f ca="1">IFERROR(__xludf.DUMMYFUNCTION("""COMPUTED_VALUE"""),"Rosero")</f>
        <v>Rosero</v>
      </c>
      <c r="C693" s="1" t="str">
        <f ca="1">IFERROR(__xludf.DUMMYFUNCTION("""COMPUTED_VALUE"""),"Sporting Kansas City")</f>
        <v>Sporting Kansas City</v>
      </c>
      <c r="D693" s="1" t="str">
        <f ca="1">IFERROR(__xludf.DUMMYFUNCTION("""COMPUTED_VALUE"""),"Center-back")</f>
        <v>Center-back</v>
      </c>
      <c r="E693" s="2">
        <f ca="1">IFERROR(__xludf.DUMMYFUNCTION("""COMPUTED_VALUE"""),510000)</f>
        <v>510000</v>
      </c>
      <c r="F693" s="2">
        <f ca="1">IFERROR(__xludf.DUMMYFUNCTION("""COMPUTED_VALUE"""),510000)</f>
        <v>510000</v>
      </c>
      <c r="H693" s="1" t="str">
        <f t="shared" ca="1" si="32"/>
        <v>D</v>
      </c>
      <c r="I693" s="3" t="str">
        <f t="shared" ca="1" si="33"/>
        <v>D</v>
      </c>
      <c r="J693" s="1" t="str">
        <f t="shared" ca="1" si="34"/>
        <v>D</v>
      </c>
      <c r="K693" s="1" t="str">
        <f t="shared" ca="1" si="47"/>
        <v>D</v>
      </c>
      <c r="L693" s="1" t="str">
        <f t="shared" ca="1" si="35"/>
        <v>D</v>
      </c>
      <c r="M693" s="1" t="str">
        <f t="shared" ca="1" si="36"/>
        <v>D</v>
      </c>
      <c r="N693" s="1" t="str">
        <f t="shared" ca="1" si="37"/>
        <v>D</v>
      </c>
      <c r="O693" s="1" t="str">
        <f t="shared" ca="1" si="38"/>
        <v>D</v>
      </c>
      <c r="P693" s="1" t="str">
        <f t="shared" ca="1" si="39"/>
        <v>D</v>
      </c>
      <c r="Q693" s="1" t="str">
        <f t="shared" ca="1" si="40"/>
        <v>D</v>
      </c>
      <c r="R693" s="1" t="str">
        <f t="shared" ca="1" si="41"/>
        <v>D</v>
      </c>
      <c r="S693" s="1" t="str">
        <f t="shared" ca="1" si="42"/>
        <v>D</v>
      </c>
      <c r="T693" s="1" t="str">
        <f t="shared" ca="1" si="43"/>
        <v>D</v>
      </c>
      <c r="U693" s="1" t="str">
        <f t="shared" ca="1" si="44"/>
        <v>D</v>
      </c>
      <c r="V693" s="1" t="str">
        <f t="shared" ca="1" si="45"/>
        <v>D</v>
      </c>
      <c r="W693" s="1" t="str">
        <f t="shared" ca="1" si="46"/>
        <v>Dany Rosero</v>
      </c>
    </row>
    <row r="694" spans="1:23">
      <c r="A694" s="1" t="str">
        <f ca="1">IFERROR(__xludf.DUMMYFUNCTION("""COMPUTED_VALUE"""),"Diego")</f>
        <v>Diego</v>
      </c>
      <c r="B694" s="1" t="str">
        <f ca="1">IFERROR(__xludf.DUMMYFUNCTION("""COMPUTED_VALUE"""),"Rossi")</f>
        <v>Rossi</v>
      </c>
      <c r="C694" s="1" t="str">
        <f ca="1">IFERROR(__xludf.DUMMYFUNCTION("""COMPUTED_VALUE"""),"Columbus Crew")</f>
        <v>Columbus Crew</v>
      </c>
      <c r="D694" s="1" t="str">
        <f ca="1">IFERROR(__xludf.DUMMYFUNCTION("""COMPUTED_VALUE"""),"Left Wing")</f>
        <v>Left Wing</v>
      </c>
      <c r="E694" s="2">
        <f ca="1">IFERROR(__xludf.DUMMYFUNCTION("""COMPUTED_VALUE"""),2675000)</f>
        <v>2675000</v>
      </c>
      <c r="F694" s="2">
        <f ca="1">IFERROR(__xludf.DUMMYFUNCTION("""COMPUTED_VALUE"""),3376827)</f>
        <v>3376827</v>
      </c>
      <c r="H694" s="1" t="str">
        <f t="shared" ca="1" si="32"/>
        <v>Left Wing</v>
      </c>
      <c r="I694" s="3" t="str">
        <f t="shared" ca="1" si="33"/>
        <v>Left Wing</v>
      </c>
      <c r="J694" s="1" t="str">
        <f t="shared" ca="1" si="34"/>
        <v>Left Wing</v>
      </c>
      <c r="K694" s="1" t="str">
        <f t="shared" ca="1" si="47"/>
        <v>Left Wing</v>
      </c>
      <c r="L694" s="1" t="str">
        <f t="shared" ca="1" si="35"/>
        <v>Left Wing</v>
      </c>
      <c r="M694" s="1" t="str">
        <f t="shared" ca="1" si="36"/>
        <v>Left Wing</v>
      </c>
      <c r="N694" s="1" t="str">
        <f t="shared" ca="1" si="37"/>
        <v>Left Wing</v>
      </c>
      <c r="O694" s="1" t="str">
        <f t="shared" ca="1" si="38"/>
        <v>Left Wing</v>
      </c>
      <c r="P694" s="1" t="str">
        <f t="shared" ca="1" si="39"/>
        <v>F</v>
      </c>
      <c r="Q694" s="1" t="str">
        <f t="shared" ca="1" si="40"/>
        <v>F</v>
      </c>
      <c r="R694" s="1" t="str">
        <f t="shared" ca="1" si="41"/>
        <v>F</v>
      </c>
      <c r="S694" s="1" t="str">
        <f t="shared" ca="1" si="42"/>
        <v>F</v>
      </c>
      <c r="T694" s="1" t="str">
        <f t="shared" ca="1" si="43"/>
        <v>F</v>
      </c>
      <c r="U694" s="1" t="str">
        <f t="shared" ca="1" si="44"/>
        <v>F</v>
      </c>
      <c r="V694" s="1" t="str">
        <f t="shared" ca="1" si="45"/>
        <v>F</v>
      </c>
      <c r="W694" s="1" t="str">
        <f t="shared" ca="1" si="46"/>
        <v>Diego Rossi</v>
      </c>
    </row>
    <row r="695" spans="1:23">
      <c r="A695" s="1" t="str">
        <f ca="1">IFERROR(__xludf.DUMMYFUNCTION("""COMPUTED_VALUE"""),"Sigurd")</f>
        <v>Sigurd</v>
      </c>
      <c r="B695" s="1" t="str">
        <f ca="1">IFERROR(__xludf.DUMMYFUNCTION("""COMPUTED_VALUE"""),"Rosted")</f>
        <v>Rosted</v>
      </c>
      <c r="C695" s="1" t="str">
        <f ca="1">IFERROR(__xludf.DUMMYFUNCTION("""COMPUTED_VALUE"""),"Toronto FC")</f>
        <v>Toronto FC</v>
      </c>
      <c r="D695" s="1" t="str">
        <f ca="1">IFERROR(__xludf.DUMMYFUNCTION("""COMPUTED_VALUE"""),"Center-back")</f>
        <v>Center-back</v>
      </c>
      <c r="E695" s="2">
        <f ca="1">IFERROR(__xludf.DUMMYFUNCTION("""COMPUTED_VALUE"""),750000)</f>
        <v>750000</v>
      </c>
      <c r="F695" s="2">
        <f ca="1">IFERROR(__xludf.DUMMYFUNCTION("""COMPUTED_VALUE"""),755000)</f>
        <v>755000</v>
      </c>
      <c r="H695" s="1" t="str">
        <f t="shared" ca="1" si="32"/>
        <v>D</v>
      </c>
      <c r="I695" s="3" t="str">
        <f t="shared" ca="1" si="33"/>
        <v>D</v>
      </c>
      <c r="J695" s="1" t="str">
        <f t="shared" ca="1" si="34"/>
        <v>D</v>
      </c>
      <c r="K695" s="1" t="str">
        <f t="shared" ca="1" si="47"/>
        <v>D</v>
      </c>
      <c r="L695" s="1" t="str">
        <f t="shared" ca="1" si="35"/>
        <v>D</v>
      </c>
      <c r="M695" s="1" t="str">
        <f t="shared" ca="1" si="36"/>
        <v>D</v>
      </c>
      <c r="N695" s="1" t="str">
        <f t="shared" ca="1" si="37"/>
        <v>D</v>
      </c>
      <c r="O695" s="1" t="str">
        <f t="shared" ca="1" si="38"/>
        <v>D</v>
      </c>
      <c r="P695" s="1" t="str">
        <f t="shared" ca="1" si="39"/>
        <v>D</v>
      </c>
      <c r="Q695" s="1" t="str">
        <f t="shared" ca="1" si="40"/>
        <v>D</v>
      </c>
      <c r="R695" s="1" t="str">
        <f t="shared" ca="1" si="41"/>
        <v>D</v>
      </c>
      <c r="S695" s="1" t="str">
        <f t="shared" ca="1" si="42"/>
        <v>D</v>
      </c>
      <c r="T695" s="1" t="str">
        <f t="shared" ca="1" si="43"/>
        <v>D</v>
      </c>
      <c r="U695" s="1" t="str">
        <f t="shared" ca="1" si="44"/>
        <v>D</v>
      </c>
      <c r="V695" s="1" t="str">
        <f t="shared" ca="1" si="45"/>
        <v>D</v>
      </c>
      <c r="W695" s="1" t="str">
        <f t="shared" ca="1" si="46"/>
        <v>Sigurd Rosted</v>
      </c>
    </row>
    <row r="696" spans="1:23">
      <c r="A696" s="1" t="str">
        <f ca="1">IFERROR(__xludf.DUMMYFUNCTION("""COMPUTED_VALUE"""),"Paul")</f>
        <v>Paul</v>
      </c>
      <c r="B696" s="1" t="str">
        <f ca="1">IFERROR(__xludf.DUMMYFUNCTION("""COMPUTED_VALUE"""),"Rothrock")</f>
        <v>Rothrock</v>
      </c>
      <c r="C696" s="1" t="str">
        <f ca="1">IFERROR(__xludf.DUMMYFUNCTION("""COMPUTED_VALUE"""),"Seattle Sounders FC")</f>
        <v>Seattle Sounders FC</v>
      </c>
      <c r="D696" s="1" t="str">
        <f ca="1">IFERROR(__xludf.DUMMYFUNCTION("""COMPUTED_VALUE"""),"Center Forward")</f>
        <v>Center Forward</v>
      </c>
      <c r="E696" s="2">
        <f ca="1">IFERROR(__xludf.DUMMYFUNCTION("""COMPUTED_VALUE"""),89716)</f>
        <v>89716</v>
      </c>
      <c r="F696" s="2">
        <f ca="1">IFERROR(__xludf.DUMMYFUNCTION("""COMPUTED_VALUE"""),89716)</f>
        <v>89716</v>
      </c>
      <c r="H696" s="1" t="str">
        <f t="shared" ca="1" si="32"/>
        <v>Center Forward</v>
      </c>
      <c r="I696" s="3" t="str">
        <f t="shared" ca="1" si="33"/>
        <v>Center Forward</v>
      </c>
      <c r="J696" s="1" t="str">
        <f t="shared" ca="1" si="34"/>
        <v>Center Forward</v>
      </c>
      <c r="K696" s="1" t="str">
        <f t="shared" ca="1" si="47"/>
        <v>Center Forward</v>
      </c>
      <c r="L696" s="1" t="str">
        <f t="shared" ca="1" si="35"/>
        <v>Center Forward</v>
      </c>
      <c r="M696" s="1" t="str">
        <f t="shared" ca="1" si="36"/>
        <v>Center Forward</v>
      </c>
      <c r="N696" s="1" t="str">
        <f t="shared" ca="1" si="37"/>
        <v>Center Forward</v>
      </c>
      <c r="O696" s="1" t="str">
        <f t="shared" ca="1" si="38"/>
        <v>F</v>
      </c>
      <c r="P696" s="1" t="str">
        <f t="shared" ca="1" si="39"/>
        <v>F</v>
      </c>
      <c r="Q696" s="1" t="str">
        <f t="shared" ca="1" si="40"/>
        <v>F</v>
      </c>
      <c r="R696" s="1" t="str">
        <f t="shared" ca="1" si="41"/>
        <v>F</v>
      </c>
      <c r="S696" s="1" t="str">
        <f t="shared" ca="1" si="42"/>
        <v>F</v>
      </c>
      <c r="T696" s="1" t="str">
        <f t="shared" ca="1" si="43"/>
        <v>F</v>
      </c>
      <c r="U696" s="1" t="str">
        <f t="shared" ca="1" si="44"/>
        <v>F</v>
      </c>
      <c r="V696" s="1" t="str">
        <f t="shared" ca="1" si="45"/>
        <v>F</v>
      </c>
      <c r="W696" s="1" t="str">
        <f t="shared" ca="1" si="46"/>
        <v>Paul Rothrock</v>
      </c>
    </row>
    <row r="697" spans="1:23">
      <c r="A697" s="1" t="str">
        <f ca="1">IFERROR(__xludf.DUMMYFUNCTION("""COMPUTED_VALUE"""),"Rubio")</f>
        <v>Rubio</v>
      </c>
      <c r="B697" s="1" t="str">
        <f ca="1">IFERROR(__xludf.DUMMYFUNCTION("""COMPUTED_VALUE"""),"Rubín")</f>
        <v>Rubín</v>
      </c>
      <c r="C697" s="1" t="str">
        <f ca="1">IFERROR(__xludf.DUMMYFUNCTION("""COMPUTED_VALUE"""),"Real Salt Lake")</f>
        <v>Real Salt Lake</v>
      </c>
      <c r="D697" s="1" t="str">
        <f ca="1">IFERROR(__xludf.DUMMYFUNCTION("""COMPUTED_VALUE"""),"Center Forward")</f>
        <v>Center Forward</v>
      </c>
      <c r="E697" s="2">
        <f ca="1">IFERROR(__xludf.DUMMYFUNCTION("""COMPUTED_VALUE"""),626400)</f>
        <v>626400</v>
      </c>
      <c r="F697" s="2">
        <f ca="1">IFERROR(__xludf.DUMMYFUNCTION("""COMPUTED_VALUE"""),699247)</f>
        <v>699247</v>
      </c>
      <c r="H697" s="1" t="str">
        <f t="shared" ca="1" si="32"/>
        <v>Center Forward</v>
      </c>
      <c r="I697" s="3" t="str">
        <f t="shared" ca="1" si="33"/>
        <v>Center Forward</v>
      </c>
      <c r="J697" s="1" t="str">
        <f t="shared" ca="1" si="34"/>
        <v>Center Forward</v>
      </c>
      <c r="K697" s="1" t="str">
        <f t="shared" ca="1" si="47"/>
        <v>Center Forward</v>
      </c>
      <c r="L697" s="1" t="str">
        <f t="shared" ca="1" si="35"/>
        <v>Center Forward</v>
      </c>
      <c r="M697" s="1" t="str">
        <f t="shared" ca="1" si="36"/>
        <v>Center Forward</v>
      </c>
      <c r="N697" s="1" t="str">
        <f t="shared" ca="1" si="37"/>
        <v>Center Forward</v>
      </c>
      <c r="O697" s="1" t="str">
        <f t="shared" ca="1" si="38"/>
        <v>F</v>
      </c>
      <c r="P697" s="1" t="str">
        <f t="shared" ca="1" si="39"/>
        <v>F</v>
      </c>
      <c r="Q697" s="1" t="str">
        <f t="shared" ca="1" si="40"/>
        <v>F</v>
      </c>
      <c r="R697" s="1" t="str">
        <f t="shared" ca="1" si="41"/>
        <v>F</v>
      </c>
      <c r="S697" s="1" t="str">
        <f t="shared" ca="1" si="42"/>
        <v>F</v>
      </c>
      <c r="T697" s="1" t="str">
        <f t="shared" ca="1" si="43"/>
        <v>F</v>
      </c>
      <c r="U697" s="1" t="str">
        <f t="shared" ca="1" si="44"/>
        <v>F</v>
      </c>
      <c r="V697" s="1" t="str">
        <f t="shared" ca="1" si="45"/>
        <v>F</v>
      </c>
      <c r="W697" s="1" t="str">
        <f t="shared" ca="1" si="46"/>
        <v>Rubio Rubín</v>
      </c>
    </row>
    <row r="698" spans="1:23">
      <c r="A698" s="1" t="str">
        <f ca="1">IFERROR(__xludf.DUMMYFUNCTION("""COMPUTED_VALUE"""),"Diego")</f>
        <v>Diego</v>
      </c>
      <c r="B698" s="1" t="str">
        <f ca="1">IFERROR(__xludf.DUMMYFUNCTION("""COMPUTED_VALUE"""),"Rubio")</f>
        <v>Rubio</v>
      </c>
      <c r="C698" s="1" t="str">
        <f ca="1">IFERROR(__xludf.DUMMYFUNCTION("""COMPUTED_VALUE"""),"Austin FC")</f>
        <v>Austin FC</v>
      </c>
      <c r="D698" s="1" t="str">
        <f ca="1">IFERROR(__xludf.DUMMYFUNCTION("""COMPUTED_VALUE"""),"Center Forward")</f>
        <v>Center Forward</v>
      </c>
      <c r="E698" s="2">
        <f ca="1">IFERROR(__xludf.DUMMYFUNCTION("""COMPUTED_VALUE"""),350000)</f>
        <v>350000</v>
      </c>
      <c r="F698" s="2">
        <f ca="1">IFERROR(__xludf.DUMMYFUNCTION("""COMPUTED_VALUE"""),390000)</f>
        <v>390000</v>
      </c>
      <c r="H698" s="1" t="str">
        <f t="shared" ca="1" si="32"/>
        <v>Center Forward</v>
      </c>
      <c r="I698" s="3" t="str">
        <f t="shared" ca="1" si="33"/>
        <v>Center Forward</v>
      </c>
      <c r="J698" s="1" t="str">
        <f t="shared" ca="1" si="34"/>
        <v>Center Forward</v>
      </c>
      <c r="K698" s="1" t="str">
        <f t="shared" ca="1" si="47"/>
        <v>Center Forward</v>
      </c>
      <c r="L698" s="1" t="str">
        <f t="shared" ca="1" si="35"/>
        <v>Center Forward</v>
      </c>
      <c r="M698" s="1" t="str">
        <f t="shared" ca="1" si="36"/>
        <v>Center Forward</v>
      </c>
      <c r="N698" s="1" t="str">
        <f t="shared" ca="1" si="37"/>
        <v>Center Forward</v>
      </c>
      <c r="O698" s="1" t="str">
        <f t="shared" ca="1" si="38"/>
        <v>F</v>
      </c>
      <c r="P698" s="1" t="str">
        <f t="shared" ca="1" si="39"/>
        <v>F</v>
      </c>
      <c r="Q698" s="1" t="str">
        <f t="shared" ca="1" si="40"/>
        <v>F</v>
      </c>
      <c r="R698" s="1" t="str">
        <f t="shared" ca="1" si="41"/>
        <v>F</v>
      </c>
      <c r="S698" s="1" t="str">
        <f t="shared" ca="1" si="42"/>
        <v>F</v>
      </c>
      <c r="T698" s="1" t="str">
        <f t="shared" ca="1" si="43"/>
        <v>F</v>
      </c>
      <c r="U698" s="1" t="str">
        <f t="shared" ca="1" si="44"/>
        <v>F</v>
      </c>
      <c r="V698" s="1" t="str">
        <f t="shared" ca="1" si="45"/>
        <v>F</v>
      </c>
      <c r="W698" s="1" t="str">
        <f t="shared" ca="1" si="46"/>
        <v>Diego Rubio</v>
      </c>
    </row>
    <row r="699" spans="1:23">
      <c r="A699" s="1" t="str">
        <f ca="1">IFERROR(__xludf.DUMMYFUNCTION("""COMPUTED_VALUE"""),"Raúl")</f>
        <v>Raúl</v>
      </c>
      <c r="B699" s="1" t="str">
        <f ca="1">IFERROR(__xludf.DUMMYFUNCTION("""COMPUTED_VALUE"""),"Ruidíaz")</f>
        <v>Ruidíaz</v>
      </c>
      <c r="C699" s="1" t="str">
        <f ca="1">IFERROR(__xludf.DUMMYFUNCTION("""COMPUTED_VALUE"""),"Seattle Sounders FC")</f>
        <v>Seattle Sounders FC</v>
      </c>
      <c r="D699" s="1" t="str">
        <f ca="1">IFERROR(__xludf.DUMMYFUNCTION("""COMPUTED_VALUE"""),"Center Forward")</f>
        <v>Center Forward</v>
      </c>
      <c r="E699" s="2">
        <f ca="1">IFERROR(__xludf.DUMMYFUNCTION("""COMPUTED_VALUE"""),2000000)</f>
        <v>2000000</v>
      </c>
      <c r="F699" s="2">
        <f ca="1">IFERROR(__xludf.DUMMYFUNCTION("""COMPUTED_VALUE"""),2729120)</f>
        <v>2729120</v>
      </c>
      <c r="H699" s="1" t="str">
        <f t="shared" ca="1" si="32"/>
        <v>Center Forward</v>
      </c>
      <c r="I699" s="3" t="str">
        <f t="shared" ca="1" si="33"/>
        <v>Center Forward</v>
      </c>
      <c r="J699" s="1" t="str">
        <f t="shared" ca="1" si="34"/>
        <v>Center Forward</v>
      </c>
      <c r="K699" s="1" t="str">
        <f t="shared" ca="1" si="47"/>
        <v>Center Forward</v>
      </c>
      <c r="L699" s="1" t="str">
        <f t="shared" ca="1" si="35"/>
        <v>Center Forward</v>
      </c>
      <c r="M699" s="1" t="str">
        <f t="shared" ca="1" si="36"/>
        <v>Center Forward</v>
      </c>
      <c r="N699" s="1" t="str">
        <f t="shared" ca="1" si="37"/>
        <v>Center Forward</v>
      </c>
      <c r="O699" s="1" t="str">
        <f t="shared" ca="1" si="38"/>
        <v>F</v>
      </c>
      <c r="P699" s="1" t="str">
        <f t="shared" ca="1" si="39"/>
        <v>F</v>
      </c>
      <c r="Q699" s="1" t="str">
        <f t="shared" ca="1" si="40"/>
        <v>F</v>
      </c>
      <c r="R699" s="1" t="str">
        <f t="shared" ca="1" si="41"/>
        <v>F</v>
      </c>
      <c r="S699" s="1" t="str">
        <f t="shared" ca="1" si="42"/>
        <v>F</v>
      </c>
      <c r="T699" s="1" t="str">
        <f t="shared" ca="1" si="43"/>
        <v>F</v>
      </c>
      <c r="U699" s="1" t="str">
        <f t="shared" ca="1" si="44"/>
        <v>F</v>
      </c>
      <c r="V699" s="1" t="str">
        <f t="shared" ca="1" si="45"/>
        <v>F</v>
      </c>
      <c r="W699" s="1" t="str">
        <f t="shared" ca="1" si="46"/>
        <v>Raúl Ruidíaz</v>
      </c>
    </row>
    <row r="700" spans="1:23">
      <c r="A700" s="1" t="str">
        <f ca="1">IFERROR(__xludf.DUMMYFUNCTION("""COMPUTED_VALUE"""),"Pablo")</f>
        <v>Pablo</v>
      </c>
      <c r="B700" s="1" t="str">
        <f ca="1">IFERROR(__xludf.DUMMYFUNCTION("""COMPUTED_VALUE"""),"Ruiz")</f>
        <v>Ruiz</v>
      </c>
      <c r="C700" s="1" t="str">
        <f ca="1">IFERROR(__xludf.DUMMYFUNCTION("""COMPUTED_VALUE"""),"Real Salt Lake")</f>
        <v>Real Salt Lake</v>
      </c>
      <c r="D700" s="1" t="str">
        <f ca="1">IFERROR(__xludf.DUMMYFUNCTION("""COMPUTED_VALUE"""),"Central Midfield")</f>
        <v>Central Midfield</v>
      </c>
      <c r="E700" s="2">
        <f ca="1">IFERROR(__xludf.DUMMYFUNCTION("""COMPUTED_VALUE"""),825000)</f>
        <v>825000</v>
      </c>
      <c r="F700" s="2">
        <f ca="1">IFERROR(__xludf.DUMMYFUNCTION("""COMPUTED_VALUE"""),911500)</f>
        <v>911500</v>
      </c>
      <c r="H700" s="1" t="str">
        <f t="shared" ca="1" si="32"/>
        <v>Central Midfield</v>
      </c>
      <c r="I700" s="3" t="str">
        <f t="shared" ca="1" si="33"/>
        <v>Central Midfield</v>
      </c>
      <c r="J700" s="1" t="str">
        <f t="shared" ca="1" si="34"/>
        <v>Central Midfield</v>
      </c>
      <c r="K700" s="1" t="str">
        <f t="shared" ca="1" si="47"/>
        <v>Central Midfield</v>
      </c>
      <c r="L700" s="1" t="str">
        <f t="shared" ca="1" si="35"/>
        <v>M</v>
      </c>
      <c r="M700" s="1" t="str">
        <f t="shared" ca="1" si="36"/>
        <v>M</v>
      </c>
      <c r="N700" s="1" t="str">
        <f t="shared" ca="1" si="37"/>
        <v>M</v>
      </c>
      <c r="O700" s="1" t="str">
        <f t="shared" ca="1" si="38"/>
        <v>M</v>
      </c>
      <c r="P700" s="1" t="str">
        <f t="shared" ca="1" si="39"/>
        <v>M</v>
      </c>
      <c r="Q700" s="1" t="str">
        <f t="shared" ca="1" si="40"/>
        <v>M</v>
      </c>
      <c r="R700" s="1" t="str">
        <f t="shared" ca="1" si="41"/>
        <v>M</v>
      </c>
      <c r="S700" s="1" t="str">
        <f t="shared" ca="1" si="42"/>
        <v>M</v>
      </c>
      <c r="T700" s="1" t="str">
        <f t="shared" ca="1" si="43"/>
        <v>M</v>
      </c>
      <c r="U700" s="1" t="str">
        <f t="shared" ca="1" si="44"/>
        <v>M</v>
      </c>
      <c r="V700" s="1" t="str">
        <f t="shared" ca="1" si="45"/>
        <v>M</v>
      </c>
      <c r="W700" s="1" t="str">
        <f t="shared" ca="1" si="46"/>
        <v>Pablo Ruiz</v>
      </c>
    </row>
    <row r="701" spans="1:23">
      <c r="A701" s="1" t="str">
        <f ca="1">IFERROR(__xludf.DUMMYFUNCTION("""COMPUTED_VALUE"""),"Albert")</f>
        <v>Albert</v>
      </c>
      <c r="B701" s="1" t="str">
        <f ca="1">IFERROR(__xludf.DUMMYFUNCTION("""COMPUTED_VALUE"""),"Rusnák")</f>
        <v>Rusnák</v>
      </c>
      <c r="C701" s="1" t="str">
        <f ca="1">IFERROR(__xludf.DUMMYFUNCTION("""COMPUTED_VALUE"""),"Seattle Sounders FC")</f>
        <v>Seattle Sounders FC</v>
      </c>
      <c r="D701" s="1" t="str">
        <f ca="1">IFERROR(__xludf.DUMMYFUNCTION("""COMPUTED_VALUE"""),"Attacking Midfield")</f>
        <v>Attacking Midfield</v>
      </c>
      <c r="E701" s="2">
        <f ca="1">IFERROR(__xludf.DUMMYFUNCTION("""COMPUTED_VALUE"""),2150000)</f>
        <v>2150000</v>
      </c>
      <c r="F701" s="2">
        <f ca="1">IFERROR(__xludf.DUMMYFUNCTION("""COMPUTED_VALUE"""),2221667)</f>
        <v>2221667</v>
      </c>
      <c r="H701" s="1" t="str">
        <f t="shared" ca="1" si="32"/>
        <v>Attacking Midfield</v>
      </c>
      <c r="I701" s="3" t="str">
        <f t="shared" ca="1" si="33"/>
        <v>Attacking Midfield</v>
      </c>
      <c r="J701" s="1" t="str">
        <f t="shared" ca="1" si="34"/>
        <v>Attacking Midfield</v>
      </c>
      <c r="K701" s="1" t="str">
        <f t="shared" ca="1" si="47"/>
        <v>Attacking Midfield</v>
      </c>
      <c r="L701" s="1" t="str">
        <f t="shared" ca="1" si="35"/>
        <v>Attacking Midfield</v>
      </c>
      <c r="M701" s="1" t="str">
        <f t="shared" ca="1" si="36"/>
        <v>M</v>
      </c>
      <c r="N701" s="1" t="str">
        <f t="shared" ca="1" si="37"/>
        <v>M</v>
      </c>
      <c r="O701" s="1" t="str">
        <f t="shared" ca="1" si="38"/>
        <v>M</v>
      </c>
      <c r="P701" s="1" t="str">
        <f t="shared" ca="1" si="39"/>
        <v>M</v>
      </c>
      <c r="Q701" s="1" t="str">
        <f t="shared" ca="1" si="40"/>
        <v>M</v>
      </c>
      <c r="R701" s="1" t="str">
        <f t="shared" ca="1" si="41"/>
        <v>M</v>
      </c>
      <c r="S701" s="1" t="str">
        <f t="shared" ca="1" si="42"/>
        <v>M</v>
      </c>
      <c r="T701" s="1" t="str">
        <f t="shared" ca="1" si="43"/>
        <v>M</v>
      </c>
      <c r="U701" s="1" t="str">
        <f t="shared" ca="1" si="44"/>
        <v>M</v>
      </c>
      <c r="V701" s="1" t="str">
        <f t="shared" ca="1" si="45"/>
        <v>M</v>
      </c>
      <c r="W701" s="1" t="str">
        <f t="shared" ca="1" si="46"/>
        <v>Albert Rusnák</v>
      </c>
    </row>
    <row r="702" spans="1:23">
      <c r="A702" s="1" t="str">
        <f ca="1">IFERROR(__xludf.DUMMYFUNCTION("""COMPUTED_VALUE"""),"Johnny")</f>
        <v>Johnny</v>
      </c>
      <c r="B702" s="1" t="str">
        <f ca="1">IFERROR(__xludf.DUMMYFUNCTION("""COMPUTED_VALUE"""),"Russell")</f>
        <v>Russell</v>
      </c>
      <c r="C702" s="1" t="str">
        <f ca="1">IFERROR(__xludf.DUMMYFUNCTION("""COMPUTED_VALUE"""),"Sporting Kansas City")</f>
        <v>Sporting Kansas City</v>
      </c>
      <c r="D702" s="1" t="str">
        <f ca="1">IFERROR(__xludf.DUMMYFUNCTION("""COMPUTED_VALUE"""),"Right Wing")</f>
        <v>Right Wing</v>
      </c>
      <c r="E702" s="2">
        <f ca="1">IFERROR(__xludf.DUMMYFUNCTION("""COMPUTED_VALUE"""),1000000)</f>
        <v>1000000</v>
      </c>
      <c r="F702" s="2">
        <f ca="1">IFERROR(__xludf.DUMMYFUNCTION("""COMPUTED_VALUE"""),1000000)</f>
        <v>1000000</v>
      </c>
      <c r="H702" s="1" t="str">
        <f t="shared" ca="1" si="32"/>
        <v>Right Wing</v>
      </c>
      <c r="I702" s="3" t="str">
        <f t="shared" ca="1" si="33"/>
        <v>Right Wing</v>
      </c>
      <c r="J702" s="1" t="str">
        <f t="shared" ca="1" si="34"/>
        <v>Right Wing</v>
      </c>
      <c r="K702" s="1" t="str">
        <f t="shared" ca="1" si="47"/>
        <v>Right Wing</v>
      </c>
      <c r="L702" s="1" t="str">
        <f t="shared" ca="1" si="35"/>
        <v>Right Wing</v>
      </c>
      <c r="M702" s="1" t="str">
        <f t="shared" ca="1" si="36"/>
        <v>Right Wing</v>
      </c>
      <c r="N702" s="1" t="str">
        <f t="shared" ca="1" si="37"/>
        <v>F</v>
      </c>
      <c r="O702" s="1" t="str">
        <f t="shared" ca="1" si="38"/>
        <v>F</v>
      </c>
      <c r="P702" s="1" t="str">
        <f t="shared" ca="1" si="39"/>
        <v>F</v>
      </c>
      <c r="Q702" s="1" t="str">
        <f t="shared" ca="1" si="40"/>
        <v>F</v>
      </c>
      <c r="R702" s="1" t="str">
        <f t="shared" ca="1" si="41"/>
        <v>F</v>
      </c>
      <c r="S702" s="1" t="str">
        <f t="shared" ca="1" si="42"/>
        <v>F</v>
      </c>
      <c r="T702" s="1" t="str">
        <f t="shared" ca="1" si="43"/>
        <v>F</v>
      </c>
      <c r="U702" s="1" t="str">
        <f t="shared" ca="1" si="44"/>
        <v>F</v>
      </c>
      <c r="V702" s="1" t="str">
        <f t="shared" ca="1" si="45"/>
        <v>F</v>
      </c>
      <c r="W702" s="1" t="str">
        <f t="shared" ca="1" si="46"/>
        <v>Johnny Russell</v>
      </c>
    </row>
    <row r="703" spans="1:23">
      <c r="A703" s="1" t="str">
        <f ca="1">IFERROR(__xludf.DUMMYFUNCTION("""COMPUTED_VALUE"""),"Jacen")</f>
        <v>Jacen</v>
      </c>
      <c r="B703" s="1" t="str">
        <f ca="1">IFERROR(__xludf.DUMMYFUNCTION("""COMPUTED_VALUE"""),"Russell-Rowe")</f>
        <v>Russell-Rowe</v>
      </c>
      <c r="C703" s="1" t="str">
        <f ca="1">IFERROR(__xludf.DUMMYFUNCTION("""COMPUTED_VALUE"""),"Columbus Crew")</f>
        <v>Columbus Crew</v>
      </c>
      <c r="D703" s="1" t="str">
        <f ca="1">IFERROR(__xludf.DUMMYFUNCTION("""COMPUTED_VALUE"""),"Center Forward")</f>
        <v>Center Forward</v>
      </c>
      <c r="E703" s="2">
        <f ca="1">IFERROR(__xludf.DUMMYFUNCTION("""COMPUTED_VALUE"""),89716)</f>
        <v>89716</v>
      </c>
      <c r="F703" s="2">
        <f ca="1">IFERROR(__xludf.DUMMYFUNCTION("""COMPUTED_VALUE"""),97105)</f>
        <v>97105</v>
      </c>
      <c r="H703" s="1" t="str">
        <f t="shared" ca="1" si="32"/>
        <v>Center Forward</v>
      </c>
      <c r="I703" s="3" t="str">
        <f t="shared" ca="1" si="33"/>
        <v>Center Forward</v>
      </c>
      <c r="J703" s="1" t="str">
        <f t="shared" ca="1" si="34"/>
        <v>Center Forward</v>
      </c>
      <c r="K703" s="1" t="str">
        <f t="shared" ca="1" si="47"/>
        <v>Center Forward</v>
      </c>
      <c r="L703" s="1" t="str">
        <f t="shared" ca="1" si="35"/>
        <v>Center Forward</v>
      </c>
      <c r="M703" s="1" t="str">
        <f t="shared" ca="1" si="36"/>
        <v>Center Forward</v>
      </c>
      <c r="N703" s="1" t="str">
        <f t="shared" ca="1" si="37"/>
        <v>Center Forward</v>
      </c>
      <c r="O703" s="1" t="str">
        <f t="shared" ca="1" si="38"/>
        <v>F</v>
      </c>
      <c r="P703" s="1" t="str">
        <f t="shared" ca="1" si="39"/>
        <v>F</v>
      </c>
      <c r="Q703" s="1" t="str">
        <f t="shared" ca="1" si="40"/>
        <v>F</v>
      </c>
      <c r="R703" s="1" t="str">
        <f t="shared" ca="1" si="41"/>
        <v>F</v>
      </c>
      <c r="S703" s="1" t="str">
        <f t="shared" ca="1" si="42"/>
        <v>F</v>
      </c>
      <c r="T703" s="1" t="str">
        <f t="shared" ca="1" si="43"/>
        <v>F</v>
      </c>
      <c r="U703" s="1" t="str">
        <f t="shared" ca="1" si="44"/>
        <v>F</v>
      </c>
      <c r="V703" s="1" t="str">
        <f t="shared" ca="1" si="45"/>
        <v>F</v>
      </c>
      <c r="W703" s="1" t="str">
        <f t="shared" ca="1" si="46"/>
        <v>Jacen Russell-Rowe</v>
      </c>
    </row>
    <row r="704" spans="1:23">
      <c r="A704" s="1" t="str">
        <f ca="1">IFERROR(__xludf.DUMMYFUNCTION("""COMPUTED_VALUE"""),"Ilie")</f>
        <v>Ilie</v>
      </c>
      <c r="B704" s="1" t="str">
        <f ca="1">IFERROR(__xludf.DUMMYFUNCTION("""COMPUTED_VALUE"""),"Sánchez")</f>
        <v>Sánchez</v>
      </c>
      <c r="C704" s="1" t="str">
        <f ca="1">IFERROR(__xludf.DUMMYFUNCTION("""COMPUTED_VALUE"""),"LAFC")</f>
        <v>LAFC</v>
      </c>
      <c r="D704" s="1" t="str">
        <f ca="1">IFERROR(__xludf.DUMMYFUNCTION("""COMPUTED_VALUE"""),"Defensive Midfield")</f>
        <v>Defensive Midfield</v>
      </c>
      <c r="E704" s="2">
        <f ca="1">IFERROR(__xludf.DUMMYFUNCTION("""COMPUTED_VALUE"""),1267875)</f>
        <v>1267875</v>
      </c>
      <c r="F704" s="2">
        <f ca="1">IFERROR(__xludf.DUMMYFUNCTION("""COMPUTED_VALUE"""),1267875)</f>
        <v>1267875</v>
      </c>
      <c r="H704" s="1" t="str">
        <f t="shared" ca="1" si="32"/>
        <v>Defensive Midfield</v>
      </c>
      <c r="I704" s="3" t="str">
        <f t="shared" ca="1" si="33"/>
        <v>Defensive Midfield</v>
      </c>
      <c r="J704" s="1" t="str">
        <f t="shared" ca="1" si="34"/>
        <v>Defensive Midfield</v>
      </c>
      <c r="K704" s="1" t="str">
        <f t="shared" ca="1" si="47"/>
        <v>M</v>
      </c>
      <c r="L704" s="1" t="str">
        <f t="shared" ca="1" si="35"/>
        <v>M</v>
      </c>
      <c r="M704" s="1" t="str">
        <f t="shared" ca="1" si="36"/>
        <v>M</v>
      </c>
      <c r="N704" s="1" t="str">
        <f t="shared" ca="1" si="37"/>
        <v>M</v>
      </c>
      <c r="O704" s="1" t="str">
        <f t="shared" ca="1" si="38"/>
        <v>M</v>
      </c>
      <c r="P704" s="1" t="str">
        <f t="shared" ca="1" si="39"/>
        <v>M</v>
      </c>
      <c r="Q704" s="1" t="str">
        <f t="shared" ca="1" si="40"/>
        <v>M</v>
      </c>
      <c r="R704" s="1" t="str">
        <f t="shared" ca="1" si="41"/>
        <v>M</v>
      </c>
      <c r="S704" s="1" t="str">
        <f t="shared" ca="1" si="42"/>
        <v>M</v>
      </c>
      <c r="T704" s="1" t="str">
        <f t="shared" ca="1" si="43"/>
        <v>M</v>
      </c>
      <c r="U704" s="1" t="str">
        <f t="shared" ca="1" si="44"/>
        <v>M</v>
      </c>
      <c r="V704" s="1" t="str">
        <f t="shared" ca="1" si="45"/>
        <v>M</v>
      </c>
      <c r="W704" s="1" t="str">
        <f t="shared" ca="1" si="46"/>
        <v>Ilie Sánchez</v>
      </c>
    </row>
    <row r="705" spans="1:23">
      <c r="A705" s="1" t="str">
        <f ca="1">IFERROR(__xludf.DUMMYFUNCTION("""COMPUTED_VALUE"""),"Ryan")</f>
        <v>Ryan</v>
      </c>
      <c r="B705" s="1" t="str">
        <f ca="1">IFERROR(__xludf.DUMMYFUNCTION("""COMPUTED_VALUE"""),"Sailor")</f>
        <v>Sailor</v>
      </c>
      <c r="C705" s="1" t="str">
        <f ca="1">IFERROR(__xludf.DUMMYFUNCTION("""COMPUTED_VALUE"""),"Inter Miami")</f>
        <v>Inter Miami</v>
      </c>
      <c r="D705" s="1" t="str">
        <f ca="1">IFERROR(__xludf.DUMMYFUNCTION("""COMPUTED_VALUE"""),"Center-back")</f>
        <v>Center-back</v>
      </c>
      <c r="E705" s="2">
        <f ca="1">IFERROR(__xludf.DUMMYFUNCTION("""COMPUTED_VALUE"""),89716)</f>
        <v>89716</v>
      </c>
      <c r="F705" s="2">
        <f ca="1">IFERROR(__xludf.DUMMYFUNCTION("""COMPUTED_VALUE"""),89716)</f>
        <v>89716</v>
      </c>
      <c r="H705" s="1" t="str">
        <f t="shared" ca="1" si="32"/>
        <v>D</v>
      </c>
      <c r="I705" s="3" t="str">
        <f t="shared" ca="1" si="33"/>
        <v>D</v>
      </c>
      <c r="J705" s="1" t="str">
        <f t="shared" ca="1" si="34"/>
        <v>D</v>
      </c>
      <c r="K705" s="1" t="str">
        <f t="shared" ca="1" si="47"/>
        <v>D</v>
      </c>
      <c r="L705" s="1" t="str">
        <f t="shared" ca="1" si="35"/>
        <v>D</v>
      </c>
      <c r="M705" s="1" t="str">
        <f t="shared" ca="1" si="36"/>
        <v>D</v>
      </c>
      <c r="N705" s="1" t="str">
        <f t="shared" ca="1" si="37"/>
        <v>D</v>
      </c>
      <c r="O705" s="1" t="str">
        <f t="shared" ca="1" si="38"/>
        <v>D</v>
      </c>
      <c r="P705" s="1" t="str">
        <f t="shared" ca="1" si="39"/>
        <v>D</v>
      </c>
      <c r="Q705" s="1" t="str">
        <f t="shared" ca="1" si="40"/>
        <v>D</v>
      </c>
      <c r="R705" s="1" t="str">
        <f t="shared" ca="1" si="41"/>
        <v>D</v>
      </c>
      <c r="S705" s="1" t="str">
        <f t="shared" ca="1" si="42"/>
        <v>D</v>
      </c>
      <c r="T705" s="1" t="str">
        <f t="shared" ca="1" si="43"/>
        <v>D</v>
      </c>
      <c r="U705" s="1" t="str">
        <f t="shared" ca="1" si="44"/>
        <v>D</v>
      </c>
      <c r="V705" s="1" t="str">
        <f t="shared" ca="1" si="45"/>
        <v>D</v>
      </c>
      <c r="W705" s="1" t="str">
        <f t="shared" ca="1" si="46"/>
        <v>Ryan Sailor</v>
      </c>
    </row>
    <row r="706" spans="1:23">
      <c r="A706" s="1" t="str">
        <f ca="1">IFERROR(__xludf.DUMMYFUNCTION("""COMPUTED_VALUE"""),"Carl")</f>
        <v>Carl</v>
      </c>
      <c r="B706" s="1" t="str">
        <f ca="1">IFERROR(__xludf.DUMMYFUNCTION("""COMPUTED_VALUE"""),"Sainté")</f>
        <v>Sainté</v>
      </c>
      <c r="C706" s="1" t="str">
        <f ca="1">IFERROR(__xludf.DUMMYFUNCTION("""COMPUTED_VALUE"""),"FC Dallas")</f>
        <v>FC Dallas</v>
      </c>
      <c r="D706" s="1" t="str">
        <f ca="1">IFERROR(__xludf.DUMMYFUNCTION("""COMPUTED_VALUE"""),"Defensive Midfield")</f>
        <v>Defensive Midfield</v>
      </c>
      <c r="E706" s="2">
        <f ca="1">IFERROR(__xludf.DUMMYFUNCTION("""COMPUTED_VALUE"""),71401)</f>
        <v>71401</v>
      </c>
      <c r="F706" s="2">
        <f ca="1">IFERROR(__xludf.DUMMYFUNCTION("""COMPUTED_VALUE"""),71401)</f>
        <v>71401</v>
      </c>
      <c r="H706" s="1" t="str">
        <f t="shared" ca="1" si="32"/>
        <v>Defensive Midfield</v>
      </c>
      <c r="I706" s="3" t="str">
        <f t="shared" ca="1" si="33"/>
        <v>Defensive Midfield</v>
      </c>
      <c r="J706" s="1" t="str">
        <f t="shared" ca="1" si="34"/>
        <v>Defensive Midfield</v>
      </c>
      <c r="K706" s="1" t="str">
        <f t="shared" ca="1" si="47"/>
        <v>M</v>
      </c>
      <c r="L706" s="1" t="str">
        <f t="shared" ca="1" si="35"/>
        <v>M</v>
      </c>
      <c r="M706" s="1" t="str">
        <f t="shared" ca="1" si="36"/>
        <v>M</v>
      </c>
      <c r="N706" s="1" t="str">
        <f t="shared" ca="1" si="37"/>
        <v>M</v>
      </c>
      <c r="O706" s="1" t="str">
        <f t="shared" ca="1" si="38"/>
        <v>M</v>
      </c>
      <c r="P706" s="1" t="str">
        <f t="shared" ca="1" si="39"/>
        <v>M</v>
      </c>
      <c r="Q706" s="1" t="str">
        <f t="shared" ca="1" si="40"/>
        <v>M</v>
      </c>
      <c r="R706" s="1" t="str">
        <f t="shared" ca="1" si="41"/>
        <v>M</v>
      </c>
      <c r="S706" s="1" t="str">
        <f t="shared" ca="1" si="42"/>
        <v>M</v>
      </c>
      <c r="T706" s="1" t="str">
        <f t="shared" ca="1" si="43"/>
        <v>M</v>
      </c>
      <c r="U706" s="1" t="str">
        <f t="shared" ca="1" si="44"/>
        <v>M</v>
      </c>
      <c r="V706" s="1" t="str">
        <f t="shared" ca="1" si="45"/>
        <v>M</v>
      </c>
      <c r="W706" s="1" t="str">
        <f t="shared" ca="1" si="46"/>
        <v>Carl Sainté</v>
      </c>
    </row>
    <row r="707" spans="1:23">
      <c r="A707" s="1" t="str">
        <f ca="1">IFERROR(__xludf.DUMMYFUNCTION("""COMPUTED_VALUE"""),"Enes")</f>
        <v>Enes</v>
      </c>
      <c r="B707" s="1" t="str">
        <f ca="1">IFERROR(__xludf.DUMMYFUNCTION("""COMPUTED_VALUE"""),"Sali")</f>
        <v>Sali</v>
      </c>
      <c r="C707" s="1" t="str">
        <f ca="1">IFERROR(__xludf.DUMMYFUNCTION("""COMPUTED_VALUE"""),"FC Dallas")</f>
        <v>FC Dallas</v>
      </c>
      <c r="D707" s="1" t="str">
        <f ca="1">IFERROR(__xludf.DUMMYFUNCTION("""COMPUTED_VALUE"""),"Left Wing")</f>
        <v>Left Wing</v>
      </c>
      <c r="E707" s="2">
        <f ca="1">IFERROR(__xludf.DUMMYFUNCTION("""COMPUTED_VALUE"""),300000)</f>
        <v>300000</v>
      </c>
      <c r="F707" s="2">
        <f ca="1">IFERROR(__xludf.DUMMYFUNCTION("""COMPUTED_VALUE"""),345000)</f>
        <v>345000</v>
      </c>
      <c r="H707" s="1" t="str">
        <f t="shared" ca="1" si="32"/>
        <v>Left Wing</v>
      </c>
      <c r="I707" s="3" t="str">
        <f t="shared" ca="1" si="33"/>
        <v>Left Wing</v>
      </c>
      <c r="J707" s="1" t="str">
        <f t="shared" ca="1" si="34"/>
        <v>Left Wing</v>
      </c>
      <c r="K707" s="1" t="str">
        <f t="shared" ca="1" si="47"/>
        <v>Left Wing</v>
      </c>
      <c r="L707" s="1" t="str">
        <f t="shared" ca="1" si="35"/>
        <v>Left Wing</v>
      </c>
      <c r="M707" s="1" t="str">
        <f t="shared" ca="1" si="36"/>
        <v>Left Wing</v>
      </c>
      <c r="N707" s="1" t="str">
        <f t="shared" ca="1" si="37"/>
        <v>Left Wing</v>
      </c>
      <c r="O707" s="1" t="str">
        <f t="shared" ca="1" si="38"/>
        <v>Left Wing</v>
      </c>
      <c r="P707" s="1" t="str">
        <f t="shared" ca="1" si="39"/>
        <v>F</v>
      </c>
      <c r="Q707" s="1" t="str">
        <f t="shared" ca="1" si="40"/>
        <v>F</v>
      </c>
      <c r="R707" s="1" t="str">
        <f t="shared" ca="1" si="41"/>
        <v>F</v>
      </c>
      <c r="S707" s="1" t="str">
        <f t="shared" ca="1" si="42"/>
        <v>F</v>
      </c>
      <c r="T707" s="1" t="str">
        <f t="shared" ca="1" si="43"/>
        <v>F</v>
      </c>
      <c r="U707" s="1" t="str">
        <f t="shared" ca="1" si="44"/>
        <v>F</v>
      </c>
      <c r="V707" s="1" t="str">
        <f t="shared" ca="1" si="45"/>
        <v>F</v>
      </c>
      <c r="W707" s="1" t="str">
        <f t="shared" ca="1" si="46"/>
        <v>Enes Sali</v>
      </c>
    </row>
    <row r="708" spans="1:23">
      <c r="A708" s="1" t="str">
        <f ca="1">IFERROR(__xludf.DUMMYFUNCTION("""COMPUTED_VALUE"""),"Nathan-Dylan")</f>
        <v>Nathan-Dylan</v>
      </c>
      <c r="B708" s="1" t="str">
        <f ca="1">IFERROR(__xludf.DUMMYFUNCTION("""COMPUTED_VALUE"""),"Saliba")</f>
        <v>Saliba</v>
      </c>
      <c r="C708" s="1" t="str">
        <f ca="1">IFERROR(__xludf.DUMMYFUNCTION("""COMPUTED_VALUE"""),"CF Montreal")</f>
        <v>CF Montreal</v>
      </c>
      <c r="D708" s="1" t="str">
        <f ca="1">IFERROR(__xludf.DUMMYFUNCTION("""COMPUTED_VALUE"""),"Central Midfield")</f>
        <v>Central Midfield</v>
      </c>
      <c r="E708" s="2">
        <f ca="1">IFERROR(__xludf.DUMMYFUNCTION("""COMPUTED_VALUE"""),130000)</f>
        <v>130000</v>
      </c>
      <c r="F708" s="2">
        <f ca="1">IFERROR(__xludf.DUMMYFUNCTION("""COMPUTED_VALUE"""),142434)</f>
        <v>142434</v>
      </c>
      <c r="H708" s="1" t="str">
        <f t="shared" ca="1" si="32"/>
        <v>Central Midfield</v>
      </c>
      <c r="I708" s="3" t="str">
        <f t="shared" ca="1" si="33"/>
        <v>Central Midfield</v>
      </c>
      <c r="J708" s="1" t="str">
        <f t="shared" ca="1" si="34"/>
        <v>Central Midfield</v>
      </c>
      <c r="K708" s="1" t="str">
        <f t="shared" ca="1" si="47"/>
        <v>Central Midfield</v>
      </c>
      <c r="L708" s="1" t="str">
        <f t="shared" ca="1" si="35"/>
        <v>M</v>
      </c>
      <c r="M708" s="1" t="str">
        <f t="shared" ca="1" si="36"/>
        <v>M</v>
      </c>
      <c r="N708" s="1" t="str">
        <f t="shared" ca="1" si="37"/>
        <v>M</v>
      </c>
      <c r="O708" s="1" t="str">
        <f t="shared" ca="1" si="38"/>
        <v>M</v>
      </c>
      <c r="P708" s="1" t="str">
        <f t="shared" ca="1" si="39"/>
        <v>M</v>
      </c>
      <c r="Q708" s="1" t="str">
        <f t="shared" ca="1" si="40"/>
        <v>M</v>
      </c>
      <c r="R708" s="1" t="str">
        <f t="shared" ca="1" si="41"/>
        <v>M</v>
      </c>
      <c r="S708" s="1" t="str">
        <f t="shared" ca="1" si="42"/>
        <v>M</v>
      </c>
      <c r="T708" s="1" t="str">
        <f t="shared" ca="1" si="43"/>
        <v>M</v>
      </c>
      <c r="U708" s="1" t="str">
        <f t="shared" ca="1" si="44"/>
        <v>M</v>
      </c>
      <c r="V708" s="1" t="str">
        <f t="shared" ca="1" si="45"/>
        <v>M</v>
      </c>
      <c r="W708" s="1" t="str">
        <f t="shared" ca="1" si="46"/>
        <v>Nathan-Dylan Saliba</v>
      </c>
    </row>
    <row r="709" spans="1:23">
      <c r="A709" s="1" t="str">
        <f ca="1">IFERROR(__xludf.DUMMYFUNCTION("""COMPUTED_VALUE"""),"Abdi")</f>
        <v>Abdi</v>
      </c>
      <c r="B709" s="1" t="str">
        <f ca="1">IFERROR(__xludf.DUMMYFUNCTION("""COMPUTED_VALUE"""),"Salim")</f>
        <v>Salim</v>
      </c>
      <c r="C709" s="1" t="str">
        <f ca="1">IFERROR(__xludf.DUMMYFUNCTION("""COMPUTED_VALUE"""),"Orlando City SC")</f>
        <v>Orlando City SC</v>
      </c>
      <c r="D709" s="1" t="str">
        <f ca="1">IFERROR(__xludf.DUMMYFUNCTION("""COMPUTED_VALUE"""),"Center-back")</f>
        <v>Center-back</v>
      </c>
      <c r="E709" s="2">
        <f ca="1">IFERROR(__xludf.DUMMYFUNCTION("""COMPUTED_VALUE"""),71401)</f>
        <v>71401</v>
      </c>
      <c r="F709" s="2">
        <f ca="1">IFERROR(__xludf.DUMMYFUNCTION("""COMPUTED_VALUE"""),71401)</f>
        <v>71401</v>
      </c>
      <c r="H709" s="1" t="str">
        <f t="shared" ca="1" si="32"/>
        <v>D</v>
      </c>
      <c r="I709" s="3" t="str">
        <f t="shared" ca="1" si="33"/>
        <v>D</v>
      </c>
      <c r="J709" s="1" t="str">
        <f t="shared" ca="1" si="34"/>
        <v>D</v>
      </c>
      <c r="K709" s="1" t="str">
        <f t="shared" ca="1" si="47"/>
        <v>D</v>
      </c>
      <c r="L709" s="1" t="str">
        <f t="shared" ca="1" si="35"/>
        <v>D</v>
      </c>
      <c r="M709" s="1" t="str">
        <f t="shared" ca="1" si="36"/>
        <v>D</v>
      </c>
      <c r="N709" s="1" t="str">
        <f t="shared" ca="1" si="37"/>
        <v>D</v>
      </c>
      <c r="O709" s="1" t="str">
        <f t="shared" ca="1" si="38"/>
        <v>D</v>
      </c>
      <c r="P709" s="1" t="str">
        <f t="shared" ca="1" si="39"/>
        <v>D</v>
      </c>
      <c r="Q709" s="1" t="str">
        <f t="shared" ca="1" si="40"/>
        <v>D</v>
      </c>
      <c r="R709" s="1" t="str">
        <f t="shared" ca="1" si="41"/>
        <v>D</v>
      </c>
      <c r="S709" s="1" t="str">
        <f t="shared" ca="1" si="42"/>
        <v>D</v>
      </c>
      <c r="T709" s="1" t="str">
        <f t="shared" ca="1" si="43"/>
        <v>D</v>
      </c>
      <c r="U709" s="1" t="str">
        <f t="shared" ca="1" si="44"/>
        <v>D</v>
      </c>
      <c r="V709" s="1" t="str">
        <f t="shared" ca="1" si="45"/>
        <v>D</v>
      </c>
      <c r="W709" s="1" t="str">
        <f t="shared" ca="1" si="46"/>
        <v>Abdi Salim</v>
      </c>
    </row>
    <row r="710" spans="1:23">
      <c r="A710" s="1" t="str">
        <f ca="1">IFERROR(__xludf.DUMMYFUNCTION("""COMPUTED_VALUE"""),"Dániel")</f>
        <v>Dániel</v>
      </c>
      <c r="B710" s="1" t="str">
        <f ca="1">IFERROR(__xludf.DUMMYFUNCTION("""COMPUTED_VALUE"""),"Sallói")</f>
        <v>Sallói</v>
      </c>
      <c r="C710" s="1" t="str">
        <f ca="1">IFERROR(__xludf.DUMMYFUNCTION("""COMPUTED_VALUE"""),"Sporting Kansas City")</f>
        <v>Sporting Kansas City</v>
      </c>
      <c r="D710" s="1" t="str">
        <f ca="1">IFERROR(__xludf.DUMMYFUNCTION("""COMPUTED_VALUE"""),"Left Wing")</f>
        <v>Left Wing</v>
      </c>
      <c r="E710" s="2">
        <f ca="1">IFERROR(__xludf.DUMMYFUNCTION("""COMPUTED_VALUE"""),1300000)</f>
        <v>1300000</v>
      </c>
      <c r="F710" s="2">
        <f ca="1">IFERROR(__xludf.DUMMYFUNCTION("""COMPUTED_VALUE"""),1300000)</f>
        <v>1300000</v>
      </c>
      <c r="H710" s="1" t="str">
        <f t="shared" ca="1" si="32"/>
        <v>Left Wing</v>
      </c>
      <c r="I710" s="3" t="str">
        <f t="shared" ca="1" si="33"/>
        <v>Left Wing</v>
      </c>
      <c r="J710" s="1" t="str">
        <f t="shared" ca="1" si="34"/>
        <v>Left Wing</v>
      </c>
      <c r="K710" s="1" t="str">
        <f t="shared" ca="1" si="47"/>
        <v>Left Wing</v>
      </c>
      <c r="L710" s="1" t="str">
        <f t="shared" ca="1" si="35"/>
        <v>Left Wing</v>
      </c>
      <c r="M710" s="1" t="str">
        <f t="shared" ca="1" si="36"/>
        <v>Left Wing</v>
      </c>
      <c r="N710" s="1" t="str">
        <f t="shared" ca="1" si="37"/>
        <v>Left Wing</v>
      </c>
      <c r="O710" s="1" t="str">
        <f t="shared" ca="1" si="38"/>
        <v>Left Wing</v>
      </c>
      <c r="P710" s="1" t="str">
        <f t="shared" ca="1" si="39"/>
        <v>F</v>
      </c>
      <c r="Q710" s="1" t="str">
        <f t="shared" ca="1" si="40"/>
        <v>F</v>
      </c>
      <c r="R710" s="1" t="str">
        <f t="shared" ca="1" si="41"/>
        <v>F</v>
      </c>
      <c r="S710" s="1" t="str">
        <f t="shared" ca="1" si="42"/>
        <v>F</v>
      </c>
      <c r="T710" s="1" t="str">
        <f t="shared" ca="1" si="43"/>
        <v>F</v>
      </c>
      <c r="U710" s="1" t="str">
        <f t="shared" ca="1" si="44"/>
        <v>F</v>
      </c>
      <c r="V710" s="1" t="str">
        <f t="shared" ca="1" si="45"/>
        <v>F</v>
      </c>
      <c r="W710" s="1" t="str">
        <f t="shared" ca="1" si="46"/>
        <v>Dániel Sallói</v>
      </c>
    </row>
    <row r="711" spans="1:23">
      <c r="A711" s="1" t="str">
        <f ca="1">IFERROR(__xludf.DUMMYFUNCTION("""COMPUTED_VALUE"""),"Tobias")</f>
        <v>Tobias</v>
      </c>
      <c r="B711" s="1" t="str">
        <f ca="1">IFERROR(__xludf.DUMMYFUNCTION("""COMPUTED_VALUE"""),"Salquist")</f>
        <v>Salquist</v>
      </c>
      <c r="C711" s="1" t="str">
        <f ca="1">IFERROR(__xludf.DUMMYFUNCTION("""COMPUTED_VALUE"""),"Chicago Fire")</f>
        <v>Chicago Fire</v>
      </c>
      <c r="D711" s="1" t="str">
        <f ca="1">IFERROR(__xludf.DUMMYFUNCTION("""COMPUTED_VALUE"""),"Center-back")</f>
        <v>Center-back</v>
      </c>
      <c r="E711" s="2">
        <f ca="1">IFERROR(__xludf.DUMMYFUNCTION("""COMPUTED_VALUE"""),400000)</f>
        <v>400000</v>
      </c>
      <c r="F711" s="2">
        <f ca="1">IFERROR(__xludf.DUMMYFUNCTION("""COMPUTED_VALUE"""),454167)</f>
        <v>454167</v>
      </c>
      <c r="H711" s="1" t="str">
        <f t="shared" ca="1" si="32"/>
        <v>D</v>
      </c>
      <c r="I711" s="3" t="str">
        <f t="shared" ca="1" si="33"/>
        <v>D</v>
      </c>
      <c r="J711" s="1" t="str">
        <f t="shared" ca="1" si="34"/>
        <v>D</v>
      </c>
      <c r="K711" s="1" t="str">
        <f t="shared" ca="1" si="47"/>
        <v>D</v>
      </c>
      <c r="L711" s="1" t="str">
        <f t="shared" ca="1" si="35"/>
        <v>D</v>
      </c>
      <c r="M711" s="1" t="str">
        <f t="shared" ca="1" si="36"/>
        <v>D</v>
      </c>
      <c r="N711" s="1" t="str">
        <f t="shared" ca="1" si="37"/>
        <v>D</v>
      </c>
      <c r="O711" s="1" t="str">
        <f t="shared" ca="1" si="38"/>
        <v>D</v>
      </c>
      <c r="P711" s="1" t="str">
        <f t="shared" ca="1" si="39"/>
        <v>D</v>
      </c>
      <c r="Q711" s="1" t="str">
        <f t="shared" ca="1" si="40"/>
        <v>D</v>
      </c>
      <c r="R711" s="1" t="str">
        <f t="shared" ca="1" si="41"/>
        <v>D</v>
      </c>
      <c r="S711" s="1" t="str">
        <f t="shared" ca="1" si="42"/>
        <v>D</v>
      </c>
      <c r="T711" s="1" t="str">
        <f t="shared" ca="1" si="43"/>
        <v>D</v>
      </c>
      <c r="U711" s="1" t="str">
        <f t="shared" ca="1" si="44"/>
        <v>D</v>
      </c>
      <c r="V711" s="1" t="str">
        <f t="shared" ca="1" si="45"/>
        <v>D</v>
      </c>
      <c r="W711" s="1" t="str">
        <f t="shared" ca="1" si="46"/>
        <v>Tobias Salquist</v>
      </c>
    </row>
    <row r="712" spans="1:23">
      <c r="A712" s="1" t="str">
        <f ca="1">IFERROR(__xludf.DUMMYFUNCTION("""COMPUTED_VALUE"""),"Will")</f>
        <v>Will</v>
      </c>
      <c r="B712" s="1" t="str">
        <f ca="1">IFERROR(__xludf.DUMMYFUNCTION("""COMPUTED_VALUE"""),"Sands")</f>
        <v>Sands</v>
      </c>
      <c r="C712" s="1" t="str">
        <f ca="1">IFERROR(__xludf.DUMMYFUNCTION("""COMPUTED_VALUE"""),"Columbus Crew")</f>
        <v>Columbus Crew</v>
      </c>
      <c r="D712" s="1" t="str">
        <f ca="1">IFERROR(__xludf.DUMMYFUNCTION("""COMPUTED_VALUE"""),"Left-back")</f>
        <v>Left-back</v>
      </c>
      <c r="E712" s="2">
        <f ca="1">IFERROR(__xludf.DUMMYFUNCTION("""COMPUTED_VALUE"""),125000)</f>
        <v>125000</v>
      </c>
      <c r="F712" s="2">
        <f ca="1">IFERROR(__xludf.DUMMYFUNCTION("""COMPUTED_VALUE"""),131250)</f>
        <v>131250</v>
      </c>
      <c r="H712" s="1" t="str">
        <f t="shared" ca="1" si="32"/>
        <v>Left-back</v>
      </c>
      <c r="I712" s="3" t="str">
        <f t="shared" ca="1" si="33"/>
        <v>D</v>
      </c>
      <c r="J712" s="1" t="str">
        <f t="shared" ca="1" si="34"/>
        <v>D</v>
      </c>
      <c r="K712" s="1" t="str">
        <f t="shared" ca="1" si="47"/>
        <v>D</v>
      </c>
      <c r="L712" s="1" t="str">
        <f t="shared" ca="1" si="35"/>
        <v>D</v>
      </c>
      <c r="M712" s="1" t="str">
        <f t="shared" ca="1" si="36"/>
        <v>D</v>
      </c>
      <c r="N712" s="1" t="str">
        <f t="shared" ca="1" si="37"/>
        <v>D</v>
      </c>
      <c r="O712" s="1" t="str">
        <f t="shared" ca="1" si="38"/>
        <v>D</v>
      </c>
      <c r="P712" s="1" t="str">
        <f t="shared" ca="1" si="39"/>
        <v>D</v>
      </c>
      <c r="Q712" s="1" t="str">
        <f t="shared" ca="1" si="40"/>
        <v>D</v>
      </c>
      <c r="R712" s="1" t="str">
        <f t="shared" ca="1" si="41"/>
        <v>D</v>
      </c>
      <c r="S712" s="1" t="str">
        <f t="shared" ca="1" si="42"/>
        <v>D</v>
      </c>
      <c r="T712" s="1" t="str">
        <f t="shared" ca="1" si="43"/>
        <v>D</v>
      </c>
      <c r="U712" s="1" t="str">
        <f t="shared" ca="1" si="44"/>
        <v>D</v>
      </c>
      <c r="V712" s="1" t="str">
        <f t="shared" ca="1" si="45"/>
        <v>D</v>
      </c>
      <c r="W712" s="1" t="str">
        <f t="shared" ca="1" si="46"/>
        <v>Will Sands</v>
      </c>
    </row>
    <row r="713" spans="1:23">
      <c r="A713" s="1" t="str">
        <f ca="1">IFERROR(__xludf.DUMMYFUNCTION("""COMPUTED_VALUE"""),"James")</f>
        <v>James</v>
      </c>
      <c r="B713" s="1" t="str">
        <f ca="1">IFERROR(__xludf.DUMMYFUNCTION("""COMPUTED_VALUE"""),"Sands")</f>
        <v>Sands</v>
      </c>
      <c r="C713" s="1" t="str">
        <f ca="1">IFERROR(__xludf.DUMMYFUNCTION("""COMPUTED_VALUE"""),"New York City FC")</f>
        <v>New York City FC</v>
      </c>
      <c r="D713" s="1" t="str">
        <f ca="1">IFERROR(__xludf.DUMMYFUNCTION("""COMPUTED_VALUE"""),"Defensive Midfield")</f>
        <v>Defensive Midfield</v>
      </c>
      <c r="E713" s="2">
        <f ca="1">IFERROR(__xludf.DUMMYFUNCTION("""COMPUTED_VALUE"""),1000000)</f>
        <v>1000000</v>
      </c>
      <c r="F713" s="2">
        <f ca="1">IFERROR(__xludf.DUMMYFUNCTION("""COMPUTED_VALUE"""),1058333)</f>
        <v>1058333</v>
      </c>
      <c r="H713" s="1" t="str">
        <f t="shared" ca="1" si="32"/>
        <v>Defensive Midfield</v>
      </c>
      <c r="I713" s="3" t="str">
        <f t="shared" ca="1" si="33"/>
        <v>Defensive Midfield</v>
      </c>
      <c r="J713" s="1" t="str">
        <f t="shared" ca="1" si="34"/>
        <v>Defensive Midfield</v>
      </c>
      <c r="K713" s="1" t="str">
        <f t="shared" ca="1" si="47"/>
        <v>M</v>
      </c>
      <c r="L713" s="1" t="str">
        <f t="shared" ca="1" si="35"/>
        <v>M</v>
      </c>
      <c r="M713" s="1" t="str">
        <f t="shared" ca="1" si="36"/>
        <v>M</v>
      </c>
      <c r="N713" s="1" t="str">
        <f t="shared" ca="1" si="37"/>
        <v>M</v>
      </c>
      <c r="O713" s="1" t="str">
        <f t="shared" ca="1" si="38"/>
        <v>M</v>
      </c>
      <c r="P713" s="1" t="str">
        <f t="shared" ca="1" si="39"/>
        <v>M</v>
      </c>
      <c r="Q713" s="1" t="str">
        <f t="shared" ca="1" si="40"/>
        <v>M</v>
      </c>
      <c r="R713" s="1" t="str">
        <f t="shared" ca="1" si="41"/>
        <v>M</v>
      </c>
      <c r="S713" s="1" t="str">
        <f t="shared" ca="1" si="42"/>
        <v>M</v>
      </c>
      <c r="T713" s="1" t="str">
        <f t="shared" ca="1" si="43"/>
        <v>M</v>
      </c>
      <c r="U713" s="1" t="str">
        <f t="shared" ca="1" si="44"/>
        <v>M</v>
      </c>
      <c r="V713" s="1" t="str">
        <f t="shared" ca="1" si="45"/>
        <v>M</v>
      </c>
      <c r="W713" s="1" t="str">
        <f t="shared" ca="1" si="46"/>
        <v>James Sands</v>
      </c>
    </row>
    <row r="714" spans="1:23">
      <c r="A714" s="1" t="str">
        <f ca="1">IFERROR(__xludf.DUMMYFUNCTION("""COMPUTED_VALUE"""),"Pedro")</f>
        <v>Pedro</v>
      </c>
      <c r="B714" s="1" t="str">
        <f ca="1">IFERROR(__xludf.DUMMYFUNCTION("""COMPUTED_VALUE"""),"Santos")</f>
        <v>Santos</v>
      </c>
      <c r="C714" s="1" t="str">
        <f ca="1">IFERROR(__xludf.DUMMYFUNCTION("""COMPUTED_VALUE"""),"DC United")</f>
        <v>DC United</v>
      </c>
      <c r="D714" s="1" t="str">
        <f ca="1">IFERROR(__xludf.DUMMYFUNCTION("""COMPUTED_VALUE"""),"Right Wing")</f>
        <v>Right Wing</v>
      </c>
      <c r="E714" s="2">
        <f ca="1">IFERROR(__xludf.DUMMYFUNCTION("""COMPUTED_VALUE"""),450000)</f>
        <v>450000</v>
      </c>
      <c r="F714" s="2">
        <f ca="1">IFERROR(__xludf.DUMMYFUNCTION("""COMPUTED_VALUE"""),490000)</f>
        <v>490000</v>
      </c>
      <c r="H714" s="1" t="str">
        <f t="shared" ca="1" si="32"/>
        <v>Right Wing</v>
      </c>
      <c r="I714" s="3" t="str">
        <f t="shared" ca="1" si="33"/>
        <v>Right Wing</v>
      </c>
      <c r="J714" s="1" t="str">
        <f t="shared" ca="1" si="34"/>
        <v>Right Wing</v>
      </c>
      <c r="K714" s="1" t="str">
        <f t="shared" ca="1" si="47"/>
        <v>Right Wing</v>
      </c>
      <c r="L714" s="1" t="str">
        <f t="shared" ca="1" si="35"/>
        <v>Right Wing</v>
      </c>
      <c r="M714" s="1" t="str">
        <f t="shared" ca="1" si="36"/>
        <v>Right Wing</v>
      </c>
      <c r="N714" s="1" t="str">
        <f t="shared" ca="1" si="37"/>
        <v>F</v>
      </c>
      <c r="O714" s="1" t="str">
        <f t="shared" ca="1" si="38"/>
        <v>F</v>
      </c>
      <c r="P714" s="1" t="str">
        <f t="shared" ca="1" si="39"/>
        <v>F</v>
      </c>
      <c r="Q714" s="1" t="str">
        <f t="shared" ca="1" si="40"/>
        <v>F</v>
      </c>
      <c r="R714" s="1" t="str">
        <f t="shared" ca="1" si="41"/>
        <v>F</v>
      </c>
      <c r="S714" s="1" t="str">
        <f t="shared" ca="1" si="42"/>
        <v>F</v>
      </c>
      <c r="T714" s="1" t="str">
        <f t="shared" ca="1" si="43"/>
        <v>F</v>
      </c>
      <c r="U714" s="1" t="str">
        <f t="shared" ca="1" si="44"/>
        <v>F</v>
      </c>
      <c r="V714" s="1" t="str">
        <f t="shared" ca="1" si="45"/>
        <v>F</v>
      </c>
      <c r="W714" s="1" t="str">
        <f t="shared" ca="1" si="46"/>
        <v>Pedro Santos</v>
      </c>
    </row>
    <row r="715" spans="1:23">
      <c r="A715" s="1" t="str">
        <f ca="1">IFERROR(__xludf.DUMMYFUNCTION("""COMPUTED_VALUE"""),"Sergio")</f>
        <v>Sergio</v>
      </c>
      <c r="B715" s="1" t="str">
        <f ca="1">IFERROR(__xludf.DUMMYFUNCTION("""COMPUTED_VALUE"""),"Santos")</f>
        <v>Santos</v>
      </c>
      <c r="C715" s="1" t="str">
        <f ca="1">IFERROR(__xludf.DUMMYFUNCTION("""COMPUTED_VALUE"""),"FC Cincinnati")</f>
        <v>FC Cincinnati</v>
      </c>
      <c r="D715" s="1" t="str">
        <f ca="1">IFERROR(__xludf.DUMMYFUNCTION("""COMPUTED_VALUE"""),"Center Forward")</f>
        <v>Center Forward</v>
      </c>
      <c r="E715" s="2">
        <f ca="1">IFERROR(__xludf.DUMMYFUNCTION("""COMPUTED_VALUE"""),800000)</f>
        <v>800000</v>
      </c>
      <c r="F715" s="2">
        <f ca="1">IFERROR(__xludf.DUMMYFUNCTION("""COMPUTED_VALUE"""),915625)</f>
        <v>915625</v>
      </c>
      <c r="H715" s="1" t="str">
        <f t="shared" ca="1" si="32"/>
        <v>Center Forward</v>
      </c>
      <c r="I715" s="3" t="str">
        <f t="shared" ca="1" si="33"/>
        <v>Center Forward</v>
      </c>
      <c r="J715" s="1" t="str">
        <f t="shared" ca="1" si="34"/>
        <v>Center Forward</v>
      </c>
      <c r="K715" s="1" t="str">
        <f t="shared" ca="1" si="47"/>
        <v>Center Forward</v>
      </c>
      <c r="L715" s="1" t="str">
        <f t="shared" ca="1" si="35"/>
        <v>Center Forward</v>
      </c>
      <c r="M715" s="1" t="str">
        <f t="shared" ca="1" si="36"/>
        <v>Center Forward</v>
      </c>
      <c r="N715" s="1" t="str">
        <f t="shared" ca="1" si="37"/>
        <v>Center Forward</v>
      </c>
      <c r="O715" s="1" t="str">
        <f t="shared" ca="1" si="38"/>
        <v>F</v>
      </c>
      <c r="P715" s="1" t="str">
        <f t="shared" ca="1" si="39"/>
        <v>F</v>
      </c>
      <c r="Q715" s="1" t="str">
        <f t="shared" ca="1" si="40"/>
        <v>F</v>
      </c>
      <c r="R715" s="1" t="str">
        <f t="shared" ca="1" si="41"/>
        <v>F</v>
      </c>
      <c r="S715" s="1" t="str">
        <f t="shared" ca="1" si="42"/>
        <v>F</v>
      </c>
      <c r="T715" s="1" t="str">
        <f t="shared" ca="1" si="43"/>
        <v>F</v>
      </c>
      <c r="U715" s="1" t="str">
        <f t="shared" ca="1" si="44"/>
        <v>F</v>
      </c>
      <c r="V715" s="1" t="str">
        <f t="shared" ca="1" si="45"/>
        <v>F</v>
      </c>
      <c r="W715" s="1" t="str">
        <f t="shared" ca="1" si="46"/>
        <v>Sergio Santos</v>
      </c>
    </row>
    <row r="716" spans="1:23">
      <c r="A716" s="1" t="str">
        <f ca="1">IFERROR(__xludf.DUMMYFUNCTION("""COMPUTED_VALUE"""),"Kieran")</f>
        <v>Kieran</v>
      </c>
      <c r="B716" s="1" t="str">
        <f ca="1">IFERROR(__xludf.DUMMYFUNCTION("""COMPUTED_VALUE"""),"Sargeant")</f>
        <v>Sargeant</v>
      </c>
      <c r="C716" s="1" t="str">
        <f ca="1">IFERROR(__xludf.DUMMYFUNCTION("""COMPUTED_VALUE"""),"Houston Dynamo")</f>
        <v>Houston Dynamo</v>
      </c>
      <c r="D716" s="1" t="str">
        <f ca="1">IFERROR(__xludf.DUMMYFUNCTION("""COMPUTED_VALUE"""),"Defender")</f>
        <v>Defender</v>
      </c>
      <c r="E716" s="2">
        <f ca="1">IFERROR(__xludf.DUMMYFUNCTION("""COMPUTED_VALUE"""),71401)</f>
        <v>71401</v>
      </c>
      <c r="F716" s="2">
        <f ca="1">IFERROR(__xludf.DUMMYFUNCTION("""COMPUTED_VALUE"""),73594)</f>
        <v>73594</v>
      </c>
      <c r="H716" s="1" t="str">
        <f t="shared" ca="1" si="32"/>
        <v>Defender</v>
      </c>
      <c r="I716" s="3" t="str">
        <f t="shared" ca="1" si="33"/>
        <v>Defender</v>
      </c>
      <c r="J716" s="1" t="str">
        <f t="shared" ca="1" si="34"/>
        <v>Defender</v>
      </c>
      <c r="K716" s="1" t="str">
        <f t="shared" ca="1" si="47"/>
        <v>Defender</v>
      </c>
      <c r="L716" s="1" t="str">
        <f t="shared" ca="1" si="35"/>
        <v>Defender</v>
      </c>
      <c r="M716" s="1" t="str">
        <f t="shared" ca="1" si="36"/>
        <v>Defender</v>
      </c>
      <c r="N716" s="1" t="str">
        <f t="shared" ca="1" si="37"/>
        <v>Defender</v>
      </c>
      <c r="O716" s="1" t="str">
        <f t="shared" ca="1" si="38"/>
        <v>Defender</v>
      </c>
      <c r="P716" s="1" t="str">
        <f t="shared" ca="1" si="39"/>
        <v>Defender</v>
      </c>
      <c r="Q716" s="1" t="str">
        <f t="shared" ca="1" si="40"/>
        <v>Defender</v>
      </c>
      <c r="R716" s="1" t="str">
        <f t="shared" ca="1" si="41"/>
        <v>Defender</v>
      </c>
      <c r="S716" s="1" t="str">
        <f t="shared" ca="1" si="42"/>
        <v>Defender</v>
      </c>
      <c r="T716" s="1" t="str">
        <f t="shared" ca="1" si="43"/>
        <v>Defender</v>
      </c>
      <c r="U716" s="1" t="str">
        <f t="shared" ca="1" si="44"/>
        <v>Defender</v>
      </c>
      <c r="V716" s="1" t="str">
        <f t="shared" ca="1" si="45"/>
        <v>D</v>
      </c>
      <c r="W716" s="1" t="str">
        <f t="shared" ca="1" si="46"/>
        <v>Kieran Sargeant</v>
      </c>
    </row>
    <row r="717" spans="1:23">
      <c r="A717" s="1" t="str">
        <f ca="1">IFERROR(__xludf.DUMMYFUNCTION("""COMPUTED_VALUE"""),"Hayden")</f>
        <v>Hayden</v>
      </c>
      <c r="B717" s="1" t="str">
        <f ca="1">IFERROR(__xludf.DUMMYFUNCTION("""COMPUTED_VALUE"""),"Sargis")</f>
        <v>Sargis</v>
      </c>
      <c r="C717" s="1" t="str">
        <f ca="1">IFERROR(__xludf.DUMMYFUNCTION("""COMPUTED_VALUE"""),"DC United")</f>
        <v>DC United</v>
      </c>
      <c r="D717" s="1" t="str">
        <f ca="1">IFERROR(__xludf.DUMMYFUNCTION("""COMPUTED_VALUE"""),"Center-back")</f>
        <v>Center-back</v>
      </c>
      <c r="E717" s="2">
        <f ca="1">IFERROR(__xludf.DUMMYFUNCTION("""COMPUTED_VALUE"""),89716)</f>
        <v>89716</v>
      </c>
      <c r="F717" s="2">
        <f ca="1">IFERROR(__xludf.DUMMYFUNCTION("""COMPUTED_VALUE"""),89716)</f>
        <v>89716</v>
      </c>
      <c r="H717" s="1" t="str">
        <f t="shared" ca="1" si="32"/>
        <v>D</v>
      </c>
      <c r="I717" s="3" t="str">
        <f t="shared" ca="1" si="33"/>
        <v>D</v>
      </c>
      <c r="J717" s="1" t="str">
        <f t="shared" ca="1" si="34"/>
        <v>D</v>
      </c>
      <c r="K717" s="1" t="str">
        <f t="shared" ca="1" si="47"/>
        <v>D</v>
      </c>
      <c r="L717" s="1" t="str">
        <f t="shared" ca="1" si="35"/>
        <v>D</v>
      </c>
      <c r="M717" s="1" t="str">
        <f t="shared" ca="1" si="36"/>
        <v>D</v>
      </c>
      <c r="N717" s="1" t="str">
        <f t="shared" ca="1" si="37"/>
        <v>D</v>
      </c>
      <c r="O717" s="1" t="str">
        <f t="shared" ca="1" si="38"/>
        <v>D</v>
      </c>
      <c r="P717" s="1" t="str">
        <f t="shared" ca="1" si="39"/>
        <v>D</v>
      </c>
      <c r="Q717" s="1" t="str">
        <f t="shared" ca="1" si="40"/>
        <v>D</v>
      </c>
      <c r="R717" s="1" t="str">
        <f t="shared" ca="1" si="41"/>
        <v>D</v>
      </c>
      <c r="S717" s="1" t="str">
        <f t="shared" ca="1" si="42"/>
        <v>D</v>
      </c>
      <c r="T717" s="1" t="str">
        <f t="shared" ca="1" si="43"/>
        <v>D</v>
      </c>
      <c r="U717" s="1" t="str">
        <f t="shared" ca="1" si="44"/>
        <v>D</v>
      </c>
      <c r="V717" s="1" t="str">
        <f t="shared" ca="1" si="45"/>
        <v>D</v>
      </c>
      <c r="W717" s="1" t="str">
        <f t="shared" ca="1" si="46"/>
        <v>Hayden Sargis</v>
      </c>
    </row>
    <row r="718" spans="1:23">
      <c r="A718" s="1" t="str">
        <f ca="1">IFERROR(__xludf.DUMMYFUNCTION("""COMPUTED_VALUE"""),"Nick")</f>
        <v>Nick</v>
      </c>
      <c r="B718" s="1" t="str">
        <f ca="1">IFERROR(__xludf.DUMMYFUNCTION("""COMPUTED_VALUE"""),"Scardina")</f>
        <v>Scardina</v>
      </c>
      <c r="C718" s="1" t="str">
        <f ca="1">IFERROR(__xludf.DUMMYFUNCTION("""COMPUTED_VALUE"""),"Charlotte FC")</f>
        <v>Charlotte FC</v>
      </c>
      <c r="D718" s="1" t="str">
        <f ca="1">IFERROR(__xludf.DUMMYFUNCTION("""COMPUTED_VALUE"""),"Right-back")</f>
        <v>Right-back</v>
      </c>
      <c r="E718" s="2">
        <f ca="1">IFERROR(__xludf.DUMMYFUNCTION("""COMPUTED_VALUE"""),71401)</f>
        <v>71401</v>
      </c>
      <c r="F718" s="2">
        <f ca="1">IFERROR(__xludf.DUMMYFUNCTION("""COMPUTED_VALUE"""),71401)</f>
        <v>71401</v>
      </c>
      <c r="H718" s="1" t="str">
        <f t="shared" ca="1" si="32"/>
        <v>Right-back</v>
      </c>
      <c r="I718" s="3" t="str">
        <f t="shared" ca="1" si="33"/>
        <v>Right-back</v>
      </c>
      <c r="J718" s="1" t="str">
        <f t="shared" ca="1" si="34"/>
        <v>D</v>
      </c>
      <c r="K718" s="1" t="str">
        <f t="shared" ca="1" si="47"/>
        <v>D</v>
      </c>
      <c r="L718" s="1" t="str">
        <f t="shared" ca="1" si="35"/>
        <v>D</v>
      </c>
      <c r="M718" s="1" t="str">
        <f t="shared" ca="1" si="36"/>
        <v>D</v>
      </c>
      <c r="N718" s="1" t="str">
        <f t="shared" ca="1" si="37"/>
        <v>D</v>
      </c>
      <c r="O718" s="1" t="str">
        <f t="shared" ca="1" si="38"/>
        <v>D</v>
      </c>
      <c r="P718" s="1" t="str">
        <f t="shared" ca="1" si="39"/>
        <v>D</v>
      </c>
      <c r="Q718" s="1" t="str">
        <f t="shared" ca="1" si="40"/>
        <v>D</v>
      </c>
      <c r="R718" s="1" t="str">
        <f t="shared" ca="1" si="41"/>
        <v>D</v>
      </c>
      <c r="S718" s="1" t="str">
        <f t="shared" ca="1" si="42"/>
        <v>D</v>
      </c>
      <c r="T718" s="1" t="str">
        <f t="shared" ca="1" si="43"/>
        <v>D</v>
      </c>
      <c r="U718" s="1" t="str">
        <f t="shared" ca="1" si="44"/>
        <v>D</v>
      </c>
      <c r="V718" s="1" t="str">
        <f t="shared" ca="1" si="45"/>
        <v>D</v>
      </c>
      <c r="W718" s="1" t="str">
        <f t="shared" ca="1" si="46"/>
        <v>Nick Scardina</v>
      </c>
    </row>
    <row r="719" spans="1:23">
      <c r="A719" s="1" t="str">
        <f ca="1">IFERROR(__xludf.DUMMYFUNCTION("""COMPUTED_VALUE"""),"Alessandro")</f>
        <v>Alessandro</v>
      </c>
      <c r="B719" s="1" t="str">
        <f ca="1">IFERROR(__xludf.DUMMYFUNCTION("""COMPUTED_VALUE"""),"Schöpf")</f>
        <v>Schöpf</v>
      </c>
      <c r="C719" s="1" t="str">
        <f ca="1">IFERROR(__xludf.DUMMYFUNCTION("""COMPUTED_VALUE"""),"Vancouver Whitecaps")</f>
        <v>Vancouver Whitecaps</v>
      </c>
      <c r="D719" s="1" t="str">
        <f ca="1">IFERROR(__xludf.DUMMYFUNCTION("""COMPUTED_VALUE"""),"Attacking Midfield")</f>
        <v>Attacking Midfield</v>
      </c>
      <c r="E719" s="2">
        <f ca="1">IFERROR(__xludf.DUMMYFUNCTION("""COMPUTED_VALUE"""),900000)</f>
        <v>900000</v>
      </c>
      <c r="F719" s="2">
        <f ca="1">IFERROR(__xludf.DUMMYFUNCTION("""COMPUTED_VALUE"""),992500)</f>
        <v>992500</v>
      </c>
      <c r="H719" s="1" t="str">
        <f t="shared" ca="1" si="32"/>
        <v>Attacking Midfield</v>
      </c>
      <c r="I719" s="3" t="str">
        <f t="shared" ca="1" si="33"/>
        <v>Attacking Midfield</v>
      </c>
      <c r="J719" s="1" t="str">
        <f t="shared" ca="1" si="34"/>
        <v>Attacking Midfield</v>
      </c>
      <c r="K719" s="1" t="str">
        <f t="shared" ca="1" si="47"/>
        <v>Attacking Midfield</v>
      </c>
      <c r="L719" s="1" t="str">
        <f t="shared" ca="1" si="35"/>
        <v>Attacking Midfield</v>
      </c>
      <c r="M719" s="1" t="str">
        <f t="shared" ca="1" si="36"/>
        <v>M</v>
      </c>
      <c r="N719" s="1" t="str">
        <f t="shared" ca="1" si="37"/>
        <v>M</v>
      </c>
      <c r="O719" s="1" t="str">
        <f t="shared" ca="1" si="38"/>
        <v>M</v>
      </c>
      <c r="P719" s="1" t="str">
        <f t="shared" ca="1" si="39"/>
        <v>M</v>
      </c>
      <c r="Q719" s="1" t="str">
        <f t="shared" ca="1" si="40"/>
        <v>M</v>
      </c>
      <c r="R719" s="1" t="str">
        <f t="shared" ca="1" si="41"/>
        <v>M</v>
      </c>
      <c r="S719" s="1" t="str">
        <f t="shared" ca="1" si="42"/>
        <v>M</v>
      </c>
      <c r="T719" s="1" t="str">
        <f t="shared" ca="1" si="43"/>
        <v>M</v>
      </c>
      <c r="U719" s="1" t="str">
        <f t="shared" ca="1" si="44"/>
        <v>M</v>
      </c>
      <c r="V719" s="1" t="str">
        <f t="shared" ca="1" si="45"/>
        <v>M</v>
      </c>
      <c r="W719" s="1" t="str">
        <f t="shared" ca="1" si="46"/>
        <v>Alessandro Schöpf</v>
      </c>
    </row>
    <row r="720" spans="1:23">
      <c r="A720" s="1" t="str">
        <f ca="1">IFERROR(__xludf.DUMMYFUNCTION("""COMPUTED_VALUE"""),"Ryan")</f>
        <v>Ryan</v>
      </c>
      <c r="B720" s="1" t="str">
        <f ca="1">IFERROR(__xludf.DUMMYFUNCTION("""COMPUTED_VALUE"""),"Schewe")</f>
        <v>Schewe</v>
      </c>
      <c r="C720" s="1" t="str">
        <f ca="1">IFERROR(__xludf.DUMMYFUNCTION("""COMPUTED_VALUE"""),"Sporting Kansas City")</f>
        <v>Sporting Kansas City</v>
      </c>
      <c r="D720" s="1" t="str">
        <f ca="1">IFERROR(__xludf.DUMMYFUNCTION("""COMPUTED_VALUE"""),"Goalkeeper")</f>
        <v>Goalkeeper</v>
      </c>
      <c r="E720" s="2">
        <f ca="1">IFERROR(__xludf.DUMMYFUNCTION("""COMPUTED_VALUE"""),71401)</f>
        <v>71401</v>
      </c>
      <c r="F720" s="2">
        <f ca="1">IFERROR(__xludf.DUMMYFUNCTION("""COMPUTED_VALUE"""),71401)</f>
        <v>71401</v>
      </c>
      <c r="H720" s="1" t="str">
        <f t="shared" ca="1" si="32"/>
        <v>Goalkeeper</v>
      </c>
      <c r="I720" s="3" t="str">
        <f t="shared" ca="1" si="33"/>
        <v>Goalkeeper</v>
      </c>
      <c r="J720" s="1" t="str">
        <f t="shared" ca="1" si="34"/>
        <v>Goalkeeper</v>
      </c>
      <c r="K720" s="1" t="str">
        <f t="shared" ca="1" si="47"/>
        <v>Goalkeeper</v>
      </c>
      <c r="L720" s="1" t="str">
        <f t="shared" ca="1" si="35"/>
        <v>Goalkeeper</v>
      </c>
      <c r="M720" s="1" t="str">
        <f t="shared" ca="1" si="36"/>
        <v>Goalkeeper</v>
      </c>
      <c r="N720" s="1" t="str">
        <f t="shared" ca="1" si="37"/>
        <v>Goalkeeper</v>
      </c>
      <c r="O720" s="1" t="str">
        <f t="shared" ca="1" si="38"/>
        <v>Goalkeeper</v>
      </c>
      <c r="P720" s="1" t="str">
        <f t="shared" ca="1" si="39"/>
        <v>Goalkeeper</v>
      </c>
      <c r="Q720" s="1" t="str">
        <f t="shared" ca="1" si="40"/>
        <v>Goalkeeper</v>
      </c>
      <c r="R720" s="1" t="str">
        <f t="shared" ca="1" si="41"/>
        <v>GK</v>
      </c>
      <c r="S720" s="1" t="str">
        <f t="shared" ca="1" si="42"/>
        <v>GK</v>
      </c>
      <c r="T720" s="1" t="str">
        <f t="shared" ca="1" si="43"/>
        <v>GK</v>
      </c>
      <c r="U720" s="1" t="str">
        <f t="shared" ca="1" si="44"/>
        <v>GK</v>
      </c>
      <c r="V720" s="1" t="str">
        <f t="shared" ca="1" si="45"/>
        <v>GK</v>
      </c>
      <c r="W720" s="1" t="str">
        <f t="shared" ca="1" si="46"/>
        <v>Ryan Schewe</v>
      </c>
    </row>
    <row r="721" spans="1:23">
      <c r="A721" s="1" t="str">
        <f ca="1">IFERROR(__xludf.DUMMYFUNCTION("""COMPUTED_VALUE"""),"Matteo")</f>
        <v>Matteo</v>
      </c>
      <c r="B721" s="1" t="str">
        <f ca="1">IFERROR(__xludf.DUMMYFUNCTION("""COMPUTED_VALUE"""),"Schiavoni")</f>
        <v>Schiavoni</v>
      </c>
      <c r="C721" s="1" t="str">
        <f ca="1">IFERROR(__xludf.DUMMYFUNCTION("""COMPUTED_VALUE"""),"CF Montreal")</f>
        <v>CF Montreal</v>
      </c>
      <c r="D721" s="1" t="str">
        <f ca="1">IFERROR(__xludf.DUMMYFUNCTION("""COMPUTED_VALUE"""),"Right Midfield")</f>
        <v>Right Midfield</v>
      </c>
      <c r="E721" s="2">
        <f ca="1">IFERROR(__xludf.DUMMYFUNCTION("""COMPUTED_VALUE"""),71401)</f>
        <v>71401</v>
      </c>
      <c r="F721" s="2">
        <f ca="1">IFERROR(__xludf.DUMMYFUNCTION("""COMPUTED_VALUE"""),77383)</f>
        <v>77383</v>
      </c>
      <c r="H721" s="1" t="str">
        <f t="shared" ca="1" si="32"/>
        <v>Right Midfield</v>
      </c>
      <c r="I721" s="3" t="str">
        <f t="shared" ca="1" si="33"/>
        <v>Right Midfield</v>
      </c>
      <c r="J721" s="1" t="str">
        <f t="shared" ca="1" si="34"/>
        <v>Right Midfield</v>
      </c>
      <c r="K721" s="1" t="str">
        <f t="shared" ca="1" si="47"/>
        <v>Right Midfield</v>
      </c>
      <c r="L721" s="1" t="str">
        <f t="shared" ca="1" si="35"/>
        <v>Right Midfield</v>
      </c>
      <c r="M721" s="1" t="str">
        <f t="shared" ca="1" si="36"/>
        <v>Right Midfield</v>
      </c>
      <c r="N721" s="1" t="str">
        <f t="shared" ca="1" si="37"/>
        <v>Right Midfield</v>
      </c>
      <c r="O721" s="1" t="str">
        <f t="shared" ca="1" si="38"/>
        <v>Right Midfield</v>
      </c>
      <c r="P721" s="1" t="str">
        <f t="shared" ca="1" si="39"/>
        <v>Right Midfield</v>
      </c>
      <c r="Q721" s="1" t="str">
        <f t="shared" ca="1" si="40"/>
        <v>Right Midfield</v>
      </c>
      <c r="R721" s="1" t="str">
        <f t="shared" ca="1" si="41"/>
        <v>Right Midfield</v>
      </c>
      <c r="S721" s="1" t="str">
        <f t="shared" ca="1" si="42"/>
        <v>Right Midfield</v>
      </c>
      <c r="T721" s="1" t="str">
        <f t="shared" ca="1" si="43"/>
        <v>M</v>
      </c>
      <c r="U721" s="1" t="str">
        <f t="shared" ca="1" si="44"/>
        <v>M</v>
      </c>
      <c r="V721" s="1" t="str">
        <f t="shared" ca="1" si="45"/>
        <v>M</v>
      </c>
      <c r="W721" s="1" t="str">
        <f t="shared" ca="1" si="46"/>
        <v>Matteo Schiavoni</v>
      </c>
    </row>
    <row r="722" spans="1:23">
      <c r="A722" s="1" t="str">
        <f ca="1">IFERROR(__xludf.DUMMYFUNCTION("""COMPUTED_VALUE"""),"Rodrigo")</f>
        <v>Rodrigo</v>
      </c>
      <c r="B722" s="1" t="str">
        <f ca="1">IFERROR(__xludf.DUMMYFUNCTION("""COMPUTED_VALUE"""),"Schlegel")</f>
        <v>Schlegel</v>
      </c>
      <c r="C722" s="1" t="str">
        <f ca="1">IFERROR(__xludf.DUMMYFUNCTION("""COMPUTED_VALUE"""),"Orlando City SC")</f>
        <v>Orlando City SC</v>
      </c>
      <c r="D722" s="1" t="str">
        <f ca="1">IFERROR(__xludf.DUMMYFUNCTION("""COMPUTED_VALUE"""),"Center-back")</f>
        <v>Center-back</v>
      </c>
      <c r="E722" s="2">
        <f ca="1">IFERROR(__xludf.DUMMYFUNCTION("""COMPUTED_VALUE"""),350000)</f>
        <v>350000</v>
      </c>
      <c r="F722" s="2">
        <f ca="1">IFERROR(__xludf.DUMMYFUNCTION("""COMPUTED_VALUE"""),399250)</f>
        <v>399250</v>
      </c>
      <c r="H722" s="1" t="str">
        <f t="shared" ca="1" si="32"/>
        <v>D</v>
      </c>
      <c r="I722" s="3" t="str">
        <f t="shared" ca="1" si="33"/>
        <v>D</v>
      </c>
      <c r="J722" s="1" t="str">
        <f t="shared" ca="1" si="34"/>
        <v>D</v>
      </c>
      <c r="K722" s="1" t="str">
        <f t="shared" ca="1" si="47"/>
        <v>D</v>
      </c>
      <c r="L722" s="1" t="str">
        <f t="shared" ca="1" si="35"/>
        <v>D</v>
      </c>
      <c r="M722" s="1" t="str">
        <f t="shared" ca="1" si="36"/>
        <v>D</v>
      </c>
      <c r="N722" s="1" t="str">
        <f t="shared" ca="1" si="37"/>
        <v>D</v>
      </c>
      <c r="O722" s="1" t="str">
        <f t="shared" ca="1" si="38"/>
        <v>D</v>
      </c>
      <c r="P722" s="1" t="str">
        <f t="shared" ca="1" si="39"/>
        <v>D</v>
      </c>
      <c r="Q722" s="1" t="str">
        <f t="shared" ca="1" si="40"/>
        <v>D</v>
      </c>
      <c r="R722" s="1" t="str">
        <f t="shared" ca="1" si="41"/>
        <v>D</v>
      </c>
      <c r="S722" s="1" t="str">
        <f t="shared" ca="1" si="42"/>
        <v>D</v>
      </c>
      <c r="T722" s="1" t="str">
        <f t="shared" ca="1" si="43"/>
        <v>D</v>
      </c>
      <c r="U722" s="1" t="str">
        <f t="shared" ca="1" si="44"/>
        <v>D</v>
      </c>
      <c r="V722" s="1" t="str">
        <f t="shared" ca="1" si="45"/>
        <v>D</v>
      </c>
      <c r="W722" s="1" t="str">
        <f t="shared" ca="1" si="46"/>
        <v>Rodrigo Schlegel</v>
      </c>
    </row>
    <row r="723" spans="1:23">
      <c r="A723" s="1" t="str">
        <f ca="1">IFERROR(__xludf.DUMMYFUNCTION("""COMPUTED_VALUE"""),"Tate")</f>
        <v>Tate</v>
      </c>
      <c r="B723" s="1" t="str">
        <f ca="1">IFERROR(__xludf.DUMMYFUNCTION("""COMPUTED_VALUE"""),"Schmitt")</f>
        <v>Schmitt</v>
      </c>
      <c r="C723" s="1" t="str">
        <f ca="1">IFERROR(__xludf.DUMMYFUNCTION("""COMPUTED_VALUE"""),"Houston Dynamo")</f>
        <v>Houston Dynamo</v>
      </c>
      <c r="D723" s="1" t="str">
        <f ca="1">IFERROR(__xludf.DUMMYFUNCTION("""COMPUTED_VALUE"""),"Left-back")</f>
        <v>Left-back</v>
      </c>
      <c r="E723" s="2">
        <f ca="1">IFERROR(__xludf.DUMMYFUNCTION("""COMPUTED_VALUE"""),150000)</f>
        <v>150000</v>
      </c>
      <c r="F723" s="2">
        <f ca="1">IFERROR(__xludf.DUMMYFUNCTION("""COMPUTED_VALUE"""),150000)</f>
        <v>150000</v>
      </c>
      <c r="H723" s="1" t="str">
        <f t="shared" ca="1" si="32"/>
        <v>Left-back</v>
      </c>
      <c r="I723" s="3" t="str">
        <f t="shared" ca="1" si="33"/>
        <v>D</v>
      </c>
      <c r="J723" s="1" t="str">
        <f t="shared" ca="1" si="34"/>
        <v>D</v>
      </c>
      <c r="K723" s="1" t="str">
        <f t="shared" ca="1" si="47"/>
        <v>D</v>
      </c>
      <c r="L723" s="1" t="str">
        <f t="shared" ca="1" si="35"/>
        <v>D</v>
      </c>
      <c r="M723" s="1" t="str">
        <f t="shared" ca="1" si="36"/>
        <v>D</v>
      </c>
      <c r="N723" s="1" t="str">
        <f t="shared" ca="1" si="37"/>
        <v>D</v>
      </c>
      <c r="O723" s="1" t="str">
        <f t="shared" ca="1" si="38"/>
        <v>D</v>
      </c>
      <c r="P723" s="1" t="str">
        <f t="shared" ca="1" si="39"/>
        <v>D</v>
      </c>
      <c r="Q723" s="1" t="str">
        <f t="shared" ca="1" si="40"/>
        <v>D</v>
      </c>
      <c r="R723" s="1" t="str">
        <f t="shared" ca="1" si="41"/>
        <v>D</v>
      </c>
      <c r="S723" s="1" t="str">
        <f t="shared" ca="1" si="42"/>
        <v>D</v>
      </c>
      <c r="T723" s="1" t="str">
        <f t="shared" ca="1" si="43"/>
        <v>D</v>
      </c>
      <c r="U723" s="1" t="str">
        <f t="shared" ca="1" si="44"/>
        <v>D</v>
      </c>
      <c r="V723" s="1" t="str">
        <f t="shared" ca="1" si="45"/>
        <v>D</v>
      </c>
      <c r="W723" s="1" t="str">
        <f t="shared" ca="1" si="46"/>
        <v>Tate Schmitt</v>
      </c>
    </row>
    <row r="724" spans="1:23">
      <c r="A724" s="1" t="str">
        <f ca="1">IFERROR(__xludf.DUMMYFUNCTION("""COMPUTED_VALUE"""),"Patrick")</f>
        <v>Patrick</v>
      </c>
      <c r="B724" s="1" t="str">
        <f ca="1">IFERROR(__xludf.DUMMYFUNCTION("""COMPUTED_VALUE"""),"Schulte")</f>
        <v>Schulte</v>
      </c>
      <c r="C724" s="1" t="str">
        <f ca="1">IFERROR(__xludf.DUMMYFUNCTION("""COMPUTED_VALUE"""),"Columbus Crew")</f>
        <v>Columbus Crew</v>
      </c>
      <c r="D724" s="1" t="str">
        <f ca="1">IFERROR(__xludf.DUMMYFUNCTION("""COMPUTED_VALUE"""),"Goalkeeper")</f>
        <v>Goalkeeper</v>
      </c>
      <c r="E724" s="2">
        <f ca="1">IFERROR(__xludf.DUMMYFUNCTION("""COMPUTED_VALUE"""),150000)</f>
        <v>150000</v>
      </c>
      <c r="F724" s="2">
        <f ca="1">IFERROR(__xludf.DUMMYFUNCTION("""COMPUTED_VALUE"""),160603)</f>
        <v>160603</v>
      </c>
      <c r="H724" s="1" t="str">
        <f t="shared" ca="1" si="32"/>
        <v>Goalkeeper</v>
      </c>
      <c r="I724" s="3" t="str">
        <f t="shared" ca="1" si="33"/>
        <v>Goalkeeper</v>
      </c>
      <c r="J724" s="1" t="str">
        <f t="shared" ca="1" si="34"/>
        <v>Goalkeeper</v>
      </c>
      <c r="K724" s="1" t="str">
        <f t="shared" ca="1" si="47"/>
        <v>Goalkeeper</v>
      </c>
      <c r="L724" s="1" t="str">
        <f t="shared" ca="1" si="35"/>
        <v>Goalkeeper</v>
      </c>
      <c r="M724" s="1" t="str">
        <f t="shared" ca="1" si="36"/>
        <v>Goalkeeper</v>
      </c>
      <c r="N724" s="1" t="str">
        <f t="shared" ca="1" si="37"/>
        <v>Goalkeeper</v>
      </c>
      <c r="O724" s="1" t="str">
        <f t="shared" ca="1" si="38"/>
        <v>Goalkeeper</v>
      </c>
      <c r="P724" s="1" t="str">
        <f t="shared" ca="1" si="39"/>
        <v>Goalkeeper</v>
      </c>
      <c r="Q724" s="1" t="str">
        <f t="shared" ca="1" si="40"/>
        <v>Goalkeeper</v>
      </c>
      <c r="R724" s="1" t="str">
        <f t="shared" ca="1" si="41"/>
        <v>GK</v>
      </c>
      <c r="S724" s="1" t="str">
        <f t="shared" ca="1" si="42"/>
        <v>GK</v>
      </c>
      <c r="T724" s="1" t="str">
        <f t="shared" ca="1" si="43"/>
        <v>GK</v>
      </c>
      <c r="U724" s="1" t="str">
        <f t="shared" ca="1" si="44"/>
        <v>GK</v>
      </c>
      <c r="V724" s="1" t="str">
        <f t="shared" ca="1" si="45"/>
        <v>GK</v>
      </c>
      <c r="W724" s="1" t="str">
        <f t="shared" ca="1" si="46"/>
        <v>Patrick Schulte</v>
      </c>
    </row>
    <row r="725" spans="1:23">
      <c r="A725" s="1" t="str">
        <f ca="1">IFERROR(__xludf.DUMMYFUNCTION("""COMPUTED_VALUE"""),"Tarik")</f>
        <v>Tarik</v>
      </c>
      <c r="B725" s="1" t="str">
        <f ca="1">IFERROR(__xludf.DUMMYFUNCTION("""COMPUTED_VALUE"""),"Scott")</f>
        <v>Scott</v>
      </c>
      <c r="C725" s="1" t="str">
        <f ca="1">IFERROR(__xludf.DUMMYFUNCTION("""COMPUTED_VALUE"""),"FC Dallas")</f>
        <v>FC Dallas</v>
      </c>
      <c r="D725" s="1" t="str">
        <f ca="1">IFERROR(__xludf.DUMMYFUNCTION("""COMPUTED_VALUE"""),"Left Wing")</f>
        <v>Left Wing</v>
      </c>
      <c r="E725" s="2">
        <f ca="1">IFERROR(__xludf.DUMMYFUNCTION("""COMPUTED_VALUE"""),89716)</f>
        <v>89716</v>
      </c>
      <c r="F725" s="2">
        <f ca="1">IFERROR(__xludf.DUMMYFUNCTION("""COMPUTED_VALUE"""),105658)</f>
        <v>105658</v>
      </c>
      <c r="H725" s="1" t="str">
        <f t="shared" ca="1" si="32"/>
        <v>Left Wing</v>
      </c>
      <c r="I725" s="3" t="str">
        <f t="shared" ca="1" si="33"/>
        <v>Left Wing</v>
      </c>
      <c r="J725" s="1" t="str">
        <f t="shared" ca="1" si="34"/>
        <v>Left Wing</v>
      </c>
      <c r="K725" s="1" t="str">
        <f t="shared" ca="1" si="47"/>
        <v>Left Wing</v>
      </c>
      <c r="L725" s="1" t="str">
        <f t="shared" ca="1" si="35"/>
        <v>Left Wing</v>
      </c>
      <c r="M725" s="1" t="str">
        <f t="shared" ca="1" si="36"/>
        <v>Left Wing</v>
      </c>
      <c r="N725" s="1" t="str">
        <f t="shared" ca="1" si="37"/>
        <v>Left Wing</v>
      </c>
      <c r="O725" s="1" t="str">
        <f t="shared" ca="1" si="38"/>
        <v>Left Wing</v>
      </c>
      <c r="P725" s="1" t="str">
        <f t="shared" ca="1" si="39"/>
        <v>F</v>
      </c>
      <c r="Q725" s="1" t="str">
        <f t="shared" ca="1" si="40"/>
        <v>F</v>
      </c>
      <c r="R725" s="1" t="str">
        <f t="shared" ca="1" si="41"/>
        <v>F</v>
      </c>
      <c r="S725" s="1" t="str">
        <f t="shared" ca="1" si="42"/>
        <v>F</v>
      </c>
      <c r="T725" s="1" t="str">
        <f t="shared" ca="1" si="43"/>
        <v>F</v>
      </c>
      <c r="U725" s="1" t="str">
        <f t="shared" ca="1" si="44"/>
        <v>F</v>
      </c>
      <c r="V725" s="1" t="str">
        <f t="shared" ca="1" si="45"/>
        <v>F</v>
      </c>
      <c r="W725" s="1" t="str">
        <f t="shared" ca="1" si="46"/>
        <v>Tarik Scott</v>
      </c>
    </row>
    <row r="726" spans="1:23">
      <c r="A726" s="1" t="str">
        <f ca="1">IFERROR(__xludf.DUMMYFUNCTION("""COMPUTED_VALUE"""),"Brady")</f>
        <v>Brady</v>
      </c>
      <c r="B726" s="1" t="str">
        <f ca="1">IFERROR(__xludf.DUMMYFUNCTION("""COMPUTED_VALUE"""),"Scott")</f>
        <v>Scott</v>
      </c>
      <c r="C726" s="1" t="str">
        <f ca="1">IFERROR(__xludf.DUMMYFUNCTION("""COMPUTED_VALUE"""),"LA Galaxy")</f>
        <v>LA Galaxy</v>
      </c>
      <c r="D726" s="1" t="str">
        <f ca="1">IFERROR(__xludf.DUMMYFUNCTION("""COMPUTED_VALUE"""),"Goalkeeper")</f>
        <v>Goalkeeper</v>
      </c>
      <c r="E726" s="2">
        <f ca="1">IFERROR(__xludf.DUMMYFUNCTION("""COMPUTED_VALUE"""),89716)</f>
        <v>89716</v>
      </c>
      <c r="F726" s="2">
        <f ca="1">IFERROR(__xludf.DUMMYFUNCTION("""COMPUTED_VALUE"""),111383)</f>
        <v>111383</v>
      </c>
      <c r="H726" s="1" t="str">
        <f t="shared" ca="1" si="32"/>
        <v>Goalkeeper</v>
      </c>
      <c r="I726" s="3" t="str">
        <f t="shared" ca="1" si="33"/>
        <v>Goalkeeper</v>
      </c>
      <c r="J726" s="1" t="str">
        <f t="shared" ca="1" si="34"/>
        <v>Goalkeeper</v>
      </c>
      <c r="K726" s="1" t="str">
        <f t="shared" ca="1" si="47"/>
        <v>Goalkeeper</v>
      </c>
      <c r="L726" s="1" t="str">
        <f t="shared" ca="1" si="35"/>
        <v>Goalkeeper</v>
      </c>
      <c r="M726" s="1" t="str">
        <f t="shared" ca="1" si="36"/>
        <v>Goalkeeper</v>
      </c>
      <c r="N726" s="1" t="str">
        <f t="shared" ca="1" si="37"/>
        <v>Goalkeeper</v>
      </c>
      <c r="O726" s="1" t="str">
        <f t="shared" ca="1" si="38"/>
        <v>Goalkeeper</v>
      </c>
      <c r="P726" s="1" t="str">
        <f t="shared" ca="1" si="39"/>
        <v>Goalkeeper</v>
      </c>
      <c r="Q726" s="1" t="str">
        <f t="shared" ca="1" si="40"/>
        <v>Goalkeeper</v>
      </c>
      <c r="R726" s="1" t="str">
        <f t="shared" ca="1" si="41"/>
        <v>GK</v>
      </c>
      <c r="S726" s="1" t="str">
        <f t="shared" ca="1" si="42"/>
        <v>GK</v>
      </c>
      <c r="T726" s="1" t="str">
        <f t="shared" ca="1" si="43"/>
        <v>GK</v>
      </c>
      <c r="U726" s="1" t="str">
        <f t="shared" ca="1" si="44"/>
        <v>GK</v>
      </c>
      <c r="V726" s="1" t="str">
        <f t="shared" ca="1" si="45"/>
        <v>GK</v>
      </c>
      <c r="W726" s="1" t="str">
        <f t="shared" ca="1" si="46"/>
        <v>Brady Scott</v>
      </c>
    </row>
    <row r="727" spans="1:23">
      <c r="A727" s="1" t="str">
        <f ca="1">IFERROR(__xludf.DUMMYFUNCTION("""COMPUTED_VALUE"""),"Dante")</f>
        <v>Dante</v>
      </c>
      <c r="B727" s="1" t="str">
        <f ca="1">IFERROR(__xludf.DUMMYFUNCTION("""COMPUTED_VALUE"""),"Sealy")</f>
        <v>Sealy</v>
      </c>
      <c r="C727" s="1" t="str">
        <f ca="1">IFERROR(__xludf.DUMMYFUNCTION("""COMPUTED_VALUE"""),"FC Dallas")</f>
        <v>FC Dallas</v>
      </c>
      <c r="D727" s="1" t="str">
        <f ca="1">IFERROR(__xludf.DUMMYFUNCTION("""COMPUTED_VALUE"""),"Left Wing")</f>
        <v>Left Wing</v>
      </c>
      <c r="E727" s="2">
        <f ca="1">IFERROR(__xludf.DUMMYFUNCTION("""COMPUTED_VALUE"""),275036)</f>
        <v>275036</v>
      </c>
      <c r="F727" s="2">
        <f ca="1">IFERROR(__xludf.DUMMYFUNCTION("""COMPUTED_VALUE"""),297787)</f>
        <v>297787</v>
      </c>
      <c r="H727" s="1" t="str">
        <f t="shared" ca="1" si="32"/>
        <v>Left Wing</v>
      </c>
      <c r="I727" s="3" t="str">
        <f t="shared" ca="1" si="33"/>
        <v>Left Wing</v>
      </c>
      <c r="J727" s="1" t="str">
        <f t="shared" ca="1" si="34"/>
        <v>Left Wing</v>
      </c>
      <c r="K727" s="1" t="str">
        <f t="shared" ca="1" si="47"/>
        <v>Left Wing</v>
      </c>
      <c r="L727" s="1" t="str">
        <f t="shared" ca="1" si="35"/>
        <v>Left Wing</v>
      </c>
      <c r="M727" s="1" t="str">
        <f t="shared" ca="1" si="36"/>
        <v>Left Wing</v>
      </c>
      <c r="N727" s="1" t="str">
        <f t="shared" ca="1" si="37"/>
        <v>Left Wing</v>
      </c>
      <c r="O727" s="1" t="str">
        <f t="shared" ca="1" si="38"/>
        <v>Left Wing</v>
      </c>
      <c r="P727" s="1" t="str">
        <f t="shared" ca="1" si="39"/>
        <v>F</v>
      </c>
      <c r="Q727" s="1" t="str">
        <f t="shared" ca="1" si="40"/>
        <v>F</v>
      </c>
      <c r="R727" s="1" t="str">
        <f t="shared" ca="1" si="41"/>
        <v>F</v>
      </c>
      <c r="S727" s="1" t="str">
        <f t="shared" ca="1" si="42"/>
        <v>F</v>
      </c>
      <c r="T727" s="1" t="str">
        <f t="shared" ca="1" si="43"/>
        <v>F</v>
      </c>
      <c r="U727" s="1" t="str">
        <f t="shared" ca="1" si="44"/>
        <v>F</v>
      </c>
      <c r="V727" s="1" t="str">
        <f t="shared" ca="1" si="45"/>
        <v>F</v>
      </c>
      <c r="W727" s="1" t="str">
        <f t="shared" ca="1" si="46"/>
        <v>Dante Sealy</v>
      </c>
    </row>
    <row r="728" spans="1:23">
      <c r="A728" s="1" t="str">
        <f ca="1">IFERROR(__xludf.DUMMYFUNCTION("""COMPUTED_VALUE"""),"Gabriel")</f>
        <v>Gabriel</v>
      </c>
      <c r="B728" s="1" t="str">
        <f ca="1">IFERROR(__xludf.DUMMYFUNCTION("""COMPUTED_VALUE"""),"Segal")</f>
        <v>Segal</v>
      </c>
      <c r="C728" s="1" t="str">
        <f ca="1">IFERROR(__xludf.DUMMYFUNCTION("""COMPUTED_VALUE"""),"Houston Dynamo")</f>
        <v>Houston Dynamo</v>
      </c>
      <c r="D728" s="1" t="str">
        <f ca="1">IFERROR(__xludf.DUMMYFUNCTION("""COMPUTED_VALUE"""),"Center Forward")</f>
        <v>Center Forward</v>
      </c>
      <c r="E728" s="2">
        <f ca="1">IFERROR(__xludf.DUMMYFUNCTION("""COMPUTED_VALUE"""),71401)</f>
        <v>71401</v>
      </c>
      <c r="F728" s="2">
        <f ca="1">IFERROR(__xludf.DUMMYFUNCTION("""COMPUTED_VALUE"""),71401)</f>
        <v>71401</v>
      </c>
      <c r="H728" s="1" t="str">
        <f t="shared" ca="1" si="32"/>
        <v>Center Forward</v>
      </c>
      <c r="I728" s="3" t="str">
        <f t="shared" ca="1" si="33"/>
        <v>Center Forward</v>
      </c>
      <c r="J728" s="1" t="str">
        <f t="shared" ca="1" si="34"/>
        <v>Center Forward</v>
      </c>
      <c r="K728" s="1" t="str">
        <f t="shared" ca="1" si="47"/>
        <v>Center Forward</v>
      </c>
      <c r="L728" s="1" t="str">
        <f t="shared" ca="1" si="35"/>
        <v>Center Forward</v>
      </c>
      <c r="M728" s="1" t="str">
        <f t="shared" ca="1" si="36"/>
        <v>Center Forward</v>
      </c>
      <c r="N728" s="1" t="str">
        <f t="shared" ca="1" si="37"/>
        <v>Center Forward</v>
      </c>
      <c r="O728" s="1" t="str">
        <f t="shared" ca="1" si="38"/>
        <v>F</v>
      </c>
      <c r="P728" s="1" t="str">
        <f t="shared" ca="1" si="39"/>
        <v>F</v>
      </c>
      <c r="Q728" s="1" t="str">
        <f t="shared" ca="1" si="40"/>
        <v>F</v>
      </c>
      <c r="R728" s="1" t="str">
        <f t="shared" ca="1" si="41"/>
        <v>F</v>
      </c>
      <c r="S728" s="1" t="str">
        <f t="shared" ca="1" si="42"/>
        <v>F</v>
      </c>
      <c r="T728" s="1" t="str">
        <f t="shared" ca="1" si="43"/>
        <v>F</v>
      </c>
      <c r="U728" s="1" t="str">
        <f t="shared" ca="1" si="44"/>
        <v>F</v>
      </c>
      <c r="V728" s="1" t="str">
        <f t="shared" ca="1" si="45"/>
        <v>F</v>
      </c>
      <c r="W728" s="1" t="str">
        <f t="shared" ca="1" si="46"/>
        <v>Gabriel Segal</v>
      </c>
    </row>
    <row r="729" spans="1:23">
      <c r="A729" s="1" t="str">
        <f ca="1">IFERROR(__xludf.DUMMYFUNCTION("""COMPUTED_VALUE"""),"Eddie")</f>
        <v>Eddie</v>
      </c>
      <c r="B729" s="1" t="str">
        <f ca="1">IFERROR(__xludf.DUMMYFUNCTION("""COMPUTED_VALUE"""),"Segura")</f>
        <v>Segura</v>
      </c>
      <c r="C729" s="1" t="str">
        <f ca="1">IFERROR(__xludf.DUMMYFUNCTION("""COMPUTED_VALUE"""),"LAFC")</f>
        <v>LAFC</v>
      </c>
      <c r="D729" s="1" t="str">
        <f ca="1">IFERROR(__xludf.DUMMYFUNCTION("""COMPUTED_VALUE"""),"Center-back")</f>
        <v>Center-back</v>
      </c>
      <c r="E729" s="2">
        <f ca="1">IFERROR(__xludf.DUMMYFUNCTION("""COMPUTED_VALUE"""),250000)</f>
        <v>250000</v>
      </c>
      <c r="F729" s="2">
        <f ca="1">IFERROR(__xludf.DUMMYFUNCTION("""COMPUTED_VALUE"""),250000)</f>
        <v>250000</v>
      </c>
      <c r="H729" s="1" t="str">
        <f t="shared" ca="1" si="32"/>
        <v>D</v>
      </c>
      <c r="I729" s="3" t="str">
        <f t="shared" ca="1" si="33"/>
        <v>D</v>
      </c>
      <c r="J729" s="1" t="str">
        <f t="shared" ca="1" si="34"/>
        <v>D</v>
      </c>
      <c r="K729" s="1" t="str">
        <f t="shared" ca="1" si="47"/>
        <v>D</v>
      </c>
      <c r="L729" s="1" t="str">
        <f t="shared" ca="1" si="35"/>
        <v>D</v>
      </c>
      <c r="M729" s="1" t="str">
        <f t="shared" ca="1" si="36"/>
        <v>D</v>
      </c>
      <c r="N729" s="1" t="str">
        <f t="shared" ca="1" si="37"/>
        <v>D</v>
      </c>
      <c r="O729" s="1" t="str">
        <f t="shared" ca="1" si="38"/>
        <v>D</v>
      </c>
      <c r="P729" s="1" t="str">
        <f t="shared" ca="1" si="39"/>
        <v>D</v>
      </c>
      <c r="Q729" s="1" t="str">
        <f t="shared" ca="1" si="40"/>
        <v>D</v>
      </c>
      <c r="R729" s="1" t="str">
        <f t="shared" ca="1" si="41"/>
        <v>D</v>
      </c>
      <c r="S729" s="1" t="str">
        <f t="shared" ca="1" si="42"/>
        <v>D</v>
      </c>
      <c r="T729" s="1" t="str">
        <f t="shared" ca="1" si="43"/>
        <v>D</v>
      </c>
      <c r="U729" s="1" t="str">
        <f t="shared" ca="1" si="44"/>
        <v>D</v>
      </c>
      <c r="V729" s="1" t="str">
        <f t="shared" ca="1" si="45"/>
        <v>D</v>
      </c>
      <c r="W729" s="1" t="str">
        <f t="shared" ca="1" si="46"/>
        <v>Eddie Segura</v>
      </c>
    </row>
    <row r="730" spans="1:23">
      <c r="A730" s="1" t="str">
        <f ca="1">IFERROR(__xludf.DUMMYFUNCTION("""COMPUTED_VALUE"""),"Amar")</f>
        <v>Amar</v>
      </c>
      <c r="B730" s="1" t="str">
        <f ca="1">IFERROR(__xludf.DUMMYFUNCTION("""COMPUTED_VALUE"""),"Sejdić")</f>
        <v>Sejdić</v>
      </c>
      <c r="C730" s="1" t="str">
        <f ca="1">IFERROR(__xludf.DUMMYFUNCTION("""COMPUTED_VALUE"""),"Nashville SC")</f>
        <v>Nashville SC</v>
      </c>
      <c r="D730" s="1" t="str">
        <f ca="1">IFERROR(__xludf.DUMMYFUNCTION("""COMPUTED_VALUE"""),"Defensive Midfield")</f>
        <v>Defensive Midfield</v>
      </c>
      <c r="E730" s="2">
        <f ca="1">IFERROR(__xludf.DUMMYFUNCTION("""COMPUTED_VALUE"""),89716)</f>
        <v>89716</v>
      </c>
      <c r="F730" s="2">
        <f ca="1">IFERROR(__xludf.DUMMYFUNCTION("""COMPUTED_VALUE"""),89716)</f>
        <v>89716</v>
      </c>
      <c r="H730" s="1" t="str">
        <f t="shared" ca="1" si="32"/>
        <v>Defensive Midfield</v>
      </c>
      <c r="I730" s="3" t="str">
        <f t="shared" ca="1" si="33"/>
        <v>Defensive Midfield</v>
      </c>
      <c r="J730" s="1" t="str">
        <f t="shared" ca="1" si="34"/>
        <v>Defensive Midfield</v>
      </c>
      <c r="K730" s="1" t="str">
        <f t="shared" ca="1" si="47"/>
        <v>M</v>
      </c>
      <c r="L730" s="1" t="str">
        <f t="shared" ca="1" si="35"/>
        <v>M</v>
      </c>
      <c r="M730" s="1" t="str">
        <f t="shared" ca="1" si="36"/>
        <v>M</v>
      </c>
      <c r="N730" s="1" t="str">
        <f t="shared" ca="1" si="37"/>
        <v>M</v>
      </c>
      <c r="O730" s="1" t="str">
        <f t="shared" ca="1" si="38"/>
        <v>M</v>
      </c>
      <c r="P730" s="1" t="str">
        <f t="shared" ca="1" si="39"/>
        <v>M</v>
      </c>
      <c r="Q730" s="1" t="str">
        <f t="shared" ca="1" si="40"/>
        <v>M</v>
      </c>
      <c r="R730" s="1" t="str">
        <f t="shared" ca="1" si="41"/>
        <v>M</v>
      </c>
      <c r="S730" s="1" t="str">
        <f t="shared" ca="1" si="42"/>
        <v>M</v>
      </c>
      <c r="T730" s="1" t="str">
        <f t="shared" ca="1" si="43"/>
        <v>M</v>
      </c>
      <c r="U730" s="1" t="str">
        <f t="shared" ca="1" si="44"/>
        <v>M</v>
      </c>
      <c r="V730" s="1" t="str">
        <f t="shared" ca="1" si="45"/>
        <v>M</v>
      </c>
      <c r="W730" s="1" t="str">
        <f t="shared" ca="1" si="46"/>
        <v>Amar Sejdić</v>
      </c>
    </row>
    <row r="731" spans="1:23">
      <c r="A731" s="1" t="str">
        <f ca="1">IFERROR(__xludf.DUMMYFUNCTION("""COMPUTED_VALUE"""),"Oliver")</f>
        <v>Oliver</v>
      </c>
      <c r="B731" s="1" t="str">
        <f ca="1">IFERROR(__xludf.DUMMYFUNCTION("""COMPUTED_VALUE"""),"Semmle")</f>
        <v>Semmle</v>
      </c>
      <c r="C731" s="1" t="str">
        <f ca="1">IFERROR(__xludf.DUMMYFUNCTION("""COMPUTED_VALUE"""),"Philadelphia Union")</f>
        <v>Philadelphia Union</v>
      </c>
      <c r="D731" s="1" t="str">
        <f ca="1">IFERROR(__xludf.DUMMYFUNCTION("""COMPUTED_VALUE"""),"Goalkeeper")</f>
        <v>Goalkeeper</v>
      </c>
      <c r="E731" s="2">
        <f ca="1">IFERROR(__xludf.DUMMYFUNCTION("""COMPUTED_VALUE"""),89716)</f>
        <v>89716</v>
      </c>
      <c r="F731" s="2">
        <f ca="1">IFERROR(__xludf.DUMMYFUNCTION("""COMPUTED_VALUE"""),106040)</f>
        <v>106040</v>
      </c>
      <c r="H731" s="1" t="str">
        <f t="shared" ca="1" si="32"/>
        <v>Goalkeeper</v>
      </c>
      <c r="I731" s="3" t="str">
        <f t="shared" ca="1" si="33"/>
        <v>Goalkeeper</v>
      </c>
      <c r="J731" s="1" t="str">
        <f t="shared" ca="1" si="34"/>
        <v>Goalkeeper</v>
      </c>
      <c r="K731" s="1" t="str">
        <f t="shared" ca="1" si="47"/>
        <v>Goalkeeper</v>
      </c>
      <c r="L731" s="1" t="str">
        <f t="shared" ca="1" si="35"/>
        <v>Goalkeeper</v>
      </c>
      <c r="M731" s="1" t="str">
        <f t="shared" ca="1" si="36"/>
        <v>Goalkeeper</v>
      </c>
      <c r="N731" s="1" t="str">
        <f t="shared" ca="1" si="37"/>
        <v>Goalkeeper</v>
      </c>
      <c r="O731" s="1" t="str">
        <f t="shared" ca="1" si="38"/>
        <v>Goalkeeper</v>
      </c>
      <c r="P731" s="1" t="str">
        <f t="shared" ca="1" si="39"/>
        <v>Goalkeeper</v>
      </c>
      <c r="Q731" s="1" t="str">
        <f t="shared" ca="1" si="40"/>
        <v>Goalkeeper</v>
      </c>
      <c r="R731" s="1" t="str">
        <f t="shared" ca="1" si="41"/>
        <v>GK</v>
      </c>
      <c r="S731" s="1" t="str">
        <f t="shared" ca="1" si="42"/>
        <v>GK</v>
      </c>
      <c r="T731" s="1" t="str">
        <f t="shared" ca="1" si="43"/>
        <v>GK</v>
      </c>
      <c r="U731" s="1" t="str">
        <f t="shared" ca="1" si="44"/>
        <v>GK</v>
      </c>
      <c r="V731" s="1" t="str">
        <f t="shared" ca="1" si="45"/>
        <v>GK</v>
      </c>
      <c r="W731" s="1" t="str">
        <f t="shared" ca="1" si="46"/>
        <v>Oliver Semmle</v>
      </c>
    </row>
    <row r="732" spans="1:23">
      <c r="A732" s="1" t="str">
        <f ca="1">IFERROR(__xludf.DUMMYFUNCTION("""COMPUTED_VALUE"""),"Brandon")</f>
        <v>Brandon</v>
      </c>
      <c r="B732" s="1" t="str">
        <f ca="1">IFERROR(__xludf.DUMMYFUNCTION("""COMPUTED_VALUE"""),"Servania")</f>
        <v>Servania</v>
      </c>
      <c r="C732" s="1" t="str">
        <f ca="1">IFERROR(__xludf.DUMMYFUNCTION("""COMPUTED_VALUE"""),"Toronto FC")</f>
        <v>Toronto FC</v>
      </c>
      <c r="D732" s="1" t="str">
        <f ca="1">IFERROR(__xludf.DUMMYFUNCTION("""COMPUTED_VALUE"""),"Central Midfield")</f>
        <v>Central Midfield</v>
      </c>
      <c r="E732" s="2">
        <f ca="1">IFERROR(__xludf.DUMMYFUNCTION("""COMPUTED_VALUE"""),550000)</f>
        <v>550000</v>
      </c>
      <c r="F732" s="2">
        <f ca="1">IFERROR(__xludf.DUMMYFUNCTION("""COMPUTED_VALUE"""),602708)</f>
        <v>602708</v>
      </c>
      <c r="H732" s="1" t="str">
        <f t="shared" ca="1" si="32"/>
        <v>Central Midfield</v>
      </c>
      <c r="I732" s="3" t="str">
        <f t="shared" ca="1" si="33"/>
        <v>Central Midfield</v>
      </c>
      <c r="J732" s="1" t="str">
        <f t="shared" ca="1" si="34"/>
        <v>Central Midfield</v>
      </c>
      <c r="K732" s="1" t="str">
        <f t="shared" ca="1" si="47"/>
        <v>Central Midfield</v>
      </c>
      <c r="L732" s="1" t="str">
        <f t="shared" ca="1" si="35"/>
        <v>M</v>
      </c>
      <c r="M732" s="1" t="str">
        <f t="shared" ca="1" si="36"/>
        <v>M</v>
      </c>
      <c r="N732" s="1" t="str">
        <f t="shared" ca="1" si="37"/>
        <v>M</v>
      </c>
      <c r="O732" s="1" t="str">
        <f t="shared" ca="1" si="38"/>
        <v>M</v>
      </c>
      <c r="P732" s="1" t="str">
        <f t="shared" ca="1" si="39"/>
        <v>M</v>
      </c>
      <c r="Q732" s="1" t="str">
        <f t="shared" ca="1" si="40"/>
        <v>M</v>
      </c>
      <c r="R732" s="1" t="str">
        <f t="shared" ca="1" si="41"/>
        <v>M</v>
      </c>
      <c r="S732" s="1" t="str">
        <f t="shared" ca="1" si="42"/>
        <v>M</v>
      </c>
      <c r="T732" s="1" t="str">
        <f t="shared" ca="1" si="43"/>
        <v>M</v>
      </c>
      <c r="U732" s="1" t="str">
        <f t="shared" ca="1" si="44"/>
        <v>M</v>
      </c>
      <c r="V732" s="1" t="str">
        <f t="shared" ca="1" si="45"/>
        <v>M</v>
      </c>
      <c r="W732" s="1" t="str">
        <f t="shared" ca="1" si="46"/>
        <v>Brandon Servania</v>
      </c>
    </row>
    <row r="733" spans="1:23">
      <c r="A733" s="1" t="str">
        <f ca="1">IFERROR(__xludf.DUMMYFUNCTION("""COMPUTED_VALUE"""),"Jacob")</f>
        <v>Jacob</v>
      </c>
      <c r="B733" s="1" t="str">
        <f ca="1">IFERROR(__xludf.DUMMYFUNCTION("""COMPUTED_VALUE"""),"Shaffelburg")</f>
        <v>Shaffelburg</v>
      </c>
      <c r="C733" s="1" t="str">
        <f ca="1">IFERROR(__xludf.DUMMYFUNCTION("""COMPUTED_VALUE"""),"Nashville SC")</f>
        <v>Nashville SC</v>
      </c>
      <c r="D733" s="1" t="str">
        <f ca="1">IFERROR(__xludf.DUMMYFUNCTION("""COMPUTED_VALUE"""),"Left Wing")</f>
        <v>Left Wing</v>
      </c>
      <c r="E733" s="2">
        <f ca="1">IFERROR(__xludf.DUMMYFUNCTION("""COMPUTED_VALUE"""),350000)</f>
        <v>350000</v>
      </c>
      <c r="F733" s="2">
        <f ca="1">IFERROR(__xludf.DUMMYFUNCTION("""COMPUTED_VALUE"""),395000)</f>
        <v>395000</v>
      </c>
      <c r="H733" s="1" t="str">
        <f t="shared" ca="1" si="32"/>
        <v>Left Wing</v>
      </c>
      <c r="I733" s="3" t="str">
        <f t="shared" ca="1" si="33"/>
        <v>Left Wing</v>
      </c>
      <c r="J733" s="1" t="str">
        <f t="shared" ca="1" si="34"/>
        <v>Left Wing</v>
      </c>
      <c r="K733" s="1" t="str">
        <f t="shared" ca="1" si="47"/>
        <v>Left Wing</v>
      </c>
      <c r="L733" s="1" t="str">
        <f t="shared" ca="1" si="35"/>
        <v>Left Wing</v>
      </c>
      <c r="M733" s="1" t="str">
        <f t="shared" ca="1" si="36"/>
        <v>Left Wing</v>
      </c>
      <c r="N733" s="1" t="str">
        <f t="shared" ca="1" si="37"/>
        <v>Left Wing</v>
      </c>
      <c r="O733" s="1" t="str">
        <f t="shared" ca="1" si="38"/>
        <v>Left Wing</v>
      </c>
      <c r="P733" s="1" t="str">
        <f t="shared" ca="1" si="39"/>
        <v>F</v>
      </c>
      <c r="Q733" s="1" t="str">
        <f t="shared" ca="1" si="40"/>
        <v>F</v>
      </c>
      <c r="R733" s="1" t="str">
        <f t="shared" ca="1" si="41"/>
        <v>F</v>
      </c>
      <c r="S733" s="1" t="str">
        <f t="shared" ca="1" si="42"/>
        <v>F</v>
      </c>
      <c r="T733" s="1" t="str">
        <f t="shared" ca="1" si="43"/>
        <v>F</v>
      </c>
      <c r="U733" s="1" t="str">
        <f t="shared" ca="1" si="44"/>
        <v>F</v>
      </c>
      <c r="V733" s="1" t="str">
        <f t="shared" ca="1" si="45"/>
        <v>F</v>
      </c>
      <c r="W733" s="1" t="str">
        <f t="shared" ca="1" si="46"/>
        <v>Jacob Shaffelburg</v>
      </c>
    </row>
    <row r="734" spans="1:23">
      <c r="A734" s="1" t="str">
        <f ca="1">IFERROR(__xludf.DUMMYFUNCTION("""COMPUTED_VALUE"""),"Xherdan")</f>
        <v>Xherdan</v>
      </c>
      <c r="B734" s="1" t="str">
        <f ca="1">IFERROR(__xludf.DUMMYFUNCTION("""COMPUTED_VALUE"""),"Shaqiri")</f>
        <v>Shaqiri</v>
      </c>
      <c r="C734" s="1" t="str">
        <f ca="1">IFERROR(__xludf.DUMMYFUNCTION("""COMPUTED_VALUE"""),"Chicago Fire")</f>
        <v>Chicago Fire</v>
      </c>
      <c r="D734" s="1" t="str">
        <f ca="1">IFERROR(__xludf.DUMMYFUNCTION("""COMPUTED_VALUE"""),"Attacking Midfield")</f>
        <v>Attacking Midfield</v>
      </c>
      <c r="E734" s="2">
        <f ca="1">IFERROR(__xludf.DUMMYFUNCTION("""COMPUTED_VALUE"""),7350000)</f>
        <v>7350000</v>
      </c>
      <c r="F734" s="2">
        <f ca="1">IFERROR(__xludf.DUMMYFUNCTION("""COMPUTED_VALUE"""),8153000)</f>
        <v>8153000</v>
      </c>
      <c r="H734" s="1" t="str">
        <f t="shared" ca="1" si="32"/>
        <v>Attacking Midfield</v>
      </c>
      <c r="I734" s="3" t="str">
        <f t="shared" ca="1" si="33"/>
        <v>Attacking Midfield</v>
      </c>
      <c r="J734" s="1" t="str">
        <f t="shared" ca="1" si="34"/>
        <v>Attacking Midfield</v>
      </c>
      <c r="K734" s="1" t="str">
        <f t="shared" ca="1" si="47"/>
        <v>Attacking Midfield</v>
      </c>
      <c r="L734" s="1" t="str">
        <f t="shared" ca="1" si="35"/>
        <v>Attacking Midfield</v>
      </c>
      <c r="M734" s="1" t="str">
        <f t="shared" ca="1" si="36"/>
        <v>M</v>
      </c>
      <c r="N734" s="1" t="str">
        <f t="shared" ca="1" si="37"/>
        <v>M</v>
      </c>
      <c r="O734" s="1" t="str">
        <f t="shared" ca="1" si="38"/>
        <v>M</v>
      </c>
      <c r="P734" s="1" t="str">
        <f t="shared" ca="1" si="39"/>
        <v>M</v>
      </c>
      <c r="Q734" s="1" t="str">
        <f t="shared" ca="1" si="40"/>
        <v>M</v>
      </c>
      <c r="R734" s="1" t="str">
        <f t="shared" ca="1" si="41"/>
        <v>M</v>
      </c>
      <c r="S734" s="1" t="str">
        <f t="shared" ca="1" si="42"/>
        <v>M</v>
      </c>
      <c r="T734" s="1" t="str">
        <f t="shared" ca="1" si="43"/>
        <v>M</v>
      </c>
      <c r="U734" s="1" t="str">
        <f t="shared" ca="1" si="44"/>
        <v>M</v>
      </c>
      <c r="V734" s="1" t="str">
        <f t="shared" ca="1" si="45"/>
        <v>M</v>
      </c>
      <c r="W734" s="1" t="str">
        <f t="shared" ca="1" si="46"/>
        <v>Xherdan Shaqiri</v>
      </c>
    </row>
    <row r="735" spans="1:23">
      <c r="A735" s="1" t="str">
        <f ca="1">IFERROR(__xludf.DUMMYFUNCTION("""COMPUTED_VALUE"""),"Khiry")</f>
        <v>Khiry</v>
      </c>
      <c r="B735" s="1" t="str">
        <f ca="1">IFERROR(__xludf.DUMMYFUNCTION("""COMPUTED_VALUE"""),"Shelton")</f>
        <v>Shelton</v>
      </c>
      <c r="C735" s="1" t="str">
        <f ca="1">IFERROR(__xludf.DUMMYFUNCTION("""COMPUTED_VALUE"""),"Sporting Kansas City")</f>
        <v>Sporting Kansas City</v>
      </c>
      <c r="D735" s="1" t="str">
        <f ca="1">IFERROR(__xludf.DUMMYFUNCTION("""COMPUTED_VALUE"""),"Center Forward")</f>
        <v>Center Forward</v>
      </c>
      <c r="E735" s="2">
        <f ca="1">IFERROR(__xludf.DUMMYFUNCTION("""COMPUTED_VALUE"""),700000)</f>
        <v>700000</v>
      </c>
      <c r="F735" s="2">
        <f ca="1">IFERROR(__xludf.DUMMYFUNCTION("""COMPUTED_VALUE"""),750000)</f>
        <v>750000</v>
      </c>
      <c r="H735" s="1" t="str">
        <f t="shared" ca="1" si="32"/>
        <v>Center Forward</v>
      </c>
      <c r="I735" s="3" t="str">
        <f t="shared" ca="1" si="33"/>
        <v>Center Forward</v>
      </c>
      <c r="J735" s="1" t="str">
        <f t="shared" ca="1" si="34"/>
        <v>Center Forward</v>
      </c>
      <c r="K735" s="1" t="str">
        <f t="shared" ca="1" si="47"/>
        <v>Center Forward</v>
      </c>
      <c r="L735" s="1" t="str">
        <f t="shared" ca="1" si="35"/>
        <v>Center Forward</v>
      </c>
      <c r="M735" s="1" t="str">
        <f t="shared" ca="1" si="36"/>
        <v>Center Forward</v>
      </c>
      <c r="N735" s="1" t="str">
        <f t="shared" ca="1" si="37"/>
        <v>Center Forward</v>
      </c>
      <c r="O735" s="1" t="str">
        <f t="shared" ca="1" si="38"/>
        <v>F</v>
      </c>
      <c r="P735" s="1" t="str">
        <f t="shared" ca="1" si="39"/>
        <v>F</v>
      </c>
      <c r="Q735" s="1" t="str">
        <f t="shared" ca="1" si="40"/>
        <v>F</v>
      </c>
      <c r="R735" s="1" t="str">
        <f t="shared" ca="1" si="41"/>
        <v>F</v>
      </c>
      <c r="S735" s="1" t="str">
        <f t="shared" ca="1" si="42"/>
        <v>F</v>
      </c>
      <c r="T735" s="1" t="str">
        <f t="shared" ca="1" si="43"/>
        <v>F</v>
      </c>
      <c r="U735" s="1" t="str">
        <f t="shared" ca="1" si="44"/>
        <v>F</v>
      </c>
      <c r="V735" s="1" t="str">
        <f t="shared" ca="1" si="45"/>
        <v>F</v>
      </c>
      <c r="W735" s="1" t="str">
        <f t="shared" ca="1" si="46"/>
        <v>Khiry Shelton</v>
      </c>
    </row>
    <row r="736" spans="1:23">
      <c r="A736" s="1" t="str">
        <f ca="1">IFERROR(__xludf.DUMMYFUNCTION("""COMPUTED_VALUE"""),"Jonathan")</f>
        <v>Jonathan</v>
      </c>
      <c r="B736" s="1" t="str">
        <f ca="1">IFERROR(__xludf.DUMMYFUNCTION("""COMPUTED_VALUE"""),"Shore")</f>
        <v>Shore</v>
      </c>
      <c r="C736" s="1" t="str">
        <f ca="1">IFERROR(__xludf.DUMMYFUNCTION("""COMPUTED_VALUE"""),"New York City FC")</f>
        <v>New York City FC</v>
      </c>
      <c r="D736" s="1" t="str">
        <f ca="1">IFERROR(__xludf.DUMMYFUNCTION("""COMPUTED_VALUE"""),"Central Midfield")</f>
        <v>Central Midfield</v>
      </c>
      <c r="E736" s="2">
        <f ca="1">IFERROR(__xludf.DUMMYFUNCTION("""COMPUTED_VALUE"""),71401)</f>
        <v>71401</v>
      </c>
      <c r="F736" s="2">
        <f ca="1">IFERROR(__xludf.DUMMYFUNCTION("""COMPUTED_VALUE"""),83901)</f>
        <v>83901</v>
      </c>
      <c r="H736" s="1" t="str">
        <f t="shared" ca="1" si="32"/>
        <v>Central Midfield</v>
      </c>
      <c r="I736" s="3" t="str">
        <f t="shared" ca="1" si="33"/>
        <v>Central Midfield</v>
      </c>
      <c r="J736" s="1" t="str">
        <f t="shared" ca="1" si="34"/>
        <v>Central Midfield</v>
      </c>
      <c r="K736" s="1" t="str">
        <f t="shared" ca="1" si="47"/>
        <v>Central Midfield</v>
      </c>
      <c r="L736" s="1" t="str">
        <f t="shared" ca="1" si="35"/>
        <v>M</v>
      </c>
      <c r="M736" s="1" t="str">
        <f t="shared" ca="1" si="36"/>
        <v>M</v>
      </c>
      <c r="N736" s="1" t="str">
        <f t="shared" ca="1" si="37"/>
        <v>M</v>
      </c>
      <c r="O736" s="1" t="str">
        <f t="shared" ca="1" si="38"/>
        <v>M</v>
      </c>
      <c r="P736" s="1" t="str">
        <f t="shared" ca="1" si="39"/>
        <v>M</v>
      </c>
      <c r="Q736" s="1" t="str">
        <f t="shared" ca="1" si="40"/>
        <v>M</v>
      </c>
      <c r="R736" s="1" t="str">
        <f t="shared" ca="1" si="41"/>
        <v>M</v>
      </c>
      <c r="S736" s="1" t="str">
        <f t="shared" ca="1" si="42"/>
        <v>M</v>
      </c>
      <c r="T736" s="1" t="str">
        <f t="shared" ca="1" si="43"/>
        <v>M</v>
      </c>
      <c r="U736" s="1" t="str">
        <f t="shared" ca="1" si="44"/>
        <v>M</v>
      </c>
      <c r="V736" s="1" t="str">
        <f t="shared" ca="1" si="45"/>
        <v>M</v>
      </c>
      <c r="W736" s="1" t="str">
        <f t="shared" ca="1" si="46"/>
        <v>Jonathan Shore</v>
      </c>
    </row>
    <row r="737" spans="1:23">
      <c r="A737" s="1" t="str">
        <f ca="1">IFERROR(__xludf.DUMMYFUNCTION("""COMPUTED_VALUE"""),"Tommy")</f>
        <v>Tommy</v>
      </c>
      <c r="B737" s="1" t="str">
        <f ca="1">IFERROR(__xludf.DUMMYFUNCTION("""COMPUTED_VALUE"""),"Silva")</f>
        <v>Silva</v>
      </c>
      <c r="C737" s="1" t="str">
        <f ca="1">IFERROR(__xludf.DUMMYFUNCTION("""COMPUTED_VALUE"""),"Real Salt Lake")</f>
        <v>Real Salt Lake</v>
      </c>
      <c r="D737" s="1" t="str">
        <f ca="1">IFERROR(__xludf.DUMMYFUNCTION("""COMPUTED_VALUE"""),"Left-back")</f>
        <v>Left-back</v>
      </c>
      <c r="E737" s="2">
        <f ca="1">IFERROR(__xludf.DUMMYFUNCTION("""COMPUTED_VALUE"""),71401)</f>
        <v>71401</v>
      </c>
      <c r="F737" s="2">
        <f ca="1">IFERROR(__xludf.DUMMYFUNCTION("""COMPUTED_VALUE"""),77383)</f>
        <v>77383</v>
      </c>
      <c r="H737" s="1" t="str">
        <f t="shared" ca="1" si="32"/>
        <v>Left-back</v>
      </c>
      <c r="I737" s="3" t="str">
        <f t="shared" ca="1" si="33"/>
        <v>D</v>
      </c>
      <c r="J737" s="1" t="str">
        <f t="shared" ca="1" si="34"/>
        <v>D</v>
      </c>
      <c r="K737" s="1" t="str">
        <f t="shared" ca="1" si="47"/>
        <v>D</v>
      </c>
      <c r="L737" s="1" t="str">
        <f t="shared" ca="1" si="35"/>
        <v>D</v>
      </c>
      <c r="M737" s="1" t="str">
        <f t="shared" ca="1" si="36"/>
        <v>D</v>
      </c>
      <c r="N737" s="1" t="str">
        <f t="shared" ca="1" si="37"/>
        <v>D</v>
      </c>
      <c r="O737" s="1" t="str">
        <f t="shared" ca="1" si="38"/>
        <v>D</v>
      </c>
      <c r="P737" s="1" t="str">
        <f t="shared" ca="1" si="39"/>
        <v>D</v>
      </c>
      <c r="Q737" s="1" t="str">
        <f t="shared" ca="1" si="40"/>
        <v>D</v>
      </c>
      <c r="R737" s="1" t="str">
        <f t="shared" ca="1" si="41"/>
        <v>D</v>
      </c>
      <c r="S737" s="1" t="str">
        <f t="shared" ca="1" si="42"/>
        <v>D</v>
      </c>
      <c r="T737" s="1" t="str">
        <f t="shared" ca="1" si="43"/>
        <v>D</v>
      </c>
      <c r="U737" s="1" t="str">
        <f t="shared" ca="1" si="44"/>
        <v>D</v>
      </c>
      <c r="V737" s="1" t="str">
        <f t="shared" ca="1" si="45"/>
        <v>D</v>
      </c>
      <c r="W737" s="1" t="str">
        <f t="shared" ca="1" si="46"/>
        <v>Tommy Silva</v>
      </c>
    </row>
    <row r="738" spans="1:23">
      <c r="A738" s="1" t="str">
        <f ca="1">IFERROR(__xludf.DUMMYFUNCTION("""COMPUTED_VALUE"""),"Marcelo")</f>
        <v>Marcelo</v>
      </c>
      <c r="B738" s="1" t="str">
        <f ca="1">IFERROR(__xludf.DUMMYFUNCTION("""COMPUTED_VALUE"""),"Silva")</f>
        <v>Silva</v>
      </c>
      <c r="C738" s="1" t="str">
        <f ca="1">IFERROR(__xludf.DUMMYFUNCTION("""COMPUTED_VALUE"""),"Real Salt Lake")</f>
        <v>Real Salt Lake</v>
      </c>
      <c r="D738" s="1" t="str">
        <f ca="1">IFERROR(__xludf.DUMMYFUNCTION("""COMPUTED_VALUE"""),"Center-back")</f>
        <v>Center-back</v>
      </c>
      <c r="E738" s="2">
        <f ca="1">IFERROR(__xludf.DUMMYFUNCTION("""COMPUTED_VALUE"""),400000)</f>
        <v>400000</v>
      </c>
      <c r="F738" s="2">
        <f ca="1">IFERROR(__xludf.DUMMYFUNCTION("""COMPUTED_VALUE"""),400000)</f>
        <v>400000</v>
      </c>
      <c r="H738" s="1" t="str">
        <f t="shared" ca="1" si="32"/>
        <v>D</v>
      </c>
      <c r="I738" s="3" t="str">
        <f t="shared" ca="1" si="33"/>
        <v>D</v>
      </c>
      <c r="J738" s="1" t="str">
        <f t="shared" ca="1" si="34"/>
        <v>D</v>
      </c>
      <c r="K738" s="1" t="str">
        <f t="shared" ca="1" si="47"/>
        <v>D</v>
      </c>
      <c r="L738" s="1" t="str">
        <f t="shared" ca="1" si="35"/>
        <v>D</v>
      </c>
      <c r="M738" s="1" t="str">
        <f t="shared" ca="1" si="36"/>
        <v>D</v>
      </c>
      <c r="N738" s="1" t="str">
        <f t="shared" ca="1" si="37"/>
        <v>D</v>
      </c>
      <c r="O738" s="1" t="str">
        <f t="shared" ca="1" si="38"/>
        <v>D</v>
      </c>
      <c r="P738" s="1" t="str">
        <f t="shared" ca="1" si="39"/>
        <v>D</v>
      </c>
      <c r="Q738" s="1" t="str">
        <f t="shared" ca="1" si="40"/>
        <v>D</v>
      </c>
      <c r="R738" s="1" t="str">
        <f t="shared" ca="1" si="41"/>
        <v>D</v>
      </c>
      <c r="S738" s="1" t="str">
        <f t="shared" ca="1" si="42"/>
        <v>D</v>
      </c>
      <c r="T738" s="1" t="str">
        <f t="shared" ca="1" si="43"/>
        <v>D</v>
      </c>
      <c r="U738" s="1" t="str">
        <f t="shared" ca="1" si="44"/>
        <v>D</v>
      </c>
      <c r="V738" s="1" t="str">
        <f t="shared" ca="1" si="45"/>
        <v>D</v>
      </c>
      <c r="W738" s="1" t="str">
        <f t="shared" ca="1" si="46"/>
        <v>Marcelo Silva</v>
      </c>
    </row>
    <row r="739" spans="1:23">
      <c r="A739" s="1" t="str">
        <f ca="1">IFERROR(__xludf.DUMMYFUNCTION("""COMPUTED_VALUE"""),"Xande")</f>
        <v>Xande</v>
      </c>
      <c r="B739" s="1" t="str">
        <f ca="1">IFERROR(__xludf.DUMMYFUNCTION("""COMPUTED_VALUE"""),"Silva")</f>
        <v>Silva</v>
      </c>
      <c r="C739" s="1" t="str">
        <f ca="1">IFERROR(__xludf.DUMMYFUNCTION("""COMPUTED_VALUE"""),"Atlanta United")</f>
        <v>Atlanta United</v>
      </c>
      <c r="D739" s="1" t="str">
        <f ca="1">IFERROR(__xludf.DUMMYFUNCTION("""COMPUTED_VALUE"""),"Left Wing")</f>
        <v>Left Wing</v>
      </c>
      <c r="E739" s="2">
        <f ca="1">IFERROR(__xludf.DUMMYFUNCTION("""COMPUTED_VALUE"""),560000)</f>
        <v>560000</v>
      </c>
      <c r="F739" s="2">
        <f ca="1">IFERROR(__xludf.DUMMYFUNCTION("""COMPUTED_VALUE"""),604250)</f>
        <v>604250</v>
      </c>
      <c r="H739" s="1" t="str">
        <f t="shared" ca="1" si="32"/>
        <v>Left Wing</v>
      </c>
      <c r="I739" s="3" t="str">
        <f t="shared" ca="1" si="33"/>
        <v>Left Wing</v>
      </c>
      <c r="J739" s="1" t="str">
        <f t="shared" ca="1" si="34"/>
        <v>Left Wing</v>
      </c>
      <c r="K739" s="1" t="str">
        <f t="shared" ca="1" si="47"/>
        <v>Left Wing</v>
      </c>
      <c r="L739" s="1" t="str">
        <f t="shared" ca="1" si="35"/>
        <v>Left Wing</v>
      </c>
      <c r="M739" s="1" t="str">
        <f t="shared" ca="1" si="36"/>
        <v>Left Wing</v>
      </c>
      <c r="N739" s="1" t="str">
        <f t="shared" ca="1" si="37"/>
        <v>Left Wing</v>
      </c>
      <c r="O739" s="1" t="str">
        <f t="shared" ca="1" si="38"/>
        <v>Left Wing</v>
      </c>
      <c r="P739" s="1" t="str">
        <f t="shared" ca="1" si="39"/>
        <v>F</v>
      </c>
      <c r="Q739" s="1" t="str">
        <f t="shared" ca="1" si="40"/>
        <v>F</v>
      </c>
      <c r="R739" s="1" t="str">
        <f t="shared" ca="1" si="41"/>
        <v>F</v>
      </c>
      <c r="S739" s="1" t="str">
        <f t="shared" ca="1" si="42"/>
        <v>F</v>
      </c>
      <c r="T739" s="1" t="str">
        <f t="shared" ca="1" si="43"/>
        <v>F</v>
      </c>
      <c r="U739" s="1" t="str">
        <f t="shared" ca="1" si="44"/>
        <v>F</v>
      </c>
      <c r="V739" s="1" t="str">
        <f t="shared" ca="1" si="45"/>
        <v>F</v>
      </c>
      <c r="W739" s="1" t="str">
        <f t="shared" ca="1" si="46"/>
        <v>Xande Silva</v>
      </c>
    </row>
    <row r="740" spans="1:23">
      <c r="A740" s="1" t="str">
        <f ca="1">IFERROR(__xludf.DUMMYFUNCTION("""COMPUTED_VALUE"""),"Luke")</f>
        <v>Luke</v>
      </c>
      <c r="B740" s="1" t="str">
        <f ca="1">IFERROR(__xludf.DUMMYFUNCTION("""COMPUTED_VALUE"""),"Singh")</f>
        <v>Singh</v>
      </c>
      <c r="C740" s="1" t="str">
        <f ca="1">IFERROR(__xludf.DUMMYFUNCTION("""COMPUTED_VALUE"""),"Toronto FC")</f>
        <v>Toronto FC</v>
      </c>
      <c r="D740" s="1" t="str">
        <f ca="1">IFERROR(__xludf.DUMMYFUNCTION("""COMPUTED_VALUE"""),"Center-back")</f>
        <v>Center-back</v>
      </c>
      <c r="E740" s="2">
        <f ca="1">IFERROR(__xludf.DUMMYFUNCTION("""COMPUTED_VALUE"""),140000)</f>
        <v>140000</v>
      </c>
      <c r="F740" s="2">
        <f ca="1">IFERROR(__xludf.DUMMYFUNCTION("""COMPUTED_VALUE"""),147966)</f>
        <v>147966</v>
      </c>
      <c r="H740" s="1" t="str">
        <f t="shared" ca="1" si="32"/>
        <v>D</v>
      </c>
      <c r="I740" s="3" t="str">
        <f t="shared" ca="1" si="33"/>
        <v>D</v>
      </c>
      <c r="J740" s="1" t="str">
        <f t="shared" ca="1" si="34"/>
        <v>D</v>
      </c>
      <c r="K740" s="1" t="str">
        <f t="shared" ca="1" si="47"/>
        <v>D</v>
      </c>
      <c r="L740" s="1" t="str">
        <f t="shared" ca="1" si="35"/>
        <v>D</v>
      </c>
      <c r="M740" s="1" t="str">
        <f t="shared" ca="1" si="36"/>
        <v>D</v>
      </c>
      <c r="N740" s="1" t="str">
        <f t="shared" ca="1" si="37"/>
        <v>D</v>
      </c>
      <c r="O740" s="1" t="str">
        <f t="shared" ca="1" si="38"/>
        <v>D</v>
      </c>
      <c r="P740" s="1" t="str">
        <f t="shared" ca="1" si="39"/>
        <v>D</v>
      </c>
      <c r="Q740" s="1" t="str">
        <f t="shared" ca="1" si="40"/>
        <v>D</v>
      </c>
      <c r="R740" s="1" t="str">
        <f t="shared" ca="1" si="41"/>
        <v>D</v>
      </c>
      <c r="S740" s="1" t="str">
        <f t="shared" ca="1" si="42"/>
        <v>D</v>
      </c>
      <c r="T740" s="1" t="str">
        <f t="shared" ca="1" si="43"/>
        <v>D</v>
      </c>
      <c r="U740" s="1" t="str">
        <f t="shared" ca="1" si="44"/>
        <v>D</v>
      </c>
      <c r="V740" s="1" t="str">
        <f t="shared" ca="1" si="45"/>
        <v>D</v>
      </c>
      <c r="W740" s="1" t="str">
        <f t="shared" ca="1" si="46"/>
        <v>Luke Singh</v>
      </c>
    </row>
    <row r="741" spans="1:23">
      <c r="A741" s="1" t="str">
        <f ca="1">IFERROR(__xludf.DUMMYFUNCTION("""COMPUTED_VALUE"""),"Adem")</f>
        <v>Adem</v>
      </c>
      <c r="B741" s="1" t="str">
        <f ca="1">IFERROR(__xludf.DUMMYFUNCTION("""COMPUTED_VALUE"""),"Sipić")</f>
        <v>Sipić</v>
      </c>
      <c r="C741" s="1" t="str">
        <f ca="1">IFERROR(__xludf.DUMMYFUNCTION("""COMPUTED_VALUE"""),"Nashville SC")</f>
        <v>Nashville SC</v>
      </c>
      <c r="D741" s="1" t="str">
        <f ca="1">IFERROR(__xludf.DUMMYFUNCTION("""COMPUTED_VALUE"""),"Center Forward")</f>
        <v>Center Forward</v>
      </c>
      <c r="E741" s="2">
        <f ca="1">IFERROR(__xludf.DUMMYFUNCTION("""COMPUTED_VALUE"""),71401)</f>
        <v>71401</v>
      </c>
      <c r="F741" s="2">
        <f ca="1">IFERROR(__xludf.DUMMYFUNCTION("""COMPUTED_VALUE"""),129053)</f>
        <v>129053</v>
      </c>
      <c r="H741" s="1" t="str">
        <f t="shared" ca="1" si="32"/>
        <v>Center Forward</v>
      </c>
      <c r="I741" s="3" t="str">
        <f t="shared" ca="1" si="33"/>
        <v>Center Forward</v>
      </c>
      <c r="J741" s="1" t="str">
        <f t="shared" ca="1" si="34"/>
        <v>Center Forward</v>
      </c>
      <c r="K741" s="1" t="str">
        <f t="shared" ca="1" si="47"/>
        <v>Center Forward</v>
      </c>
      <c r="L741" s="1" t="str">
        <f t="shared" ca="1" si="35"/>
        <v>Center Forward</v>
      </c>
      <c r="M741" s="1" t="str">
        <f t="shared" ca="1" si="36"/>
        <v>Center Forward</v>
      </c>
      <c r="N741" s="1" t="str">
        <f t="shared" ca="1" si="37"/>
        <v>Center Forward</v>
      </c>
      <c r="O741" s="1" t="str">
        <f t="shared" ca="1" si="38"/>
        <v>F</v>
      </c>
      <c r="P741" s="1" t="str">
        <f t="shared" ca="1" si="39"/>
        <v>F</v>
      </c>
      <c r="Q741" s="1" t="str">
        <f t="shared" ca="1" si="40"/>
        <v>F</v>
      </c>
      <c r="R741" s="1" t="str">
        <f t="shared" ca="1" si="41"/>
        <v>F</v>
      </c>
      <c r="S741" s="1" t="str">
        <f t="shared" ca="1" si="42"/>
        <v>F</v>
      </c>
      <c r="T741" s="1" t="str">
        <f t="shared" ca="1" si="43"/>
        <v>F</v>
      </c>
      <c r="U741" s="1" t="str">
        <f t="shared" ca="1" si="44"/>
        <v>F</v>
      </c>
      <c r="V741" s="1" t="str">
        <f t="shared" ca="1" si="45"/>
        <v>F</v>
      </c>
      <c r="W741" s="1" t="str">
        <f t="shared" ca="1" si="46"/>
        <v>Adem Sipić</v>
      </c>
    </row>
    <row r="742" spans="1:23">
      <c r="A742" s="1" t="str">
        <f ca="1">IFERROR(__xludf.DUMMYFUNCTION("""COMPUTED_VALUE"""),"Jonathan")</f>
        <v>Jonathan</v>
      </c>
      <c r="B742" s="1" t="str">
        <f ca="1">IFERROR(__xludf.DUMMYFUNCTION("""COMPUTED_VALUE"""),"Sirois")</f>
        <v>Sirois</v>
      </c>
      <c r="C742" s="1" t="str">
        <f ca="1">IFERROR(__xludf.DUMMYFUNCTION("""COMPUTED_VALUE"""),"CF Montreal")</f>
        <v>CF Montreal</v>
      </c>
      <c r="D742" s="1" t="str">
        <f ca="1">IFERROR(__xludf.DUMMYFUNCTION("""COMPUTED_VALUE"""),"Goalkeeper")</f>
        <v>Goalkeeper</v>
      </c>
      <c r="E742" s="2">
        <f ca="1">IFERROR(__xludf.DUMMYFUNCTION("""COMPUTED_VALUE"""),135000)</f>
        <v>135000</v>
      </c>
      <c r="F742" s="2">
        <f ca="1">IFERROR(__xludf.DUMMYFUNCTION("""COMPUTED_VALUE"""),152156)</f>
        <v>152156</v>
      </c>
      <c r="H742" s="1" t="str">
        <f t="shared" ca="1" si="32"/>
        <v>Goalkeeper</v>
      </c>
      <c r="I742" s="3" t="str">
        <f t="shared" ca="1" si="33"/>
        <v>Goalkeeper</v>
      </c>
      <c r="J742" s="1" t="str">
        <f t="shared" ca="1" si="34"/>
        <v>Goalkeeper</v>
      </c>
      <c r="K742" s="1" t="str">
        <f t="shared" ca="1" si="47"/>
        <v>Goalkeeper</v>
      </c>
      <c r="L742" s="1" t="str">
        <f t="shared" ca="1" si="35"/>
        <v>Goalkeeper</v>
      </c>
      <c r="M742" s="1" t="str">
        <f t="shared" ca="1" si="36"/>
        <v>Goalkeeper</v>
      </c>
      <c r="N742" s="1" t="str">
        <f t="shared" ca="1" si="37"/>
        <v>Goalkeeper</v>
      </c>
      <c r="O742" s="1" t="str">
        <f t="shared" ca="1" si="38"/>
        <v>Goalkeeper</v>
      </c>
      <c r="P742" s="1" t="str">
        <f t="shared" ca="1" si="39"/>
        <v>Goalkeeper</v>
      </c>
      <c r="Q742" s="1" t="str">
        <f t="shared" ca="1" si="40"/>
        <v>Goalkeeper</v>
      </c>
      <c r="R742" s="1" t="str">
        <f t="shared" ca="1" si="41"/>
        <v>GK</v>
      </c>
      <c r="S742" s="1" t="str">
        <f t="shared" ca="1" si="42"/>
        <v>GK</v>
      </c>
      <c r="T742" s="1" t="str">
        <f t="shared" ca="1" si="43"/>
        <v>GK</v>
      </c>
      <c r="U742" s="1" t="str">
        <f t="shared" ca="1" si="44"/>
        <v>GK</v>
      </c>
      <c r="V742" s="1" t="str">
        <f t="shared" ca="1" si="45"/>
        <v>GK</v>
      </c>
      <c r="W742" s="1" t="str">
        <f t="shared" ca="1" si="46"/>
        <v>Jonathan Sirois</v>
      </c>
    </row>
    <row r="743" spans="1:23">
      <c r="A743" s="1" t="str">
        <f ca="1">IFERROR(__xludf.DUMMYFUNCTION("""COMPUTED_VALUE"""),"Jack")</f>
        <v>Jack</v>
      </c>
      <c r="B743" s="1" t="str">
        <f ca="1">IFERROR(__xludf.DUMMYFUNCTION("""COMPUTED_VALUE"""),"Skahan")</f>
        <v>Skahan</v>
      </c>
      <c r="C743" s="1" t="str">
        <f ca="1">IFERROR(__xludf.DUMMYFUNCTION("""COMPUTED_VALUE"""),"San Jose Earthquakes")</f>
        <v>San Jose Earthquakes</v>
      </c>
      <c r="D743" s="1" t="str">
        <f ca="1">IFERROR(__xludf.DUMMYFUNCTION("""COMPUTED_VALUE"""),"Central Midfield")</f>
        <v>Central Midfield</v>
      </c>
      <c r="E743" s="2">
        <f ca="1">IFERROR(__xludf.DUMMYFUNCTION("""COMPUTED_VALUE"""),150000)</f>
        <v>150000</v>
      </c>
      <c r="F743" s="2">
        <f ca="1">IFERROR(__xludf.DUMMYFUNCTION("""COMPUTED_VALUE"""),150000)</f>
        <v>150000</v>
      </c>
      <c r="H743" s="1" t="str">
        <f t="shared" ca="1" si="32"/>
        <v>Central Midfield</v>
      </c>
      <c r="I743" s="3" t="str">
        <f t="shared" ca="1" si="33"/>
        <v>Central Midfield</v>
      </c>
      <c r="J743" s="1" t="str">
        <f t="shared" ca="1" si="34"/>
        <v>Central Midfield</v>
      </c>
      <c r="K743" s="1" t="str">
        <f t="shared" ca="1" si="47"/>
        <v>Central Midfield</v>
      </c>
      <c r="L743" s="1" t="str">
        <f t="shared" ca="1" si="35"/>
        <v>M</v>
      </c>
      <c r="M743" s="1" t="str">
        <f t="shared" ca="1" si="36"/>
        <v>M</v>
      </c>
      <c r="N743" s="1" t="str">
        <f t="shared" ca="1" si="37"/>
        <v>M</v>
      </c>
      <c r="O743" s="1" t="str">
        <f t="shared" ca="1" si="38"/>
        <v>M</v>
      </c>
      <c r="P743" s="1" t="str">
        <f t="shared" ca="1" si="39"/>
        <v>M</v>
      </c>
      <c r="Q743" s="1" t="str">
        <f t="shared" ca="1" si="40"/>
        <v>M</v>
      </c>
      <c r="R743" s="1" t="str">
        <f t="shared" ca="1" si="41"/>
        <v>M</v>
      </c>
      <c r="S743" s="1" t="str">
        <f t="shared" ca="1" si="42"/>
        <v>M</v>
      </c>
      <c r="T743" s="1" t="str">
        <f t="shared" ca="1" si="43"/>
        <v>M</v>
      </c>
      <c r="U743" s="1" t="str">
        <f t="shared" ca="1" si="44"/>
        <v>M</v>
      </c>
      <c r="V743" s="1" t="str">
        <f t="shared" ca="1" si="45"/>
        <v>M</v>
      </c>
      <c r="W743" s="1" t="str">
        <f t="shared" ca="1" si="46"/>
        <v>Jack Skahan</v>
      </c>
    </row>
    <row r="744" spans="1:23">
      <c r="A744" s="1" t="str">
        <f ca="1">IFERROR(__xludf.DUMMYFUNCTION("""COMPUTED_VALUE"""),"Joey")</f>
        <v>Joey</v>
      </c>
      <c r="B744" s="1" t="str">
        <f ca="1">IFERROR(__xludf.DUMMYFUNCTION("""COMPUTED_VALUE"""),"Skinner")</f>
        <v>Skinner</v>
      </c>
      <c r="C744" s="1" t="str">
        <f ca="1">IFERROR(__xludf.DUMMYFUNCTION("""COMPUTED_VALUE"""),"Nashville SC")</f>
        <v>Nashville SC</v>
      </c>
      <c r="D744" s="1" t="str">
        <f ca="1">IFERROR(__xludf.DUMMYFUNCTION("""COMPUTED_VALUE"""),"Left-back")</f>
        <v>Left-back</v>
      </c>
      <c r="E744" s="2">
        <f ca="1">IFERROR(__xludf.DUMMYFUNCTION("""COMPUTED_VALUE"""),71401)</f>
        <v>71401</v>
      </c>
      <c r="F744" s="2">
        <f ca="1">IFERROR(__xludf.DUMMYFUNCTION("""COMPUTED_VALUE"""),76401)</f>
        <v>76401</v>
      </c>
      <c r="H744" s="1" t="str">
        <f t="shared" ca="1" si="32"/>
        <v>Left-back</v>
      </c>
      <c r="I744" s="3" t="str">
        <f t="shared" ca="1" si="33"/>
        <v>D</v>
      </c>
      <c r="J744" s="1" t="str">
        <f t="shared" ca="1" si="34"/>
        <v>D</v>
      </c>
      <c r="K744" s="1" t="str">
        <f t="shared" ca="1" si="47"/>
        <v>D</v>
      </c>
      <c r="L744" s="1" t="str">
        <f t="shared" ca="1" si="35"/>
        <v>D</v>
      </c>
      <c r="M744" s="1" t="str">
        <f t="shared" ca="1" si="36"/>
        <v>D</v>
      </c>
      <c r="N744" s="1" t="str">
        <f t="shared" ca="1" si="37"/>
        <v>D</v>
      </c>
      <c r="O744" s="1" t="str">
        <f t="shared" ca="1" si="38"/>
        <v>D</v>
      </c>
      <c r="P744" s="1" t="str">
        <f t="shared" ca="1" si="39"/>
        <v>D</v>
      </c>
      <c r="Q744" s="1" t="str">
        <f t="shared" ca="1" si="40"/>
        <v>D</v>
      </c>
      <c r="R744" s="1" t="str">
        <f t="shared" ca="1" si="41"/>
        <v>D</v>
      </c>
      <c r="S744" s="1" t="str">
        <f t="shared" ca="1" si="42"/>
        <v>D</v>
      </c>
      <c r="T744" s="1" t="str">
        <f t="shared" ca="1" si="43"/>
        <v>D</v>
      </c>
      <c r="U744" s="1" t="str">
        <f t="shared" ca="1" si="44"/>
        <v>D</v>
      </c>
      <c r="V744" s="1" t="str">
        <f t="shared" ca="1" si="45"/>
        <v>D</v>
      </c>
      <c r="W744" s="1" t="str">
        <f t="shared" ca="1" si="46"/>
        <v>Joey Skinner</v>
      </c>
    </row>
    <row r="745" spans="1:23">
      <c r="A745" s="1" t="str">
        <f ca="1">IFERROR(__xludf.DUMMYFUNCTION("""COMPUTED_VALUE"""),"Bartosz")</f>
        <v>Bartosz</v>
      </c>
      <c r="B745" s="1" t="str">
        <f ca="1">IFERROR(__xludf.DUMMYFUNCTION("""COMPUTED_VALUE"""),"Slisz")</f>
        <v>Slisz</v>
      </c>
      <c r="C745" s="1" t="str">
        <f ca="1">IFERROR(__xludf.DUMMYFUNCTION("""COMPUTED_VALUE"""),"Atlanta United")</f>
        <v>Atlanta United</v>
      </c>
      <c r="D745" s="1" t="str">
        <f ca="1">IFERROR(__xludf.DUMMYFUNCTION("""COMPUTED_VALUE"""),"Defensive Midfield")</f>
        <v>Defensive Midfield</v>
      </c>
      <c r="E745" s="2">
        <f ca="1">IFERROR(__xludf.DUMMYFUNCTION("""COMPUTED_VALUE"""),630000)</f>
        <v>630000</v>
      </c>
      <c r="F745" s="2">
        <f ca="1">IFERROR(__xludf.DUMMYFUNCTION("""COMPUTED_VALUE"""),830000)</f>
        <v>830000</v>
      </c>
      <c r="H745" s="1" t="str">
        <f t="shared" ca="1" si="32"/>
        <v>Defensive Midfield</v>
      </c>
      <c r="I745" s="3" t="str">
        <f t="shared" ca="1" si="33"/>
        <v>Defensive Midfield</v>
      </c>
      <c r="J745" s="1" t="str">
        <f t="shared" ca="1" si="34"/>
        <v>Defensive Midfield</v>
      </c>
      <c r="K745" s="1" t="str">
        <f t="shared" ca="1" si="47"/>
        <v>M</v>
      </c>
      <c r="L745" s="1" t="str">
        <f t="shared" ca="1" si="35"/>
        <v>M</v>
      </c>
      <c r="M745" s="1" t="str">
        <f t="shared" ca="1" si="36"/>
        <v>M</v>
      </c>
      <c r="N745" s="1" t="str">
        <f t="shared" ca="1" si="37"/>
        <v>M</v>
      </c>
      <c r="O745" s="1" t="str">
        <f t="shared" ca="1" si="38"/>
        <v>M</v>
      </c>
      <c r="P745" s="1" t="str">
        <f t="shared" ca="1" si="39"/>
        <v>M</v>
      </c>
      <c r="Q745" s="1" t="str">
        <f t="shared" ca="1" si="40"/>
        <v>M</v>
      </c>
      <c r="R745" s="1" t="str">
        <f t="shared" ca="1" si="41"/>
        <v>M</v>
      </c>
      <c r="S745" s="1" t="str">
        <f t="shared" ca="1" si="42"/>
        <v>M</v>
      </c>
      <c r="T745" s="1" t="str">
        <f t="shared" ca="1" si="43"/>
        <v>M</v>
      </c>
      <c r="U745" s="1" t="str">
        <f t="shared" ca="1" si="44"/>
        <v>M</v>
      </c>
      <c r="V745" s="1" t="str">
        <f t="shared" ca="1" si="45"/>
        <v>M</v>
      </c>
      <c r="W745" s="1" t="str">
        <f t="shared" ca="1" si="46"/>
        <v>Bartosz Slisz</v>
      </c>
    </row>
    <row r="746" spans="1:23">
      <c r="A746" s="1" t="str">
        <f ca="1">IFERROR(__xludf.DUMMYFUNCTION("""COMPUTED_VALUE"""),"Tyger")</f>
        <v>Tyger</v>
      </c>
      <c r="B746" s="1" t="str">
        <f ca="1">IFERROR(__xludf.DUMMYFUNCTION("""COMPUTED_VALUE"""),"Smalls")</f>
        <v>Smalls</v>
      </c>
      <c r="C746" s="1" t="str">
        <f ca="1">IFERROR(__xludf.DUMMYFUNCTION("""COMPUTED_VALUE"""),"Charlotte FC")</f>
        <v>Charlotte FC</v>
      </c>
      <c r="D746" s="1" t="str">
        <f ca="1">IFERROR(__xludf.DUMMYFUNCTION("""COMPUTED_VALUE"""),"Left Wing")</f>
        <v>Left Wing</v>
      </c>
      <c r="E746" s="2">
        <f ca="1">IFERROR(__xludf.DUMMYFUNCTION("""COMPUTED_VALUE"""),71401)</f>
        <v>71401</v>
      </c>
      <c r="F746" s="2">
        <f ca="1">IFERROR(__xludf.DUMMYFUNCTION("""COMPUTED_VALUE"""),71401)</f>
        <v>71401</v>
      </c>
      <c r="H746" s="1" t="str">
        <f t="shared" ca="1" si="32"/>
        <v>Left Wing</v>
      </c>
      <c r="I746" s="3" t="str">
        <f t="shared" ca="1" si="33"/>
        <v>Left Wing</v>
      </c>
      <c r="J746" s="1" t="str">
        <f t="shared" ca="1" si="34"/>
        <v>Left Wing</v>
      </c>
      <c r="K746" s="1" t="str">
        <f t="shared" ca="1" si="47"/>
        <v>Left Wing</v>
      </c>
      <c r="L746" s="1" t="str">
        <f t="shared" ca="1" si="35"/>
        <v>Left Wing</v>
      </c>
      <c r="M746" s="1" t="str">
        <f t="shared" ca="1" si="36"/>
        <v>Left Wing</v>
      </c>
      <c r="N746" s="1" t="str">
        <f t="shared" ca="1" si="37"/>
        <v>Left Wing</v>
      </c>
      <c r="O746" s="1" t="str">
        <f t="shared" ca="1" si="38"/>
        <v>Left Wing</v>
      </c>
      <c r="P746" s="1" t="str">
        <f t="shared" ca="1" si="39"/>
        <v>F</v>
      </c>
      <c r="Q746" s="1" t="str">
        <f t="shared" ca="1" si="40"/>
        <v>F</v>
      </c>
      <c r="R746" s="1" t="str">
        <f t="shared" ca="1" si="41"/>
        <v>F</v>
      </c>
      <c r="S746" s="1" t="str">
        <f t="shared" ca="1" si="42"/>
        <v>F</v>
      </c>
      <c r="T746" s="1" t="str">
        <f t="shared" ca="1" si="43"/>
        <v>F</v>
      </c>
      <c r="U746" s="1" t="str">
        <f t="shared" ca="1" si="44"/>
        <v>F</v>
      </c>
      <c r="V746" s="1" t="str">
        <f t="shared" ca="1" si="45"/>
        <v>F</v>
      </c>
      <c r="W746" s="1" t="str">
        <f t="shared" ca="1" si="46"/>
        <v>Tyger Smalls</v>
      </c>
    </row>
    <row r="747" spans="1:23">
      <c r="A747" s="1" t="str">
        <f ca="1">IFERROR(__xludf.DUMMYFUNCTION("""COMPUTED_VALUE"""),"Brad")</f>
        <v>Brad</v>
      </c>
      <c r="B747" s="1" t="str">
        <f ca="1">IFERROR(__xludf.DUMMYFUNCTION("""COMPUTED_VALUE"""),"Smith")</f>
        <v>Smith</v>
      </c>
      <c r="C747" s="1" t="str">
        <f ca="1">IFERROR(__xludf.DUMMYFUNCTION("""COMPUTED_VALUE"""),"Houston Dynamo")</f>
        <v>Houston Dynamo</v>
      </c>
      <c r="D747" s="1" t="str">
        <f ca="1">IFERROR(__xludf.DUMMYFUNCTION("""COMPUTED_VALUE"""),"Left-back")</f>
        <v>Left-back</v>
      </c>
      <c r="E747" s="2">
        <f ca="1">IFERROR(__xludf.DUMMYFUNCTION("""COMPUTED_VALUE"""),424999)</f>
        <v>424999</v>
      </c>
      <c r="F747" s="2">
        <f ca="1">IFERROR(__xludf.DUMMYFUNCTION("""COMPUTED_VALUE"""),471249)</f>
        <v>471249</v>
      </c>
      <c r="H747" s="1" t="str">
        <f t="shared" ca="1" si="32"/>
        <v>Left-back</v>
      </c>
      <c r="I747" s="3" t="str">
        <f t="shared" ca="1" si="33"/>
        <v>D</v>
      </c>
      <c r="J747" s="1" t="str">
        <f t="shared" ca="1" si="34"/>
        <v>D</v>
      </c>
      <c r="K747" s="1" t="str">
        <f t="shared" ca="1" si="47"/>
        <v>D</v>
      </c>
      <c r="L747" s="1" t="str">
        <f t="shared" ca="1" si="35"/>
        <v>D</v>
      </c>
      <c r="M747" s="1" t="str">
        <f t="shared" ca="1" si="36"/>
        <v>D</v>
      </c>
      <c r="N747" s="1" t="str">
        <f t="shared" ca="1" si="37"/>
        <v>D</v>
      </c>
      <c r="O747" s="1" t="str">
        <f t="shared" ca="1" si="38"/>
        <v>D</v>
      </c>
      <c r="P747" s="1" t="str">
        <f t="shared" ca="1" si="39"/>
        <v>D</v>
      </c>
      <c r="Q747" s="1" t="str">
        <f t="shared" ca="1" si="40"/>
        <v>D</v>
      </c>
      <c r="R747" s="1" t="str">
        <f t="shared" ca="1" si="41"/>
        <v>D</v>
      </c>
      <c r="S747" s="1" t="str">
        <f t="shared" ca="1" si="42"/>
        <v>D</v>
      </c>
      <c r="T747" s="1" t="str">
        <f t="shared" ca="1" si="43"/>
        <v>D</v>
      </c>
      <c r="U747" s="1" t="str">
        <f t="shared" ca="1" si="44"/>
        <v>D</v>
      </c>
      <c r="V747" s="1" t="str">
        <f t="shared" ca="1" si="45"/>
        <v>D</v>
      </c>
      <c r="W747" s="1" t="str">
        <f t="shared" ca="1" si="46"/>
        <v>Brad Smith</v>
      </c>
    </row>
    <row r="748" spans="1:23">
      <c r="A748" s="1" t="str">
        <f ca="1">IFERROR(__xludf.DUMMYFUNCTION("""COMPUTED_VALUE"""),"Kyle")</f>
        <v>Kyle</v>
      </c>
      <c r="B748" s="1" t="str">
        <f ca="1">IFERROR(__xludf.DUMMYFUNCTION("""COMPUTED_VALUE"""),"Smith")</f>
        <v>Smith</v>
      </c>
      <c r="C748" s="1" t="str">
        <f ca="1">IFERROR(__xludf.DUMMYFUNCTION("""COMPUTED_VALUE"""),"Orlando City SC")</f>
        <v>Orlando City SC</v>
      </c>
      <c r="D748" s="1" t="str">
        <f ca="1">IFERROR(__xludf.DUMMYFUNCTION("""COMPUTED_VALUE"""),"Right-back")</f>
        <v>Right-back</v>
      </c>
      <c r="E748" s="2">
        <f ca="1">IFERROR(__xludf.DUMMYFUNCTION("""COMPUTED_VALUE"""),290000)</f>
        <v>290000</v>
      </c>
      <c r="F748" s="2">
        <f ca="1">IFERROR(__xludf.DUMMYFUNCTION("""COMPUTED_VALUE"""),305900)</f>
        <v>305900</v>
      </c>
      <c r="H748" s="1" t="str">
        <f t="shared" ca="1" si="32"/>
        <v>Right-back</v>
      </c>
      <c r="I748" s="3" t="str">
        <f t="shared" ca="1" si="33"/>
        <v>Right-back</v>
      </c>
      <c r="J748" s="1" t="str">
        <f t="shared" ca="1" si="34"/>
        <v>D</v>
      </c>
      <c r="K748" s="1" t="str">
        <f t="shared" ca="1" si="47"/>
        <v>D</v>
      </c>
      <c r="L748" s="1" t="str">
        <f t="shared" ca="1" si="35"/>
        <v>D</v>
      </c>
      <c r="M748" s="1" t="str">
        <f t="shared" ca="1" si="36"/>
        <v>D</v>
      </c>
      <c r="N748" s="1" t="str">
        <f t="shared" ca="1" si="37"/>
        <v>D</v>
      </c>
      <c r="O748" s="1" t="str">
        <f t="shared" ca="1" si="38"/>
        <v>D</v>
      </c>
      <c r="P748" s="1" t="str">
        <f t="shared" ca="1" si="39"/>
        <v>D</v>
      </c>
      <c r="Q748" s="1" t="str">
        <f t="shared" ca="1" si="40"/>
        <v>D</v>
      </c>
      <c r="R748" s="1" t="str">
        <f t="shared" ca="1" si="41"/>
        <v>D</v>
      </c>
      <c r="S748" s="1" t="str">
        <f t="shared" ca="1" si="42"/>
        <v>D</v>
      </c>
      <c r="T748" s="1" t="str">
        <f t="shared" ca="1" si="43"/>
        <v>D</v>
      </c>
      <c r="U748" s="1" t="str">
        <f t="shared" ca="1" si="44"/>
        <v>D</v>
      </c>
      <c r="V748" s="1" t="str">
        <f t="shared" ca="1" si="45"/>
        <v>D</v>
      </c>
      <c r="W748" s="1" t="str">
        <f t="shared" ca="1" si="46"/>
        <v>Kyle Smith</v>
      </c>
    </row>
    <row r="749" spans="1:23">
      <c r="A749" s="1" t="str">
        <f ca="1">IFERROR(__xludf.DUMMYFUNCTION("""COMPUTED_VALUE"""),"Santiago")</f>
        <v>Santiago</v>
      </c>
      <c r="B749" s="1" t="str">
        <f ca="1">IFERROR(__xludf.DUMMYFUNCTION("""COMPUTED_VALUE"""),"Sosa")</f>
        <v>Sosa</v>
      </c>
      <c r="C749" s="1" t="str">
        <f ca="1">IFERROR(__xludf.DUMMYFUNCTION("""COMPUTED_VALUE"""),"Atlanta United")</f>
        <v>Atlanta United</v>
      </c>
      <c r="D749" s="1" t="str">
        <f ca="1">IFERROR(__xludf.DUMMYFUNCTION("""COMPUTED_VALUE"""),"Defensive Midfield")</f>
        <v>Defensive Midfield</v>
      </c>
      <c r="E749" s="2">
        <f ca="1">IFERROR(__xludf.DUMMYFUNCTION("""COMPUTED_VALUE"""),685000)</f>
        <v>685000</v>
      </c>
      <c r="F749" s="2">
        <f ca="1">IFERROR(__xludf.DUMMYFUNCTION("""COMPUTED_VALUE"""),778100)</f>
        <v>778100</v>
      </c>
      <c r="H749" s="1" t="str">
        <f t="shared" ca="1" si="32"/>
        <v>Defensive Midfield</v>
      </c>
      <c r="I749" s="3" t="str">
        <f t="shared" ca="1" si="33"/>
        <v>Defensive Midfield</v>
      </c>
      <c r="J749" s="1" t="str">
        <f t="shared" ca="1" si="34"/>
        <v>Defensive Midfield</v>
      </c>
      <c r="K749" s="1" t="str">
        <f t="shared" ca="1" si="47"/>
        <v>M</v>
      </c>
      <c r="L749" s="1" t="str">
        <f t="shared" ca="1" si="35"/>
        <v>M</v>
      </c>
      <c r="M749" s="1" t="str">
        <f t="shared" ca="1" si="36"/>
        <v>M</v>
      </c>
      <c r="N749" s="1" t="str">
        <f t="shared" ca="1" si="37"/>
        <v>M</v>
      </c>
      <c r="O749" s="1" t="str">
        <f t="shared" ca="1" si="38"/>
        <v>M</v>
      </c>
      <c r="P749" s="1" t="str">
        <f t="shared" ca="1" si="39"/>
        <v>M</v>
      </c>
      <c r="Q749" s="1" t="str">
        <f t="shared" ca="1" si="40"/>
        <v>M</v>
      </c>
      <c r="R749" s="1" t="str">
        <f t="shared" ca="1" si="41"/>
        <v>M</v>
      </c>
      <c r="S749" s="1" t="str">
        <f t="shared" ca="1" si="42"/>
        <v>M</v>
      </c>
      <c r="T749" s="1" t="str">
        <f t="shared" ca="1" si="43"/>
        <v>M</v>
      </c>
      <c r="U749" s="1" t="str">
        <f t="shared" ca="1" si="44"/>
        <v>M</v>
      </c>
      <c r="V749" s="1" t="str">
        <f t="shared" ca="1" si="45"/>
        <v>M</v>
      </c>
      <c r="W749" s="1" t="str">
        <f t="shared" ca="1" si="46"/>
        <v>Santiago Sosa</v>
      </c>
    </row>
    <row r="750" spans="1:23">
      <c r="A750" s="1" t="str">
        <f ca="1">IFERROR(__xludf.DUMMYFUNCTION("""COMPUTED_VALUE"""),"Joaquín")</f>
        <v>Joaquín</v>
      </c>
      <c r="B750" s="1" t="str">
        <f ca="1">IFERROR(__xludf.DUMMYFUNCTION("""COMPUTED_VALUE"""),"Sosa")</f>
        <v>Sosa</v>
      </c>
      <c r="C750" s="1" t="str">
        <f ca="1">IFERROR(__xludf.DUMMYFUNCTION("""COMPUTED_VALUE"""),"CF Montreal")</f>
        <v>CF Montreal</v>
      </c>
      <c r="D750" s="1" t="str">
        <f ca="1">IFERROR(__xludf.DUMMYFUNCTION("""COMPUTED_VALUE"""),"Center-back")</f>
        <v>Center-back</v>
      </c>
      <c r="E750" s="2">
        <f ca="1">IFERROR(__xludf.DUMMYFUNCTION("""COMPUTED_VALUE"""),251500)</f>
        <v>251500</v>
      </c>
      <c r="F750" s="2">
        <f ca="1">IFERROR(__xludf.DUMMYFUNCTION("""COMPUTED_VALUE"""),251500)</f>
        <v>251500</v>
      </c>
      <c r="H750" s="1" t="str">
        <f t="shared" ca="1" si="32"/>
        <v>D</v>
      </c>
      <c r="I750" s="3" t="str">
        <f t="shared" ca="1" si="33"/>
        <v>D</v>
      </c>
      <c r="J750" s="1" t="str">
        <f t="shared" ca="1" si="34"/>
        <v>D</v>
      </c>
      <c r="K750" s="1" t="str">
        <f t="shared" ca="1" si="47"/>
        <v>D</v>
      </c>
      <c r="L750" s="1" t="str">
        <f t="shared" ca="1" si="35"/>
        <v>D</v>
      </c>
      <c r="M750" s="1" t="str">
        <f t="shared" ca="1" si="36"/>
        <v>D</v>
      </c>
      <c r="N750" s="1" t="str">
        <f t="shared" ca="1" si="37"/>
        <v>D</v>
      </c>
      <c r="O750" s="1" t="str">
        <f t="shared" ca="1" si="38"/>
        <v>D</v>
      </c>
      <c r="P750" s="1" t="str">
        <f t="shared" ca="1" si="39"/>
        <v>D</v>
      </c>
      <c r="Q750" s="1" t="str">
        <f t="shared" ca="1" si="40"/>
        <v>D</v>
      </c>
      <c r="R750" s="1" t="str">
        <f t="shared" ca="1" si="41"/>
        <v>D</v>
      </c>
      <c r="S750" s="1" t="str">
        <f t="shared" ca="1" si="42"/>
        <v>D</v>
      </c>
      <c r="T750" s="1" t="str">
        <f t="shared" ca="1" si="43"/>
        <v>D</v>
      </c>
      <c r="U750" s="1" t="str">
        <f t="shared" ca="1" si="44"/>
        <v>D</v>
      </c>
      <c r="V750" s="1" t="str">
        <f t="shared" ca="1" si="45"/>
        <v>D</v>
      </c>
      <c r="W750" s="1" t="str">
        <f t="shared" ca="1" si="46"/>
        <v>Joaquín Sosa</v>
      </c>
    </row>
    <row r="751" spans="1:23">
      <c r="A751" s="1" t="str">
        <f ca="1">IFERROR(__xludf.DUMMYFUNCTION("""COMPUTED_VALUE"""),"Arnaud")</f>
        <v>Arnaud</v>
      </c>
      <c r="B751" s="1" t="str">
        <f ca="1">IFERROR(__xludf.DUMMYFUNCTION("""COMPUTED_VALUE"""),"Souquet")</f>
        <v>Souquet</v>
      </c>
      <c r="C751" s="1" t="str">
        <f ca="1">IFERROR(__xludf.DUMMYFUNCTION("""COMPUTED_VALUE"""),"Chicago Fire")</f>
        <v>Chicago Fire</v>
      </c>
      <c r="D751" s="1" t="str">
        <f ca="1">IFERROR(__xludf.DUMMYFUNCTION("""COMPUTED_VALUE"""),"Right-back")</f>
        <v>Right-back</v>
      </c>
      <c r="E751" s="2">
        <f ca="1">IFERROR(__xludf.DUMMYFUNCTION("""COMPUTED_VALUE"""),620012)</f>
        <v>620012</v>
      </c>
      <c r="F751" s="2">
        <f ca="1">IFERROR(__xludf.DUMMYFUNCTION("""COMPUTED_VALUE"""),699679)</f>
        <v>699679</v>
      </c>
      <c r="H751" s="1" t="str">
        <f t="shared" ca="1" si="32"/>
        <v>Right-back</v>
      </c>
      <c r="I751" s="3" t="str">
        <f t="shared" ca="1" si="33"/>
        <v>Right-back</v>
      </c>
      <c r="J751" s="1" t="str">
        <f t="shared" ca="1" si="34"/>
        <v>D</v>
      </c>
      <c r="K751" s="1" t="str">
        <f t="shared" ca="1" si="47"/>
        <v>D</v>
      </c>
      <c r="L751" s="1" t="str">
        <f t="shared" ca="1" si="35"/>
        <v>D</v>
      </c>
      <c r="M751" s="1" t="str">
        <f t="shared" ca="1" si="36"/>
        <v>D</v>
      </c>
      <c r="N751" s="1" t="str">
        <f t="shared" ca="1" si="37"/>
        <v>D</v>
      </c>
      <c r="O751" s="1" t="str">
        <f t="shared" ca="1" si="38"/>
        <v>D</v>
      </c>
      <c r="P751" s="1" t="str">
        <f t="shared" ca="1" si="39"/>
        <v>D</v>
      </c>
      <c r="Q751" s="1" t="str">
        <f t="shared" ca="1" si="40"/>
        <v>D</v>
      </c>
      <c r="R751" s="1" t="str">
        <f t="shared" ca="1" si="41"/>
        <v>D</v>
      </c>
      <c r="S751" s="1" t="str">
        <f t="shared" ca="1" si="42"/>
        <v>D</v>
      </c>
      <c r="T751" s="1" t="str">
        <f t="shared" ca="1" si="43"/>
        <v>D</v>
      </c>
      <c r="U751" s="1" t="str">
        <f t="shared" ca="1" si="44"/>
        <v>D</v>
      </c>
      <c r="V751" s="1" t="str">
        <f t="shared" ca="1" si="45"/>
        <v>D</v>
      </c>
      <c r="W751" s="1" t="str">
        <f t="shared" ca="1" si="46"/>
        <v>Arnaud Souquet</v>
      </c>
    </row>
    <row r="752" spans="1:23">
      <c r="A752" s="1" t="str">
        <f ca="1">IFERROR(__xludf.DUMMYFUNCTION("""COMPUTED_VALUE"""),"Ryan")</f>
        <v>Ryan</v>
      </c>
      <c r="B752" s="1" t="str">
        <f ca="1">IFERROR(__xludf.DUMMYFUNCTION("""COMPUTED_VALUE"""),"Spaulding")</f>
        <v>Spaulding</v>
      </c>
      <c r="C752" s="1" t="str">
        <f ca="1">IFERROR(__xludf.DUMMYFUNCTION("""COMPUTED_VALUE"""),"New England Revolution")</f>
        <v>New England Revolution</v>
      </c>
      <c r="D752" s="1" t="str">
        <f ca="1">IFERROR(__xludf.DUMMYFUNCTION("""COMPUTED_VALUE"""),"Left-back")</f>
        <v>Left-back</v>
      </c>
      <c r="E752" s="2">
        <f ca="1">IFERROR(__xludf.DUMMYFUNCTION("""COMPUTED_VALUE"""),89716)</f>
        <v>89716</v>
      </c>
      <c r="F752" s="2">
        <f ca="1">IFERROR(__xludf.DUMMYFUNCTION("""COMPUTED_VALUE"""),89716)</f>
        <v>89716</v>
      </c>
      <c r="H752" s="1" t="str">
        <f t="shared" ca="1" si="32"/>
        <v>Left-back</v>
      </c>
      <c r="I752" s="3" t="str">
        <f t="shared" ca="1" si="33"/>
        <v>D</v>
      </c>
      <c r="J752" s="1" t="str">
        <f t="shared" ca="1" si="34"/>
        <v>D</v>
      </c>
      <c r="K752" s="1" t="str">
        <f t="shared" ca="1" si="47"/>
        <v>D</v>
      </c>
      <c r="L752" s="1" t="str">
        <f t="shared" ca="1" si="35"/>
        <v>D</v>
      </c>
      <c r="M752" s="1" t="str">
        <f t="shared" ca="1" si="36"/>
        <v>D</v>
      </c>
      <c r="N752" s="1" t="str">
        <f t="shared" ca="1" si="37"/>
        <v>D</v>
      </c>
      <c r="O752" s="1" t="str">
        <f t="shared" ca="1" si="38"/>
        <v>D</v>
      </c>
      <c r="P752" s="1" t="str">
        <f t="shared" ca="1" si="39"/>
        <v>D</v>
      </c>
      <c r="Q752" s="1" t="str">
        <f t="shared" ca="1" si="40"/>
        <v>D</v>
      </c>
      <c r="R752" s="1" t="str">
        <f t="shared" ca="1" si="41"/>
        <v>D</v>
      </c>
      <c r="S752" s="1" t="str">
        <f t="shared" ca="1" si="42"/>
        <v>D</v>
      </c>
      <c r="T752" s="1" t="str">
        <f t="shared" ca="1" si="43"/>
        <v>D</v>
      </c>
      <c r="U752" s="1" t="str">
        <f t="shared" ca="1" si="44"/>
        <v>D</v>
      </c>
      <c r="V752" s="1" t="str">
        <f t="shared" ca="1" si="45"/>
        <v>D</v>
      </c>
      <c r="W752" s="1" t="str">
        <f t="shared" ca="1" si="46"/>
        <v>Ryan Spaulding</v>
      </c>
    </row>
    <row r="753" spans="1:23">
      <c r="A753" s="1" t="str">
        <f ca="1">IFERROR(__xludf.DUMMYFUNCTION("""COMPUTED_VALUE"""),"Tyrese")</f>
        <v>Tyrese</v>
      </c>
      <c r="B753" s="1" t="str">
        <f ca="1">IFERROR(__xludf.DUMMYFUNCTION("""COMPUTED_VALUE"""),"Spicer")</f>
        <v>Spicer</v>
      </c>
      <c r="C753" s="1" t="str">
        <f ca="1">IFERROR(__xludf.DUMMYFUNCTION("""COMPUTED_VALUE"""),"Toronto FC")</f>
        <v>Toronto FC</v>
      </c>
      <c r="D753" s="1" t="str">
        <f ca="1">IFERROR(__xludf.DUMMYFUNCTION("""COMPUTED_VALUE"""),"Left Wing")</f>
        <v>Left Wing</v>
      </c>
      <c r="E753" s="2">
        <f ca="1">IFERROR(__xludf.DUMMYFUNCTION("""COMPUTED_VALUE"""),71401)</f>
        <v>71401</v>
      </c>
      <c r="F753" s="2">
        <f ca="1">IFERROR(__xludf.DUMMYFUNCTION("""COMPUTED_VALUE"""),73901)</f>
        <v>73901</v>
      </c>
      <c r="H753" s="1" t="str">
        <f t="shared" ca="1" si="32"/>
        <v>Left Wing</v>
      </c>
      <c r="I753" s="3" t="str">
        <f t="shared" ca="1" si="33"/>
        <v>Left Wing</v>
      </c>
      <c r="J753" s="1" t="str">
        <f t="shared" ca="1" si="34"/>
        <v>Left Wing</v>
      </c>
      <c r="K753" s="1" t="str">
        <f t="shared" ca="1" si="47"/>
        <v>Left Wing</v>
      </c>
      <c r="L753" s="1" t="str">
        <f t="shared" ca="1" si="35"/>
        <v>Left Wing</v>
      </c>
      <c r="M753" s="1" t="str">
        <f t="shared" ca="1" si="36"/>
        <v>Left Wing</v>
      </c>
      <c r="N753" s="1" t="str">
        <f t="shared" ca="1" si="37"/>
        <v>Left Wing</v>
      </c>
      <c r="O753" s="1" t="str">
        <f t="shared" ca="1" si="38"/>
        <v>Left Wing</v>
      </c>
      <c r="P753" s="1" t="str">
        <f t="shared" ca="1" si="39"/>
        <v>F</v>
      </c>
      <c r="Q753" s="1" t="str">
        <f t="shared" ca="1" si="40"/>
        <v>F</v>
      </c>
      <c r="R753" s="1" t="str">
        <f t="shared" ca="1" si="41"/>
        <v>F</v>
      </c>
      <c r="S753" s="1" t="str">
        <f t="shared" ca="1" si="42"/>
        <v>F</v>
      </c>
      <c r="T753" s="1" t="str">
        <f t="shared" ca="1" si="43"/>
        <v>F</v>
      </c>
      <c r="U753" s="1" t="str">
        <f t="shared" ca="1" si="44"/>
        <v>F</v>
      </c>
      <c r="V753" s="1" t="str">
        <f t="shared" ca="1" si="45"/>
        <v>F</v>
      </c>
      <c r="W753" s="1" t="str">
        <f t="shared" ca="1" si="46"/>
        <v>Tyrese Spicer</v>
      </c>
    </row>
    <row r="754" spans="1:23">
      <c r="A754" s="1" t="str">
        <f ca="1">IFERROR(__xludf.DUMMYFUNCTION("""COMPUTED_VALUE"""),"Dayne")</f>
        <v>Dayne</v>
      </c>
      <c r="B754" s="1" t="str">
        <f ca="1">IFERROR(__xludf.DUMMYFUNCTION("""COMPUTED_VALUE"""),"St. Clair")</f>
        <v>St. Clair</v>
      </c>
      <c r="C754" s="1" t="str">
        <f ca="1">IFERROR(__xludf.DUMMYFUNCTION("""COMPUTED_VALUE"""),"Minnesota United")</f>
        <v>Minnesota United</v>
      </c>
      <c r="D754" s="1" t="str">
        <f ca="1">IFERROR(__xludf.DUMMYFUNCTION("""COMPUTED_VALUE"""),"Goalkeeper")</f>
        <v>Goalkeeper</v>
      </c>
      <c r="E754" s="2">
        <f ca="1">IFERROR(__xludf.DUMMYFUNCTION("""COMPUTED_VALUE"""),460000)</f>
        <v>460000</v>
      </c>
      <c r="F754" s="2">
        <f ca="1">IFERROR(__xludf.DUMMYFUNCTION("""COMPUTED_VALUE"""),481875)</f>
        <v>481875</v>
      </c>
      <c r="H754" s="1" t="str">
        <f t="shared" ca="1" si="32"/>
        <v>Goalkeeper</v>
      </c>
      <c r="I754" s="3" t="str">
        <f t="shared" ca="1" si="33"/>
        <v>Goalkeeper</v>
      </c>
      <c r="J754" s="1" t="str">
        <f t="shared" ca="1" si="34"/>
        <v>Goalkeeper</v>
      </c>
      <c r="K754" s="1" t="str">
        <f t="shared" ca="1" si="47"/>
        <v>Goalkeeper</v>
      </c>
      <c r="L754" s="1" t="str">
        <f t="shared" ca="1" si="35"/>
        <v>Goalkeeper</v>
      </c>
      <c r="M754" s="1" t="str">
        <f t="shared" ca="1" si="36"/>
        <v>Goalkeeper</v>
      </c>
      <c r="N754" s="1" t="str">
        <f t="shared" ca="1" si="37"/>
        <v>Goalkeeper</v>
      </c>
      <c r="O754" s="1" t="str">
        <f t="shared" ca="1" si="38"/>
        <v>Goalkeeper</v>
      </c>
      <c r="P754" s="1" t="str">
        <f t="shared" ca="1" si="39"/>
        <v>Goalkeeper</v>
      </c>
      <c r="Q754" s="1" t="str">
        <f t="shared" ca="1" si="40"/>
        <v>Goalkeeper</v>
      </c>
      <c r="R754" s="1" t="str">
        <f t="shared" ca="1" si="41"/>
        <v>GK</v>
      </c>
      <c r="S754" s="1" t="str">
        <f t="shared" ca="1" si="42"/>
        <v>GK</v>
      </c>
      <c r="T754" s="1" t="str">
        <f t="shared" ca="1" si="43"/>
        <v>GK</v>
      </c>
      <c r="U754" s="1" t="str">
        <f t="shared" ca="1" si="44"/>
        <v>GK</v>
      </c>
      <c r="V754" s="1" t="str">
        <f t="shared" ca="1" si="45"/>
        <v>GK</v>
      </c>
      <c r="W754" s="1" t="str">
        <f t="shared" ca="1" si="46"/>
        <v>Dayne St. Clair</v>
      </c>
    </row>
    <row r="755" spans="1:23">
      <c r="A755" s="1" t="str">
        <f ca="1">IFERROR(__xludf.DUMMYFUNCTION("""COMPUTED_VALUE"""),"Mason")</f>
        <v>Mason</v>
      </c>
      <c r="B755" s="1" t="str">
        <f ca="1">IFERROR(__xludf.DUMMYFUNCTION("""COMPUTED_VALUE"""),"Stajduhar")</f>
        <v>Stajduhar</v>
      </c>
      <c r="C755" s="1" t="str">
        <f ca="1">IFERROR(__xludf.DUMMYFUNCTION("""COMPUTED_VALUE"""),"Orlando City SC")</f>
        <v>Orlando City SC</v>
      </c>
      <c r="D755" s="1" t="str">
        <f ca="1">IFERROR(__xludf.DUMMYFUNCTION("""COMPUTED_VALUE"""),"Goalkeeper")</f>
        <v>Goalkeeper</v>
      </c>
      <c r="E755" s="2">
        <f ca="1">IFERROR(__xludf.DUMMYFUNCTION("""COMPUTED_VALUE"""),142000)</f>
        <v>142000</v>
      </c>
      <c r="F755" s="2">
        <f ca="1">IFERROR(__xludf.DUMMYFUNCTION("""COMPUTED_VALUE"""),157650)</f>
        <v>157650</v>
      </c>
      <c r="H755" s="1" t="str">
        <f t="shared" ca="1" si="32"/>
        <v>Goalkeeper</v>
      </c>
      <c r="I755" s="3" t="str">
        <f t="shared" ca="1" si="33"/>
        <v>Goalkeeper</v>
      </c>
      <c r="J755" s="1" t="str">
        <f t="shared" ca="1" si="34"/>
        <v>Goalkeeper</v>
      </c>
      <c r="K755" s="1" t="str">
        <f t="shared" ca="1" si="47"/>
        <v>Goalkeeper</v>
      </c>
      <c r="L755" s="1" t="str">
        <f t="shared" ca="1" si="35"/>
        <v>Goalkeeper</v>
      </c>
      <c r="M755" s="1" t="str">
        <f t="shared" ca="1" si="36"/>
        <v>Goalkeeper</v>
      </c>
      <c r="N755" s="1" t="str">
        <f t="shared" ca="1" si="37"/>
        <v>Goalkeeper</v>
      </c>
      <c r="O755" s="1" t="str">
        <f t="shared" ca="1" si="38"/>
        <v>Goalkeeper</v>
      </c>
      <c r="P755" s="1" t="str">
        <f t="shared" ca="1" si="39"/>
        <v>Goalkeeper</v>
      </c>
      <c r="Q755" s="1" t="str">
        <f t="shared" ca="1" si="40"/>
        <v>Goalkeeper</v>
      </c>
      <c r="R755" s="1" t="str">
        <f t="shared" ca="1" si="41"/>
        <v>GK</v>
      </c>
      <c r="S755" s="1" t="str">
        <f t="shared" ca="1" si="42"/>
        <v>GK</v>
      </c>
      <c r="T755" s="1" t="str">
        <f t="shared" ca="1" si="43"/>
        <v>GK</v>
      </c>
      <c r="U755" s="1" t="str">
        <f t="shared" ca="1" si="44"/>
        <v>GK</v>
      </c>
      <c r="V755" s="1" t="str">
        <f t="shared" ca="1" si="45"/>
        <v>GK</v>
      </c>
      <c r="W755" s="1" t="str">
        <f t="shared" ca="1" si="46"/>
        <v>Mason Stajduhar</v>
      </c>
    </row>
    <row r="756" spans="1:23">
      <c r="A756" s="1" t="str">
        <f ca="1">IFERROR(__xludf.DUMMYFUNCTION("""COMPUTED_VALUE"""),"Zack")</f>
        <v>Zack</v>
      </c>
      <c r="B756" s="1" t="str">
        <f ca="1">IFERROR(__xludf.DUMMYFUNCTION("""COMPUTED_VALUE"""),"Steffen")</f>
        <v>Steffen</v>
      </c>
      <c r="C756" s="1" t="str">
        <f ca="1">IFERROR(__xludf.DUMMYFUNCTION("""COMPUTED_VALUE"""),"Colorado Rapids")</f>
        <v>Colorado Rapids</v>
      </c>
      <c r="D756" s="1" t="str">
        <f ca="1">IFERROR(__xludf.DUMMYFUNCTION("""COMPUTED_VALUE"""),"Goalkeeper")</f>
        <v>Goalkeeper</v>
      </c>
      <c r="E756" s="2">
        <f ca="1">IFERROR(__xludf.DUMMYFUNCTION("""COMPUTED_VALUE"""),900000)</f>
        <v>900000</v>
      </c>
      <c r="F756" s="2">
        <f ca="1">IFERROR(__xludf.DUMMYFUNCTION("""COMPUTED_VALUE"""),900000)</f>
        <v>900000</v>
      </c>
      <c r="H756" s="1" t="str">
        <f t="shared" ca="1" si="32"/>
        <v>Goalkeeper</v>
      </c>
      <c r="I756" s="3" t="str">
        <f t="shared" ca="1" si="33"/>
        <v>Goalkeeper</v>
      </c>
      <c r="J756" s="1" t="str">
        <f t="shared" ca="1" si="34"/>
        <v>Goalkeeper</v>
      </c>
      <c r="K756" s="1" t="str">
        <f t="shared" ca="1" si="47"/>
        <v>Goalkeeper</v>
      </c>
      <c r="L756" s="1" t="str">
        <f t="shared" ca="1" si="35"/>
        <v>Goalkeeper</v>
      </c>
      <c r="M756" s="1" t="str">
        <f t="shared" ca="1" si="36"/>
        <v>Goalkeeper</v>
      </c>
      <c r="N756" s="1" t="str">
        <f t="shared" ca="1" si="37"/>
        <v>Goalkeeper</v>
      </c>
      <c r="O756" s="1" t="str">
        <f t="shared" ca="1" si="38"/>
        <v>Goalkeeper</v>
      </c>
      <c r="P756" s="1" t="str">
        <f t="shared" ca="1" si="39"/>
        <v>Goalkeeper</v>
      </c>
      <c r="Q756" s="1" t="str">
        <f t="shared" ca="1" si="40"/>
        <v>Goalkeeper</v>
      </c>
      <c r="R756" s="1" t="str">
        <f t="shared" ca="1" si="41"/>
        <v>GK</v>
      </c>
      <c r="S756" s="1" t="str">
        <f t="shared" ca="1" si="42"/>
        <v>GK</v>
      </c>
      <c r="T756" s="1" t="str">
        <f t="shared" ca="1" si="43"/>
        <v>GK</v>
      </c>
      <c r="U756" s="1" t="str">
        <f t="shared" ca="1" si="44"/>
        <v>GK</v>
      </c>
      <c r="V756" s="1" t="str">
        <f t="shared" ca="1" si="45"/>
        <v>GK</v>
      </c>
      <c r="W756" s="1" t="str">
        <f t="shared" ca="1" si="46"/>
        <v>Zack Steffen</v>
      </c>
    </row>
    <row r="757" spans="1:23">
      <c r="A757" s="1" t="str">
        <f ca="1">IFERROR(__xludf.DUMMYFUNCTION("""COMPUTED_VALUE"""),"Daniel")</f>
        <v>Daniel</v>
      </c>
      <c r="B757" s="1" t="str">
        <f ca="1">IFERROR(__xludf.DUMMYFUNCTION("""COMPUTED_VALUE"""),"Steres")</f>
        <v>Steres</v>
      </c>
      <c r="C757" s="1" t="str">
        <f ca="1">IFERROR(__xludf.DUMMYFUNCTION("""COMPUTED_VALUE"""),"Houston Dynamo")</f>
        <v>Houston Dynamo</v>
      </c>
      <c r="D757" s="1" t="str">
        <f ca="1">IFERROR(__xludf.DUMMYFUNCTION("""COMPUTED_VALUE"""),"Center-back")</f>
        <v>Center-back</v>
      </c>
      <c r="E757" s="2">
        <f ca="1">IFERROR(__xludf.DUMMYFUNCTION("""COMPUTED_VALUE"""),450000)</f>
        <v>450000</v>
      </c>
      <c r="F757" s="2">
        <f ca="1">IFERROR(__xludf.DUMMYFUNCTION("""COMPUTED_VALUE"""),498425)</f>
        <v>498425</v>
      </c>
      <c r="H757" s="1" t="str">
        <f t="shared" ca="1" si="32"/>
        <v>D</v>
      </c>
      <c r="I757" s="3" t="str">
        <f t="shared" ca="1" si="33"/>
        <v>D</v>
      </c>
      <c r="J757" s="1" t="str">
        <f t="shared" ca="1" si="34"/>
        <v>D</v>
      </c>
      <c r="K757" s="1" t="str">
        <f t="shared" ca="1" si="47"/>
        <v>D</v>
      </c>
      <c r="L757" s="1" t="str">
        <f t="shared" ca="1" si="35"/>
        <v>D</v>
      </c>
      <c r="M757" s="1" t="str">
        <f t="shared" ca="1" si="36"/>
        <v>D</v>
      </c>
      <c r="N757" s="1" t="str">
        <f t="shared" ca="1" si="37"/>
        <v>D</v>
      </c>
      <c r="O757" s="1" t="str">
        <f t="shared" ca="1" si="38"/>
        <v>D</v>
      </c>
      <c r="P757" s="1" t="str">
        <f t="shared" ca="1" si="39"/>
        <v>D</v>
      </c>
      <c r="Q757" s="1" t="str">
        <f t="shared" ca="1" si="40"/>
        <v>D</v>
      </c>
      <c r="R757" s="1" t="str">
        <f t="shared" ca="1" si="41"/>
        <v>D</v>
      </c>
      <c r="S757" s="1" t="str">
        <f t="shared" ca="1" si="42"/>
        <v>D</v>
      </c>
      <c r="T757" s="1" t="str">
        <f t="shared" ca="1" si="43"/>
        <v>D</v>
      </c>
      <c r="U757" s="1" t="str">
        <f t="shared" ca="1" si="44"/>
        <v>D</v>
      </c>
      <c r="V757" s="1" t="str">
        <f t="shared" ca="1" si="45"/>
        <v>D</v>
      </c>
      <c r="W757" s="1" t="str">
        <f t="shared" ca="1" si="46"/>
        <v>Daniel Steres</v>
      </c>
    </row>
    <row r="758" spans="1:23">
      <c r="A758" s="1" t="str">
        <f ca="1">IFERROR(__xludf.DUMMYFUNCTION("""COMPUTED_VALUE"""),"Kimani")</f>
        <v>Kimani</v>
      </c>
      <c r="B758" s="1" t="str">
        <f ca="1">IFERROR(__xludf.DUMMYFUNCTION("""COMPUTED_VALUE"""),"Stewart-Baynes")</f>
        <v>Stewart-Baynes</v>
      </c>
      <c r="C758" s="1" t="str">
        <f ca="1">IFERROR(__xludf.DUMMYFUNCTION("""COMPUTED_VALUE"""),"Colorado Rapids")</f>
        <v>Colorado Rapids</v>
      </c>
      <c r="D758" s="1" t="str">
        <f ca="1">IFERROR(__xludf.DUMMYFUNCTION("""COMPUTED_VALUE"""),"Left Wing")</f>
        <v>Left Wing</v>
      </c>
      <c r="E758" s="2">
        <f ca="1">IFERROR(__xludf.DUMMYFUNCTION("""COMPUTED_VALUE"""),71401)</f>
        <v>71401</v>
      </c>
      <c r="F758" s="2">
        <f ca="1">IFERROR(__xludf.DUMMYFUNCTION("""COMPUTED_VALUE"""),72401)</f>
        <v>72401</v>
      </c>
      <c r="H758" s="1" t="str">
        <f t="shared" ca="1" si="32"/>
        <v>Left Wing</v>
      </c>
      <c r="I758" s="3" t="str">
        <f t="shared" ca="1" si="33"/>
        <v>Left Wing</v>
      </c>
      <c r="J758" s="1" t="str">
        <f t="shared" ca="1" si="34"/>
        <v>Left Wing</v>
      </c>
      <c r="K758" s="1" t="str">
        <f t="shared" ca="1" si="47"/>
        <v>Left Wing</v>
      </c>
      <c r="L758" s="1" t="str">
        <f t="shared" ca="1" si="35"/>
        <v>Left Wing</v>
      </c>
      <c r="M758" s="1" t="str">
        <f t="shared" ca="1" si="36"/>
        <v>Left Wing</v>
      </c>
      <c r="N758" s="1" t="str">
        <f t="shared" ca="1" si="37"/>
        <v>Left Wing</v>
      </c>
      <c r="O758" s="1" t="str">
        <f t="shared" ca="1" si="38"/>
        <v>Left Wing</v>
      </c>
      <c r="P758" s="1" t="str">
        <f t="shared" ca="1" si="39"/>
        <v>F</v>
      </c>
      <c r="Q758" s="1" t="str">
        <f t="shared" ca="1" si="40"/>
        <v>F</v>
      </c>
      <c r="R758" s="1" t="str">
        <f t="shared" ca="1" si="41"/>
        <v>F</v>
      </c>
      <c r="S758" s="1" t="str">
        <f t="shared" ca="1" si="42"/>
        <v>F</v>
      </c>
      <c r="T758" s="1" t="str">
        <f t="shared" ca="1" si="43"/>
        <v>F</v>
      </c>
      <c r="U758" s="1" t="str">
        <f t="shared" ca="1" si="44"/>
        <v>F</v>
      </c>
      <c r="V758" s="1" t="str">
        <f t="shared" ca="1" si="45"/>
        <v>F</v>
      </c>
      <c r="W758" s="1" t="str">
        <f t="shared" ca="1" si="46"/>
        <v>Kimani Stewart-Baynes</v>
      </c>
    </row>
    <row r="759" spans="1:23">
      <c r="A759" s="1" t="str">
        <f ca="1">IFERROR(__xludf.DUMMYFUNCTION("""COMPUTED_VALUE"""),"Aidan")</f>
        <v>Aidan</v>
      </c>
      <c r="B759" s="1" t="str">
        <f ca="1">IFERROR(__xludf.DUMMYFUNCTION("""COMPUTED_VALUE"""),"Stokes")</f>
        <v>Stokes</v>
      </c>
      <c r="C759" s="1" t="str">
        <f ca="1">IFERROR(__xludf.DUMMYFUNCTION("""COMPUTED_VALUE"""),"New York Red Bulls")</f>
        <v>New York Red Bulls</v>
      </c>
      <c r="D759" s="1" t="str">
        <f ca="1">IFERROR(__xludf.DUMMYFUNCTION("""COMPUTED_VALUE"""),"Goalkeeper")</f>
        <v>Goalkeeper</v>
      </c>
      <c r="E759" s="2">
        <f ca="1">IFERROR(__xludf.DUMMYFUNCTION("""COMPUTED_VALUE"""),71401)</f>
        <v>71401</v>
      </c>
      <c r="F759" s="2">
        <f ca="1">IFERROR(__xludf.DUMMYFUNCTION("""COMPUTED_VALUE"""),88169)</f>
        <v>88169</v>
      </c>
      <c r="H759" s="1" t="str">
        <f t="shared" ca="1" si="32"/>
        <v>Goalkeeper</v>
      </c>
      <c r="I759" s="3" t="str">
        <f t="shared" ca="1" si="33"/>
        <v>Goalkeeper</v>
      </c>
      <c r="J759" s="1" t="str">
        <f t="shared" ca="1" si="34"/>
        <v>Goalkeeper</v>
      </c>
      <c r="K759" s="1" t="str">
        <f t="shared" ca="1" si="47"/>
        <v>Goalkeeper</v>
      </c>
      <c r="L759" s="1" t="str">
        <f t="shared" ca="1" si="35"/>
        <v>Goalkeeper</v>
      </c>
      <c r="M759" s="1" t="str">
        <f t="shared" ca="1" si="36"/>
        <v>Goalkeeper</v>
      </c>
      <c r="N759" s="1" t="str">
        <f t="shared" ca="1" si="37"/>
        <v>Goalkeeper</v>
      </c>
      <c r="O759" s="1" t="str">
        <f t="shared" ca="1" si="38"/>
        <v>Goalkeeper</v>
      </c>
      <c r="P759" s="1" t="str">
        <f t="shared" ca="1" si="39"/>
        <v>Goalkeeper</v>
      </c>
      <c r="Q759" s="1" t="str">
        <f t="shared" ca="1" si="40"/>
        <v>Goalkeeper</v>
      </c>
      <c r="R759" s="1" t="str">
        <f t="shared" ca="1" si="41"/>
        <v>GK</v>
      </c>
      <c r="S759" s="1" t="str">
        <f t="shared" ca="1" si="42"/>
        <v>GK</v>
      </c>
      <c r="T759" s="1" t="str">
        <f t="shared" ca="1" si="43"/>
        <v>GK</v>
      </c>
      <c r="U759" s="1" t="str">
        <f t="shared" ca="1" si="44"/>
        <v>GK</v>
      </c>
      <c r="V759" s="1" t="str">
        <f t="shared" ca="1" si="45"/>
        <v>GK</v>
      </c>
      <c r="W759" s="1" t="str">
        <f t="shared" ca="1" si="46"/>
        <v>Aidan Stokes</v>
      </c>
    </row>
    <row r="760" spans="1:23">
      <c r="A760" s="1" t="str">
        <f ca="1">IFERROR(__xludf.DUMMYFUNCTION("""COMPUTED_VALUE"""),"Jared")</f>
        <v>Jared</v>
      </c>
      <c r="B760" s="1" t="str">
        <f ca="1">IFERROR(__xludf.DUMMYFUNCTION("""COMPUTED_VALUE"""),"Stroud")</f>
        <v>Stroud</v>
      </c>
      <c r="C760" s="1" t="str">
        <f ca="1">IFERROR(__xludf.DUMMYFUNCTION("""COMPUTED_VALUE"""),"DC United")</f>
        <v>DC United</v>
      </c>
      <c r="D760" s="1" t="str">
        <f ca="1">IFERROR(__xludf.DUMMYFUNCTION("""COMPUTED_VALUE"""),"Left Wing")</f>
        <v>Left Wing</v>
      </c>
      <c r="E760" s="2">
        <f ca="1">IFERROR(__xludf.DUMMYFUNCTION("""COMPUTED_VALUE"""),230000)</f>
        <v>230000</v>
      </c>
      <c r="F760" s="2">
        <f ca="1">IFERROR(__xludf.DUMMYFUNCTION("""COMPUTED_VALUE"""),272500)</f>
        <v>272500</v>
      </c>
      <c r="H760" s="1" t="str">
        <f t="shared" ca="1" si="32"/>
        <v>Left Wing</v>
      </c>
      <c r="I760" s="3" t="str">
        <f t="shared" ca="1" si="33"/>
        <v>Left Wing</v>
      </c>
      <c r="J760" s="1" t="str">
        <f t="shared" ca="1" si="34"/>
        <v>Left Wing</v>
      </c>
      <c r="K760" s="1" t="str">
        <f t="shared" ca="1" si="47"/>
        <v>Left Wing</v>
      </c>
      <c r="L760" s="1" t="str">
        <f t="shared" ca="1" si="35"/>
        <v>Left Wing</v>
      </c>
      <c r="M760" s="1" t="str">
        <f t="shared" ca="1" si="36"/>
        <v>Left Wing</v>
      </c>
      <c r="N760" s="1" t="str">
        <f t="shared" ca="1" si="37"/>
        <v>Left Wing</v>
      </c>
      <c r="O760" s="1" t="str">
        <f t="shared" ca="1" si="38"/>
        <v>Left Wing</v>
      </c>
      <c r="P760" s="1" t="str">
        <f t="shared" ca="1" si="39"/>
        <v>F</v>
      </c>
      <c r="Q760" s="1" t="str">
        <f t="shared" ca="1" si="40"/>
        <v>F</v>
      </c>
      <c r="R760" s="1" t="str">
        <f t="shared" ca="1" si="41"/>
        <v>F</v>
      </c>
      <c r="S760" s="1" t="str">
        <f t="shared" ca="1" si="42"/>
        <v>F</v>
      </c>
      <c r="T760" s="1" t="str">
        <f t="shared" ca="1" si="43"/>
        <v>F</v>
      </c>
      <c r="U760" s="1" t="str">
        <f t="shared" ca="1" si="44"/>
        <v>F</v>
      </c>
      <c r="V760" s="1" t="str">
        <f t="shared" ca="1" si="45"/>
        <v>F</v>
      </c>
      <c r="W760" s="1" t="str">
        <f t="shared" ca="1" si="46"/>
        <v>Jared Stroud</v>
      </c>
    </row>
    <row r="761" spans="1:23">
      <c r="A761" s="1" t="str">
        <f ca="1">IFERROR(__xludf.DUMMYFUNCTION("""COMPUTED_VALUE"""),"Peter")</f>
        <v>Peter</v>
      </c>
      <c r="B761" s="1" t="str">
        <f ca="1">IFERROR(__xludf.DUMMYFUNCTION("""COMPUTED_VALUE"""),"Stroud")</f>
        <v>Stroud</v>
      </c>
      <c r="C761" s="1" t="str">
        <f ca="1">IFERROR(__xludf.DUMMYFUNCTION("""COMPUTED_VALUE"""),"New York Red Bulls")</f>
        <v>New York Red Bulls</v>
      </c>
      <c r="D761" s="1" t="str">
        <f ca="1">IFERROR(__xludf.DUMMYFUNCTION("""COMPUTED_VALUE"""),"Central Midfield")</f>
        <v>Central Midfield</v>
      </c>
      <c r="E761" s="2">
        <f ca="1">IFERROR(__xludf.DUMMYFUNCTION("""COMPUTED_VALUE"""),89716)</f>
        <v>89716</v>
      </c>
      <c r="F761" s="2">
        <f ca="1">IFERROR(__xludf.DUMMYFUNCTION("""COMPUTED_VALUE"""),109719)</f>
        <v>109719</v>
      </c>
      <c r="H761" s="1" t="str">
        <f t="shared" ca="1" si="32"/>
        <v>Central Midfield</v>
      </c>
      <c r="I761" s="3" t="str">
        <f t="shared" ca="1" si="33"/>
        <v>Central Midfield</v>
      </c>
      <c r="J761" s="1" t="str">
        <f t="shared" ca="1" si="34"/>
        <v>Central Midfield</v>
      </c>
      <c r="K761" s="1" t="str">
        <f t="shared" ca="1" si="47"/>
        <v>Central Midfield</v>
      </c>
      <c r="L761" s="1" t="str">
        <f t="shared" ca="1" si="35"/>
        <v>M</v>
      </c>
      <c r="M761" s="1" t="str">
        <f t="shared" ca="1" si="36"/>
        <v>M</v>
      </c>
      <c r="N761" s="1" t="str">
        <f t="shared" ca="1" si="37"/>
        <v>M</v>
      </c>
      <c r="O761" s="1" t="str">
        <f t="shared" ca="1" si="38"/>
        <v>M</v>
      </c>
      <c r="P761" s="1" t="str">
        <f t="shared" ca="1" si="39"/>
        <v>M</v>
      </c>
      <c r="Q761" s="1" t="str">
        <f t="shared" ca="1" si="40"/>
        <v>M</v>
      </c>
      <c r="R761" s="1" t="str">
        <f t="shared" ca="1" si="41"/>
        <v>M</v>
      </c>
      <c r="S761" s="1" t="str">
        <f t="shared" ca="1" si="42"/>
        <v>M</v>
      </c>
      <c r="T761" s="1" t="str">
        <f t="shared" ca="1" si="43"/>
        <v>M</v>
      </c>
      <c r="U761" s="1" t="str">
        <f t="shared" ca="1" si="44"/>
        <v>M</v>
      </c>
      <c r="V761" s="1" t="str">
        <f t="shared" ca="1" si="45"/>
        <v>M</v>
      </c>
      <c r="W761" s="1" t="str">
        <f t="shared" ca="1" si="46"/>
        <v>Peter Stroud</v>
      </c>
    </row>
    <row r="762" spans="1:23">
      <c r="A762" s="1" t="str">
        <f ca="1">IFERROR(__xludf.DUMMYFUNCTION("""COMPUTED_VALUE"""),"Brad")</f>
        <v>Brad</v>
      </c>
      <c r="B762" s="1" t="str">
        <f ca="1">IFERROR(__xludf.DUMMYFUNCTION("""COMPUTED_VALUE"""),"Stuver")</f>
        <v>Stuver</v>
      </c>
      <c r="C762" s="1" t="str">
        <f ca="1">IFERROR(__xludf.DUMMYFUNCTION("""COMPUTED_VALUE"""),"Austin FC")</f>
        <v>Austin FC</v>
      </c>
      <c r="D762" s="1" t="str">
        <f ca="1">IFERROR(__xludf.DUMMYFUNCTION("""COMPUTED_VALUE"""),"Goalkeeper")</f>
        <v>Goalkeeper</v>
      </c>
      <c r="E762" s="2">
        <f ca="1">IFERROR(__xludf.DUMMYFUNCTION("""COMPUTED_VALUE"""),459000)</f>
        <v>459000</v>
      </c>
      <c r="F762" s="2">
        <f ca="1">IFERROR(__xludf.DUMMYFUNCTION("""COMPUTED_VALUE"""),481813)</f>
        <v>481813</v>
      </c>
      <c r="H762" s="1" t="str">
        <f t="shared" ca="1" si="32"/>
        <v>Goalkeeper</v>
      </c>
      <c r="I762" s="3" t="str">
        <f t="shared" ca="1" si="33"/>
        <v>Goalkeeper</v>
      </c>
      <c r="J762" s="1" t="str">
        <f t="shared" ca="1" si="34"/>
        <v>Goalkeeper</v>
      </c>
      <c r="K762" s="1" t="str">
        <f t="shared" ca="1" si="47"/>
        <v>Goalkeeper</v>
      </c>
      <c r="L762" s="1" t="str">
        <f t="shared" ca="1" si="35"/>
        <v>Goalkeeper</v>
      </c>
      <c r="M762" s="1" t="str">
        <f t="shared" ca="1" si="36"/>
        <v>Goalkeeper</v>
      </c>
      <c r="N762" s="1" t="str">
        <f t="shared" ca="1" si="37"/>
        <v>Goalkeeper</v>
      </c>
      <c r="O762" s="1" t="str">
        <f t="shared" ca="1" si="38"/>
        <v>Goalkeeper</v>
      </c>
      <c r="P762" s="1" t="str">
        <f t="shared" ca="1" si="39"/>
        <v>Goalkeeper</v>
      </c>
      <c r="Q762" s="1" t="str">
        <f t="shared" ca="1" si="40"/>
        <v>Goalkeeper</v>
      </c>
      <c r="R762" s="1" t="str">
        <f t="shared" ca="1" si="41"/>
        <v>GK</v>
      </c>
      <c r="S762" s="1" t="str">
        <f t="shared" ca="1" si="42"/>
        <v>GK</v>
      </c>
      <c r="T762" s="1" t="str">
        <f t="shared" ca="1" si="43"/>
        <v>GK</v>
      </c>
      <c r="U762" s="1" t="str">
        <f t="shared" ca="1" si="44"/>
        <v>GK</v>
      </c>
      <c r="V762" s="1" t="str">
        <f t="shared" ca="1" si="45"/>
        <v>GK</v>
      </c>
      <c r="W762" s="1" t="str">
        <f t="shared" ca="1" si="46"/>
        <v>Brad Stuver</v>
      </c>
    </row>
    <row r="763" spans="1:23">
      <c r="A763" s="1" t="str">
        <f ca="1">IFERROR(__xludf.DUMMYFUNCTION("""COMPUTED_VALUE"""),"Santiago")</f>
        <v>Santiago</v>
      </c>
      <c r="B763" s="1" t="str">
        <f ca="1">IFERROR(__xludf.DUMMYFUNCTION("""COMPUTED_VALUE"""),"Suárez")</f>
        <v>Suárez</v>
      </c>
      <c r="C763" s="1" t="str">
        <f ca="1">IFERROR(__xludf.DUMMYFUNCTION("""COMPUTED_VALUE"""),"New England Revolution")</f>
        <v>New England Revolution</v>
      </c>
      <c r="D763" s="1" t="str">
        <f ca="1">IFERROR(__xludf.DUMMYFUNCTION("""COMPUTED_VALUE"""),"Center-back")</f>
        <v>Center-back</v>
      </c>
      <c r="E763" s="2">
        <f ca="1">IFERROR(__xludf.DUMMYFUNCTION("""COMPUTED_VALUE"""),89716)</f>
        <v>89716</v>
      </c>
      <c r="F763" s="2">
        <f ca="1">IFERROR(__xludf.DUMMYFUNCTION("""COMPUTED_VALUE"""),102938)</f>
        <v>102938</v>
      </c>
      <c r="H763" s="1" t="str">
        <f t="shared" ca="1" si="32"/>
        <v>D</v>
      </c>
      <c r="I763" s="3" t="str">
        <f t="shared" ca="1" si="33"/>
        <v>D</v>
      </c>
      <c r="J763" s="1" t="str">
        <f t="shared" ca="1" si="34"/>
        <v>D</v>
      </c>
      <c r="K763" s="1" t="str">
        <f t="shared" ca="1" si="47"/>
        <v>D</v>
      </c>
      <c r="L763" s="1" t="str">
        <f t="shared" ca="1" si="35"/>
        <v>D</v>
      </c>
      <c r="M763" s="1" t="str">
        <f t="shared" ca="1" si="36"/>
        <v>D</v>
      </c>
      <c r="N763" s="1" t="str">
        <f t="shared" ca="1" si="37"/>
        <v>D</v>
      </c>
      <c r="O763" s="1" t="str">
        <f t="shared" ca="1" si="38"/>
        <v>D</v>
      </c>
      <c r="P763" s="1" t="str">
        <f t="shared" ca="1" si="39"/>
        <v>D</v>
      </c>
      <c r="Q763" s="1" t="str">
        <f t="shared" ca="1" si="40"/>
        <v>D</v>
      </c>
      <c r="R763" s="1" t="str">
        <f t="shared" ca="1" si="41"/>
        <v>D</v>
      </c>
      <c r="S763" s="1" t="str">
        <f t="shared" ca="1" si="42"/>
        <v>D</v>
      </c>
      <c r="T763" s="1" t="str">
        <f t="shared" ca="1" si="43"/>
        <v>D</v>
      </c>
      <c r="U763" s="1" t="str">
        <f t="shared" ca="1" si="44"/>
        <v>D</v>
      </c>
      <c r="V763" s="1" t="str">
        <f t="shared" ca="1" si="45"/>
        <v>D</v>
      </c>
      <c r="W763" s="1" t="str">
        <f t="shared" ca="1" si="46"/>
        <v>Santiago Suárez</v>
      </c>
    </row>
    <row r="764" spans="1:23">
      <c r="A764" s="1" t="str">
        <f ca="1">IFERROR(__xludf.DUMMYFUNCTION("""COMPUTED_VALUE"""),"Luis")</f>
        <v>Luis</v>
      </c>
      <c r="B764" s="1" t="str">
        <f ca="1">IFERROR(__xludf.DUMMYFUNCTION("""COMPUTED_VALUE"""),"Suárez")</f>
        <v>Suárez</v>
      </c>
      <c r="C764" s="1" t="str">
        <f ca="1">IFERROR(__xludf.DUMMYFUNCTION("""COMPUTED_VALUE"""),"Inter Miami")</f>
        <v>Inter Miami</v>
      </c>
      <c r="D764" s="1" t="str">
        <f ca="1">IFERROR(__xludf.DUMMYFUNCTION("""COMPUTED_VALUE"""),"Center Forward")</f>
        <v>Center Forward</v>
      </c>
      <c r="E764" s="2">
        <f ca="1">IFERROR(__xludf.DUMMYFUNCTION("""COMPUTED_VALUE"""),1500000)</f>
        <v>1500000</v>
      </c>
      <c r="F764" s="2">
        <f ca="1">IFERROR(__xludf.DUMMYFUNCTION("""COMPUTED_VALUE"""),1500000)</f>
        <v>1500000</v>
      </c>
      <c r="H764" s="1" t="str">
        <f t="shared" ca="1" si="32"/>
        <v>Center Forward</v>
      </c>
      <c r="I764" s="3" t="str">
        <f t="shared" ca="1" si="33"/>
        <v>Center Forward</v>
      </c>
      <c r="J764" s="1" t="str">
        <f t="shared" ca="1" si="34"/>
        <v>Center Forward</v>
      </c>
      <c r="K764" s="1" t="str">
        <f t="shared" ca="1" si="47"/>
        <v>Center Forward</v>
      </c>
      <c r="L764" s="1" t="str">
        <f t="shared" ca="1" si="35"/>
        <v>Center Forward</v>
      </c>
      <c r="M764" s="1" t="str">
        <f t="shared" ca="1" si="36"/>
        <v>Center Forward</v>
      </c>
      <c r="N764" s="1" t="str">
        <f t="shared" ca="1" si="37"/>
        <v>Center Forward</v>
      </c>
      <c r="O764" s="1" t="str">
        <f t="shared" ca="1" si="38"/>
        <v>F</v>
      </c>
      <c r="P764" s="1" t="str">
        <f t="shared" ca="1" si="39"/>
        <v>F</v>
      </c>
      <c r="Q764" s="1" t="str">
        <f t="shared" ca="1" si="40"/>
        <v>F</v>
      </c>
      <c r="R764" s="1" t="str">
        <f t="shared" ca="1" si="41"/>
        <v>F</v>
      </c>
      <c r="S764" s="1" t="str">
        <f t="shared" ca="1" si="42"/>
        <v>F</v>
      </c>
      <c r="T764" s="1" t="str">
        <f t="shared" ca="1" si="43"/>
        <v>F</v>
      </c>
      <c r="U764" s="1" t="str">
        <f t="shared" ca="1" si="44"/>
        <v>F</v>
      </c>
      <c r="V764" s="1" t="str">
        <f t="shared" ca="1" si="45"/>
        <v>F</v>
      </c>
      <c r="W764" s="1" t="str">
        <f t="shared" ca="1" si="46"/>
        <v>Luis Suárez</v>
      </c>
    </row>
    <row r="765" spans="1:23">
      <c r="A765" s="1" t="str">
        <f ca="1">IFERROR(__xludf.DUMMYFUNCTION("""COMPUTED_VALUE"""),"Quinn")</f>
        <v>Quinn</v>
      </c>
      <c r="B765" s="1" t="str">
        <f ca="1">IFERROR(__xludf.DUMMYFUNCTION("""COMPUTED_VALUE"""),"Sullivan")</f>
        <v>Sullivan</v>
      </c>
      <c r="C765" s="1" t="str">
        <f ca="1">IFERROR(__xludf.DUMMYFUNCTION("""COMPUTED_VALUE"""),"Philadelphia Union")</f>
        <v>Philadelphia Union</v>
      </c>
      <c r="D765" s="1" t="str">
        <f ca="1">IFERROR(__xludf.DUMMYFUNCTION("""COMPUTED_VALUE"""),"Right Midfield")</f>
        <v>Right Midfield</v>
      </c>
      <c r="E765" s="2">
        <f ca="1">IFERROR(__xludf.DUMMYFUNCTION("""COMPUTED_VALUE"""),150000)</f>
        <v>150000</v>
      </c>
      <c r="F765" s="2">
        <f ca="1">IFERROR(__xludf.DUMMYFUNCTION("""COMPUTED_VALUE"""),153500)</f>
        <v>153500</v>
      </c>
      <c r="H765" s="1" t="str">
        <f t="shared" ca="1" si="32"/>
        <v>Right Midfield</v>
      </c>
      <c r="I765" s="3" t="str">
        <f t="shared" ca="1" si="33"/>
        <v>Right Midfield</v>
      </c>
      <c r="J765" s="1" t="str">
        <f t="shared" ca="1" si="34"/>
        <v>Right Midfield</v>
      </c>
      <c r="K765" s="1" t="str">
        <f t="shared" ca="1" si="47"/>
        <v>Right Midfield</v>
      </c>
      <c r="L765" s="1" t="str">
        <f t="shared" ca="1" si="35"/>
        <v>Right Midfield</v>
      </c>
      <c r="M765" s="1" t="str">
        <f t="shared" ca="1" si="36"/>
        <v>Right Midfield</v>
      </c>
      <c r="N765" s="1" t="str">
        <f t="shared" ca="1" si="37"/>
        <v>Right Midfield</v>
      </c>
      <c r="O765" s="1" t="str">
        <f t="shared" ca="1" si="38"/>
        <v>Right Midfield</v>
      </c>
      <c r="P765" s="1" t="str">
        <f t="shared" ca="1" si="39"/>
        <v>Right Midfield</v>
      </c>
      <c r="Q765" s="1" t="str">
        <f t="shared" ca="1" si="40"/>
        <v>Right Midfield</v>
      </c>
      <c r="R765" s="1" t="str">
        <f t="shared" ca="1" si="41"/>
        <v>Right Midfield</v>
      </c>
      <c r="S765" s="1" t="str">
        <f t="shared" ca="1" si="42"/>
        <v>Right Midfield</v>
      </c>
      <c r="T765" s="1" t="str">
        <f t="shared" ca="1" si="43"/>
        <v>M</v>
      </c>
      <c r="U765" s="1" t="str">
        <f t="shared" ca="1" si="44"/>
        <v>M</v>
      </c>
      <c r="V765" s="1" t="str">
        <f t="shared" ca="1" si="45"/>
        <v>M</v>
      </c>
      <c r="W765" s="1" t="str">
        <f t="shared" ca="1" si="46"/>
        <v>Quinn Sullivan</v>
      </c>
    </row>
    <row r="766" spans="1:23">
      <c r="A766" s="1" t="str">
        <f ca="1">IFERROR(__xludf.DUMMYFUNCTION("""COMPUTED_VALUE"""),"Hunter")</f>
        <v>Hunter</v>
      </c>
      <c r="B766" s="1" t="str">
        <f ca="1">IFERROR(__xludf.DUMMYFUNCTION("""COMPUTED_VALUE"""),"Sulte")</f>
        <v>Sulte</v>
      </c>
      <c r="C766" s="1" t="str">
        <f ca="1">IFERROR(__xludf.DUMMYFUNCTION("""COMPUTED_VALUE"""),"Portland Timbers")</f>
        <v>Portland Timbers</v>
      </c>
      <c r="D766" s="1" t="str">
        <f ca="1">IFERROR(__xludf.DUMMYFUNCTION("""COMPUTED_VALUE"""),"Goalkeeper")</f>
        <v>Goalkeeper</v>
      </c>
      <c r="E766" s="2">
        <f ca="1">IFERROR(__xludf.DUMMYFUNCTION("""COMPUTED_VALUE"""),89716)</f>
        <v>89716</v>
      </c>
      <c r="F766" s="2">
        <f ca="1">IFERROR(__xludf.DUMMYFUNCTION("""COMPUTED_VALUE"""),93519)</f>
        <v>93519</v>
      </c>
      <c r="H766" s="1" t="str">
        <f t="shared" ca="1" si="32"/>
        <v>Goalkeeper</v>
      </c>
      <c r="I766" s="3" t="str">
        <f t="shared" ca="1" si="33"/>
        <v>Goalkeeper</v>
      </c>
      <c r="J766" s="1" t="str">
        <f t="shared" ca="1" si="34"/>
        <v>Goalkeeper</v>
      </c>
      <c r="K766" s="1" t="str">
        <f t="shared" ca="1" si="47"/>
        <v>Goalkeeper</v>
      </c>
      <c r="L766" s="1" t="str">
        <f t="shared" ca="1" si="35"/>
        <v>Goalkeeper</v>
      </c>
      <c r="M766" s="1" t="str">
        <f t="shared" ca="1" si="36"/>
        <v>Goalkeeper</v>
      </c>
      <c r="N766" s="1" t="str">
        <f t="shared" ca="1" si="37"/>
        <v>Goalkeeper</v>
      </c>
      <c r="O766" s="1" t="str">
        <f t="shared" ca="1" si="38"/>
        <v>Goalkeeper</v>
      </c>
      <c r="P766" s="1" t="str">
        <f t="shared" ca="1" si="39"/>
        <v>Goalkeeper</v>
      </c>
      <c r="Q766" s="1" t="str">
        <f t="shared" ca="1" si="40"/>
        <v>Goalkeeper</v>
      </c>
      <c r="R766" s="1" t="str">
        <f t="shared" ca="1" si="41"/>
        <v>GK</v>
      </c>
      <c r="S766" s="1" t="str">
        <f t="shared" ca="1" si="42"/>
        <v>GK</v>
      </c>
      <c r="T766" s="1" t="str">
        <f t="shared" ca="1" si="43"/>
        <v>GK</v>
      </c>
      <c r="U766" s="1" t="str">
        <f t="shared" ca="1" si="44"/>
        <v>GK</v>
      </c>
      <c r="V766" s="1" t="str">
        <f t="shared" ca="1" si="45"/>
        <v>GK</v>
      </c>
      <c r="W766" s="1" t="str">
        <f t="shared" ca="1" si="46"/>
        <v>Hunter Sulte</v>
      </c>
    </row>
    <row r="767" spans="1:23">
      <c r="A767" s="1" t="str">
        <f ca="1">IFERROR(__xludf.DUMMYFUNCTION("""COMPUTED_VALUE"""),"Lawson")</f>
        <v>Lawson</v>
      </c>
      <c r="B767" s="1" t="str">
        <f ca="1">IFERROR(__xludf.DUMMYFUNCTION("""COMPUTED_VALUE"""),"Sunderland")</f>
        <v>Sunderland</v>
      </c>
      <c r="C767" s="1" t="str">
        <f ca="1">IFERROR(__xludf.DUMMYFUNCTION("""COMPUTED_VALUE"""),"Inter Miami")</f>
        <v>Inter Miami</v>
      </c>
      <c r="D767" s="1" t="str">
        <f ca="1">IFERROR(__xludf.DUMMYFUNCTION("""COMPUTED_VALUE"""),"Central Midfield")</f>
        <v>Central Midfield</v>
      </c>
      <c r="E767" s="2">
        <f ca="1">IFERROR(__xludf.DUMMYFUNCTION("""COMPUTED_VALUE"""),71401)</f>
        <v>71401</v>
      </c>
      <c r="F767" s="2">
        <f ca="1">IFERROR(__xludf.DUMMYFUNCTION("""COMPUTED_VALUE"""),71401)</f>
        <v>71401</v>
      </c>
      <c r="H767" s="1" t="str">
        <f t="shared" ref="H767:H875" ca="1" si="48">SUBSTITUTE(D:D,"Center-back","D")</f>
        <v>Central Midfield</v>
      </c>
      <c r="I767" s="3" t="str">
        <f t="shared" ref="I767:I875" ca="1" si="49">SUBSTITUTE(H:H,"Left-back","D")</f>
        <v>Central Midfield</v>
      </c>
      <c r="J767" s="1" t="str">
        <f t="shared" ref="J767:J875" ca="1" si="50">SUBSTITUTE(I:I,"Right-back","D")</f>
        <v>Central Midfield</v>
      </c>
      <c r="K767" s="1" t="str">
        <f t="shared" ca="1" si="47"/>
        <v>Central Midfield</v>
      </c>
      <c r="L767" s="1" t="str">
        <f t="shared" ref="L767:L875" ca="1" si="51">SUBSTITUTE(K:K,"Central Midfield","M")</f>
        <v>M</v>
      </c>
      <c r="M767" s="1" t="str">
        <f t="shared" ref="M767:M875" ca="1" si="52">SUBSTITUTE(L:L,"Attacking Midfield","M")</f>
        <v>M</v>
      </c>
      <c r="N767" s="1" t="str">
        <f t="shared" ref="N767:N875" ca="1" si="53">SUBSTITUTE(M:M,"Right Wing","F")</f>
        <v>M</v>
      </c>
      <c r="O767" s="1" t="str">
        <f t="shared" ref="O767:O875" ca="1" si="54">SUBSTITUTE(N:N,"Center Forward","F")</f>
        <v>M</v>
      </c>
      <c r="P767" s="1" t="str">
        <f t="shared" ref="P767:P875" ca="1" si="55">SUBSTITUTE(O:O,"Left Wing","F")</f>
        <v>M</v>
      </c>
      <c r="Q767" s="1" t="str">
        <f t="shared" ref="Q767:Q875" ca="1" si="56">SUBSTITUTE(P:P,"Forward","F")</f>
        <v>M</v>
      </c>
      <c r="R767" s="1" t="str">
        <f t="shared" ref="R767:R875" ca="1" si="57">SUBSTITUTE(Q:Q,"Goalkeeper","GK")</f>
        <v>M</v>
      </c>
      <c r="S767" s="1" t="str">
        <f t="shared" ref="S767:S875" ca="1" si="58">SUBSTITUTE(R:R,"Left Midfield","M")</f>
        <v>M</v>
      </c>
      <c r="T767" s="1" t="str">
        <f t="shared" ref="T767:T875" ca="1" si="59">SUBSTITUTE(S:S,"Right Midfield","M")</f>
        <v>M</v>
      </c>
      <c r="U767" s="1" t="str">
        <f t="shared" ref="U767:U875" ca="1" si="60">SUBSTITUTE(T:T,"Midfielder","M")</f>
        <v>M</v>
      </c>
      <c r="V767" s="1" t="str">
        <f t="shared" ref="V767:V875" ca="1" si="61">SUBSTITUTE(U:U,"Defender","D")</f>
        <v>M</v>
      </c>
      <c r="W767" s="1" t="str">
        <f t="shared" ref="W767:W875" ca="1" si="62">CONCATENATE($A767," ",$B767)</f>
        <v>Lawson Sunderland</v>
      </c>
    </row>
    <row r="768" spans="1:23">
      <c r="A768" s="1" t="str">
        <f ca="1">IFERROR(__xludf.DUMMYFUNCTION("""COMPUTED_VALUE"""),"Sam")</f>
        <v>Sam</v>
      </c>
      <c r="B768" s="1" t="str">
        <f ca="1">IFERROR(__xludf.DUMMYFUNCTION("""COMPUTED_VALUE"""),"Surridge")</f>
        <v>Surridge</v>
      </c>
      <c r="C768" s="1" t="str">
        <f ca="1">IFERROR(__xludf.DUMMYFUNCTION("""COMPUTED_VALUE"""),"Nashville SC")</f>
        <v>Nashville SC</v>
      </c>
      <c r="D768" s="1" t="str">
        <f ca="1">IFERROR(__xludf.DUMMYFUNCTION("""COMPUTED_VALUE"""),"Center Forward")</f>
        <v>Center Forward</v>
      </c>
      <c r="E768" s="2">
        <f ca="1">IFERROR(__xludf.DUMMYFUNCTION("""COMPUTED_VALUE"""),2500000)</f>
        <v>2500000</v>
      </c>
      <c r="F768" s="2">
        <f ca="1">IFERROR(__xludf.DUMMYFUNCTION("""COMPUTED_VALUE"""),2907639)</f>
        <v>2907639</v>
      </c>
      <c r="H768" s="1" t="str">
        <f t="shared" ca="1" si="48"/>
        <v>Center Forward</v>
      </c>
      <c r="I768" s="3" t="str">
        <f t="shared" ca="1" si="49"/>
        <v>Center Forward</v>
      </c>
      <c r="J768" s="1" t="str">
        <f t="shared" ca="1" si="50"/>
        <v>Center Forward</v>
      </c>
      <c r="K768" s="1" t="str">
        <f t="shared" ref="K768:K875" ca="1" si="63">SUBSTITUTE(J:J,"Defensive Midfield","M")</f>
        <v>Center Forward</v>
      </c>
      <c r="L768" s="1" t="str">
        <f t="shared" ca="1" si="51"/>
        <v>Center Forward</v>
      </c>
      <c r="M768" s="1" t="str">
        <f t="shared" ca="1" si="52"/>
        <v>Center Forward</v>
      </c>
      <c r="N768" s="1" t="str">
        <f t="shared" ca="1" si="53"/>
        <v>Center Forward</v>
      </c>
      <c r="O768" s="1" t="str">
        <f t="shared" ca="1" si="54"/>
        <v>F</v>
      </c>
      <c r="P768" s="1" t="str">
        <f t="shared" ca="1" si="55"/>
        <v>F</v>
      </c>
      <c r="Q768" s="1" t="str">
        <f t="shared" ca="1" si="56"/>
        <v>F</v>
      </c>
      <c r="R768" s="1" t="str">
        <f t="shared" ca="1" si="57"/>
        <v>F</v>
      </c>
      <c r="S768" s="1" t="str">
        <f t="shared" ca="1" si="58"/>
        <v>F</v>
      </c>
      <c r="T768" s="1" t="str">
        <f t="shared" ca="1" si="59"/>
        <v>F</v>
      </c>
      <c r="U768" s="1" t="str">
        <f t="shared" ca="1" si="60"/>
        <v>F</v>
      </c>
      <c r="V768" s="1" t="str">
        <f t="shared" ca="1" si="61"/>
        <v>F</v>
      </c>
      <c r="W768" s="1" t="str">
        <f t="shared" ca="1" si="62"/>
        <v>Sam Surridge</v>
      </c>
    </row>
    <row r="769" spans="1:23">
      <c r="A769" s="1" t="str">
        <f ca="1">IFERROR(__xludf.DUMMYFUNCTION("""COMPUTED_VALUE"""),"Erik")</f>
        <v>Erik</v>
      </c>
      <c r="B769" s="1" t="str">
        <f ca="1">IFERROR(__xludf.DUMMYFUNCTION("""COMPUTED_VALUE"""),"Sviatchenko")</f>
        <v>Sviatchenko</v>
      </c>
      <c r="C769" s="1" t="str">
        <f ca="1">IFERROR(__xludf.DUMMYFUNCTION("""COMPUTED_VALUE"""),"Houston Dynamo")</f>
        <v>Houston Dynamo</v>
      </c>
      <c r="D769" s="1" t="str">
        <f ca="1">IFERROR(__xludf.DUMMYFUNCTION("""COMPUTED_VALUE"""),"Center-back")</f>
        <v>Center-back</v>
      </c>
      <c r="E769" s="2">
        <f ca="1">IFERROR(__xludf.DUMMYFUNCTION("""COMPUTED_VALUE"""),774996)</f>
        <v>774996</v>
      </c>
      <c r="F769" s="2">
        <f ca="1">IFERROR(__xludf.DUMMYFUNCTION("""COMPUTED_VALUE"""),824996)</f>
        <v>824996</v>
      </c>
      <c r="H769" s="1" t="str">
        <f t="shared" ca="1" si="48"/>
        <v>D</v>
      </c>
      <c r="I769" s="3" t="str">
        <f t="shared" ca="1" si="49"/>
        <v>D</v>
      </c>
      <c r="J769" s="1" t="str">
        <f t="shared" ca="1" si="50"/>
        <v>D</v>
      </c>
      <c r="K769" s="1" t="str">
        <f t="shared" ca="1" si="63"/>
        <v>D</v>
      </c>
      <c r="L769" s="1" t="str">
        <f t="shared" ca="1" si="51"/>
        <v>D</v>
      </c>
      <c r="M769" s="1" t="str">
        <f t="shared" ca="1" si="52"/>
        <v>D</v>
      </c>
      <c r="N769" s="1" t="str">
        <f t="shared" ca="1" si="53"/>
        <v>D</v>
      </c>
      <c r="O769" s="1" t="str">
        <f t="shared" ca="1" si="54"/>
        <v>D</v>
      </c>
      <c r="P769" s="1" t="str">
        <f t="shared" ca="1" si="55"/>
        <v>D</v>
      </c>
      <c r="Q769" s="1" t="str">
        <f t="shared" ca="1" si="56"/>
        <v>D</v>
      </c>
      <c r="R769" s="1" t="str">
        <f t="shared" ca="1" si="57"/>
        <v>D</v>
      </c>
      <c r="S769" s="1" t="str">
        <f t="shared" ca="1" si="58"/>
        <v>D</v>
      </c>
      <c r="T769" s="1" t="str">
        <f t="shared" ca="1" si="59"/>
        <v>D</v>
      </c>
      <c r="U769" s="1" t="str">
        <f t="shared" ca="1" si="60"/>
        <v>D</v>
      </c>
      <c r="V769" s="1" t="str">
        <f t="shared" ca="1" si="61"/>
        <v>D</v>
      </c>
      <c r="W769" s="1" t="str">
        <f t="shared" ca="1" si="62"/>
        <v>Erik Sviatchenko</v>
      </c>
    </row>
    <row r="770" spans="1:23">
      <c r="A770" s="1" t="str">
        <f ca="1">IFERROR(__xludf.DUMMYFUNCTION("""COMPUTED_VALUE"""),"Ousmane")</f>
        <v>Ousmane</v>
      </c>
      <c r="B770" s="1" t="str">
        <f ca="1">IFERROR(__xludf.DUMMYFUNCTION("""COMPUTED_VALUE"""),"Sylla")</f>
        <v>Sylla</v>
      </c>
      <c r="C770" s="1" t="str">
        <f ca="1">IFERROR(__xludf.DUMMYFUNCTION("""COMPUTED_VALUE"""),"Houston Dynamo")</f>
        <v>Houston Dynamo</v>
      </c>
      <c r="D770" s="1" t="str">
        <f ca="1">IFERROR(__xludf.DUMMYFUNCTION("""COMPUTED_VALUE"""),"Midfielder")</f>
        <v>Midfielder</v>
      </c>
      <c r="E770" s="2">
        <f ca="1">IFERROR(__xludf.DUMMYFUNCTION("""COMPUTED_VALUE"""),71401)</f>
        <v>71401</v>
      </c>
      <c r="F770" s="2">
        <f ca="1">IFERROR(__xludf.DUMMYFUNCTION("""COMPUTED_VALUE"""),71401)</f>
        <v>71401</v>
      </c>
      <c r="H770" s="1" t="str">
        <f t="shared" ca="1" si="48"/>
        <v>Midfielder</v>
      </c>
      <c r="I770" s="3" t="str">
        <f t="shared" ca="1" si="49"/>
        <v>Midfielder</v>
      </c>
      <c r="J770" s="1" t="str">
        <f t="shared" ca="1" si="50"/>
        <v>Midfielder</v>
      </c>
      <c r="K770" s="1" t="str">
        <f t="shared" ca="1" si="63"/>
        <v>Midfielder</v>
      </c>
      <c r="L770" s="1" t="str">
        <f t="shared" ca="1" si="51"/>
        <v>Midfielder</v>
      </c>
      <c r="M770" s="1" t="str">
        <f t="shared" ca="1" si="52"/>
        <v>Midfielder</v>
      </c>
      <c r="N770" s="1" t="str">
        <f t="shared" ca="1" si="53"/>
        <v>Midfielder</v>
      </c>
      <c r="O770" s="1" t="str">
        <f t="shared" ca="1" si="54"/>
        <v>Midfielder</v>
      </c>
      <c r="P770" s="1" t="str">
        <f t="shared" ca="1" si="55"/>
        <v>Midfielder</v>
      </c>
      <c r="Q770" s="1" t="str">
        <f t="shared" ca="1" si="56"/>
        <v>Midfielder</v>
      </c>
      <c r="R770" s="1" t="str">
        <f t="shared" ca="1" si="57"/>
        <v>Midfielder</v>
      </c>
      <c r="S770" s="1" t="str">
        <f t="shared" ca="1" si="58"/>
        <v>Midfielder</v>
      </c>
      <c r="T770" s="1" t="str">
        <f t="shared" ca="1" si="59"/>
        <v>Midfielder</v>
      </c>
      <c r="U770" s="1" t="str">
        <f t="shared" ca="1" si="60"/>
        <v>M</v>
      </c>
      <c r="V770" s="1" t="str">
        <f t="shared" ca="1" si="61"/>
        <v>M</v>
      </c>
      <c r="W770" s="1" t="str">
        <f t="shared" ca="1" si="62"/>
        <v>Ousmane Sylla</v>
      </c>
    </row>
    <row r="771" spans="1:23">
      <c r="A771" s="1" t="str">
        <f ca="1">IFERROR(__xludf.DUMMYFUNCTION("""COMPUTED_VALUE"""),"Yohei")</f>
        <v>Yohei</v>
      </c>
      <c r="B771" s="1" t="str">
        <f ca="1">IFERROR(__xludf.DUMMYFUNCTION("""COMPUTED_VALUE"""),"Takaoka")</f>
        <v>Takaoka</v>
      </c>
      <c r="C771" s="1" t="str">
        <f ca="1">IFERROR(__xludf.DUMMYFUNCTION("""COMPUTED_VALUE"""),"Vancouver Whitecaps")</f>
        <v>Vancouver Whitecaps</v>
      </c>
      <c r="D771" s="1" t="str">
        <f ca="1">IFERROR(__xludf.DUMMYFUNCTION("""COMPUTED_VALUE"""),"Goalkeeper")</f>
        <v>Goalkeeper</v>
      </c>
      <c r="E771" s="2">
        <f ca="1">IFERROR(__xludf.DUMMYFUNCTION("""COMPUTED_VALUE"""),672000)</f>
        <v>672000</v>
      </c>
      <c r="F771" s="2">
        <f ca="1">IFERROR(__xludf.DUMMYFUNCTION("""COMPUTED_VALUE"""),789713)</f>
        <v>789713</v>
      </c>
      <c r="H771" s="1" t="str">
        <f t="shared" ca="1" si="48"/>
        <v>Goalkeeper</v>
      </c>
      <c r="I771" s="3" t="str">
        <f t="shared" ca="1" si="49"/>
        <v>Goalkeeper</v>
      </c>
      <c r="J771" s="1" t="str">
        <f t="shared" ca="1" si="50"/>
        <v>Goalkeeper</v>
      </c>
      <c r="K771" s="1" t="str">
        <f t="shared" ca="1" si="63"/>
        <v>Goalkeeper</v>
      </c>
      <c r="L771" s="1" t="str">
        <f t="shared" ca="1" si="51"/>
        <v>Goalkeeper</v>
      </c>
      <c r="M771" s="1" t="str">
        <f t="shared" ca="1" si="52"/>
        <v>Goalkeeper</v>
      </c>
      <c r="N771" s="1" t="str">
        <f t="shared" ca="1" si="53"/>
        <v>Goalkeeper</v>
      </c>
      <c r="O771" s="1" t="str">
        <f t="shared" ca="1" si="54"/>
        <v>Goalkeeper</v>
      </c>
      <c r="P771" s="1" t="str">
        <f t="shared" ca="1" si="55"/>
        <v>Goalkeeper</v>
      </c>
      <c r="Q771" s="1" t="str">
        <f t="shared" ca="1" si="56"/>
        <v>Goalkeeper</v>
      </c>
      <c r="R771" s="1" t="str">
        <f t="shared" ca="1" si="57"/>
        <v>GK</v>
      </c>
      <c r="S771" s="1" t="str">
        <f t="shared" ca="1" si="58"/>
        <v>GK</v>
      </c>
      <c r="T771" s="1" t="str">
        <f t="shared" ca="1" si="59"/>
        <v>GK</v>
      </c>
      <c r="U771" s="1" t="str">
        <f t="shared" ca="1" si="60"/>
        <v>GK</v>
      </c>
      <c r="V771" s="1" t="str">
        <f t="shared" ca="1" si="61"/>
        <v>GK</v>
      </c>
      <c r="W771" s="1" t="str">
        <f t="shared" ca="1" si="62"/>
        <v>Yohei Takaoka</v>
      </c>
    </row>
    <row r="772" spans="1:23">
      <c r="A772" s="1" t="str">
        <f ca="1">IFERROR(__xludf.DUMMYFUNCTION("""COMPUTED_VALUE"""),"Strahinja")</f>
        <v>Strahinja</v>
      </c>
      <c r="B772" s="1" t="str">
        <f ca="1">IFERROR(__xludf.DUMMYFUNCTION("""COMPUTED_VALUE"""),"Tanasijevic")</f>
        <v>Tanasijevic</v>
      </c>
      <c r="C772" s="1" t="str">
        <f ca="1">IFERROR(__xludf.DUMMYFUNCTION("""COMPUTED_VALUE"""),"New York City FC")</f>
        <v>New York City FC</v>
      </c>
      <c r="D772" s="1" t="str">
        <f ca="1">IFERROR(__xludf.DUMMYFUNCTION("""COMPUTED_VALUE"""),"Center-back")</f>
        <v>Center-back</v>
      </c>
      <c r="E772" s="2">
        <f ca="1">IFERROR(__xludf.DUMMYFUNCTION("""COMPUTED_VALUE"""),240000)</f>
        <v>240000</v>
      </c>
      <c r="F772" s="2">
        <f ca="1">IFERROR(__xludf.DUMMYFUNCTION("""COMPUTED_VALUE"""),308750)</f>
        <v>308750</v>
      </c>
      <c r="H772" s="1" t="str">
        <f t="shared" ca="1" si="48"/>
        <v>D</v>
      </c>
      <c r="I772" s="3" t="str">
        <f t="shared" ca="1" si="49"/>
        <v>D</v>
      </c>
      <c r="J772" s="1" t="str">
        <f t="shared" ca="1" si="50"/>
        <v>D</v>
      </c>
      <c r="K772" s="1" t="str">
        <f t="shared" ca="1" si="63"/>
        <v>D</v>
      </c>
      <c r="L772" s="1" t="str">
        <f t="shared" ca="1" si="51"/>
        <v>D</v>
      </c>
      <c r="M772" s="1" t="str">
        <f t="shared" ca="1" si="52"/>
        <v>D</v>
      </c>
      <c r="N772" s="1" t="str">
        <f t="shared" ca="1" si="53"/>
        <v>D</v>
      </c>
      <c r="O772" s="1" t="str">
        <f t="shared" ca="1" si="54"/>
        <v>D</v>
      </c>
      <c r="P772" s="1" t="str">
        <f t="shared" ca="1" si="55"/>
        <v>D</v>
      </c>
      <c r="Q772" s="1" t="str">
        <f t="shared" ca="1" si="56"/>
        <v>D</v>
      </c>
      <c r="R772" s="1" t="str">
        <f t="shared" ca="1" si="57"/>
        <v>D</v>
      </c>
      <c r="S772" s="1" t="str">
        <f t="shared" ca="1" si="58"/>
        <v>D</v>
      </c>
      <c r="T772" s="1" t="str">
        <f t="shared" ca="1" si="59"/>
        <v>D</v>
      </c>
      <c r="U772" s="1" t="str">
        <f t="shared" ca="1" si="60"/>
        <v>D</v>
      </c>
      <c r="V772" s="1" t="str">
        <f t="shared" ca="1" si="61"/>
        <v>D</v>
      </c>
      <c r="W772" s="1" t="str">
        <f t="shared" ca="1" si="62"/>
        <v>Strahinja Tanasijevic</v>
      </c>
    </row>
    <row r="773" spans="1:23">
      <c r="A773" s="1" t="str">
        <f ca="1">IFERROR(__xludf.DUMMYFUNCTION("""COMPUTED_VALUE"""),"Miguel")</f>
        <v>Miguel</v>
      </c>
      <c r="B773" s="1" t="str">
        <f ca="1">IFERROR(__xludf.DUMMYFUNCTION("""COMPUTED_VALUE"""),"Tapias")</f>
        <v>Tapias</v>
      </c>
      <c r="C773" s="1" t="str">
        <f ca="1">IFERROR(__xludf.DUMMYFUNCTION("""COMPUTED_VALUE"""),"Minnesota United")</f>
        <v>Minnesota United</v>
      </c>
      <c r="D773" s="1" t="str">
        <f ca="1">IFERROR(__xludf.DUMMYFUNCTION("""COMPUTED_VALUE"""),"Center-back")</f>
        <v>Center-back</v>
      </c>
      <c r="E773" s="2">
        <f ca="1">IFERROR(__xludf.DUMMYFUNCTION("""COMPUTED_VALUE"""),725000)</f>
        <v>725000</v>
      </c>
      <c r="F773" s="2">
        <f ca="1">IFERROR(__xludf.DUMMYFUNCTION("""COMPUTED_VALUE"""),811875)</f>
        <v>811875</v>
      </c>
      <c r="H773" s="1" t="str">
        <f t="shared" ca="1" si="48"/>
        <v>D</v>
      </c>
      <c r="I773" s="3" t="str">
        <f t="shared" ca="1" si="49"/>
        <v>D</v>
      </c>
      <c r="J773" s="1" t="str">
        <f t="shared" ca="1" si="50"/>
        <v>D</v>
      </c>
      <c r="K773" s="1" t="str">
        <f t="shared" ca="1" si="63"/>
        <v>D</v>
      </c>
      <c r="L773" s="1" t="str">
        <f t="shared" ca="1" si="51"/>
        <v>D</v>
      </c>
      <c r="M773" s="1" t="str">
        <f t="shared" ca="1" si="52"/>
        <v>D</v>
      </c>
      <c r="N773" s="1" t="str">
        <f t="shared" ca="1" si="53"/>
        <v>D</v>
      </c>
      <c r="O773" s="1" t="str">
        <f t="shared" ca="1" si="54"/>
        <v>D</v>
      </c>
      <c r="P773" s="1" t="str">
        <f t="shared" ca="1" si="55"/>
        <v>D</v>
      </c>
      <c r="Q773" s="1" t="str">
        <f t="shared" ca="1" si="56"/>
        <v>D</v>
      </c>
      <c r="R773" s="1" t="str">
        <f t="shared" ca="1" si="57"/>
        <v>D</v>
      </c>
      <c r="S773" s="1" t="str">
        <f t="shared" ca="1" si="58"/>
        <v>D</v>
      </c>
      <c r="T773" s="1" t="str">
        <f t="shared" ca="1" si="59"/>
        <v>D</v>
      </c>
      <c r="U773" s="1" t="str">
        <f t="shared" ca="1" si="60"/>
        <v>D</v>
      </c>
      <c r="V773" s="1" t="str">
        <f t="shared" ca="1" si="61"/>
        <v>D</v>
      </c>
      <c r="W773" s="1" t="str">
        <f t="shared" ca="1" si="62"/>
        <v>Miguel Tapias</v>
      </c>
    </row>
    <row r="774" spans="1:23">
      <c r="A774" s="1" t="str">
        <f ca="1">IFERROR(__xludf.DUMMYFUNCTION("""COMPUTED_VALUE"""),"Andrew")</f>
        <v>Andrew</v>
      </c>
      <c r="B774" s="1" t="str">
        <f ca="1">IFERROR(__xludf.DUMMYFUNCTION("""COMPUTED_VALUE"""),"Tarbell")</f>
        <v>Tarbell</v>
      </c>
      <c r="C774" s="1" t="str">
        <f ca="1">IFERROR(__xludf.DUMMYFUNCTION("""COMPUTED_VALUE"""),"Houston Dynamo")</f>
        <v>Houston Dynamo</v>
      </c>
      <c r="D774" s="1" t="str">
        <f ca="1">IFERROR(__xludf.DUMMYFUNCTION("""COMPUTED_VALUE"""),"Goalkeeper")</f>
        <v>Goalkeeper</v>
      </c>
      <c r="E774" s="2">
        <f ca="1">IFERROR(__xludf.DUMMYFUNCTION("""COMPUTED_VALUE"""),250000)</f>
        <v>250000</v>
      </c>
      <c r="F774" s="2">
        <f ca="1">IFERROR(__xludf.DUMMYFUNCTION("""COMPUTED_VALUE"""),280000)</f>
        <v>280000</v>
      </c>
      <c r="H774" s="1" t="str">
        <f t="shared" ca="1" si="48"/>
        <v>Goalkeeper</v>
      </c>
      <c r="I774" s="3" t="str">
        <f t="shared" ca="1" si="49"/>
        <v>Goalkeeper</v>
      </c>
      <c r="J774" s="1" t="str">
        <f t="shared" ca="1" si="50"/>
        <v>Goalkeeper</v>
      </c>
      <c r="K774" s="1" t="str">
        <f t="shared" ca="1" si="63"/>
        <v>Goalkeeper</v>
      </c>
      <c r="L774" s="1" t="str">
        <f t="shared" ca="1" si="51"/>
        <v>Goalkeeper</v>
      </c>
      <c r="M774" s="1" t="str">
        <f t="shared" ca="1" si="52"/>
        <v>Goalkeeper</v>
      </c>
      <c r="N774" s="1" t="str">
        <f t="shared" ca="1" si="53"/>
        <v>Goalkeeper</v>
      </c>
      <c r="O774" s="1" t="str">
        <f t="shared" ca="1" si="54"/>
        <v>Goalkeeper</v>
      </c>
      <c r="P774" s="1" t="str">
        <f t="shared" ca="1" si="55"/>
        <v>Goalkeeper</v>
      </c>
      <c r="Q774" s="1" t="str">
        <f t="shared" ca="1" si="56"/>
        <v>Goalkeeper</v>
      </c>
      <c r="R774" s="1" t="str">
        <f t="shared" ca="1" si="57"/>
        <v>GK</v>
      </c>
      <c r="S774" s="1" t="str">
        <f t="shared" ca="1" si="58"/>
        <v>GK</v>
      </c>
      <c r="T774" s="1" t="str">
        <f t="shared" ca="1" si="59"/>
        <v>GK</v>
      </c>
      <c r="U774" s="1" t="str">
        <f t="shared" ca="1" si="60"/>
        <v>GK</v>
      </c>
      <c r="V774" s="1" t="str">
        <f t="shared" ca="1" si="61"/>
        <v>GK</v>
      </c>
      <c r="W774" s="1" t="str">
        <f t="shared" ca="1" si="62"/>
        <v>Andrew Tarbell</v>
      </c>
    </row>
    <row r="775" spans="1:23">
      <c r="A775" s="1" t="str">
        <f ca="1">IFERROR(__xludf.DUMMYFUNCTION("""COMPUTED_VALUE"""),"Sidnei")</f>
        <v>Sidnei</v>
      </c>
      <c r="B775" s="1" t="str">
        <f ca="1">IFERROR(__xludf.DUMMYFUNCTION("""COMPUTED_VALUE"""),"Tavares")</f>
        <v>Tavares</v>
      </c>
      <c r="C775" s="1" t="str">
        <f ca="1">IFERROR(__xludf.DUMMYFUNCTION("""COMPUTED_VALUE"""),"Colorado Rapids")</f>
        <v>Colorado Rapids</v>
      </c>
      <c r="D775" s="1" t="str">
        <f ca="1">IFERROR(__xludf.DUMMYFUNCTION("""COMPUTED_VALUE"""),"Central Midfield")</f>
        <v>Central Midfield</v>
      </c>
      <c r="E775" s="2">
        <f ca="1">IFERROR(__xludf.DUMMYFUNCTION("""COMPUTED_VALUE"""),525000)</f>
        <v>525000</v>
      </c>
      <c r="F775" s="2">
        <f ca="1">IFERROR(__xludf.DUMMYFUNCTION("""COMPUTED_VALUE"""),750600)</f>
        <v>750600</v>
      </c>
      <c r="H775" s="1" t="str">
        <f t="shared" ca="1" si="48"/>
        <v>Central Midfield</v>
      </c>
      <c r="I775" s="3" t="str">
        <f t="shared" ca="1" si="49"/>
        <v>Central Midfield</v>
      </c>
      <c r="J775" s="1" t="str">
        <f t="shared" ca="1" si="50"/>
        <v>Central Midfield</v>
      </c>
      <c r="K775" s="1" t="str">
        <f t="shared" ca="1" si="63"/>
        <v>Central Midfield</v>
      </c>
      <c r="L775" s="1" t="str">
        <f t="shared" ca="1" si="51"/>
        <v>M</v>
      </c>
      <c r="M775" s="1" t="str">
        <f t="shared" ca="1" si="52"/>
        <v>M</v>
      </c>
      <c r="N775" s="1" t="str">
        <f t="shared" ca="1" si="53"/>
        <v>M</v>
      </c>
      <c r="O775" s="1" t="str">
        <f t="shared" ca="1" si="54"/>
        <v>M</v>
      </c>
      <c r="P775" s="1" t="str">
        <f t="shared" ca="1" si="55"/>
        <v>M</v>
      </c>
      <c r="Q775" s="1" t="str">
        <f t="shared" ca="1" si="56"/>
        <v>M</v>
      </c>
      <c r="R775" s="1" t="str">
        <f t="shared" ca="1" si="57"/>
        <v>M</v>
      </c>
      <c r="S775" s="1" t="str">
        <f t="shared" ca="1" si="58"/>
        <v>M</v>
      </c>
      <c r="T775" s="1" t="str">
        <f t="shared" ca="1" si="59"/>
        <v>M</v>
      </c>
      <c r="U775" s="1" t="str">
        <f t="shared" ca="1" si="60"/>
        <v>M</v>
      </c>
      <c r="V775" s="1" t="str">
        <f t="shared" ca="1" si="61"/>
        <v>M</v>
      </c>
      <c r="W775" s="1" t="str">
        <f t="shared" ca="1" si="62"/>
        <v>Sidnei Tavares</v>
      </c>
    </row>
    <row r="776" spans="1:23">
      <c r="A776" s="1" t="str">
        <f ca="1">IFERROR(__xludf.DUMMYFUNCTION("""COMPUTED_VALUE"""),"Iuri")</f>
        <v>Iuri</v>
      </c>
      <c r="B776" s="1" t="str">
        <f ca="1">IFERROR(__xludf.DUMMYFUNCTION("""COMPUTED_VALUE"""),"Tavares")</f>
        <v>Tavares</v>
      </c>
      <c r="C776" s="1" t="str">
        <f ca="1">IFERROR(__xludf.DUMMYFUNCTION("""COMPUTED_VALUE"""),"Charlotte FC")</f>
        <v>Charlotte FC</v>
      </c>
      <c r="D776" s="1" t="str">
        <f ca="1">IFERROR(__xludf.DUMMYFUNCTION("""COMPUTED_VALUE"""),"Left Wing")</f>
        <v>Left Wing</v>
      </c>
      <c r="E776" s="2">
        <f ca="1">IFERROR(__xludf.DUMMYFUNCTION("""COMPUTED_VALUE"""),89716)</f>
        <v>89716</v>
      </c>
      <c r="F776" s="2">
        <f ca="1">IFERROR(__xludf.DUMMYFUNCTION("""COMPUTED_VALUE"""),101769)</f>
        <v>101769</v>
      </c>
      <c r="H776" s="1" t="str">
        <f t="shared" ca="1" si="48"/>
        <v>Left Wing</v>
      </c>
      <c r="I776" s="3" t="str">
        <f t="shared" ca="1" si="49"/>
        <v>Left Wing</v>
      </c>
      <c r="J776" s="1" t="str">
        <f t="shared" ca="1" si="50"/>
        <v>Left Wing</v>
      </c>
      <c r="K776" s="1" t="str">
        <f t="shared" ca="1" si="63"/>
        <v>Left Wing</v>
      </c>
      <c r="L776" s="1" t="str">
        <f t="shared" ca="1" si="51"/>
        <v>Left Wing</v>
      </c>
      <c r="M776" s="1" t="str">
        <f t="shared" ca="1" si="52"/>
        <v>Left Wing</v>
      </c>
      <c r="N776" s="1" t="str">
        <f t="shared" ca="1" si="53"/>
        <v>Left Wing</v>
      </c>
      <c r="O776" s="1" t="str">
        <f t="shared" ca="1" si="54"/>
        <v>Left Wing</v>
      </c>
      <c r="P776" s="1" t="str">
        <f t="shared" ca="1" si="55"/>
        <v>F</v>
      </c>
      <c r="Q776" s="1" t="str">
        <f t="shared" ca="1" si="56"/>
        <v>F</v>
      </c>
      <c r="R776" s="1" t="str">
        <f t="shared" ca="1" si="57"/>
        <v>F</v>
      </c>
      <c r="S776" s="1" t="str">
        <f t="shared" ca="1" si="58"/>
        <v>F</v>
      </c>
      <c r="T776" s="1" t="str">
        <f t="shared" ca="1" si="59"/>
        <v>F</v>
      </c>
      <c r="U776" s="1" t="str">
        <f t="shared" ca="1" si="60"/>
        <v>F</v>
      </c>
      <c r="V776" s="1" t="str">
        <f t="shared" ca="1" si="61"/>
        <v>F</v>
      </c>
      <c r="W776" s="1" t="str">
        <f t="shared" ca="1" si="62"/>
        <v>Iuri Tavares</v>
      </c>
    </row>
    <row r="777" spans="1:23">
      <c r="A777" s="1" t="str">
        <f ca="1">IFERROR(__xludf.DUMMYFUNCTION("""COMPUTED_VALUE"""),"D.J.")</f>
        <v>D.J.</v>
      </c>
      <c r="B777" s="1" t="str">
        <f ca="1">IFERROR(__xludf.DUMMYFUNCTION("""COMPUTED_VALUE"""),"Taylor")</f>
        <v>Taylor</v>
      </c>
      <c r="C777" s="1" t="str">
        <f ca="1">IFERROR(__xludf.DUMMYFUNCTION("""COMPUTED_VALUE"""),"Minnesota United")</f>
        <v>Minnesota United</v>
      </c>
      <c r="D777" s="1" t="str">
        <f ca="1">IFERROR(__xludf.DUMMYFUNCTION("""COMPUTED_VALUE"""),"Right-back")</f>
        <v>Right-back</v>
      </c>
      <c r="E777" s="2">
        <f ca="1">IFERROR(__xludf.DUMMYFUNCTION("""COMPUTED_VALUE"""),160000)</f>
        <v>160000</v>
      </c>
      <c r="F777" s="2">
        <f ca="1">IFERROR(__xludf.DUMMYFUNCTION("""COMPUTED_VALUE"""),220233)</f>
        <v>220233</v>
      </c>
      <c r="H777" s="1" t="str">
        <f t="shared" ca="1" si="48"/>
        <v>Right-back</v>
      </c>
      <c r="I777" s="3" t="str">
        <f t="shared" ca="1" si="49"/>
        <v>Right-back</v>
      </c>
      <c r="J777" s="1" t="str">
        <f t="shared" ca="1" si="50"/>
        <v>D</v>
      </c>
      <c r="K777" s="1" t="str">
        <f t="shared" ca="1" si="63"/>
        <v>D</v>
      </c>
      <c r="L777" s="1" t="str">
        <f t="shared" ca="1" si="51"/>
        <v>D</v>
      </c>
      <c r="M777" s="1" t="str">
        <f t="shared" ca="1" si="52"/>
        <v>D</v>
      </c>
      <c r="N777" s="1" t="str">
        <f t="shared" ca="1" si="53"/>
        <v>D</v>
      </c>
      <c r="O777" s="1" t="str">
        <f t="shared" ca="1" si="54"/>
        <v>D</v>
      </c>
      <c r="P777" s="1" t="str">
        <f t="shared" ca="1" si="55"/>
        <v>D</v>
      </c>
      <c r="Q777" s="1" t="str">
        <f t="shared" ca="1" si="56"/>
        <v>D</v>
      </c>
      <c r="R777" s="1" t="str">
        <f t="shared" ca="1" si="57"/>
        <v>D</v>
      </c>
      <c r="S777" s="1" t="str">
        <f t="shared" ca="1" si="58"/>
        <v>D</v>
      </c>
      <c r="T777" s="1" t="str">
        <f t="shared" ca="1" si="59"/>
        <v>D</v>
      </c>
      <c r="U777" s="1" t="str">
        <f t="shared" ca="1" si="60"/>
        <v>D</v>
      </c>
      <c r="V777" s="1" t="str">
        <f t="shared" ca="1" si="61"/>
        <v>D</v>
      </c>
      <c r="W777" s="1" t="str">
        <f t="shared" ca="1" si="62"/>
        <v>D.J. Taylor</v>
      </c>
    </row>
    <row r="778" spans="1:23">
      <c r="A778" s="1" t="str">
        <f ca="1">IFERROR(__xludf.DUMMYFUNCTION("""COMPUTED_VALUE"""),"Robert")</f>
        <v>Robert</v>
      </c>
      <c r="B778" s="1" t="str">
        <f ca="1">IFERROR(__xludf.DUMMYFUNCTION("""COMPUTED_VALUE"""),"Taylor")</f>
        <v>Taylor</v>
      </c>
      <c r="C778" s="1" t="str">
        <f ca="1">IFERROR(__xludf.DUMMYFUNCTION("""COMPUTED_VALUE"""),"Inter Miami")</f>
        <v>Inter Miami</v>
      </c>
      <c r="D778" s="1" t="str">
        <f ca="1">IFERROR(__xludf.DUMMYFUNCTION("""COMPUTED_VALUE"""),"Left Wing")</f>
        <v>Left Wing</v>
      </c>
      <c r="E778" s="2">
        <f ca="1">IFERROR(__xludf.DUMMYFUNCTION("""COMPUTED_VALUE"""),300000)</f>
        <v>300000</v>
      </c>
      <c r="F778" s="2">
        <f ca="1">IFERROR(__xludf.DUMMYFUNCTION("""COMPUTED_VALUE"""),326900)</f>
        <v>326900</v>
      </c>
      <c r="H778" s="1" t="str">
        <f t="shared" ca="1" si="48"/>
        <v>Left Wing</v>
      </c>
      <c r="I778" s="3" t="str">
        <f t="shared" ca="1" si="49"/>
        <v>Left Wing</v>
      </c>
      <c r="J778" s="1" t="str">
        <f t="shared" ca="1" si="50"/>
        <v>Left Wing</v>
      </c>
      <c r="K778" s="1" t="str">
        <f t="shared" ca="1" si="63"/>
        <v>Left Wing</v>
      </c>
      <c r="L778" s="1" t="str">
        <f t="shared" ca="1" si="51"/>
        <v>Left Wing</v>
      </c>
      <c r="M778" s="1" t="str">
        <f t="shared" ca="1" si="52"/>
        <v>Left Wing</v>
      </c>
      <c r="N778" s="1" t="str">
        <f t="shared" ca="1" si="53"/>
        <v>Left Wing</v>
      </c>
      <c r="O778" s="1" t="str">
        <f t="shared" ca="1" si="54"/>
        <v>Left Wing</v>
      </c>
      <c r="P778" s="1" t="str">
        <f t="shared" ca="1" si="55"/>
        <v>F</v>
      </c>
      <c r="Q778" s="1" t="str">
        <f t="shared" ca="1" si="56"/>
        <v>F</v>
      </c>
      <c r="R778" s="1" t="str">
        <f t="shared" ca="1" si="57"/>
        <v>F</v>
      </c>
      <c r="S778" s="1" t="str">
        <f t="shared" ca="1" si="58"/>
        <v>F</v>
      </c>
      <c r="T778" s="1" t="str">
        <f t="shared" ca="1" si="59"/>
        <v>F</v>
      </c>
      <c r="U778" s="1" t="str">
        <f t="shared" ca="1" si="60"/>
        <v>F</v>
      </c>
      <c r="V778" s="1" t="str">
        <f t="shared" ca="1" si="61"/>
        <v>F</v>
      </c>
      <c r="W778" s="1" t="str">
        <f t="shared" ca="1" si="62"/>
        <v>Robert Taylor</v>
      </c>
    </row>
    <row r="779" spans="1:23">
      <c r="A779" s="1" t="str">
        <f ca="1">IFERROR(__xludf.DUMMYFUNCTION("""COMPUTED_VALUE"""),"Carlos")</f>
        <v>Carlos</v>
      </c>
      <c r="B779" s="1" t="str">
        <f ca="1">IFERROR(__xludf.DUMMYFUNCTION("""COMPUTED_VALUE"""),"Terán")</f>
        <v>Terán</v>
      </c>
      <c r="C779" s="1" t="str">
        <f ca="1">IFERROR(__xludf.DUMMYFUNCTION("""COMPUTED_VALUE"""),"Chicago Fire")</f>
        <v>Chicago Fire</v>
      </c>
      <c r="D779" s="1" t="str">
        <f ca="1">IFERROR(__xludf.DUMMYFUNCTION("""COMPUTED_VALUE"""),"Center-back")</f>
        <v>Center-back</v>
      </c>
      <c r="E779" s="2">
        <f ca="1">IFERROR(__xludf.DUMMYFUNCTION("""COMPUTED_VALUE"""),529000)</f>
        <v>529000</v>
      </c>
      <c r="F779" s="2">
        <f ca="1">IFERROR(__xludf.DUMMYFUNCTION("""COMPUTED_VALUE"""),619000)</f>
        <v>619000</v>
      </c>
      <c r="H779" s="1" t="str">
        <f t="shared" ca="1" si="48"/>
        <v>D</v>
      </c>
      <c r="I779" s="3" t="str">
        <f t="shared" ca="1" si="49"/>
        <v>D</v>
      </c>
      <c r="J779" s="1" t="str">
        <f t="shared" ca="1" si="50"/>
        <v>D</v>
      </c>
      <c r="K779" s="1" t="str">
        <f t="shared" ca="1" si="63"/>
        <v>D</v>
      </c>
      <c r="L779" s="1" t="str">
        <f t="shared" ca="1" si="51"/>
        <v>D</v>
      </c>
      <c r="M779" s="1" t="str">
        <f t="shared" ca="1" si="52"/>
        <v>D</v>
      </c>
      <c r="N779" s="1" t="str">
        <f t="shared" ca="1" si="53"/>
        <v>D</v>
      </c>
      <c r="O779" s="1" t="str">
        <f t="shared" ca="1" si="54"/>
        <v>D</v>
      </c>
      <c r="P779" s="1" t="str">
        <f t="shared" ca="1" si="55"/>
        <v>D</v>
      </c>
      <c r="Q779" s="1" t="str">
        <f t="shared" ca="1" si="56"/>
        <v>D</v>
      </c>
      <c r="R779" s="1" t="str">
        <f t="shared" ca="1" si="57"/>
        <v>D</v>
      </c>
      <c r="S779" s="1" t="str">
        <f t="shared" ca="1" si="58"/>
        <v>D</v>
      </c>
      <c r="T779" s="1" t="str">
        <f t="shared" ca="1" si="59"/>
        <v>D</v>
      </c>
      <c r="U779" s="1" t="str">
        <f t="shared" ca="1" si="60"/>
        <v>D</v>
      </c>
      <c r="V779" s="1" t="str">
        <f t="shared" ca="1" si="61"/>
        <v>D</v>
      </c>
      <c r="W779" s="1" t="str">
        <f t="shared" ca="1" si="62"/>
        <v>Carlos Terán</v>
      </c>
    </row>
    <row r="780" spans="1:23">
      <c r="A780" s="1" t="str">
        <f ca="1">IFERROR(__xludf.DUMMYFUNCTION("""COMPUTED_VALUE"""),"Dylan")</f>
        <v>Dylan</v>
      </c>
      <c r="B780" s="1" t="str">
        <f ca="1">IFERROR(__xludf.DUMMYFUNCTION("""COMPUTED_VALUE"""),"Teves")</f>
        <v>Teves</v>
      </c>
      <c r="C780" s="1" t="str">
        <f ca="1">IFERROR(__xludf.DUMMYFUNCTION("""COMPUTED_VALUE"""),"Seattle Sounders FC")</f>
        <v>Seattle Sounders FC</v>
      </c>
      <c r="D780" s="1" t="str">
        <f ca="1">IFERROR(__xludf.DUMMYFUNCTION("""COMPUTED_VALUE"""),"Central Midfield")</f>
        <v>Central Midfield</v>
      </c>
      <c r="E780" s="2">
        <f ca="1">IFERROR(__xludf.DUMMYFUNCTION("""COMPUTED_VALUE"""),89716)</f>
        <v>89716</v>
      </c>
      <c r="F780" s="2">
        <f ca="1">IFERROR(__xludf.DUMMYFUNCTION("""COMPUTED_VALUE"""),89716)</f>
        <v>89716</v>
      </c>
      <c r="H780" s="1" t="str">
        <f t="shared" ca="1" si="48"/>
        <v>Central Midfield</v>
      </c>
      <c r="I780" s="3" t="str">
        <f t="shared" ca="1" si="49"/>
        <v>Central Midfield</v>
      </c>
      <c r="J780" s="1" t="str">
        <f t="shared" ca="1" si="50"/>
        <v>Central Midfield</v>
      </c>
      <c r="K780" s="1" t="str">
        <f t="shared" ca="1" si="63"/>
        <v>Central Midfield</v>
      </c>
      <c r="L780" s="1" t="str">
        <f t="shared" ca="1" si="51"/>
        <v>M</v>
      </c>
      <c r="M780" s="1" t="str">
        <f t="shared" ca="1" si="52"/>
        <v>M</v>
      </c>
      <c r="N780" s="1" t="str">
        <f t="shared" ca="1" si="53"/>
        <v>M</v>
      </c>
      <c r="O780" s="1" t="str">
        <f t="shared" ca="1" si="54"/>
        <v>M</v>
      </c>
      <c r="P780" s="1" t="str">
        <f t="shared" ca="1" si="55"/>
        <v>M</v>
      </c>
      <c r="Q780" s="1" t="str">
        <f t="shared" ca="1" si="56"/>
        <v>M</v>
      </c>
      <c r="R780" s="1" t="str">
        <f t="shared" ca="1" si="57"/>
        <v>M</v>
      </c>
      <c r="S780" s="1" t="str">
        <f t="shared" ca="1" si="58"/>
        <v>M</v>
      </c>
      <c r="T780" s="1" t="str">
        <f t="shared" ca="1" si="59"/>
        <v>M</v>
      </c>
      <c r="U780" s="1" t="str">
        <f t="shared" ca="1" si="60"/>
        <v>M</v>
      </c>
      <c r="V780" s="1" t="str">
        <f t="shared" ca="1" si="61"/>
        <v>M</v>
      </c>
      <c r="W780" s="1" t="str">
        <f t="shared" ca="1" si="62"/>
        <v>Dylan Teves</v>
      </c>
    </row>
    <row r="781" spans="1:23">
      <c r="A781" s="1" t="str">
        <f ca="1">IFERROR(__xludf.DUMMYFUNCTION("""COMPUTED_VALUE"""),"Dagur Dan")</f>
        <v>Dagur Dan</v>
      </c>
      <c r="B781" s="1" t="str">
        <f ca="1">IFERROR(__xludf.DUMMYFUNCTION("""COMPUTED_VALUE"""),"Thórhallsson")</f>
        <v>Thórhallsson</v>
      </c>
      <c r="C781" s="1" t="str">
        <f ca="1">IFERROR(__xludf.DUMMYFUNCTION("""COMPUTED_VALUE"""),"Orlando City SC")</f>
        <v>Orlando City SC</v>
      </c>
      <c r="D781" s="1" t="str">
        <f ca="1">IFERROR(__xludf.DUMMYFUNCTION("""COMPUTED_VALUE"""),"Right-back")</f>
        <v>Right-back</v>
      </c>
      <c r="E781" s="2">
        <f ca="1">IFERROR(__xludf.DUMMYFUNCTION("""COMPUTED_VALUE"""),180000)</f>
        <v>180000</v>
      </c>
      <c r="F781" s="2">
        <f ca="1">IFERROR(__xludf.DUMMYFUNCTION("""COMPUTED_VALUE"""),215500)</f>
        <v>215500</v>
      </c>
      <c r="H781" s="1" t="str">
        <f t="shared" ca="1" si="48"/>
        <v>Right-back</v>
      </c>
      <c r="I781" s="3" t="str">
        <f t="shared" ca="1" si="49"/>
        <v>Right-back</v>
      </c>
      <c r="J781" s="1" t="str">
        <f t="shared" ca="1" si="50"/>
        <v>D</v>
      </c>
      <c r="K781" s="1" t="str">
        <f t="shared" ca="1" si="63"/>
        <v>D</v>
      </c>
      <c r="L781" s="1" t="str">
        <f t="shared" ca="1" si="51"/>
        <v>D</v>
      </c>
      <c r="M781" s="1" t="str">
        <f t="shared" ca="1" si="52"/>
        <v>D</v>
      </c>
      <c r="N781" s="1" t="str">
        <f t="shared" ca="1" si="53"/>
        <v>D</v>
      </c>
      <c r="O781" s="1" t="str">
        <f t="shared" ca="1" si="54"/>
        <v>D</v>
      </c>
      <c r="P781" s="1" t="str">
        <f t="shared" ca="1" si="55"/>
        <v>D</v>
      </c>
      <c r="Q781" s="1" t="str">
        <f t="shared" ca="1" si="56"/>
        <v>D</v>
      </c>
      <c r="R781" s="1" t="str">
        <f t="shared" ca="1" si="57"/>
        <v>D</v>
      </c>
      <c r="S781" s="1" t="str">
        <f t="shared" ca="1" si="58"/>
        <v>D</v>
      </c>
      <c r="T781" s="1" t="str">
        <f t="shared" ca="1" si="59"/>
        <v>D</v>
      </c>
      <c r="U781" s="1" t="str">
        <f t="shared" ca="1" si="60"/>
        <v>D</v>
      </c>
      <c r="V781" s="1" t="str">
        <f t="shared" ca="1" si="61"/>
        <v>D</v>
      </c>
      <c r="W781" s="1" t="str">
        <f t="shared" ca="1" si="62"/>
        <v>Dagur Dan Thórhallsson</v>
      </c>
    </row>
    <row r="782" spans="1:23">
      <c r="A782" s="1" t="str">
        <f ca="1">IFERROR(__xludf.DUMMYFUNCTION("""COMPUTED_VALUE"""),"Nökkvi")</f>
        <v>Nökkvi</v>
      </c>
      <c r="B782" s="1" t="str">
        <f ca="1">IFERROR(__xludf.DUMMYFUNCTION("""COMPUTED_VALUE"""),"Thórisson")</f>
        <v>Thórisson</v>
      </c>
      <c r="C782" s="1" t="str">
        <f ca="1">IFERROR(__xludf.DUMMYFUNCTION("""COMPUTED_VALUE"""),"St. Louis City SC")</f>
        <v>St. Louis City SC</v>
      </c>
      <c r="D782" s="1" t="str">
        <f ca="1">IFERROR(__xludf.DUMMYFUNCTION("""COMPUTED_VALUE"""),"Left Wing")</f>
        <v>Left Wing</v>
      </c>
      <c r="E782" s="2">
        <f ca="1">IFERROR(__xludf.DUMMYFUNCTION("""COMPUTED_VALUE"""),180000)</f>
        <v>180000</v>
      </c>
      <c r="F782" s="2">
        <f ca="1">IFERROR(__xludf.DUMMYFUNCTION("""COMPUTED_VALUE"""),202438)</f>
        <v>202438</v>
      </c>
      <c r="H782" s="1" t="str">
        <f t="shared" ca="1" si="48"/>
        <v>Left Wing</v>
      </c>
      <c r="I782" s="3" t="str">
        <f t="shared" ca="1" si="49"/>
        <v>Left Wing</v>
      </c>
      <c r="J782" s="1" t="str">
        <f t="shared" ca="1" si="50"/>
        <v>Left Wing</v>
      </c>
      <c r="K782" s="1" t="str">
        <f t="shared" ca="1" si="63"/>
        <v>Left Wing</v>
      </c>
      <c r="L782" s="1" t="str">
        <f t="shared" ca="1" si="51"/>
        <v>Left Wing</v>
      </c>
      <c r="M782" s="1" t="str">
        <f t="shared" ca="1" si="52"/>
        <v>Left Wing</v>
      </c>
      <c r="N782" s="1" t="str">
        <f t="shared" ca="1" si="53"/>
        <v>Left Wing</v>
      </c>
      <c r="O782" s="1" t="str">
        <f t="shared" ca="1" si="54"/>
        <v>Left Wing</v>
      </c>
      <c r="P782" s="1" t="str">
        <f t="shared" ca="1" si="55"/>
        <v>F</v>
      </c>
      <c r="Q782" s="1" t="str">
        <f t="shared" ca="1" si="56"/>
        <v>F</v>
      </c>
      <c r="R782" s="1" t="str">
        <f t="shared" ca="1" si="57"/>
        <v>F</v>
      </c>
      <c r="S782" s="1" t="str">
        <f t="shared" ca="1" si="58"/>
        <v>F</v>
      </c>
      <c r="T782" s="1" t="str">
        <f t="shared" ca="1" si="59"/>
        <v>F</v>
      </c>
      <c r="U782" s="1" t="str">
        <f t="shared" ca="1" si="60"/>
        <v>F</v>
      </c>
      <c r="V782" s="1" t="str">
        <f t="shared" ca="1" si="61"/>
        <v>F</v>
      </c>
      <c r="W782" s="1" t="str">
        <f t="shared" ca="1" si="62"/>
        <v>Nökkvi Thórisson</v>
      </c>
    </row>
    <row r="783" spans="1:23">
      <c r="A783" s="1" t="str">
        <f ca="1">IFERROR(__xludf.DUMMYFUNCTION("""COMPUTED_VALUE"""),"Jamal")</f>
        <v>Jamal</v>
      </c>
      <c r="B783" s="1" t="str">
        <f ca="1">IFERROR(__xludf.DUMMYFUNCTION("""COMPUTED_VALUE"""),"Thiaré")</f>
        <v>Thiaré</v>
      </c>
      <c r="C783" s="1" t="str">
        <f ca="1">IFERROR(__xludf.DUMMYFUNCTION("""COMPUTED_VALUE"""),"Atlanta United")</f>
        <v>Atlanta United</v>
      </c>
      <c r="D783" s="1" t="str">
        <f ca="1">IFERROR(__xludf.DUMMYFUNCTION("""COMPUTED_VALUE"""),"Center Forward")</f>
        <v>Center Forward</v>
      </c>
      <c r="E783" s="2">
        <f ca="1">IFERROR(__xludf.DUMMYFUNCTION("""COMPUTED_VALUE"""),500000)</f>
        <v>500000</v>
      </c>
      <c r="F783" s="2">
        <f ca="1">IFERROR(__xludf.DUMMYFUNCTION("""COMPUTED_VALUE"""),595000)</f>
        <v>595000</v>
      </c>
      <c r="H783" s="1" t="str">
        <f t="shared" ca="1" si="48"/>
        <v>Center Forward</v>
      </c>
      <c r="I783" s="3" t="str">
        <f t="shared" ca="1" si="49"/>
        <v>Center Forward</v>
      </c>
      <c r="J783" s="1" t="str">
        <f t="shared" ca="1" si="50"/>
        <v>Center Forward</v>
      </c>
      <c r="K783" s="1" t="str">
        <f t="shared" ca="1" si="63"/>
        <v>Center Forward</v>
      </c>
      <c r="L783" s="1" t="str">
        <f t="shared" ca="1" si="51"/>
        <v>Center Forward</v>
      </c>
      <c r="M783" s="1" t="str">
        <f t="shared" ca="1" si="52"/>
        <v>Center Forward</v>
      </c>
      <c r="N783" s="1" t="str">
        <f t="shared" ca="1" si="53"/>
        <v>Center Forward</v>
      </c>
      <c r="O783" s="1" t="str">
        <f t="shared" ca="1" si="54"/>
        <v>F</v>
      </c>
      <c r="P783" s="1" t="str">
        <f t="shared" ca="1" si="55"/>
        <v>F</v>
      </c>
      <c r="Q783" s="1" t="str">
        <f t="shared" ca="1" si="56"/>
        <v>F</v>
      </c>
      <c r="R783" s="1" t="str">
        <f t="shared" ca="1" si="57"/>
        <v>F</v>
      </c>
      <c r="S783" s="1" t="str">
        <f t="shared" ca="1" si="58"/>
        <v>F</v>
      </c>
      <c r="T783" s="1" t="str">
        <f t="shared" ca="1" si="59"/>
        <v>F</v>
      </c>
      <c r="U783" s="1" t="str">
        <f t="shared" ca="1" si="60"/>
        <v>F</v>
      </c>
      <c r="V783" s="1" t="str">
        <f t="shared" ca="1" si="61"/>
        <v>F</v>
      </c>
      <c r="W783" s="1" t="str">
        <f t="shared" ca="1" si="62"/>
        <v>Jamal Thiaré</v>
      </c>
    </row>
    <row r="784" spans="1:23">
      <c r="A784" s="1" t="str">
        <f ca="1">IFERROR(__xludf.DUMMYFUNCTION("""COMPUTED_VALUE"""),"Andrew")</f>
        <v>Andrew</v>
      </c>
      <c r="B784" s="1" t="str">
        <f ca="1">IFERROR(__xludf.DUMMYFUNCTION("""COMPUTED_VALUE"""),"Thomas")</f>
        <v>Thomas</v>
      </c>
      <c r="C784" s="1" t="str">
        <f ca="1">IFERROR(__xludf.DUMMYFUNCTION("""COMPUTED_VALUE"""),"Seattle Sounders FC")</f>
        <v>Seattle Sounders FC</v>
      </c>
      <c r="D784" s="1" t="str">
        <f ca="1">IFERROR(__xludf.DUMMYFUNCTION("""COMPUTED_VALUE"""),"Goalkeeper")</f>
        <v>Goalkeeper</v>
      </c>
      <c r="E784" s="2">
        <f ca="1">IFERROR(__xludf.DUMMYFUNCTION("""COMPUTED_VALUE"""),150000)</f>
        <v>150000</v>
      </c>
      <c r="F784" s="2">
        <f ca="1">IFERROR(__xludf.DUMMYFUNCTION("""COMPUTED_VALUE"""),150000)</f>
        <v>150000</v>
      </c>
      <c r="H784" s="1" t="str">
        <f t="shared" ca="1" si="48"/>
        <v>Goalkeeper</v>
      </c>
      <c r="I784" s="3" t="str">
        <f t="shared" ca="1" si="49"/>
        <v>Goalkeeper</v>
      </c>
      <c r="J784" s="1" t="str">
        <f t="shared" ca="1" si="50"/>
        <v>Goalkeeper</v>
      </c>
      <c r="K784" s="1" t="str">
        <f t="shared" ca="1" si="63"/>
        <v>Goalkeeper</v>
      </c>
      <c r="L784" s="1" t="str">
        <f t="shared" ca="1" si="51"/>
        <v>Goalkeeper</v>
      </c>
      <c r="M784" s="1" t="str">
        <f t="shared" ca="1" si="52"/>
        <v>Goalkeeper</v>
      </c>
      <c r="N784" s="1" t="str">
        <f t="shared" ca="1" si="53"/>
        <v>Goalkeeper</v>
      </c>
      <c r="O784" s="1" t="str">
        <f t="shared" ca="1" si="54"/>
        <v>Goalkeeper</v>
      </c>
      <c r="P784" s="1" t="str">
        <f t="shared" ca="1" si="55"/>
        <v>Goalkeeper</v>
      </c>
      <c r="Q784" s="1" t="str">
        <f t="shared" ca="1" si="56"/>
        <v>Goalkeeper</v>
      </c>
      <c r="R784" s="1" t="str">
        <f t="shared" ca="1" si="57"/>
        <v>GK</v>
      </c>
      <c r="S784" s="1" t="str">
        <f t="shared" ca="1" si="58"/>
        <v>GK</v>
      </c>
      <c r="T784" s="1" t="str">
        <f t="shared" ca="1" si="59"/>
        <v>GK</v>
      </c>
      <c r="U784" s="1" t="str">
        <f t="shared" ca="1" si="60"/>
        <v>GK</v>
      </c>
      <c r="V784" s="1" t="str">
        <f t="shared" ca="1" si="61"/>
        <v>GK</v>
      </c>
      <c r="W784" s="1" t="str">
        <f t="shared" ca="1" si="62"/>
        <v>Andrew Thomas</v>
      </c>
    </row>
    <row r="785" spans="1:23">
      <c r="A785" s="1" t="str">
        <f ca="1">IFERROR(__xludf.DUMMYFUNCTION("""COMPUTED_VALUE"""),"Erik")</f>
        <v>Erik</v>
      </c>
      <c r="B785" s="1" t="str">
        <f ca="1">IFERROR(__xludf.DUMMYFUNCTION("""COMPUTED_VALUE"""),"Thommy")</f>
        <v>Thommy</v>
      </c>
      <c r="C785" s="1" t="str">
        <f ca="1">IFERROR(__xludf.DUMMYFUNCTION("""COMPUTED_VALUE"""),"Sporting Kansas City")</f>
        <v>Sporting Kansas City</v>
      </c>
      <c r="D785" s="1" t="str">
        <f ca="1">IFERROR(__xludf.DUMMYFUNCTION("""COMPUTED_VALUE"""),"Attacking Midfield")</f>
        <v>Attacking Midfield</v>
      </c>
      <c r="E785" s="2">
        <f ca="1">IFERROR(__xludf.DUMMYFUNCTION("""COMPUTED_VALUE"""),1000000)</f>
        <v>1000000</v>
      </c>
      <c r="F785" s="2">
        <f ca="1">IFERROR(__xludf.DUMMYFUNCTION("""COMPUTED_VALUE"""),1106250)</f>
        <v>1106250</v>
      </c>
      <c r="H785" s="1" t="str">
        <f t="shared" ca="1" si="48"/>
        <v>Attacking Midfield</v>
      </c>
      <c r="I785" s="3" t="str">
        <f t="shared" ca="1" si="49"/>
        <v>Attacking Midfield</v>
      </c>
      <c r="J785" s="1" t="str">
        <f t="shared" ca="1" si="50"/>
        <v>Attacking Midfield</v>
      </c>
      <c r="K785" s="1" t="str">
        <f t="shared" ca="1" si="63"/>
        <v>Attacking Midfield</v>
      </c>
      <c r="L785" s="1" t="str">
        <f t="shared" ca="1" si="51"/>
        <v>Attacking Midfield</v>
      </c>
      <c r="M785" s="1" t="str">
        <f t="shared" ca="1" si="52"/>
        <v>M</v>
      </c>
      <c r="N785" s="1" t="str">
        <f t="shared" ca="1" si="53"/>
        <v>M</v>
      </c>
      <c r="O785" s="1" t="str">
        <f t="shared" ca="1" si="54"/>
        <v>M</v>
      </c>
      <c r="P785" s="1" t="str">
        <f t="shared" ca="1" si="55"/>
        <v>M</v>
      </c>
      <c r="Q785" s="1" t="str">
        <f t="shared" ca="1" si="56"/>
        <v>M</v>
      </c>
      <c r="R785" s="1" t="str">
        <f t="shared" ca="1" si="57"/>
        <v>M</v>
      </c>
      <c r="S785" s="1" t="str">
        <f t="shared" ca="1" si="58"/>
        <v>M</v>
      </c>
      <c r="T785" s="1" t="str">
        <f t="shared" ca="1" si="59"/>
        <v>M</v>
      </c>
      <c r="U785" s="1" t="str">
        <f t="shared" ca="1" si="60"/>
        <v>M</v>
      </c>
      <c r="V785" s="1" t="str">
        <f t="shared" ca="1" si="61"/>
        <v>M</v>
      </c>
      <c r="W785" s="1" t="str">
        <f t="shared" ca="1" si="62"/>
        <v>Erik Thommy</v>
      </c>
    </row>
    <row r="786" spans="1:23">
      <c r="A786" s="1" t="str">
        <f ca="1">IFERROR(__xludf.DUMMYFUNCTION("""COMPUTED_VALUE"""),"Tommy")</f>
        <v>Tommy</v>
      </c>
      <c r="B786" s="1" t="str">
        <f ca="1">IFERROR(__xludf.DUMMYFUNCTION("""COMPUTED_VALUE"""),"Thompson")</f>
        <v>Thompson</v>
      </c>
      <c r="C786" s="1" t="str">
        <f ca="1">IFERROR(__xludf.DUMMYFUNCTION("""COMPUTED_VALUE"""),"San Jose Earthquakes")</f>
        <v>San Jose Earthquakes</v>
      </c>
      <c r="D786" s="1" t="str">
        <f ca="1">IFERROR(__xludf.DUMMYFUNCTION("""COMPUTED_VALUE"""),"Right-back")</f>
        <v>Right-back</v>
      </c>
      <c r="E786" s="2">
        <f ca="1">IFERROR(__xludf.DUMMYFUNCTION("""COMPUTED_VALUE"""),89716)</f>
        <v>89716</v>
      </c>
      <c r="F786" s="2">
        <f ca="1">IFERROR(__xludf.DUMMYFUNCTION("""COMPUTED_VALUE"""),89716)</f>
        <v>89716</v>
      </c>
      <c r="H786" s="1" t="str">
        <f t="shared" ca="1" si="48"/>
        <v>Right-back</v>
      </c>
      <c r="I786" s="3" t="str">
        <f t="shared" ca="1" si="49"/>
        <v>Right-back</v>
      </c>
      <c r="J786" s="1" t="str">
        <f t="shared" ca="1" si="50"/>
        <v>D</v>
      </c>
      <c r="K786" s="1" t="str">
        <f t="shared" ca="1" si="63"/>
        <v>D</v>
      </c>
      <c r="L786" s="1" t="str">
        <f t="shared" ca="1" si="51"/>
        <v>D</v>
      </c>
      <c r="M786" s="1" t="str">
        <f t="shared" ca="1" si="52"/>
        <v>D</v>
      </c>
      <c r="N786" s="1" t="str">
        <f t="shared" ca="1" si="53"/>
        <v>D</v>
      </c>
      <c r="O786" s="1" t="str">
        <f t="shared" ca="1" si="54"/>
        <v>D</v>
      </c>
      <c r="P786" s="1" t="str">
        <f t="shared" ca="1" si="55"/>
        <v>D</v>
      </c>
      <c r="Q786" s="1" t="str">
        <f t="shared" ca="1" si="56"/>
        <v>D</v>
      </c>
      <c r="R786" s="1" t="str">
        <f t="shared" ca="1" si="57"/>
        <v>D</v>
      </c>
      <c r="S786" s="1" t="str">
        <f t="shared" ca="1" si="58"/>
        <v>D</v>
      </c>
      <c r="T786" s="1" t="str">
        <f t="shared" ca="1" si="59"/>
        <v>D</v>
      </c>
      <c r="U786" s="1" t="str">
        <f t="shared" ca="1" si="60"/>
        <v>D</v>
      </c>
      <c r="V786" s="1" t="str">
        <f t="shared" ca="1" si="61"/>
        <v>D</v>
      </c>
      <c r="W786" s="1" t="str">
        <f t="shared" ca="1" si="62"/>
        <v>Tommy Thompson</v>
      </c>
    </row>
    <row r="787" spans="1:23">
      <c r="A787" s="1" t="str">
        <f ca="1">IFERROR(__xludf.DUMMYFUNCTION("""COMPUTED_VALUE"""),"Kosi")</f>
        <v>Kosi</v>
      </c>
      <c r="B787" s="1" t="str">
        <f ca="1">IFERROR(__xludf.DUMMYFUNCTION("""COMPUTED_VALUE"""),"Thompson")</f>
        <v>Thompson</v>
      </c>
      <c r="C787" s="1" t="str">
        <f ca="1">IFERROR(__xludf.DUMMYFUNCTION("""COMPUTED_VALUE"""),"Toronto FC")</f>
        <v>Toronto FC</v>
      </c>
      <c r="D787" s="1" t="str">
        <f ca="1">IFERROR(__xludf.DUMMYFUNCTION("""COMPUTED_VALUE"""),"Right Midfield")</f>
        <v>Right Midfield</v>
      </c>
      <c r="E787" s="2">
        <f ca="1">IFERROR(__xludf.DUMMYFUNCTION("""COMPUTED_VALUE"""),95000)</f>
        <v>95000</v>
      </c>
      <c r="F787" s="2">
        <f ca="1">IFERROR(__xludf.DUMMYFUNCTION("""COMPUTED_VALUE"""),100260)</f>
        <v>100260</v>
      </c>
      <c r="H787" s="1" t="str">
        <f t="shared" ca="1" si="48"/>
        <v>Right Midfield</v>
      </c>
      <c r="I787" s="3" t="str">
        <f t="shared" ca="1" si="49"/>
        <v>Right Midfield</v>
      </c>
      <c r="J787" s="1" t="str">
        <f t="shared" ca="1" si="50"/>
        <v>Right Midfield</v>
      </c>
      <c r="K787" s="1" t="str">
        <f t="shared" ca="1" si="63"/>
        <v>Right Midfield</v>
      </c>
      <c r="L787" s="1" t="str">
        <f t="shared" ca="1" si="51"/>
        <v>Right Midfield</v>
      </c>
      <c r="M787" s="1" t="str">
        <f t="shared" ca="1" si="52"/>
        <v>Right Midfield</v>
      </c>
      <c r="N787" s="1" t="str">
        <f t="shared" ca="1" si="53"/>
        <v>Right Midfield</v>
      </c>
      <c r="O787" s="1" t="str">
        <f t="shared" ca="1" si="54"/>
        <v>Right Midfield</v>
      </c>
      <c r="P787" s="1" t="str">
        <f t="shared" ca="1" si="55"/>
        <v>Right Midfield</v>
      </c>
      <c r="Q787" s="1" t="str">
        <f t="shared" ca="1" si="56"/>
        <v>Right Midfield</v>
      </c>
      <c r="R787" s="1" t="str">
        <f t="shared" ca="1" si="57"/>
        <v>Right Midfield</v>
      </c>
      <c r="S787" s="1" t="str">
        <f t="shared" ca="1" si="58"/>
        <v>Right Midfield</v>
      </c>
      <c r="T787" s="1" t="str">
        <f t="shared" ca="1" si="59"/>
        <v>M</v>
      </c>
      <c r="U787" s="1" t="str">
        <f t="shared" ca="1" si="60"/>
        <v>M</v>
      </c>
      <c r="V787" s="1" t="str">
        <f t="shared" ca="1" si="61"/>
        <v>M</v>
      </c>
      <c r="W787" s="1" t="str">
        <f t="shared" ca="1" si="62"/>
        <v>Kosi Thompson</v>
      </c>
    </row>
    <row r="788" spans="1:23">
      <c r="A788" s="1" t="str">
        <f ca="1">IFERROR(__xludf.DUMMYFUNCTION("""COMPUTED_VALUE"""),"Róbert Orri")</f>
        <v>Róbert Orri</v>
      </c>
      <c r="B788" s="1" t="str">
        <f ca="1">IFERROR(__xludf.DUMMYFUNCTION("""COMPUTED_VALUE"""),"Thorkelsson")</f>
        <v>Thorkelsson</v>
      </c>
      <c r="C788" s="1" t="str">
        <f ca="1">IFERROR(__xludf.DUMMYFUNCTION("""COMPUTED_VALUE"""),"CF Montreal")</f>
        <v>CF Montreal</v>
      </c>
      <c r="D788" s="1" t="str">
        <f ca="1">IFERROR(__xludf.DUMMYFUNCTION("""COMPUTED_VALUE"""),"Center-back")</f>
        <v>Center-back</v>
      </c>
      <c r="E788" s="2">
        <f ca="1">IFERROR(__xludf.DUMMYFUNCTION("""COMPUTED_VALUE"""),225000)</f>
        <v>225000</v>
      </c>
      <c r="F788" s="2">
        <f ca="1">IFERROR(__xludf.DUMMYFUNCTION("""COMPUTED_VALUE"""),248500)</f>
        <v>248500</v>
      </c>
      <c r="H788" s="1" t="str">
        <f t="shared" ca="1" si="48"/>
        <v>D</v>
      </c>
      <c r="I788" s="3" t="str">
        <f t="shared" ca="1" si="49"/>
        <v>D</v>
      </c>
      <c r="J788" s="1" t="str">
        <f t="shared" ca="1" si="50"/>
        <v>D</v>
      </c>
      <c r="K788" s="1" t="str">
        <f t="shared" ca="1" si="63"/>
        <v>D</v>
      </c>
      <c r="L788" s="1" t="str">
        <f t="shared" ca="1" si="51"/>
        <v>D</v>
      </c>
      <c r="M788" s="1" t="str">
        <f t="shared" ca="1" si="52"/>
        <v>D</v>
      </c>
      <c r="N788" s="1" t="str">
        <f t="shared" ca="1" si="53"/>
        <v>D</v>
      </c>
      <c r="O788" s="1" t="str">
        <f t="shared" ca="1" si="54"/>
        <v>D</v>
      </c>
      <c r="P788" s="1" t="str">
        <f t="shared" ca="1" si="55"/>
        <v>D</v>
      </c>
      <c r="Q788" s="1" t="str">
        <f t="shared" ca="1" si="56"/>
        <v>D</v>
      </c>
      <c r="R788" s="1" t="str">
        <f t="shared" ca="1" si="57"/>
        <v>D</v>
      </c>
      <c r="S788" s="1" t="str">
        <f t="shared" ca="1" si="58"/>
        <v>D</v>
      </c>
      <c r="T788" s="1" t="str">
        <f t="shared" ca="1" si="59"/>
        <v>D</v>
      </c>
      <c r="U788" s="1" t="str">
        <f t="shared" ca="1" si="60"/>
        <v>D</v>
      </c>
      <c r="V788" s="1" t="str">
        <f t="shared" ca="1" si="61"/>
        <v>D</v>
      </c>
      <c r="W788" s="1" t="str">
        <f t="shared" ca="1" si="62"/>
        <v>Róbert Orri Thorkelsson</v>
      </c>
    </row>
    <row r="789" spans="1:23">
      <c r="A789" s="1" t="str">
        <f ca="1">IFERROR(__xludf.DUMMYFUNCTION("""COMPUTED_VALUE"""),"Timothy")</f>
        <v>Timothy</v>
      </c>
      <c r="B789" s="1" t="str">
        <f ca="1">IFERROR(__xludf.DUMMYFUNCTION("""COMPUTED_VALUE"""),"Tillman")</f>
        <v>Tillman</v>
      </c>
      <c r="C789" s="1" t="str">
        <f ca="1">IFERROR(__xludf.DUMMYFUNCTION("""COMPUTED_VALUE"""),"LAFC")</f>
        <v>LAFC</v>
      </c>
      <c r="D789" s="1" t="str">
        <f ca="1">IFERROR(__xludf.DUMMYFUNCTION("""COMPUTED_VALUE"""),"Central Midfield")</f>
        <v>Central Midfield</v>
      </c>
      <c r="E789" s="2">
        <f ca="1">IFERROR(__xludf.DUMMYFUNCTION("""COMPUTED_VALUE"""),600000)</f>
        <v>600000</v>
      </c>
      <c r="F789" s="2">
        <f ca="1">IFERROR(__xludf.DUMMYFUNCTION("""COMPUTED_VALUE"""),637500)</f>
        <v>637500</v>
      </c>
      <c r="H789" s="1" t="str">
        <f t="shared" ca="1" si="48"/>
        <v>Central Midfield</v>
      </c>
      <c r="I789" s="3" t="str">
        <f t="shared" ca="1" si="49"/>
        <v>Central Midfield</v>
      </c>
      <c r="J789" s="1" t="str">
        <f t="shared" ca="1" si="50"/>
        <v>Central Midfield</v>
      </c>
      <c r="K789" s="1" t="str">
        <f t="shared" ca="1" si="63"/>
        <v>Central Midfield</v>
      </c>
      <c r="L789" s="1" t="str">
        <f t="shared" ca="1" si="51"/>
        <v>M</v>
      </c>
      <c r="M789" s="1" t="str">
        <f t="shared" ca="1" si="52"/>
        <v>M</v>
      </c>
      <c r="N789" s="1" t="str">
        <f t="shared" ca="1" si="53"/>
        <v>M</v>
      </c>
      <c r="O789" s="1" t="str">
        <f t="shared" ca="1" si="54"/>
        <v>M</v>
      </c>
      <c r="P789" s="1" t="str">
        <f t="shared" ca="1" si="55"/>
        <v>M</v>
      </c>
      <c r="Q789" s="1" t="str">
        <f t="shared" ca="1" si="56"/>
        <v>M</v>
      </c>
      <c r="R789" s="1" t="str">
        <f t="shared" ca="1" si="57"/>
        <v>M</v>
      </c>
      <c r="S789" s="1" t="str">
        <f t="shared" ca="1" si="58"/>
        <v>M</v>
      </c>
      <c r="T789" s="1" t="str">
        <f t="shared" ca="1" si="59"/>
        <v>M</v>
      </c>
      <c r="U789" s="1" t="str">
        <f t="shared" ca="1" si="60"/>
        <v>M</v>
      </c>
      <c r="V789" s="1" t="str">
        <f t="shared" ca="1" si="61"/>
        <v>M</v>
      </c>
      <c r="W789" s="1" t="str">
        <f t="shared" ca="1" si="62"/>
        <v>Timothy Tillman</v>
      </c>
    </row>
    <row r="790" spans="1:23">
      <c r="A790" s="1" t="str">
        <f ca="1">IFERROR(__xludf.DUMMYFUNCTION("""COMPUTED_VALUE"""),"John")</f>
        <v>John</v>
      </c>
      <c r="B790" s="1" t="str">
        <f ca="1">IFERROR(__xludf.DUMMYFUNCTION("""COMPUTED_VALUE"""),"Tolkin")</f>
        <v>Tolkin</v>
      </c>
      <c r="C790" s="1" t="str">
        <f ca="1">IFERROR(__xludf.DUMMYFUNCTION("""COMPUTED_VALUE"""),"New York Red Bulls")</f>
        <v>New York Red Bulls</v>
      </c>
      <c r="D790" s="1" t="str">
        <f ca="1">IFERROR(__xludf.DUMMYFUNCTION("""COMPUTED_VALUE"""),"Left-back")</f>
        <v>Left-back</v>
      </c>
      <c r="E790" s="2">
        <f ca="1">IFERROR(__xludf.DUMMYFUNCTION("""COMPUTED_VALUE"""),450000)</f>
        <v>450000</v>
      </c>
      <c r="F790" s="2">
        <f ca="1">IFERROR(__xludf.DUMMYFUNCTION("""COMPUTED_VALUE"""),485750)</f>
        <v>485750</v>
      </c>
      <c r="H790" s="1" t="str">
        <f t="shared" ca="1" si="48"/>
        <v>Left-back</v>
      </c>
      <c r="I790" s="3" t="str">
        <f t="shared" ca="1" si="49"/>
        <v>D</v>
      </c>
      <c r="J790" s="1" t="str">
        <f t="shared" ca="1" si="50"/>
        <v>D</v>
      </c>
      <c r="K790" s="1" t="str">
        <f t="shared" ca="1" si="63"/>
        <v>D</v>
      </c>
      <c r="L790" s="1" t="str">
        <f t="shared" ca="1" si="51"/>
        <v>D</v>
      </c>
      <c r="M790" s="1" t="str">
        <f t="shared" ca="1" si="52"/>
        <v>D</v>
      </c>
      <c r="N790" s="1" t="str">
        <f t="shared" ca="1" si="53"/>
        <v>D</v>
      </c>
      <c r="O790" s="1" t="str">
        <f t="shared" ca="1" si="54"/>
        <v>D</v>
      </c>
      <c r="P790" s="1" t="str">
        <f t="shared" ca="1" si="55"/>
        <v>D</v>
      </c>
      <c r="Q790" s="1" t="str">
        <f t="shared" ca="1" si="56"/>
        <v>D</v>
      </c>
      <c r="R790" s="1" t="str">
        <f t="shared" ca="1" si="57"/>
        <v>D</v>
      </c>
      <c r="S790" s="1" t="str">
        <f t="shared" ca="1" si="58"/>
        <v>D</v>
      </c>
      <c r="T790" s="1" t="str">
        <f t="shared" ca="1" si="59"/>
        <v>D</v>
      </c>
      <c r="U790" s="1" t="str">
        <f t="shared" ca="1" si="60"/>
        <v>D</v>
      </c>
      <c r="V790" s="1" t="str">
        <f t="shared" ca="1" si="61"/>
        <v>D</v>
      </c>
      <c r="W790" s="1" t="str">
        <f t="shared" ca="1" si="62"/>
        <v>John Tolkin</v>
      </c>
    </row>
    <row r="791" spans="1:23">
      <c r="A791" s="1" t="str">
        <f ca="1">IFERROR(__xludf.DUMMYFUNCTION("""COMPUTED_VALUE"""),"Nouhou")</f>
        <v>Nouhou</v>
      </c>
      <c r="B791" s="1" t="str">
        <f ca="1">IFERROR(__xludf.DUMMYFUNCTION("""COMPUTED_VALUE"""),"Tolo")</f>
        <v>Tolo</v>
      </c>
      <c r="C791" s="1" t="str">
        <f ca="1">IFERROR(__xludf.DUMMYFUNCTION("""COMPUTED_VALUE"""),"Seattle Sounders FC")</f>
        <v>Seattle Sounders FC</v>
      </c>
      <c r="D791" s="1" t="str">
        <f ca="1">IFERROR(__xludf.DUMMYFUNCTION("""COMPUTED_VALUE"""),"Left-back")</f>
        <v>Left-back</v>
      </c>
      <c r="E791" s="2">
        <f ca="1">IFERROR(__xludf.DUMMYFUNCTION("""COMPUTED_VALUE"""),550000)</f>
        <v>550000</v>
      </c>
      <c r="F791" s="2">
        <f ca="1">IFERROR(__xludf.DUMMYFUNCTION("""COMPUTED_VALUE"""),571875)</f>
        <v>571875</v>
      </c>
      <c r="H791" s="1" t="str">
        <f t="shared" ca="1" si="48"/>
        <v>Left-back</v>
      </c>
      <c r="I791" s="3" t="str">
        <f t="shared" ca="1" si="49"/>
        <v>D</v>
      </c>
      <c r="J791" s="1" t="str">
        <f t="shared" ca="1" si="50"/>
        <v>D</v>
      </c>
      <c r="K791" s="1" t="str">
        <f t="shared" ca="1" si="63"/>
        <v>D</v>
      </c>
      <c r="L791" s="1" t="str">
        <f t="shared" ca="1" si="51"/>
        <v>D</v>
      </c>
      <c r="M791" s="1" t="str">
        <f t="shared" ca="1" si="52"/>
        <v>D</v>
      </c>
      <c r="N791" s="1" t="str">
        <f t="shared" ca="1" si="53"/>
        <v>D</v>
      </c>
      <c r="O791" s="1" t="str">
        <f t="shared" ca="1" si="54"/>
        <v>D</v>
      </c>
      <c r="P791" s="1" t="str">
        <f t="shared" ca="1" si="55"/>
        <v>D</v>
      </c>
      <c r="Q791" s="1" t="str">
        <f t="shared" ca="1" si="56"/>
        <v>D</v>
      </c>
      <c r="R791" s="1" t="str">
        <f t="shared" ca="1" si="57"/>
        <v>D</v>
      </c>
      <c r="S791" s="1" t="str">
        <f t="shared" ca="1" si="58"/>
        <v>D</v>
      </c>
      <c r="T791" s="1" t="str">
        <f t="shared" ca="1" si="59"/>
        <v>D</v>
      </c>
      <c r="U791" s="1" t="str">
        <f t="shared" ca="1" si="60"/>
        <v>D</v>
      </c>
      <c r="V791" s="1" t="str">
        <f t="shared" ca="1" si="61"/>
        <v>D</v>
      </c>
      <c r="W791" s="1" t="str">
        <f t="shared" ca="1" si="62"/>
        <v>Nouhou Tolo</v>
      </c>
    </row>
    <row r="792" spans="1:23">
      <c r="A792" s="1" t="str">
        <f ca="1">IFERROR(__xludf.DUMMYFUNCTION("""COMPUTED_VALUE"""),"Adyn")</f>
        <v>Adyn</v>
      </c>
      <c r="B792" s="1" t="str">
        <f ca="1">IFERROR(__xludf.DUMMYFUNCTION("""COMPUTED_VALUE"""),"Torres")</f>
        <v>Torres</v>
      </c>
      <c r="C792" s="1" t="str">
        <f ca="1">IFERROR(__xludf.DUMMYFUNCTION("""COMPUTED_VALUE"""),"Atlanta United")</f>
        <v>Atlanta United</v>
      </c>
      <c r="D792" s="1" t="str">
        <f ca="1">IFERROR(__xludf.DUMMYFUNCTION("""COMPUTED_VALUE"""),"Central Midfield")</f>
        <v>Central Midfield</v>
      </c>
      <c r="E792" s="2">
        <f ca="1">IFERROR(__xludf.DUMMYFUNCTION("""COMPUTED_VALUE"""),71401)</f>
        <v>71401</v>
      </c>
      <c r="F792" s="2">
        <f ca="1">IFERROR(__xludf.DUMMYFUNCTION("""COMPUTED_VALUE"""),71401)</f>
        <v>71401</v>
      </c>
      <c r="H792" s="1" t="str">
        <f t="shared" ca="1" si="48"/>
        <v>Central Midfield</v>
      </c>
      <c r="I792" s="3" t="str">
        <f t="shared" ca="1" si="49"/>
        <v>Central Midfield</v>
      </c>
      <c r="J792" s="1" t="str">
        <f t="shared" ca="1" si="50"/>
        <v>Central Midfield</v>
      </c>
      <c r="K792" s="1" t="str">
        <f t="shared" ca="1" si="63"/>
        <v>Central Midfield</v>
      </c>
      <c r="L792" s="1" t="str">
        <f t="shared" ca="1" si="51"/>
        <v>M</v>
      </c>
      <c r="M792" s="1" t="str">
        <f t="shared" ca="1" si="52"/>
        <v>M</v>
      </c>
      <c r="N792" s="1" t="str">
        <f t="shared" ca="1" si="53"/>
        <v>M</v>
      </c>
      <c r="O792" s="1" t="str">
        <f t="shared" ca="1" si="54"/>
        <v>M</v>
      </c>
      <c r="P792" s="1" t="str">
        <f t="shared" ca="1" si="55"/>
        <v>M</v>
      </c>
      <c r="Q792" s="1" t="str">
        <f t="shared" ca="1" si="56"/>
        <v>M</v>
      </c>
      <c r="R792" s="1" t="str">
        <f t="shared" ca="1" si="57"/>
        <v>M</v>
      </c>
      <c r="S792" s="1" t="str">
        <f t="shared" ca="1" si="58"/>
        <v>M</v>
      </c>
      <c r="T792" s="1" t="str">
        <f t="shared" ca="1" si="59"/>
        <v>M</v>
      </c>
      <c r="U792" s="1" t="str">
        <f t="shared" ca="1" si="60"/>
        <v>M</v>
      </c>
      <c r="V792" s="1" t="str">
        <f t="shared" ca="1" si="61"/>
        <v>M</v>
      </c>
      <c r="W792" s="1" t="str">
        <f t="shared" ca="1" si="62"/>
        <v>Adyn Torres</v>
      </c>
    </row>
    <row r="793" spans="1:23">
      <c r="A793" s="1" t="str">
        <f ca="1">IFERROR(__xludf.DUMMYFUNCTION("""COMPUTED_VALUE"""),"Facundo")</f>
        <v>Facundo</v>
      </c>
      <c r="B793" s="1" t="str">
        <f ca="1">IFERROR(__xludf.DUMMYFUNCTION("""COMPUTED_VALUE"""),"Torres")</f>
        <v>Torres</v>
      </c>
      <c r="C793" s="1" t="str">
        <f ca="1">IFERROR(__xludf.DUMMYFUNCTION("""COMPUTED_VALUE"""),"Orlando City SC")</f>
        <v>Orlando City SC</v>
      </c>
      <c r="D793" s="1" t="str">
        <f ca="1">IFERROR(__xludf.DUMMYFUNCTION("""COMPUTED_VALUE"""),"Right Wing")</f>
        <v>Right Wing</v>
      </c>
      <c r="E793" s="2">
        <f ca="1">IFERROR(__xludf.DUMMYFUNCTION("""COMPUTED_VALUE"""),1560000)</f>
        <v>1560000</v>
      </c>
      <c r="F793" s="2">
        <f ca="1">IFERROR(__xludf.DUMMYFUNCTION("""COMPUTED_VALUE"""),1812400)</f>
        <v>1812400</v>
      </c>
      <c r="H793" s="1" t="str">
        <f t="shared" ca="1" si="48"/>
        <v>Right Wing</v>
      </c>
      <c r="I793" s="3" t="str">
        <f t="shared" ca="1" si="49"/>
        <v>Right Wing</v>
      </c>
      <c r="J793" s="1" t="str">
        <f t="shared" ca="1" si="50"/>
        <v>Right Wing</v>
      </c>
      <c r="K793" s="1" t="str">
        <f t="shared" ca="1" si="63"/>
        <v>Right Wing</v>
      </c>
      <c r="L793" s="1" t="str">
        <f t="shared" ca="1" si="51"/>
        <v>Right Wing</v>
      </c>
      <c r="M793" s="1" t="str">
        <f t="shared" ca="1" si="52"/>
        <v>Right Wing</v>
      </c>
      <c r="N793" s="1" t="str">
        <f t="shared" ca="1" si="53"/>
        <v>F</v>
      </c>
      <c r="O793" s="1" t="str">
        <f t="shared" ca="1" si="54"/>
        <v>F</v>
      </c>
      <c r="P793" s="1" t="str">
        <f t="shared" ca="1" si="55"/>
        <v>F</v>
      </c>
      <c r="Q793" s="1" t="str">
        <f t="shared" ca="1" si="56"/>
        <v>F</v>
      </c>
      <c r="R793" s="1" t="str">
        <f t="shared" ca="1" si="57"/>
        <v>F</v>
      </c>
      <c r="S793" s="1" t="str">
        <f t="shared" ca="1" si="58"/>
        <v>F</v>
      </c>
      <c r="T793" s="1" t="str">
        <f t="shared" ca="1" si="59"/>
        <v>F</v>
      </c>
      <c r="U793" s="1" t="str">
        <f t="shared" ca="1" si="60"/>
        <v>F</v>
      </c>
      <c r="V793" s="1" t="str">
        <f t="shared" ca="1" si="61"/>
        <v>F</v>
      </c>
      <c r="W793" s="1" t="str">
        <f t="shared" ca="1" si="62"/>
        <v>Facundo Torres</v>
      </c>
    </row>
    <row r="794" spans="1:23">
      <c r="A794" s="1" t="str">
        <f ca="1">IFERROR(__xludf.DUMMYFUNCTION("""COMPUTED_VALUE"""),"Joaquín")</f>
        <v>Joaquín</v>
      </c>
      <c r="B794" s="1" t="str">
        <f ca="1">IFERROR(__xludf.DUMMYFUNCTION("""COMPUTED_VALUE"""),"Torres")</f>
        <v>Torres</v>
      </c>
      <c r="C794" s="1" t="str">
        <f ca="1">IFERROR(__xludf.DUMMYFUNCTION("""COMPUTED_VALUE"""),"Philadelphia Union")</f>
        <v>Philadelphia Union</v>
      </c>
      <c r="D794" s="1" t="str">
        <f ca="1">IFERROR(__xludf.DUMMYFUNCTION("""COMPUTED_VALUE"""),"Right Wing")</f>
        <v>Right Wing</v>
      </c>
      <c r="E794" s="2">
        <f ca="1">IFERROR(__xludf.DUMMYFUNCTION("""COMPUTED_VALUE"""),300000)</f>
        <v>300000</v>
      </c>
      <c r="F794" s="2">
        <f ca="1">IFERROR(__xludf.DUMMYFUNCTION("""COMPUTED_VALUE"""),349800)</f>
        <v>349800</v>
      </c>
      <c r="H794" s="1" t="str">
        <f t="shared" ca="1" si="48"/>
        <v>Right Wing</v>
      </c>
      <c r="I794" s="3" t="str">
        <f t="shared" ca="1" si="49"/>
        <v>Right Wing</v>
      </c>
      <c r="J794" s="1" t="str">
        <f t="shared" ca="1" si="50"/>
        <v>Right Wing</v>
      </c>
      <c r="K794" s="1" t="str">
        <f t="shared" ca="1" si="63"/>
        <v>Right Wing</v>
      </c>
      <c r="L794" s="1" t="str">
        <f t="shared" ca="1" si="51"/>
        <v>Right Wing</v>
      </c>
      <c r="M794" s="1" t="str">
        <f t="shared" ca="1" si="52"/>
        <v>Right Wing</v>
      </c>
      <c r="N794" s="1" t="str">
        <f t="shared" ca="1" si="53"/>
        <v>F</v>
      </c>
      <c r="O794" s="1" t="str">
        <f t="shared" ca="1" si="54"/>
        <v>F</v>
      </c>
      <c r="P794" s="1" t="str">
        <f t="shared" ca="1" si="55"/>
        <v>F</v>
      </c>
      <c r="Q794" s="1" t="str">
        <f t="shared" ca="1" si="56"/>
        <v>F</v>
      </c>
      <c r="R794" s="1" t="str">
        <f t="shared" ca="1" si="57"/>
        <v>F</v>
      </c>
      <c r="S794" s="1" t="str">
        <f t="shared" ca="1" si="58"/>
        <v>F</v>
      </c>
      <c r="T794" s="1" t="str">
        <f t="shared" ca="1" si="59"/>
        <v>F</v>
      </c>
      <c r="U794" s="1" t="str">
        <f t="shared" ca="1" si="60"/>
        <v>F</v>
      </c>
      <c r="V794" s="1" t="str">
        <f t="shared" ca="1" si="61"/>
        <v>F</v>
      </c>
      <c r="W794" s="1" t="str">
        <f t="shared" ca="1" si="62"/>
        <v>Joaquín Torres</v>
      </c>
    </row>
    <row r="795" spans="1:23">
      <c r="A795" s="1" t="str">
        <f ca="1">IFERROR(__xludf.DUMMYFUNCTION("""COMPUTED_VALUE"""),"Tomas")</f>
        <v>Tomas</v>
      </c>
      <c r="B795" s="1" t="str">
        <f ca="1">IFERROR(__xludf.DUMMYFUNCTION("""COMPUTED_VALUE"""),"Totland")</f>
        <v>Totland</v>
      </c>
      <c r="C795" s="1" t="str">
        <f ca="1">IFERROR(__xludf.DUMMYFUNCTION("""COMPUTED_VALUE"""),"St. Louis City SC")</f>
        <v>St. Louis City SC</v>
      </c>
      <c r="D795" s="1" t="str">
        <f ca="1">IFERROR(__xludf.DUMMYFUNCTION("""COMPUTED_VALUE"""),"Right-back")</f>
        <v>Right-back</v>
      </c>
      <c r="E795" s="2">
        <f ca="1">IFERROR(__xludf.DUMMYFUNCTION("""COMPUTED_VALUE"""),273000)</f>
        <v>273000</v>
      </c>
      <c r="F795" s="2">
        <f ca="1">IFERROR(__xludf.DUMMYFUNCTION("""COMPUTED_VALUE"""),314763)</f>
        <v>314763</v>
      </c>
      <c r="H795" s="1" t="str">
        <f t="shared" ca="1" si="48"/>
        <v>Right-back</v>
      </c>
      <c r="I795" s="3" t="str">
        <f t="shared" ca="1" si="49"/>
        <v>Right-back</v>
      </c>
      <c r="J795" s="1" t="str">
        <f t="shared" ca="1" si="50"/>
        <v>D</v>
      </c>
      <c r="K795" s="1" t="str">
        <f t="shared" ca="1" si="63"/>
        <v>D</v>
      </c>
      <c r="L795" s="1" t="str">
        <f t="shared" ca="1" si="51"/>
        <v>D</v>
      </c>
      <c r="M795" s="1" t="str">
        <f t="shared" ca="1" si="52"/>
        <v>D</v>
      </c>
      <c r="N795" s="1" t="str">
        <f t="shared" ca="1" si="53"/>
        <v>D</v>
      </c>
      <c r="O795" s="1" t="str">
        <f t="shared" ca="1" si="54"/>
        <v>D</v>
      </c>
      <c r="P795" s="1" t="str">
        <f t="shared" ca="1" si="55"/>
        <v>D</v>
      </c>
      <c r="Q795" s="1" t="str">
        <f t="shared" ca="1" si="56"/>
        <v>D</v>
      </c>
      <c r="R795" s="1" t="str">
        <f t="shared" ca="1" si="57"/>
        <v>D</v>
      </c>
      <c r="S795" s="1" t="str">
        <f t="shared" ca="1" si="58"/>
        <v>D</v>
      </c>
      <c r="T795" s="1" t="str">
        <f t="shared" ca="1" si="59"/>
        <v>D</v>
      </c>
      <c r="U795" s="1" t="str">
        <f t="shared" ca="1" si="60"/>
        <v>D</v>
      </c>
      <c r="V795" s="1" t="str">
        <f t="shared" ca="1" si="61"/>
        <v>D</v>
      </c>
      <c r="W795" s="1" t="str">
        <f t="shared" ca="1" si="62"/>
        <v>Tomas Totland</v>
      </c>
    </row>
    <row r="796" spans="1:23">
      <c r="A796" s="1" t="str">
        <f ca="1">IFERROR(__xludf.DUMMYFUNCTION("""COMPUTED_VALUE"""),"Dantouma")</f>
        <v>Dantouma</v>
      </c>
      <c r="B796" s="1" t="str">
        <f ca="1">IFERROR(__xludf.DUMMYFUNCTION("""COMPUTED_VALUE"""),"Toure")</f>
        <v>Toure</v>
      </c>
      <c r="C796" s="1" t="str">
        <f ca="1">IFERROR(__xludf.DUMMYFUNCTION("""COMPUTED_VALUE"""),"MLS Pool")</f>
        <v>MLS Pool</v>
      </c>
      <c r="D796" s="1" t="str">
        <f ca="1">IFERROR(__xludf.DUMMYFUNCTION("""COMPUTED_VALUE"""),"Right Wing")</f>
        <v>Right Wing</v>
      </c>
      <c r="E796" s="2">
        <f ca="1">IFERROR(__xludf.DUMMYFUNCTION("""COMPUTED_VALUE"""),89716)</f>
        <v>89716</v>
      </c>
      <c r="F796" s="2">
        <f ca="1">IFERROR(__xludf.DUMMYFUNCTION("""COMPUTED_VALUE"""),104334)</f>
        <v>104334</v>
      </c>
      <c r="H796" s="1" t="str">
        <f t="shared" ca="1" si="48"/>
        <v>Right Wing</v>
      </c>
      <c r="I796" s="3" t="str">
        <f t="shared" ca="1" si="49"/>
        <v>Right Wing</v>
      </c>
      <c r="J796" s="1" t="str">
        <f t="shared" ca="1" si="50"/>
        <v>Right Wing</v>
      </c>
      <c r="K796" s="1" t="str">
        <f t="shared" ca="1" si="63"/>
        <v>Right Wing</v>
      </c>
      <c r="L796" s="1" t="str">
        <f t="shared" ca="1" si="51"/>
        <v>Right Wing</v>
      </c>
      <c r="M796" s="1" t="str">
        <f t="shared" ca="1" si="52"/>
        <v>Right Wing</v>
      </c>
      <c r="N796" s="1" t="str">
        <f t="shared" ca="1" si="53"/>
        <v>F</v>
      </c>
      <c r="O796" s="1" t="str">
        <f t="shared" ca="1" si="54"/>
        <v>F</v>
      </c>
      <c r="P796" s="1" t="str">
        <f t="shared" ca="1" si="55"/>
        <v>F</v>
      </c>
      <c r="Q796" s="1" t="str">
        <f t="shared" ca="1" si="56"/>
        <v>F</v>
      </c>
      <c r="R796" s="1" t="str">
        <f t="shared" ca="1" si="57"/>
        <v>F</v>
      </c>
      <c r="S796" s="1" t="str">
        <f t="shared" ca="1" si="58"/>
        <v>F</v>
      </c>
      <c r="T796" s="1" t="str">
        <f t="shared" ca="1" si="59"/>
        <v>F</v>
      </c>
      <c r="U796" s="1" t="str">
        <f t="shared" ca="1" si="60"/>
        <v>F</v>
      </c>
      <c r="V796" s="1" t="str">
        <f t="shared" ca="1" si="61"/>
        <v>F</v>
      </c>
      <c r="W796" s="1" t="str">
        <f t="shared" ca="1" si="62"/>
        <v>Dantouma Toure</v>
      </c>
    </row>
    <row r="797" spans="1:23">
      <c r="A797" s="1" t="str">
        <f ca="1">IFERROR(__xludf.DUMMYFUNCTION("""COMPUTED_VALUE"""),"Mason")</f>
        <v>Mason</v>
      </c>
      <c r="B797" s="1" t="str">
        <f ca="1">IFERROR(__xludf.DUMMYFUNCTION("""COMPUTED_VALUE"""),"Toye")</f>
        <v>Toye</v>
      </c>
      <c r="C797" s="1" t="str">
        <f ca="1">IFERROR(__xludf.DUMMYFUNCTION("""COMPUTED_VALUE"""),"CF Montreal")</f>
        <v>CF Montreal</v>
      </c>
      <c r="D797" s="1" t="str">
        <f ca="1">IFERROR(__xludf.DUMMYFUNCTION("""COMPUTED_VALUE"""),"Center Forward")</f>
        <v>Center Forward</v>
      </c>
      <c r="E797" s="2">
        <f ca="1">IFERROR(__xludf.DUMMYFUNCTION("""COMPUTED_VALUE"""),600000)</f>
        <v>600000</v>
      </c>
      <c r="F797" s="2">
        <f ca="1">IFERROR(__xludf.DUMMYFUNCTION("""COMPUTED_VALUE"""),658000)</f>
        <v>658000</v>
      </c>
      <c r="H797" s="1" t="str">
        <f t="shared" ca="1" si="48"/>
        <v>Center Forward</v>
      </c>
      <c r="I797" s="3" t="str">
        <f t="shared" ca="1" si="49"/>
        <v>Center Forward</v>
      </c>
      <c r="J797" s="1" t="str">
        <f t="shared" ca="1" si="50"/>
        <v>Center Forward</v>
      </c>
      <c r="K797" s="1" t="str">
        <f t="shared" ca="1" si="63"/>
        <v>Center Forward</v>
      </c>
      <c r="L797" s="1" t="str">
        <f t="shared" ca="1" si="51"/>
        <v>Center Forward</v>
      </c>
      <c r="M797" s="1" t="str">
        <f t="shared" ca="1" si="52"/>
        <v>Center Forward</v>
      </c>
      <c r="N797" s="1" t="str">
        <f t="shared" ca="1" si="53"/>
        <v>Center Forward</v>
      </c>
      <c r="O797" s="1" t="str">
        <f t="shared" ca="1" si="54"/>
        <v>F</v>
      </c>
      <c r="P797" s="1" t="str">
        <f t="shared" ca="1" si="55"/>
        <v>F</v>
      </c>
      <c r="Q797" s="1" t="str">
        <f t="shared" ca="1" si="56"/>
        <v>F</v>
      </c>
      <c r="R797" s="1" t="str">
        <f t="shared" ca="1" si="57"/>
        <v>F</v>
      </c>
      <c r="S797" s="1" t="str">
        <f t="shared" ca="1" si="58"/>
        <v>F</v>
      </c>
      <c r="T797" s="1" t="str">
        <f t="shared" ca="1" si="59"/>
        <v>F</v>
      </c>
      <c r="U797" s="1" t="str">
        <f t="shared" ca="1" si="60"/>
        <v>F</v>
      </c>
      <c r="V797" s="1" t="str">
        <f t="shared" ca="1" si="61"/>
        <v>F</v>
      </c>
      <c r="W797" s="1" t="str">
        <f t="shared" ca="1" si="62"/>
        <v>Mason Toye</v>
      </c>
    </row>
    <row r="798" spans="1:23">
      <c r="A798" s="1" t="str">
        <f ca="1">IFERROR(__xludf.DUMMYFUNCTION("""COMPUTED_VALUE"""),"Wil")</f>
        <v>Wil</v>
      </c>
      <c r="B798" s="1" t="str">
        <f ca="1">IFERROR(__xludf.DUMMYFUNCTION("""COMPUTED_VALUE"""),"Trapp")</f>
        <v>Trapp</v>
      </c>
      <c r="C798" s="1" t="str">
        <f ca="1">IFERROR(__xludf.DUMMYFUNCTION("""COMPUTED_VALUE"""),"Minnesota United")</f>
        <v>Minnesota United</v>
      </c>
      <c r="D798" s="1" t="str">
        <f ca="1">IFERROR(__xludf.DUMMYFUNCTION("""COMPUTED_VALUE"""),"Defensive Midfield")</f>
        <v>Defensive Midfield</v>
      </c>
      <c r="E798" s="2">
        <f ca="1">IFERROR(__xludf.DUMMYFUNCTION("""COMPUTED_VALUE"""),400000)</f>
        <v>400000</v>
      </c>
      <c r="F798" s="2">
        <f ca="1">IFERROR(__xludf.DUMMYFUNCTION("""COMPUTED_VALUE"""),445000)</f>
        <v>445000</v>
      </c>
      <c r="H798" s="1" t="str">
        <f t="shared" ca="1" si="48"/>
        <v>Defensive Midfield</v>
      </c>
      <c r="I798" s="3" t="str">
        <f t="shared" ca="1" si="49"/>
        <v>Defensive Midfield</v>
      </c>
      <c r="J798" s="1" t="str">
        <f t="shared" ca="1" si="50"/>
        <v>Defensive Midfield</v>
      </c>
      <c r="K798" s="1" t="str">
        <f t="shared" ca="1" si="63"/>
        <v>M</v>
      </c>
      <c r="L798" s="1" t="str">
        <f t="shared" ca="1" si="51"/>
        <v>M</v>
      </c>
      <c r="M798" s="1" t="str">
        <f t="shared" ca="1" si="52"/>
        <v>M</v>
      </c>
      <c r="N798" s="1" t="str">
        <f t="shared" ca="1" si="53"/>
        <v>M</v>
      </c>
      <c r="O798" s="1" t="str">
        <f t="shared" ca="1" si="54"/>
        <v>M</v>
      </c>
      <c r="P798" s="1" t="str">
        <f t="shared" ca="1" si="55"/>
        <v>M</v>
      </c>
      <c r="Q798" s="1" t="str">
        <f t="shared" ca="1" si="56"/>
        <v>M</v>
      </c>
      <c r="R798" s="1" t="str">
        <f t="shared" ca="1" si="57"/>
        <v>M</v>
      </c>
      <c r="S798" s="1" t="str">
        <f t="shared" ca="1" si="58"/>
        <v>M</v>
      </c>
      <c r="T798" s="1" t="str">
        <f t="shared" ca="1" si="59"/>
        <v>M</v>
      </c>
      <c r="U798" s="1" t="str">
        <f t="shared" ca="1" si="60"/>
        <v>M</v>
      </c>
      <c r="V798" s="1" t="str">
        <f t="shared" ca="1" si="61"/>
        <v>M</v>
      </c>
      <c r="W798" s="1" t="str">
        <f t="shared" ca="1" si="62"/>
        <v>Wil Trapp</v>
      </c>
    </row>
    <row r="799" spans="1:23">
      <c r="A799" s="1" t="str">
        <f ca="1">IFERROR(__xludf.DUMMYFUNCTION("""COMPUTED_VALUE"""),"Jackson")</f>
        <v>Jackson</v>
      </c>
      <c r="B799" s="1" t="str">
        <f ca="1">IFERROR(__xludf.DUMMYFUNCTION("""COMPUTED_VALUE"""),"Travis")</f>
        <v>Travis</v>
      </c>
      <c r="C799" s="1" t="str">
        <f ca="1">IFERROR(__xludf.DUMMYFUNCTION("""COMPUTED_VALUE"""),"Colorado Rapids")</f>
        <v>Colorado Rapids</v>
      </c>
      <c r="D799" s="1" t="str">
        <f ca="1">IFERROR(__xludf.DUMMYFUNCTION("""COMPUTED_VALUE"""),"Left-back")</f>
        <v>Left-back</v>
      </c>
      <c r="E799" s="2">
        <f ca="1">IFERROR(__xludf.DUMMYFUNCTION("""COMPUTED_VALUE"""),89716)</f>
        <v>89716</v>
      </c>
      <c r="F799" s="2">
        <f ca="1">IFERROR(__xludf.DUMMYFUNCTION("""COMPUTED_VALUE"""),92216)</f>
        <v>92216</v>
      </c>
      <c r="H799" s="1" t="str">
        <f t="shared" ca="1" si="48"/>
        <v>Left-back</v>
      </c>
      <c r="I799" s="3" t="str">
        <f t="shared" ca="1" si="49"/>
        <v>D</v>
      </c>
      <c r="J799" s="1" t="str">
        <f t="shared" ca="1" si="50"/>
        <v>D</v>
      </c>
      <c r="K799" s="1" t="str">
        <f t="shared" ca="1" si="63"/>
        <v>D</v>
      </c>
      <c r="L799" s="1" t="str">
        <f t="shared" ca="1" si="51"/>
        <v>D</v>
      </c>
      <c r="M799" s="1" t="str">
        <f t="shared" ca="1" si="52"/>
        <v>D</v>
      </c>
      <c r="N799" s="1" t="str">
        <f t="shared" ca="1" si="53"/>
        <v>D</v>
      </c>
      <c r="O799" s="1" t="str">
        <f t="shared" ca="1" si="54"/>
        <v>D</v>
      </c>
      <c r="P799" s="1" t="str">
        <f t="shared" ca="1" si="55"/>
        <v>D</v>
      </c>
      <c r="Q799" s="1" t="str">
        <f t="shared" ca="1" si="56"/>
        <v>D</v>
      </c>
      <c r="R799" s="1" t="str">
        <f t="shared" ca="1" si="57"/>
        <v>D</v>
      </c>
      <c r="S799" s="1" t="str">
        <f t="shared" ca="1" si="58"/>
        <v>D</v>
      </c>
      <c r="T799" s="1" t="str">
        <f t="shared" ca="1" si="59"/>
        <v>D</v>
      </c>
      <c r="U799" s="1" t="str">
        <f t="shared" ca="1" si="60"/>
        <v>D</v>
      </c>
      <c r="V799" s="1" t="str">
        <f t="shared" ca="1" si="61"/>
        <v>D</v>
      </c>
      <c r="W799" s="1" t="str">
        <f t="shared" ca="1" si="62"/>
        <v>Jackson Travis</v>
      </c>
    </row>
    <row r="800" spans="1:23">
      <c r="A800" s="1" t="str">
        <f ca="1">IFERROR(__xludf.DUMMYFUNCTION("""COMPUTED_VALUE"""),"Holden")</f>
        <v>Holden</v>
      </c>
      <c r="B800" s="1" t="str">
        <f ca="1">IFERROR(__xludf.DUMMYFUNCTION("""COMPUTED_VALUE"""),"Trent")</f>
        <v>Trent</v>
      </c>
      <c r="C800" s="1" t="str">
        <f ca="1">IFERROR(__xludf.DUMMYFUNCTION("""COMPUTED_VALUE"""),"Philadelphia Union")</f>
        <v>Philadelphia Union</v>
      </c>
      <c r="D800" s="1" t="str">
        <f ca="1">IFERROR(__xludf.DUMMYFUNCTION("""COMPUTED_VALUE"""),"Goalkeeper")</f>
        <v>Goalkeeper</v>
      </c>
      <c r="E800" s="2">
        <f ca="1">IFERROR(__xludf.DUMMYFUNCTION("""COMPUTED_VALUE"""),89716)</f>
        <v>89716</v>
      </c>
      <c r="F800" s="2">
        <f ca="1">IFERROR(__xludf.DUMMYFUNCTION("""COMPUTED_VALUE"""),89716)</f>
        <v>89716</v>
      </c>
      <c r="H800" s="1" t="str">
        <f t="shared" ca="1" si="48"/>
        <v>Goalkeeper</v>
      </c>
      <c r="I800" s="3" t="str">
        <f t="shared" ca="1" si="49"/>
        <v>Goalkeeper</v>
      </c>
      <c r="J800" s="1" t="str">
        <f t="shared" ca="1" si="50"/>
        <v>Goalkeeper</v>
      </c>
      <c r="K800" s="1" t="str">
        <f t="shared" ca="1" si="63"/>
        <v>Goalkeeper</v>
      </c>
      <c r="L800" s="1" t="str">
        <f t="shared" ca="1" si="51"/>
        <v>Goalkeeper</v>
      </c>
      <c r="M800" s="1" t="str">
        <f t="shared" ca="1" si="52"/>
        <v>Goalkeeper</v>
      </c>
      <c r="N800" s="1" t="str">
        <f t="shared" ca="1" si="53"/>
        <v>Goalkeeper</v>
      </c>
      <c r="O800" s="1" t="str">
        <f t="shared" ca="1" si="54"/>
        <v>Goalkeeper</v>
      </c>
      <c r="P800" s="1" t="str">
        <f t="shared" ca="1" si="55"/>
        <v>Goalkeeper</v>
      </c>
      <c r="Q800" s="1" t="str">
        <f t="shared" ca="1" si="56"/>
        <v>Goalkeeper</v>
      </c>
      <c r="R800" s="1" t="str">
        <f t="shared" ca="1" si="57"/>
        <v>GK</v>
      </c>
      <c r="S800" s="1" t="str">
        <f t="shared" ca="1" si="58"/>
        <v>GK</v>
      </c>
      <c r="T800" s="1" t="str">
        <f t="shared" ca="1" si="59"/>
        <v>GK</v>
      </c>
      <c r="U800" s="1" t="str">
        <f t="shared" ca="1" si="60"/>
        <v>GK</v>
      </c>
      <c r="V800" s="1" t="str">
        <f t="shared" ca="1" si="61"/>
        <v>GK</v>
      </c>
      <c r="W800" s="1" t="str">
        <f t="shared" ca="1" si="62"/>
        <v>Holden Trent</v>
      </c>
    </row>
    <row r="801" spans="1:23">
      <c r="A801" s="1" t="str">
        <f ca="1">IFERROR(__xludf.DUMMYFUNCTION("""COMPUTED_VALUE"""),"Niko")</f>
        <v>Niko</v>
      </c>
      <c r="B801" s="1" t="str">
        <f ca="1">IFERROR(__xludf.DUMMYFUNCTION("""COMPUTED_VALUE"""),"Tsakiris")</f>
        <v>Tsakiris</v>
      </c>
      <c r="C801" s="1" t="str">
        <f ca="1">IFERROR(__xludf.DUMMYFUNCTION("""COMPUTED_VALUE"""),"San Jose Earthquakes")</f>
        <v>San Jose Earthquakes</v>
      </c>
      <c r="D801" s="1" t="str">
        <f ca="1">IFERROR(__xludf.DUMMYFUNCTION("""COMPUTED_VALUE"""),"Central Midfield")</f>
        <v>Central Midfield</v>
      </c>
      <c r="E801" s="2">
        <f ca="1">IFERROR(__xludf.DUMMYFUNCTION("""COMPUTED_VALUE"""),110000)</f>
        <v>110000</v>
      </c>
      <c r="F801" s="2">
        <f ca="1">IFERROR(__xludf.DUMMYFUNCTION("""COMPUTED_VALUE"""),114167)</f>
        <v>114167</v>
      </c>
      <c r="H801" s="1" t="str">
        <f t="shared" ca="1" si="48"/>
        <v>Central Midfield</v>
      </c>
      <c r="I801" s="3" t="str">
        <f t="shared" ca="1" si="49"/>
        <v>Central Midfield</v>
      </c>
      <c r="J801" s="1" t="str">
        <f t="shared" ca="1" si="50"/>
        <v>Central Midfield</v>
      </c>
      <c r="K801" s="1" t="str">
        <f t="shared" ca="1" si="63"/>
        <v>Central Midfield</v>
      </c>
      <c r="L801" s="1" t="str">
        <f t="shared" ca="1" si="51"/>
        <v>M</v>
      </c>
      <c r="M801" s="1" t="str">
        <f t="shared" ca="1" si="52"/>
        <v>M</v>
      </c>
      <c r="N801" s="1" t="str">
        <f t="shared" ca="1" si="53"/>
        <v>M</v>
      </c>
      <c r="O801" s="1" t="str">
        <f t="shared" ca="1" si="54"/>
        <v>M</v>
      </c>
      <c r="P801" s="1" t="str">
        <f t="shared" ca="1" si="55"/>
        <v>M</v>
      </c>
      <c r="Q801" s="1" t="str">
        <f t="shared" ca="1" si="56"/>
        <v>M</v>
      </c>
      <c r="R801" s="1" t="str">
        <f t="shared" ca="1" si="57"/>
        <v>M</v>
      </c>
      <c r="S801" s="1" t="str">
        <f t="shared" ca="1" si="58"/>
        <v>M</v>
      </c>
      <c r="T801" s="1" t="str">
        <f t="shared" ca="1" si="59"/>
        <v>M</v>
      </c>
      <c r="U801" s="1" t="str">
        <f t="shared" ca="1" si="60"/>
        <v>M</v>
      </c>
      <c r="V801" s="1" t="str">
        <f t="shared" ca="1" si="61"/>
        <v>M</v>
      </c>
      <c r="W801" s="1" t="str">
        <f t="shared" ca="1" si="62"/>
        <v>Niko Tsakiris</v>
      </c>
    </row>
    <row r="802" spans="1:23">
      <c r="A802" s="1" t="str">
        <f ca="1">IFERROR(__xludf.DUMMYFUNCTION("""COMPUTED_VALUE"""),"Garrison")</f>
        <v>Garrison</v>
      </c>
      <c r="B802" s="1" t="str">
        <f ca="1">IFERROR(__xludf.DUMMYFUNCTION("""COMPUTED_VALUE"""),"Tubbs")</f>
        <v>Tubbs</v>
      </c>
      <c r="C802" s="1" t="str">
        <f ca="1">IFERROR(__xludf.DUMMYFUNCTION("""COMPUTED_VALUE"""),"DC United")</f>
        <v>DC United</v>
      </c>
      <c r="D802" s="1" t="str">
        <f ca="1">IFERROR(__xludf.DUMMYFUNCTION("""COMPUTED_VALUE"""),"Center-back")</f>
        <v>Center-back</v>
      </c>
      <c r="E802" s="2">
        <f ca="1">IFERROR(__xludf.DUMMYFUNCTION("""COMPUTED_VALUE"""),71401)</f>
        <v>71401</v>
      </c>
      <c r="F802" s="2">
        <f ca="1">IFERROR(__xludf.DUMMYFUNCTION("""COMPUTED_VALUE"""),71401)</f>
        <v>71401</v>
      </c>
      <c r="H802" s="1" t="str">
        <f t="shared" ca="1" si="48"/>
        <v>D</v>
      </c>
      <c r="I802" s="3" t="str">
        <f t="shared" ca="1" si="49"/>
        <v>D</v>
      </c>
      <c r="J802" s="1" t="str">
        <f t="shared" ca="1" si="50"/>
        <v>D</v>
      </c>
      <c r="K802" s="1" t="str">
        <f t="shared" ca="1" si="63"/>
        <v>D</v>
      </c>
      <c r="L802" s="1" t="str">
        <f t="shared" ca="1" si="51"/>
        <v>D</v>
      </c>
      <c r="M802" s="1" t="str">
        <f t="shared" ca="1" si="52"/>
        <v>D</v>
      </c>
      <c r="N802" s="1" t="str">
        <f t="shared" ca="1" si="53"/>
        <v>D</v>
      </c>
      <c r="O802" s="1" t="str">
        <f t="shared" ca="1" si="54"/>
        <v>D</v>
      </c>
      <c r="P802" s="1" t="str">
        <f t="shared" ca="1" si="55"/>
        <v>D</v>
      </c>
      <c r="Q802" s="1" t="str">
        <f t="shared" ca="1" si="56"/>
        <v>D</v>
      </c>
      <c r="R802" s="1" t="str">
        <f t="shared" ca="1" si="57"/>
        <v>D</v>
      </c>
      <c r="S802" s="1" t="str">
        <f t="shared" ca="1" si="58"/>
        <v>D</v>
      </c>
      <c r="T802" s="1" t="str">
        <f t="shared" ca="1" si="59"/>
        <v>D</v>
      </c>
      <c r="U802" s="1" t="str">
        <f t="shared" ca="1" si="60"/>
        <v>D</v>
      </c>
      <c r="V802" s="1" t="str">
        <f t="shared" ca="1" si="61"/>
        <v>D</v>
      </c>
      <c r="W802" s="1" t="str">
        <f t="shared" ca="1" si="62"/>
        <v>Garrison Tubbs</v>
      </c>
    </row>
    <row r="803" spans="1:23">
      <c r="A803" s="1" t="str">
        <f ca="1">IFERROR(__xludf.DUMMYFUNCTION("""COMPUTED_VALUE"""),"Bill")</f>
        <v>Bill</v>
      </c>
      <c r="B803" s="1" t="str">
        <f ca="1">IFERROR(__xludf.DUMMYFUNCTION("""COMPUTED_VALUE"""),"Tuiloma")</f>
        <v>Tuiloma</v>
      </c>
      <c r="C803" s="1" t="str">
        <f ca="1">IFERROR(__xludf.DUMMYFUNCTION("""COMPUTED_VALUE"""),"Charlotte FC")</f>
        <v>Charlotte FC</v>
      </c>
      <c r="D803" s="1" t="str">
        <f ca="1">IFERROR(__xludf.DUMMYFUNCTION("""COMPUTED_VALUE"""),"Center-back")</f>
        <v>Center-back</v>
      </c>
      <c r="E803" s="2">
        <f ca="1">IFERROR(__xludf.DUMMYFUNCTION("""COMPUTED_VALUE"""),460000)</f>
        <v>460000</v>
      </c>
      <c r="F803" s="2">
        <f ca="1">IFERROR(__xludf.DUMMYFUNCTION("""COMPUTED_VALUE"""),484938)</f>
        <v>484938</v>
      </c>
      <c r="H803" s="1" t="str">
        <f t="shared" ca="1" si="48"/>
        <v>D</v>
      </c>
      <c r="I803" s="3" t="str">
        <f t="shared" ca="1" si="49"/>
        <v>D</v>
      </c>
      <c r="J803" s="1" t="str">
        <f t="shared" ca="1" si="50"/>
        <v>D</v>
      </c>
      <c r="K803" s="1" t="str">
        <f t="shared" ca="1" si="63"/>
        <v>D</v>
      </c>
      <c r="L803" s="1" t="str">
        <f t="shared" ca="1" si="51"/>
        <v>D</v>
      </c>
      <c r="M803" s="1" t="str">
        <f t="shared" ca="1" si="52"/>
        <v>D</v>
      </c>
      <c r="N803" s="1" t="str">
        <f t="shared" ca="1" si="53"/>
        <v>D</v>
      </c>
      <c r="O803" s="1" t="str">
        <f t="shared" ca="1" si="54"/>
        <v>D</v>
      </c>
      <c r="P803" s="1" t="str">
        <f t="shared" ca="1" si="55"/>
        <v>D</v>
      </c>
      <c r="Q803" s="1" t="str">
        <f t="shared" ca="1" si="56"/>
        <v>D</v>
      </c>
      <c r="R803" s="1" t="str">
        <f t="shared" ca="1" si="57"/>
        <v>D</v>
      </c>
      <c r="S803" s="1" t="str">
        <f t="shared" ca="1" si="58"/>
        <v>D</v>
      </c>
      <c r="T803" s="1" t="str">
        <f t="shared" ca="1" si="59"/>
        <v>D</v>
      </c>
      <c r="U803" s="1" t="str">
        <f t="shared" ca="1" si="60"/>
        <v>D</v>
      </c>
      <c r="V803" s="1" t="str">
        <f t="shared" ca="1" si="61"/>
        <v>D</v>
      </c>
      <c r="W803" s="1" t="str">
        <f t="shared" ca="1" si="62"/>
        <v>Bill Tuiloma</v>
      </c>
    </row>
    <row r="804" spans="1:23">
      <c r="A804" s="1" t="str">
        <f ca="1">IFERROR(__xludf.DUMMYFUNCTION("""COMPUTED_VALUE"""),"Ema")</f>
        <v>Ema</v>
      </c>
      <c r="B804" s="1" t="str">
        <f ca="1">IFERROR(__xludf.DUMMYFUNCTION("""COMPUTED_VALUE"""),"Twumasi")</f>
        <v>Twumasi</v>
      </c>
      <c r="C804" s="1" t="str">
        <f ca="1">IFERROR(__xludf.DUMMYFUNCTION("""COMPUTED_VALUE"""),"FC Dallas")</f>
        <v>FC Dallas</v>
      </c>
      <c r="D804" s="1" t="str">
        <f ca="1">IFERROR(__xludf.DUMMYFUNCTION("""COMPUTED_VALUE"""),"Right-back")</f>
        <v>Right-back</v>
      </c>
      <c r="E804" s="2">
        <f ca="1">IFERROR(__xludf.DUMMYFUNCTION("""COMPUTED_VALUE"""),370000)</f>
        <v>370000</v>
      </c>
      <c r="F804" s="2">
        <f ca="1">IFERROR(__xludf.DUMMYFUNCTION("""COMPUTED_VALUE"""),389300)</f>
        <v>389300</v>
      </c>
      <c r="H804" s="1" t="str">
        <f t="shared" ca="1" si="48"/>
        <v>Right-back</v>
      </c>
      <c r="I804" s="3" t="str">
        <f t="shared" ca="1" si="49"/>
        <v>Right-back</v>
      </c>
      <c r="J804" s="1" t="str">
        <f t="shared" ca="1" si="50"/>
        <v>D</v>
      </c>
      <c r="K804" s="1" t="str">
        <f t="shared" ca="1" si="63"/>
        <v>D</v>
      </c>
      <c r="L804" s="1" t="str">
        <f t="shared" ca="1" si="51"/>
        <v>D</v>
      </c>
      <c r="M804" s="1" t="str">
        <f t="shared" ca="1" si="52"/>
        <v>D</v>
      </c>
      <c r="N804" s="1" t="str">
        <f t="shared" ca="1" si="53"/>
        <v>D</v>
      </c>
      <c r="O804" s="1" t="str">
        <f t="shared" ca="1" si="54"/>
        <v>D</v>
      </c>
      <c r="P804" s="1" t="str">
        <f t="shared" ca="1" si="55"/>
        <v>D</v>
      </c>
      <c r="Q804" s="1" t="str">
        <f t="shared" ca="1" si="56"/>
        <v>D</v>
      </c>
      <c r="R804" s="1" t="str">
        <f t="shared" ca="1" si="57"/>
        <v>D</v>
      </c>
      <c r="S804" s="1" t="str">
        <f t="shared" ca="1" si="58"/>
        <v>D</v>
      </c>
      <c r="T804" s="1" t="str">
        <f t="shared" ca="1" si="59"/>
        <v>D</v>
      </c>
      <c r="U804" s="1" t="str">
        <f t="shared" ca="1" si="60"/>
        <v>D</v>
      </c>
      <c r="V804" s="1" t="str">
        <f t="shared" ca="1" si="61"/>
        <v>D</v>
      </c>
      <c r="W804" s="1" t="str">
        <f t="shared" ca="1" si="62"/>
        <v>Ema Twumasi</v>
      </c>
    </row>
    <row r="805" spans="1:23">
      <c r="A805" s="1" t="str">
        <f ca="1">IFERROR(__xludf.DUMMYFUNCTION("""COMPUTED_VALUE"""),"Marinos")</f>
        <v>Marinos</v>
      </c>
      <c r="B805" s="1" t="str">
        <f ca="1">IFERROR(__xludf.DUMMYFUNCTION("""COMPUTED_VALUE"""),"Tzionis")</f>
        <v>Tzionis</v>
      </c>
      <c r="C805" s="1" t="str">
        <f ca="1">IFERROR(__xludf.DUMMYFUNCTION("""COMPUTED_VALUE"""),"Sporting Kansas City")</f>
        <v>Sporting Kansas City</v>
      </c>
      <c r="D805" s="1" t="str">
        <f ca="1">IFERROR(__xludf.DUMMYFUNCTION("""COMPUTED_VALUE"""),"Left Wing")</f>
        <v>Left Wing</v>
      </c>
      <c r="E805" s="2">
        <f ca="1">IFERROR(__xludf.DUMMYFUNCTION("""COMPUTED_VALUE"""),625000)</f>
        <v>625000</v>
      </c>
      <c r="F805" s="2">
        <f ca="1">IFERROR(__xludf.DUMMYFUNCTION("""COMPUTED_VALUE"""),625000)</f>
        <v>625000</v>
      </c>
      <c r="H805" s="1" t="str">
        <f t="shared" ca="1" si="48"/>
        <v>Left Wing</v>
      </c>
      <c r="I805" s="3" t="str">
        <f t="shared" ca="1" si="49"/>
        <v>Left Wing</v>
      </c>
      <c r="J805" s="1" t="str">
        <f t="shared" ca="1" si="50"/>
        <v>Left Wing</v>
      </c>
      <c r="K805" s="1" t="str">
        <f t="shared" ca="1" si="63"/>
        <v>Left Wing</v>
      </c>
      <c r="L805" s="1" t="str">
        <f t="shared" ca="1" si="51"/>
        <v>Left Wing</v>
      </c>
      <c r="M805" s="1" t="str">
        <f t="shared" ca="1" si="52"/>
        <v>Left Wing</v>
      </c>
      <c r="N805" s="1" t="str">
        <f t="shared" ca="1" si="53"/>
        <v>Left Wing</v>
      </c>
      <c r="O805" s="1" t="str">
        <f t="shared" ca="1" si="54"/>
        <v>Left Wing</v>
      </c>
      <c r="P805" s="1" t="str">
        <f t="shared" ca="1" si="55"/>
        <v>F</v>
      </c>
      <c r="Q805" s="1" t="str">
        <f t="shared" ca="1" si="56"/>
        <v>F</v>
      </c>
      <c r="R805" s="1" t="str">
        <f t="shared" ca="1" si="57"/>
        <v>F</v>
      </c>
      <c r="S805" s="1" t="str">
        <f t="shared" ca="1" si="58"/>
        <v>F</v>
      </c>
      <c r="T805" s="1" t="str">
        <f t="shared" ca="1" si="59"/>
        <v>F</v>
      </c>
      <c r="U805" s="1" t="str">
        <f t="shared" ca="1" si="60"/>
        <v>F</v>
      </c>
      <c r="V805" s="1" t="str">
        <f t="shared" ca="1" si="61"/>
        <v>F</v>
      </c>
      <c r="W805" s="1" t="str">
        <f t="shared" ca="1" si="62"/>
        <v>Marinos Tzionis</v>
      </c>
    </row>
    <row r="806" spans="1:23">
      <c r="A806" s="1" t="str">
        <f ca="1">IFERROR(__xludf.DUMMYFUNCTION("""COMPUTED_VALUE"""),"Mikael")</f>
        <v>Mikael</v>
      </c>
      <c r="B806" s="1" t="str">
        <f ca="1">IFERROR(__xludf.DUMMYFUNCTION("""COMPUTED_VALUE"""),"Uhre")</f>
        <v>Uhre</v>
      </c>
      <c r="C806" s="1" t="str">
        <f ca="1">IFERROR(__xludf.DUMMYFUNCTION("""COMPUTED_VALUE"""),"Philadelphia Union")</f>
        <v>Philadelphia Union</v>
      </c>
      <c r="D806" s="1" t="str">
        <f ca="1">IFERROR(__xludf.DUMMYFUNCTION("""COMPUTED_VALUE"""),"Center Forward")</f>
        <v>Center Forward</v>
      </c>
      <c r="E806" s="2">
        <f ca="1">IFERROR(__xludf.DUMMYFUNCTION("""COMPUTED_VALUE"""),1800000)</f>
        <v>1800000</v>
      </c>
      <c r="F806" s="2">
        <f ca="1">IFERROR(__xludf.DUMMYFUNCTION("""COMPUTED_VALUE"""),2040000)</f>
        <v>2040000</v>
      </c>
      <c r="H806" s="1" t="str">
        <f t="shared" ca="1" si="48"/>
        <v>Center Forward</v>
      </c>
      <c r="I806" s="3" t="str">
        <f t="shared" ca="1" si="49"/>
        <v>Center Forward</v>
      </c>
      <c r="J806" s="1" t="str">
        <f t="shared" ca="1" si="50"/>
        <v>Center Forward</v>
      </c>
      <c r="K806" s="1" t="str">
        <f t="shared" ca="1" si="63"/>
        <v>Center Forward</v>
      </c>
      <c r="L806" s="1" t="str">
        <f t="shared" ca="1" si="51"/>
        <v>Center Forward</v>
      </c>
      <c r="M806" s="1" t="str">
        <f t="shared" ca="1" si="52"/>
        <v>Center Forward</v>
      </c>
      <c r="N806" s="1" t="str">
        <f t="shared" ca="1" si="53"/>
        <v>Center Forward</v>
      </c>
      <c r="O806" s="1" t="str">
        <f t="shared" ca="1" si="54"/>
        <v>F</v>
      </c>
      <c r="P806" s="1" t="str">
        <f t="shared" ca="1" si="55"/>
        <v>F</v>
      </c>
      <c r="Q806" s="1" t="str">
        <f t="shared" ca="1" si="56"/>
        <v>F</v>
      </c>
      <c r="R806" s="1" t="str">
        <f t="shared" ca="1" si="57"/>
        <v>F</v>
      </c>
      <c r="S806" s="1" t="str">
        <f t="shared" ca="1" si="58"/>
        <v>F</v>
      </c>
      <c r="T806" s="1" t="str">
        <f t="shared" ca="1" si="59"/>
        <v>F</v>
      </c>
      <c r="U806" s="1" t="str">
        <f t="shared" ca="1" si="60"/>
        <v>F</v>
      </c>
      <c r="V806" s="1" t="str">
        <f t="shared" ca="1" si="61"/>
        <v>F</v>
      </c>
      <c r="W806" s="1" t="str">
        <f t="shared" ca="1" si="62"/>
        <v>Mikael Uhre</v>
      </c>
    </row>
    <row r="807" spans="1:23">
      <c r="A807" s="1" t="str">
        <f ca="1">IFERROR(__xludf.DUMMYFUNCTION("""COMPUTED_VALUE"""),"Nathan")</f>
        <v>Nathan</v>
      </c>
      <c r="B807" s="1" t="str">
        <f ca="1">IFERROR(__xludf.DUMMYFUNCTION("""COMPUTED_VALUE"""),"Uiliam Fogaça")</f>
        <v>Uiliam Fogaça</v>
      </c>
      <c r="C807" s="1" t="str">
        <f ca="1">IFERROR(__xludf.DUMMYFUNCTION("""COMPUTED_VALUE"""),"Portland Timbers")</f>
        <v>Portland Timbers</v>
      </c>
      <c r="D807" s="1" t="str">
        <f ca="1">IFERROR(__xludf.DUMMYFUNCTION("""COMPUTED_VALUE"""),"Center Forward")</f>
        <v>Center Forward</v>
      </c>
      <c r="E807" s="2">
        <f ca="1">IFERROR(__xludf.DUMMYFUNCTION("""COMPUTED_VALUE"""),89716)</f>
        <v>89716</v>
      </c>
      <c r="F807" s="2">
        <f ca="1">IFERROR(__xludf.DUMMYFUNCTION("""COMPUTED_VALUE"""),89716)</f>
        <v>89716</v>
      </c>
      <c r="H807" s="1" t="str">
        <f t="shared" ca="1" si="48"/>
        <v>Center Forward</v>
      </c>
      <c r="I807" s="3" t="str">
        <f t="shared" ca="1" si="49"/>
        <v>Center Forward</v>
      </c>
      <c r="J807" s="1" t="str">
        <f t="shared" ca="1" si="50"/>
        <v>Center Forward</v>
      </c>
      <c r="K807" s="1" t="str">
        <f t="shared" ca="1" si="63"/>
        <v>Center Forward</v>
      </c>
      <c r="L807" s="1" t="str">
        <f t="shared" ca="1" si="51"/>
        <v>Center Forward</v>
      </c>
      <c r="M807" s="1" t="str">
        <f t="shared" ca="1" si="52"/>
        <v>Center Forward</v>
      </c>
      <c r="N807" s="1" t="str">
        <f t="shared" ca="1" si="53"/>
        <v>Center Forward</v>
      </c>
      <c r="O807" s="1" t="str">
        <f t="shared" ca="1" si="54"/>
        <v>F</v>
      </c>
      <c r="P807" s="1" t="str">
        <f t="shared" ca="1" si="55"/>
        <v>F</v>
      </c>
      <c r="Q807" s="1" t="str">
        <f t="shared" ca="1" si="56"/>
        <v>F</v>
      </c>
      <c r="R807" s="1" t="str">
        <f t="shared" ca="1" si="57"/>
        <v>F</v>
      </c>
      <c r="S807" s="1" t="str">
        <f t="shared" ca="1" si="58"/>
        <v>F</v>
      </c>
      <c r="T807" s="1" t="str">
        <f t="shared" ca="1" si="59"/>
        <v>F</v>
      </c>
      <c r="U807" s="1" t="str">
        <f t="shared" ca="1" si="60"/>
        <v>F</v>
      </c>
      <c r="V807" s="1" t="str">
        <f t="shared" ca="1" si="61"/>
        <v>F</v>
      </c>
      <c r="W807" s="1" t="str">
        <f t="shared" ca="1" si="62"/>
        <v>Nathan Uiliam Fogaça</v>
      </c>
    </row>
    <row r="808" spans="1:23">
      <c r="A808" s="1" t="str">
        <f ca="1">IFERROR(__xludf.DUMMYFUNCTION("""COMPUTED_VALUE"""),"Jere")</f>
        <v>Jere</v>
      </c>
      <c r="B808" s="1" t="str">
        <f ca="1">IFERROR(__xludf.DUMMYFUNCTION("""COMPUTED_VALUE"""),"Uronen")</f>
        <v>Uronen</v>
      </c>
      <c r="C808" s="1" t="str">
        <f ca="1">IFERROR(__xludf.DUMMYFUNCTION("""COMPUTED_VALUE"""),"Charlotte FC")</f>
        <v>Charlotte FC</v>
      </c>
      <c r="D808" s="1" t="str">
        <f ca="1">IFERROR(__xludf.DUMMYFUNCTION("""COMPUTED_VALUE"""),"Left-back")</f>
        <v>Left-back</v>
      </c>
      <c r="E808" s="2">
        <f ca="1">IFERROR(__xludf.DUMMYFUNCTION("""COMPUTED_VALUE"""),525000)</f>
        <v>525000</v>
      </c>
      <c r="F808" s="2">
        <f ca="1">IFERROR(__xludf.DUMMYFUNCTION("""COMPUTED_VALUE"""),572813)</f>
        <v>572813</v>
      </c>
      <c r="H808" s="1" t="str">
        <f t="shared" ca="1" si="48"/>
        <v>Left-back</v>
      </c>
      <c r="I808" s="3" t="str">
        <f t="shared" ca="1" si="49"/>
        <v>D</v>
      </c>
      <c r="J808" s="1" t="str">
        <f t="shared" ca="1" si="50"/>
        <v>D</v>
      </c>
      <c r="K808" s="1" t="str">
        <f t="shared" ca="1" si="63"/>
        <v>D</v>
      </c>
      <c r="L808" s="1" t="str">
        <f t="shared" ca="1" si="51"/>
        <v>D</v>
      </c>
      <c r="M808" s="1" t="str">
        <f t="shared" ca="1" si="52"/>
        <v>D</v>
      </c>
      <c r="N808" s="1" t="str">
        <f t="shared" ca="1" si="53"/>
        <v>D</v>
      </c>
      <c r="O808" s="1" t="str">
        <f t="shared" ca="1" si="54"/>
        <v>D</v>
      </c>
      <c r="P808" s="1" t="str">
        <f t="shared" ca="1" si="55"/>
        <v>D</v>
      </c>
      <c r="Q808" s="1" t="str">
        <f t="shared" ca="1" si="56"/>
        <v>D</v>
      </c>
      <c r="R808" s="1" t="str">
        <f t="shared" ca="1" si="57"/>
        <v>D</v>
      </c>
      <c r="S808" s="1" t="str">
        <f t="shared" ca="1" si="58"/>
        <v>D</v>
      </c>
      <c r="T808" s="1" t="str">
        <f t="shared" ca="1" si="59"/>
        <v>D</v>
      </c>
      <c r="U808" s="1" t="str">
        <f t="shared" ca="1" si="60"/>
        <v>D</v>
      </c>
      <c r="V808" s="1" t="str">
        <f t="shared" ca="1" si="61"/>
        <v>D</v>
      </c>
      <c r="W808" s="1" t="str">
        <f t="shared" ca="1" si="62"/>
        <v>Jere Uronen</v>
      </c>
    </row>
    <row r="809" spans="1:23">
      <c r="A809" s="1" t="str">
        <f ca="1">IFERROR(__xludf.DUMMYFUNCTION("""COMPUTED_VALUE"""),"Alejandro")</f>
        <v>Alejandro</v>
      </c>
      <c r="B809" s="1" t="str">
        <f ca="1">IFERROR(__xludf.DUMMYFUNCTION("""COMPUTED_VALUE"""),"Urzua")</f>
        <v>Urzua</v>
      </c>
      <c r="C809" s="1" t="str">
        <f ca="1">IFERROR(__xludf.DUMMYFUNCTION("""COMPUTED_VALUE"""),"FC Dallas")</f>
        <v>FC Dallas</v>
      </c>
      <c r="D809" s="1" t="str">
        <f ca="1">IFERROR(__xludf.DUMMYFUNCTION("""COMPUTED_VALUE"""),"Central Midfield")</f>
        <v>Central Midfield</v>
      </c>
      <c r="E809" s="2">
        <f ca="1">IFERROR(__xludf.DUMMYFUNCTION("""COMPUTED_VALUE"""),71401)</f>
        <v>71401</v>
      </c>
      <c r="F809" s="2">
        <f ca="1">IFERROR(__xludf.DUMMYFUNCTION("""COMPUTED_VALUE"""),71401)</f>
        <v>71401</v>
      </c>
      <c r="H809" s="1" t="str">
        <f t="shared" ca="1" si="48"/>
        <v>Central Midfield</v>
      </c>
      <c r="I809" s="3" t="str">
        <f t="shared" ca="1" si="49"/>
        <v>Central Midfield</v>
      </c>
      <c r="J809" s="1" t="str">
        <f t="shared" ca="1" si="50"/>
        <v>Central Midfield</v>
      </c>
      <c r="K809" s="1" t="str">
        <f t="shared" ca="1" si="63"/>
        <v>Central Midfield</v>
      </c>
      <c r="L809" s="1" t="str">
        <f t="shared" ca="1" si="51"/>
        <v>M</v>
      </c>
      <c r="M809" s="1" t="str">
        <f t="shared" ca="1" si="52"/>
        <v>M</v>
      </c>
      <c r="N809" s="1" t="str">
        <f t="shared" ca="1" si="53"/>
        <v>M</v>
      </c>
      <c r="O809" s="1" t="str">
        <f t="shared" ca="1" si="54"/>
        <v>M</v>
      </c>
      <c r="P809" s="1" t="str">
        <f t="shared" ca="1" si="55"/>
        <v>M</v>
      </c>
      <c r="Q809" s="1" t="str">
        <f t="shared" ca="1" si="56"/>
        <v>M</v>
      </c>
      <c r="R809" s="1" t="str">
        <f t="shared" ca="1" si="57"/>
        <v>M</v>
      </c>
      <c r="S809" s="1" t="str">
        <f t="shared" ca="1" si="58"/>
        <v>M</v>
      </c>
      <c r="T809" s="1" t="str">
        <f t="shared" ca="1" si="59"/>
        <v>M</v>
      </c>
      <c r="U809" s="1" t="str">
        <f t="shared" ca="1" si="60"/>
        <v>M</v>
      </c>
      <c r="V809" s="1" t="str">
        <f t="shared" ca="1" si="61"/>
        <v>M</v>
      </c>
      <c r="W809" s="1" t="str">
        <f t="shared" ca="1" si="62"/>
        <v>Alejandro Urzua</v>
      </c>
    </row>
    <row r="810" spans="1:23">
      <c r="A810" s="1" t="str">
        <f ca="1">IFERROR(__xludf.DUMMYFUNCTION("""COMPUTED_VALUE"""),"Bjørn Inge")</f>
        <v>Bjørn Inge</v>
      </c>
      <c r="B810" s="1" t="str">
        <f ca="1">IFERROR(__xludf.DUMMYFUNCTION("""COMPUTED_VALUE"""),"Utvik")</f>
        <v>Utvik</v>
      </c>
      <c r="C810" s="1" t="str">
        <f ca="1">IFERROR(__xludf.DUMMYFUNCTION("""COMPUTED_VALUE"""),"Vancouver Whitecaps")</f>
        <v>Vancouver Whitecaps</v>
      </c>
      <c r="D810" s="1" t="str">
        <f ca="1">IFERROR(__xludf.DUMMYFUNCTION("""COMPUTED_VALUE"""),"Center-back")</f>
        <v>Center-back</v>
      </c>
      <c r="E810" s="2">
        <f ca="1">IFERROR(__xludf.DUMMYFUNCTION("""COMPUTED_VALUE"""),450000)</f>
        <v>450000</v>
      </c>
      <c r="F810" s="2">
        <f ca="1">IFERROR(__xludf.DUMMYFUNCTION("""COMPUTED_VALUE"""),502083)</f>
        <v>502083</v>
      </c>
      <c r="H810" s="1" t="str">
        <f t="shared" ca="1" si="48"/>
        <v>D</v>
      </c>
      <c r="I810" s="3" t="str">
        <f t="shared" ca="1" si="49"/>
        <v>D</v>
      </c>
      <c r="J810" s="1" t="str">
        <f t="shared" ca="1" si="50"/>
        <v>D</v>
      </c>
      <c r="K810" s="1" t="str">
        <f t="shared" ca="1" si="63"/>
        <v>D</v>
      </c>
      <c r="L810" s="1" t="str">
        <f t="shared" ca="1" si="51"/>
        <v>D</v>
      </c>
      <c r="M810" s="1" t="str">
        <f t="shared" ca="1" si="52"/>
        <v>D</v>
      </c>
      <c r="N810" s="1" t="str">
        <f t="shared" ca="1" si="53"/>
        <v>D</v>
      </c>
      <c r="O810" s="1" t="str">
        <f t="shared" ca="1" si="54"/>
        <v>D</v>
      </c>
      <c r="P810" s="1" t="str">
        <f t="shared" ca="1" si="55"/>
        <v>D</v>
      </c>
      <c r="Q810" s="1" t="str">
        <f t="shared" ca="1" si="56"/>
        <v>D</v>
      </c>
      <c r="R810" s="1" t="str">
        <f t="shared" ca="1" si="57"/>
        <v>D</v>
      </c>
      <c r="S810" s="1" t="str">
        <f t="shared" ca="1" si="58"/>
        <v>D</v>
      </c>
      <c r="T810" s="1" t="str">
        <f t="shared" ca="1" si="59"/>
        <v>D</v>
      </c>
      <c r="U810" s="1" t="str">
        <f t="shared" ca="1" si="60"/>
        <v>D</v>
      </c>
      <c r="V810" s="1" t="str">
        <f t="shared" ca="1" si="61"/>
        <v>D</v>
      </c>
      <c r="W810" s="1" t="str">
        <f t="shared" ca="1" si="62"/>
        <v>Bjørn Inge Utvik</v>
      </c>
    </row>
    <row r="811" spans="1:23">
      <c r="A811" s="1" t="str">
        <f ca="1">IFERROR(__xludf.DUMMYFUNCTION("""COMPUTED_VALUE"""),"Leo")</f>
        <v>Leo</v>
      </c>
      <c r="B811" s="1" t="str">
        <f ca="1">IFERROR(__xludf.DUMMYFUNCTION("""COMPUTED_VALUE"""),"Väisänen")</f>
        <v>Väisänen</v>
      </c>
      <c r="C811" s="1" t="str">
        <f ca="1">IFERROR(__xludf.DUMMYFUNCTION("""COMPUTED_VALUE"""),"Austin FC")</f>
        <v>Austin FC</v>
      </c>
      <c r="D811" s="1" t="str">
        <f ca="1">IFERROR(__xludf.DUMMYFUNCTION("""COMPUTED_VALUE"""),"Center-back")</f>
        <v>Center-back</v>
      </c>
      <c r="E811" s="2">
        <f ca="1">IFERROR(__xludf.DUMMYFUNCTION("""COMPUTED_VALUE"""),600000)</f>
        <v>600000</v>
      </c>
      <c r="F811" s="2">
        <f ca="1">IFERROR(__xludf.DUMMYFUNCTION("""COMPUTED_VALUE"""),654500)</f>
        <v>654500</v>
      </c>
      <c r="H811" s="1" t="str">
        <f t="shared" ca="1" si="48"/>
        <v>D</v>
      </c>
      <c r="I811" s="3" t="str">
        <f t="shared" ca="1" si="49"/>
        <v>D</v>
      </c>
      <c r="J811" s="1" t="str">
        <f t="shared" ca="1" si="50"/>
        <v>D</v>
      </c>
      <c r="K811" s="1" t="str">
        <f t="shared" ca="1" si="63"/>
        <v>D</v>
      </c>
      <c r="L811" s="1" t="str">
        <f t="shared" ca="1" si="51"/>
        <v>D</v>
      </c>
      <c r="M811" s="1" t="str">
        <f t="shared" ca="1" si="52"/>
        <v>D</v>
      </c>
      <c r="N811" s="1" t="str">
        <f t="shared" ca="1" si="53"/>
        <v>D</v>
      </c>
      <c r="O811" s="1" t="str">
        <f t="shared" ca="1" si="54"/>
        <v>D</v>
      </c>
      <c r="P811" s="1" t="str">
        <f t="shared" ca="1" si="55"/>
        <v>D</v>
      </c>
      <c r="Q811" s="1" t="str">
        <f t="shared" ca="1" si="56"/>
        <v>D</v>
      </c>
      <c r="R811" s="1" t="str">
        <f t="shared" ca="1" si="57"/>
        <v>D</v>
      </c>
      <c r="S811" s="1" t="str">
        <f t="shared" ca="1" si="58"/>
        <v>D</v>
      </c>
      <c r="T811" s="1" t="str">
        <f t="shared" ca="1" si="59"/>
        <v>D</v>
      </c>
      <c r="U811" s="1" t="str">
        <f t="shared" ca="1" si="60"/>
        <v>D</v>
      </c>
      <c r="V811" s="1" t="str">
        <f t="shared" ca="1" si="61"/>
        <v>D</v>
      </c>
      <c r="W811" s="1" t="str">
        <f t="shared" ca="1" si="62"/>
        <v>Leo Väisänen</v>
      </c>
    </row>
    <row r="812" spans="1:23">
      <c r="A812" s="1" t="str">
        <f ca="1">IFERROR(__xludf.DUMMYFUNCTION("""COMPUTED_VALUE"""),"Xavier")</f>
        <v>Xavier</v>
      </c>
      <c r="B812" s="1" t="str">
        <f ca="1">IFERROR(__xludf.DUMMYFUNCTION("""COMPUTED_VALUE"""),"Valdez")</f>
        <v>Valdez</v>
      </c>
      <c r="C812" s="1" t="str">
        <f ca="1">IFERROR(__xludf.DUMMYFUNCTION("""COMPUTED_VALUE"""),"Houston Dynamo")</f>
        <v>Houston Dynamo</v>
      </c>
      <c r="D812" s="1" t="str">
        <f ca="1">IFERROR(__xludf.DUMMYFUNCTION("""COMPUTED_VALUE"""),"Goalkeeper")</f>
        <v>Goalkeeper</v>
      </c>
      <c r="E812" s="2">
        <f ca="1">IFERROR(__xludf.DUMMYFUNCTION("""COMPUTED_VALUE"""),89716)</f>
        <v>89716</v>
      </c>
      <c r="F812" s="2">
        <f ca="1">IFERROR(__xludf.DUMMYFUNCTION("""COMPUTED_VALUE"""),99427)</f>
        <v>99427</v>
      </c>
      <c r="H812" s="1" t="str">
        <f t="shared" ca="1" si="48"/>
        <v>Goalkeeper</v>
      </c>
      <c r="I812" s="3" t="str">
        <f t="shared" ca="1" si="49"/>
        <v>Goalkeeper</v>
      </c>
      <c r="J812" s="1" t="str">
        <f t="shared" ca="1" si="50"/>
        <v>Goalkeeper</v>
      </c>
      <c r="K812" s="1" t="str">
        <f t="shared" ca="1" si="63"/>
        <v>Goalkeeper</v>
      </c>
      <c r="L812" s="1" t="str">
        <f t="shared" ca="1" si="51"/>
        <v>Goalkeeper</v>
      </c>
      <c r="M812" s="1" t="str">
        <f t="shared" ca="1" si="52"/>
        <v>Goalkeeper</v>
      </c>
      <c r="N812" s="1" t="str">
        <f t="shared" ca="1" si="53"/>
        <v>Goalkeeper</v>
      </c>
      <c r="O812" s="1" t="str">
        <f t="shared" ca="1" si="54"/>
        <v>Goalkeeper</v>
      </c>
      <c r="P812" s="1" t="str">
        <f t="shared" ca="1" si="55"/>
        <v>Goalkeeper</v>
      </c>
      <c r="Q812" s="1" t="str">
        <f t="shared" ca="1" si="56"/>
        <v>Goalkeeper</v>
      </c>
      <c r="R812" s="1" t="str">
        <f t="shared" ca="1" si="57"/>
        <v>GK</v>
      </c>
      <c r="S812" s="1" t="str">
        <f t="shared" ca="1" si="58"/>
        <v>GK</v>
      </c>
      <c r="T812" s="1" t="str">
        <f t="shared" ca="1" si="59"/>
        <v>GK</v>
      </c>
      <c r="U812" s="1" t="str">
        <f t="shared" ca="1" si="60"/>
        <v>GK</v>
      </c>
      <c r="V812" s="1" t="str">
        <f t="shared" ca="1" si="61"/>
        <v>GK</v>
      </c>
      <c r="W812" s="1" t="str">
        <f t="shared" ca="1" si="62"/>
        <v>Xavier Valdez</v>
      </c>
    </row>
    <row r="813" spans="1:23">
      <c r="A813" s="1" t="str">
        <f ca="1">IFERROR(__xludf.DUMMYFUNCTION("""COMPUTED_VALUE"""),"Jhojan")</f>
        <v>Jhojan</v>
      </c>
      <c r="B813" s="1" t="str">
        <f ca="1">IFERROR(__xludf.DUMMYFUNCTION("""COMPUTED_VALUE"""),"Valencia")</f>
        <v>Valencia</v>
      </c>
      <c r="C813" s="1" t="str">
        <f ca="1">IFERROR(__xludf.DUMMYFUNCTION("""COMPUTED_VALUE"""),"Austin FC")</f>
        <v>Austin FC</v>
      </c>
      <c r="D813" s="1" t="str">
        <f ca="1">IFERROR(__xludf.DUMMYFUNCTION("""COMPUTED_VALUE"""),"Defensive Midfield")</f>
        <v>Defensive Midfield</v>
      </c>
      <c r="E813" s="2">
        <f ca="1">IFERROR(__xludf.DUMMYFUNCTION("""COMPUTED_VALUE"""),450000)</f>
        <v>450000</v>
      </c>
      <c r="F813" s="2">
        <f ca="1">IFERROR(__xludf.DUMMYFUNCTION("""COMPUTED_VALUE"""),495125)</f>
        <v>495125</v>
      </c>
      <c r="H813" s="1" t="str">
        <f t="shared" ca="1" si="48"/>
        <v>Defensive Midfield</v>
      </c>
      <c r="I813" s="3" t="str">
        <f t="shared" ca="1" si="49"/>
        <v>Defensive Midfield</v>
      </c>
      <c r="J813" s="1" t="str">
        <f t="shared" ca="1" si="50"/>
        <v>Defensive Midfield</v>
      </c>
      <c r="K813" s="1" t="str">
        <f t="shared" ca="1" si="63"/>
        <v>M</v>
      </c>
      <c r="L813" s="1" t="str">
        <f t="shared" ca="1" si="51"/>
        <v>M</v>
      </c>
      <c r="M813" s="1" t="str">
        <f t="shared" ca="1" si="52"/>
        <v>M</v>
      </c>
      <c r="N813" s="1" t="str">
        <f t="shared" ca="1" si="53"/>
        <v>M</v>
      </c>
      <c r="O813" s="1" t="str">
        <f t="shared" ca="1" si="54"/>
        <v>M</v>
      </c>
      <c r="P813" s="1" t="str">
        <f t="shared" ca="1" si="55"/>
        <v>M</v>
      </c>
      <c r="Q813" s="1" t="str">
        <f t="shared" ca="1" si="56"/>
        <v>M</v>
      </c>
      <c r="R813" s="1" t="str">
        <f t="shared" ca="1" si="57"/>
        <v>M</v>
      </c>
      <c r="S813" s="1" t="str">
        <f t="shared" ca="1" si="58"/>
        <v>M</v>
      </c>
      <c r="T813" s="1" t="str">
        <f t="shared" ca="1" si="59"/>
        <v>M</v>
      </c>
      <c r="U813" s="1" t="str">
        <f t="shared" ca="1" si="60"/>
        <v>M</v>
      </c>
      <c r="V813" s="1" t="str">
        <f t="shared" ca="1" si="61"/>
        <v>M</v>
      </c>
      <c r="W813" s="1" t="str">
        <f t="shared" ca="1" si="62"/>
        <v>Jhojan Valencia</v>
      </c>
    </row>
    <row r="814" spans="1:23">
      <c r="A814" s="1" t="str">
        <f ca="1">IFERROR(__xludf.DUMMYFUNCTION("""COMPUTED_VALUE"""),"Felipe")</f>
        <v>Felipe</v>
      </c>
      <c r="B814" s="1" t="str">
        <f ca="1">IFERROR(__xludf.DUMMYFUNCTION("""COMPUTED_VALUE"""),"Valencia")</f>
        <v>Valencia</v>
      </c>
      <c r="C814" s="1" t="str">
        <f ca="1">IFERROR(__xludf.DUMMYFUNCTION("""COMPUTED_VALUE"""),"Inter Miami")</f>
        <v>Inter Miami</v>
      </c>
      <c r="D814" s="1" t="str">
        <f ca="1">IFERROR(__xludf.DUMMYFUNCTION("""COMPUTED_VALUE"""),"Right Wing")</f>
        <v>Right Wing</v>
      </c>
      <c r="E814" s="2">
        <f ca="1">IFERROR(__xludf.DUMMYFUNCTION("""COMPUTED_VALUE"""),89716)</f>
        <v>89716</v>
      </c>
      <c r="F814" s="2">
        <f ca="1">IFERROR(__xludf.DUMMYFUNCTION("""COMPUTED_VALUE"""),89716)</f>
        <v>89716</v>
      </c>
      <c r="H814" s="1" t="str">
        <f t="shared" ca="1" si="48"/>
        <v>Right Wing</v>
      </c>
      <c r="I814" s="3" t="str">
        <f t="shared" ca="1" si="49"/>
        <v>Right Wing</v>
      </c>
      <c r="J814" s="1" t="str">
        <f t="shared" ca="1" si="50"/>
        <v>Right Wing</v>
      </c>
      <c r="K814" s="1" t="str">
        <f t="shared" ca="1" si="63"/>
        <v>Right Wing</v>
      </c>
      <c r="L814" s="1" t="str">
        <f t="shared" ca="1" si="51"/>
        <v>Right Wing</v>
      </c>
      <c r="M814" s="1" t="str">
        <f t="shared" ca="1" si="52"/>
        <v>Right Wing</v>
      </c>
      <c r="N814" s="1" t="str">
        <f t="shared" ca="1" si="53"/>
        <v>F</v>
      </c>
      <c r="O814" s="1" t="str">
        <f t="shared" ca="1" si="54"/>
        <v>F</v>
      </c>
      <c r="P814" s="1" t="str">
        <f t="shared" ca="1" si="55"/>
        <v>F</v>
      </c>
      <c r="Q814" s="1" t="str">
        <f t="shared" ca="1" si="56"/>
        <v>F</v>
      </c>
      <c r="R814" s="1" t="str">
        <f t="shared" ca="1" si="57"/>
        <v>F</v>
      </c>
      <c r="S814" s="1" t="str">
        <f t="shared" ca="1" si="58"/>
        <v>F</v>
      </c>
      <c r="T814" s="1" t="str">
        <f t="shared" ca="1" si="59"/>
        <v>F</v>
      </c>
      <c r="U814" s="1" t="str">
        <f t="shared" ca="1" si="60"/>
        <v>F</v>
      </c>
      <c r="V814" s="1" t="str">
        <f t="shared" ca="1" si="61"/>
        <v>F</v>
      </c>
      <c r="W814" s="1" t="str">
        <f t="shared" ca="1" si="62"/>
        <v>Felipe Valencia</v>
      </c>
    </row>
    <row r="815" spans="1:23">
      <c r="A815" s="1" t="str">
        <f ca="1">IFERROR(__xludf.DUMMYFUNCTION("""COMPUTED_VALUE"""),"Zarek")</f>
        <v>Zarek</v>
      </c>
      <c r="B815" s="1" t="str">
        <f ca="1">IFERROR(__xludf.DUMMYFUNCTION("""COMPUTED_VALUE"""),"Valentin")</f>
        <v>Valentin</v>
      </c>
      <c r="C815" s="1" t="str">
        <f ca="1">IFERROR(__xludf.DUMMYFUNCTION("""COMPUTED_VALUE"""),"Minnesota United")</f>
        <v>Minnesota United</v>
      </c>
      <c r="D815" s="1" t="str">
        <f ca="1">IFERROR(__xludf.DUMMYFUNCTION("""COMPUTED_VALUE"""),"Right-back")</f>
        <v>Right-back</v>
      </c>
      <c r="E815" s="2">
        <f ca="1">IFERROR(__xludf.DUMMYFUNCTION("""COMPUTED_VALUE"""),93988)</f>
        <v>93988</v>
      </c>
      <c r="F815" s="2">
        <f ca="1">IFERROR(__xludf.DUMMYFUNCTION("""COMPUTED_VALUE"""),93988)</f>
        <v>93988</v>
      </c>
      <c r="H815" s="1" t="str">
        <f t="shared" ca="1" si="48"/>
        <v>Right-back</v>
      </c>
      <c r="I815" s="3" t="str">
        <f t="shared" ca="1" si="49"/>
        <v>Right-back</v>
      </c>
      <c r="J815" s="1" t="str">
        <f t="shared" ca="1" si="50"/>
        <v>D</v>
      </c>
      <c r="K815" s="1" t="str">
        <f t="shared" ca="1" si="63"/>
        <v>D</v>
      </c>
      <c r="L815" s="1" t="str">
        <f t="shared" ca="1" si="51"/>
        <v>D</v>
      </c>
      <c r="M815" s="1" t="str">
        <f t="shared" ca="1" si="52"/>
        <v>D</v>
      </c>
      <c r="N815" s="1" t="str">
        <f t="shared" ca="1" si="53"/>
        <v>D</v>
      </c>
      <c r="O815" s="1" t="str">
        <f t="shared" ca="1" si="54"/>
        <v>D</v>
      </c>
      <c r="P815" s="1" t="str">
        <f t="shared" ca="1" si="55"/>
        <v>D</v>
      </c>
      <c r="Q815" s="1" t="str">
        <f t="shared" ca="1" si="56"/>
        <v>D</v>
      </c>
      <c r="R815" s="1" t="str">
        <f t="shared" ca="1" si="57"/>
        <v>D</v>
      </c>
      <c r="S815" s="1" t="str">
        <f t="shared" ca="1" si="58"/>
        <v>D</v>
      </c>
      <c r="T815" s="1" t="str">
        <f t="shared" ca="1" si="59"/>
        <v>D</v>
      </c>
      <c r="U815" s="1" t="str">
        <f t="shared" ca="1" si="60"/>
        <v>D</v>
      </c>
      <c r="V815" s="1" t="str">
        <f t="shared" ca="1" si="61"/>
        <v>D</v>
      </c>
      <c r="W815" s="1" t="str">
        <f t="shared" ca="1" si="62"/>
        <v>Zarek Valentin</v>
      </c>
    </row>
    <row r="816" spans="1:23">
      <c r="A816" s="1" t="str">
        <f ca="1">IFERROR(__xludf.DUMMYFUNCTION("""COMPUTED_VALUE"""),"Gerardo")</f>
        <v>Gerardo</v>
      </c>
      <c r="B816" s="1" t="str">
        <f ca="1">IFERROR(__xludf.DUMMYFUNCTION("""COMPUTED_VALUE"""),"Valenzuela")</f>
        <v>Valenzuela</v>
      </c>
      <c r="C816" s="1" t="str">
        <f ca="1">IFERROR(__xludf.DUMMYFUNCTION("""COMPUTED_VALUE"""),"FC Cincinnati")</f>
        <v>FC Cincinnati</v>
      </c>
      <c r="D816" s="1" t="str">
        <f ca="1">IFERROR(__xludf.DUMMYFUNCTION("""COMPUTED_VALUE"""),"Attacking Midfield")</f>
        <v>Attacking Midfield</v>
      </c>
      <c r="E816" s="2">
        <f ca="1">IFERROR(__xludf.DUMMYFUNCTION("""COMPUTED_VALUE"""),71401)</f>
        <v>71401</v>
      </c>
      <c r="F816" s="2">
        <f ca="1">IFERROR(__xludf.DUMMYFUNCTION("""COMPUTED_VALUE"""),88943)</f>
        <v>88943</v>
      </c>
      <c r="H816" s="1" t="str">
        <f t="shared" ca="1" si="48"/>
        <v>Attacking Midfield</v>
      </c>
      <c r="I816" s="3" t="str">
        <f t="shared" ca="1" si="49"/>
        <v>Attacking Midfield</v>
      </c>
      <c r="J816" s="1" t="str">
        <f t="shared" ca="1" si="50"/>
        <v>Attacking Midfield</v>
      </c>
      <c r="K816" s="1" t="str">
        <f t="shared" ca="1" si="63"/>
        <v>Attacking Midfield</v>
      </c>
      <c r="L816" s="1" t="str">
        <f t="shared" ca="1" si="51"/>
        <v>Attacking Midfield</v>
      </c>
      <c r="M816" s="1" t="str">
        <f t="shared" ca="1" si="52"/>
        <v>M</v>
      </c>
      <c r="N816" s="1" t="str">
        <f t="shared" ca="1" si="53"/>
        <v>M</v>
      </c>
      <c r="O816" s="1" t="str">
        <f t="shared" ca="1" si="54"/>
        <v>M</v>
      </c>
      <c r="P816" s="1" t="str">
        <f t="shared" ca="1" si="55"/>
        <v>M</v>
      </c>
      <c r="Q816" s="1" t="str">
        <f t="shared" ca="1" si="56"/>
        <v>M</v>
      </c>
      <c r="R816" s="1" t="str">
        <f t="shared" ca="1" si="57"/>
        <v>M</v>
      </c>
      <c r="S816" s="1" t="str">
        <f t="shared" ca="1" si="58"/>
        <v>M</v>
      </c>
      <c r="T816" s="1" t="str">
        <f t="shared" ca="1" si="59"/>
        <v>M</v>
      </c>
      <c r="U816" s="1" t="str">
        <f t="shared" ca="1" si="60"/>
        <v>M</v>
      </c>
      <c r="V816" s="1" t="str">
        <f t="shared" ca="1" si="61"/>
        <v>M</v>
      </c>
      <c r="W816" s="1" t="str">
        <f t="shared" ca="1" si="62"/>
        <v>Gerardo Valenzuela</v>
      </c>
    </row>
    <row r="817" spans="1:23">
      <c r="A817" s="1" t="str">
        <f ca="1">IFERROR(__xludf.DUMMYFUNCTION("""COMPUTED_VALUE"""),"Dante")</f>
        <v>Dante</v>
      </c>
      <c r="B817" s="1" t="str">
        <f ca="1">IFERROR(__xludf.DUMMYFUNCTION("""COMPUTED_VALUE"""),"Vanzeir")</f>
        <v>Vanzeir</v>
      </c>
      <c r="C817" s="1" t="str">
        <f ca="1">IFERROR(__xludf.DUMMYFUNCTION("""COMPUTED_VALUE"""),"New York Red Bulls")</f>
        <v>New York Red Bulls</v>
      </c>
      <c r="D817" s="1" t="str">
        <f ca="1">IFERROR(__xludf.DUMMYFUNCTION("""COMPUTED_VALUE"""),"Center Forward")</f>
        <v>Center Forward</v>
      </c>
      <c r="E817" s="2">
        <f ca="1">IFERROR(__xludf.DUMMYFUNCTION("""COMPUTED_VALUE"""),1350000)</f>
        <v>1350000</v>
      </c>
      <c r="F817" s="2">
        <f ca="1">IFERROR(__xludf.DUMMYFUNCTION("""COMPUTED_VALUE"""),1489767)</f>
        <v>1489767</v>
      </c>
      <c r="H817" s="1" t="str">
        <f t="shared" ca="1" si="48"/>
        <v>Center Forward</v>
      </c>
      <c r="I817" s="3" t="str">
        <f t="shared" ca="1" si="49"/>
        <v>Center Forward</v>
      </c>
      <c r="J817" s="1" t="str">
        <f t="shared" ca="1" si="50"/>
        <v>Center Forward</v>
      </c>
      <c r="K817" s="1" t="str">
        <f t="shared" ca="1" si="63"/>
        <v>Center Forward</v>
      </c>
      <c r="L817" s="1" t="str">
        <f t="shared" ca="1" si="51"/>
        <v>Center Forward</v>
      </c>
      <c r="M817" s="1" t="str">
        <f t="shared" ca="1" si="52"/>
        <v>Center Forward</v>
      </c>
      <c r="N817" s="1" t="str">
        <f t="shared" ca="1" si="53"/>
        <v>Center Forward</v>
      </c>
      <c r="O817" s="1" t="str">
        <f t="shared" ca="1" si="54"/>
        <v>F</v>
      </c>
      <c r="P817" s="1" t="str">
        <f t="shared" ca="1" si="55"/>
        <v>F</v>
      </c>
      <c r="Q817" s="1" t="str">
        <f t="shared" ca="1" si="56"/>
        <v>F</v>
      </c>
      <c r="R817" s="1" t="str">
        <f t="shared" ca="1" si="57"/>
        <v>F</v>
      </c>
      <c r="S817" s="1" t="str">
        <f t="shared" ca="1" si="58"/>
        <v>F</v>
      </c>
      <c r="T817" s="1" t="str">
        <f t="shared" ca="1" si="59"/>
        <v>F</v>
      </c>
      <c r="U817" s="1" t="str">
        <f t="shared" ca="1" si="60"/>
        <v>F</v>
      </c>
      <c r="V817" s="1" t="str">
        <f t="shared" ca="1" si="61"/>
        <v>F</v>
      </c>
      <c r="W817" s="1" t="str">
        <f t="shared" ca="1" si="62"/>
        <v>Dante Vanzeir</v>
      </c>
    </row>
    <row r="818" spans="1:23">
      <c r="A818" s="1" t="str">
        <f ca="1">IFERROR(__xludf.DUMMYFUNCTION("""COMPUTED_VALUE"""),"Obed")</f>
        <v>Obed</v>
      </c>
      <c r="B818" s="1" t="str">
        <f ca="1">IFERROR(__xludf.DUMMYFUNCTION("""COMPUTED_VALUE"""),"Vargas")</f>
        <v>Vargas</v>
      </c>
      <c r="C818" s="1" t="str">
        <f ca="1">IFERROR(__xludf.DUMMYFUNCTION("""COMPUTED_VALUE"""),"Seattle Sounders FC")</f>
        <v>Seattle Sounders FC</v>
      </c>
      <c r="D818" s="1" t="str">
        <f ca="1">IFERROR(__xludf.DUMMYFUNCTION("""COMPUTED_VALUE"""),"Central Midfield")</f>
        <v>Central Midfield</v>
      </c>
      <c r="E818" s="2">
        <f ca="1">IFERROR(__xludf.DUMMYFUNCTION("""COMPUTED_VALUE"""),89716)</f>
        <v>89716</v>
      </c>
      <c r="F818" s="2">
        <f ca="1">IFERROR(__xludf.DUMMYFUNCTION("""COMPUTED_VALUE"""),98748)</f>
        <v>98748</v>
      </c>
      <c r="H818" s="1" t="str">
        <f t="shared" ca="1" si="48"/>
        <v>Central Midfield</v>
      </c>
      <c r="I818" s="3" t="str">
        <f t="shared" ca="1" si="49"/>
        <v>Central Midfield</v>
      </c>
      <c r="J818" s="1" t="str">
        <f t="shared" ca="1" si="50"/>
        <v>Central Midfield</v>
      </c>
      <c r="K818" s="1" t="str">
        <f t="shared" ca="1" si="63"/>
        <v>Central Midfield</v>
      </c>
      <c r="L818" s="1" t="str">
        <f t="shared" ca="1" si="51"/>
        <v>M</v>
      </c>
      <c r="M818" s="1" t="str">
        <f t="shared" ca="1" si="52"/>
        <v>M</v>
      </c>
      <c r="N818" s="1" t="str">
        <f t="shared" ca="1" si="53"/>
        <v>M</v>
      </c>
      <c r="O818" s="1" t="str">
        <f t="shared" ca="1" si="54"/>
        <v>M</v>
      </c>
      <c r="P818" s="1" t="str">
        <f t="shared" ca="1" si="55"/>
        <v>M</v>
      </c>
      <c r="Q818" s="1" t="str">
        <f t="shared" ca="1" si="56"/>
        <v>M</v>
      </c>
      <c r="R818" s="1" t="str">
        <f t="shared" ca="1" si="57"/>
        <v>M</v>
      </c>
      <c r="S818" s="1" t="str">
        <f t="shared" ca="1" si="58"/>
        <v>M</v>
      </c>
      <c r="T818" s="1" t="str">
        <f t="shared" ca="1" si="59"/>
        <v>M</v>
      </c>
      <c r="U818" s="1" t="str">
        <f t="shared" ca="1" si="60"/>
        <v>M</v>
      </c>
      <c r="V818" s="1" t="str">
        <f t="shared" ca="1" si="61"/>
        <v>M</v>
      </c>
      <c r="W818" s="1" t="str">
        <f t="shared" ca="1" si="62"/>
        <v>Obed Vargas</v>
      </c>
    </row>
    <row r="819" spans="1:23">
      <c r="A819" s="1" t="str">
        <f ca="1">IFERROR(__xludf.DUMMYFUNCTION("""COMPUTED_VALUE"""),"Alenis")</f>
        <v>Alenis</v>
      </c>
      <c r="B819" s="1" t="str">
        <f ca="1">IFERROR(__xludf.DUMMYFUNCTION("""COMPUTED_VALUE"""),"Vargas")</f>
        <v>Vargas</v>
      </c>
      <c r="C819" s="1" t="str">
        <f ca="1">IFERROR(__xludf.DUMMYFUNCTION("""COMPUTED_VALUE"""),"Sporting Kansas City")</f>
        <v>Sporting Kansas City</v>
      </c>
      <c r="D819" s="1" t="str">
        <f ca="1">IFERROR(__xludf.DUMMYFUNCTION("""COMPUTED_VALUE"""),"Center Forward")</f>
        <v>Center Forward</v>
      </c>
      <c r="E819" s="2">
        <f ca="1">IFERROR(__xludf.DUMMYFUNCTION("""COMPUTED_VALUE"""),71401)</f>
        <v>71401</v>
      </c>
      <c r="F819" s="2">
        <f ca="1">IFERROR(__xludf.DUMMYFUNCTION("""COMPUTED_VALUE"""),71401)</f>
        <v>71401</v>
      </c>
      <c r="H819" s="1" t="str">
        <f t="shared" ca="1" si="48"/>
        <v>Center Forward</v>
      </c>
      <c r="I819" s="3" t="str">
        <f t="shared" ca="1" si="49"/>
        <v>Center Forward</v>
      </c>
      <c r="J819" s="1" t="str">
        <f t="shared" ca="1" si="50"/>
        <v>Center Forward</v>
      </c>
      <c r="K819" s="1" t="str">
        <f t="shared" ca="1" si="63"/>
        <v>Center Forward</v>
      </c>
      <c r="L819" s="1" t="str">
        <f t="shared" ca="1" si="51"/>
        <v>Center Forward</v>
      </c>
      <c r="M819" s="1" t="str">
        <f t="shared" ca="1" si="52"/>
        <v>Center Forward</v>
      </c>
      <c r="N819" s="1" t="str">
        <f t="shared" ca="1" si="53"/>
        <v>Center Forward</v>
      </c>
      <c r="O819" s="1" t="str">
        <f t="shared" ca="1" si="54"/>
        <v>F</v>
      </c>
      <c r="P819" s="1" t="str">
        <f t="shared" ca="1" si="55"/>
        <v>F</v>
      </c>
      <c r="Q819" s="1" t="str">
        <f t="shared" ca="1" si="56"/>
        <v>F</v>
      </c>
      <c r="R819" s="1" t="str">
        <f t="shared" ca="1" si="57"/>
        <v>F</v>
      </c>
      <c r="S819" s="1" t="str">
        <f t="shared" ca="1" si="58"/>
        <v>F</v>
      </c>
      <c r="T819" s="1" t="str">
        <f t="shared" ca="1" si="59"/>
        <v>F</v>
      </c>
      <c r="U819" s="1" t="str">
        <f t="shared" ca="1" si="60"/>
        <v>F</v>
      </c>
      <c r="V819" s="1" t="str">
        <f t="shared" ca="1" si="61"/>
        <v>F</v>
      </c>
      <c r="W819" s="1" t="str">
        <f t="shared" ca="1" si="62"/>
        <v>Alenis Vargas</v>
      </c>
    </row>
    <row r="820" spans="1:23">
      <c r="A820" s="1" t="str">
        <f ca="1">IFERROR(__xludf.DUMMYFUNCTION("""COMPUTED_VALUE"""),"Kerwin")</f>
        <v>Kerwin</v>
      </c>
      <c r="B820" s="1" t="str">
        <f ca="1">IFERROR(__xludf.DUMMYFUNCTION("""COMPUTED_VALUE"""),"Vargas")</f>
        <v>Vargas</v>
      </c>
      <c r="C820" s="1" t="str">
        <f ca="1">IFERROR(__xludf.DUMMYFUNCTION("""COMPUTED_VALUE"""),"Charlotte FC")</f>
        <v>Charlotte FC</v>
      </c>
      <c r="D820" s="1" t="str">
        <f ca="1">IFERROR(__xludf.DUMMYFUNCTION("""COMPUTED_VALUE"""),"Center Forward")</f>
        <v>Center Forward</v>
      </c>
      <c r="E820" s="2">
        <f ca="1">IFERROR(__xludf.DUMMYFUNCTION("""COMPUTED_VALUE"""),400000)</f>
        <v>400000</v>
      </c>
      <c r="F820" s="2">
        <f ca="1">IFERROR(__xludf.DUMMYFUNCTION("""COMPUTED_VALUE"""),437125)</f>
        <v>437125</v>
      </c>
      <c r="H820" s="1" t="str">
        <f t="shared" ca="1" si="48"/>
        <v>Center Forward</v>
      </c>
      <c r="I820" s="3" t="str">
        <f t="shared" ca="1" si="49"/>
        <v>Center Forward</v>
      </c>
      <c r="J820" s="1" t="str">
        <f t="shared" ca="1" si="50"/>
        <v>Center Forward</v>
      </c>
      <c r="K820" s="1" t="str">
        <f t="shared" ca="1" si="63"/>
        <v>Center Forward</v>
      </c>
      <c r="L820" s="1" t="str">
        <f t="shared" ca="1" si="51"/>
        <v>Center Forward</v>
      </c>
      <c r="M820" s="1" t="str">
        <f t="shared" ca="1" si="52"/>
        <v>Center Forward</v>
      </c>
      <c r="N820" s="1" t="str">
        <f t="shared" ca="1" si="53"/>
        <v>Center Forward</v>
      </c>
      <c r="O820" s="1" t="str">
        <f t="shared" ca="1" si="54"/>
        <v>F</v>
      </c>
      <c r="P820" s="1" t="str">
        <f t="shared" ca="1" si="55"/>
        <v>F</v>
      </c>
      <c r="Q820" s="1" t="str">
        <f t="shared" ca="1" si="56"/>
        <v>F</v>
      </c>
      <c r="R820" s="1" t="str">
        <f t="shared" ca="1" si="57"/>
        <v>F</v>
      </c>
      <c r="S820" s="1" t="str">
        <f t="shared" ca="1" si="58"/>
        <v>F</v>
      </c>
      <c r="T820" s="1" t="str">
        <f t="shared" ca="1" si="59"/>
        <v>F</v>
      </c>
      <c r="U820" s="1" t="str">
        <f t="shared" ca="1" si="60"/>
        <v>F</v>
      </c>
      <c r="V820" s="1" t="str">
        <f t="shared" ca="1" si="61"/>
        <v>F</v>
      </c>
      <c r="W820" s="1" t="str">
        <f t="shared" ca="1" si="62"/>
        <v>Kerwin Vargas</v>
      </c>
    </row>
    <row r="821" spans="1:23">
      <c r="A821" s="1" t="str">
        <f ca="1">IFERROR(__xludf.DUMMYFUNCTION("""COMPUTED_VALUE"""),"Indiana")</f>
        <v>Indiana</v>
      </c>
      <c r="B821" s="1" t="str">
        <f ca="1">IFERROR(__xludf.DUMMYFUNCTION("""COMPUTED_VALUE"""),"Vassilev")</f>
        <v>Vassilev</v>
      </c>
      <c r="C821" s="1" t="str">
        <f ca="1">IFERROR(__xludf.DUMMYFUNCTION("""COMPUTED_VALUE"""),"St. Louis City SC")</f>
        <v>St. Louis City SC</v>
      </c>
      <c r="D821" s="1" t="str">
        <f ca="1">IFERROR(__xludf.DUMMYFUNCTION("""COMPUTED_VALUE"""),"Attacking Midfield")</f>
        <v>Attacking Midfield</v>
      </c>
      <c r="E821" s="2">
        <f ca="1">IFERROR(__xludf.DUMMYFUNCTION("""COMPUTED_VALUE"""),290000)</f>
        <v>290000</v>
      </c>
      <c r="F821" s="2">
        <f ca="1">IFERROR(__xludf.DUMMYFUNCTION("""COMPUTED_VALUE"""),322250)</f>
        <v>322250</v>
      </c>
      <c r="H821" s="1" t="str">
        <f t="shared" ca="1" si="48"/>
        <v>Attacking Midfield</v>
      </c>
      <c r="I821" s="3" t="str">
        <f t="shared" ca="1" si="49"/>
        <v>Attacking Midfield</v>
      </c>
      <c r="J821" s="1" t="str">
        <f t="shared" ca="1" si="50"/>
        <v>Attacking Midfield</v>
      </c>
      <c r="K821" s="1" t="str">
        <f t="shared" ca="1" si="63"/>
        <v>Attacking Midfield</v>
      </c>
      <c r="L821" s="1" t="str">
        <f t="shared" ca="1" si="51"/>
        <v>Attacking Midfield</v>
      </c>
      <c r="M821" s="1" t="str">
        <f t="shared" ca="1" si="52"/>
        <v>M</v>
      </c>
      <c r="N821" s="1" t="str">
        <f t="shared" ca="1" si="53"/>
        <v>M</v>
      </c>
      <c r="O821" s="1" t="str">
        <f t="shared" ca="1" si="54"/>
        <v>M</v>
      </c>
      <c r="P821" s="1" t="str">
        <f t="shared" ca="1" si="55"/>
        <v>M</v>
      </c>
      <c r="Q821" s="1" t="str">
        <f t="shared" ca="1" si="56"/>
        <v>M</v>
      </c>
      <c r="R821" s="1" t="str">
        <f t="shared" ca="1" si="57"/>
        <v>M</v>
      </c>
      <c r="S821" s="1" t="str">
        <f t="shared" ca="1" si="58"/>
        <v>M</v>
      </c>
      <c r="T821" s="1" t="str">
        <f t="shared" ca="1" si="59"/>
        <v>M</v>
      </c>
      <c r="U821" s="1" t="str">
        <f t="shared" ca="1" si="60"/>
        <v>M</v>
      </c>
      <c r="V821" s="1" t="str">
        <f t="shared" ca="1" si="61"/>
        <v>M</v>
      </c>
      <c r="W821" s="1" t="str">
        <f t="shared" ca="1" si="62"/>
        <v>Indiana Vassilev</v>
      </c>
    </row>
    <row r="822" spans="1:23">
      <c r="A822" s="1" t="str">
        <f ca="1">IFERROR(__xludf.DUMMYFUNCTION("""COMPUTED_VALUE"""),"David")</f>
        <v>David</v>
      </c>
      <c r="B822" s="1" t="str">
        <f ca="1">IFERROR(__xludf.DUMMYFUNCTION("""COMPUTED_VALUE"""),"Vazquez")</f>
        <v>Vazquez</v>
      </c>
      <c r="C822" s="1" t="str">
        <f ca="1">IFERROR(__xludf.DUMMYFUNCTION("""COMPUTED_VALUE"""),"Philadelphia Union")</f>
        <v>Philadelphia Union</v>
      </c>
      <c r="D822" s="1" t="str">
        <f ca="1">IFERROR(__xludf.DUMMYFUNCTION("""COMPUTED_VALUE"""),"Left Wing")</f>
        <v>Left Wing</v>
      </c>
      <c r="E822" s="2">
        <f ca="1">IFERROR(__xludf.DUMMYFUNCTION("""COMPUTED_VALUE"""),71401)</f>
        <v>71401</v>
      </c>
      <c r="F822" s="2">
        <f ca="1">IFERROR(__xludf.DUMMYFUNCTION("""COMPUTED_VALUE"""),87281)</f>
        <v>87281</v>
      </c>
      <c r="H822" s="1" t="str">
        <f t="shared" ca="1" si="48"/>
        <v>Left Wing</v>
      </c>
      <c r="I822" s="3" t="str">
        <f t="shared" ca="1" si="49"/>
        <v>Left Wing</v>
      </c>
      <c r="J822" s="1" t="str">
        <f t="shared" ca="1" si="50"/>
        <v>Left Wing</v>
      </c>
      <c r="K822" s="1" t="str">
        <f t="shared" ca="1" si="63"/>
        <v>Left Wing</v>
      </c>
      <c r="L822" s="1" t="str">
        <f t="shared" ca="1" si="51"/>
        <v>Left Wing</v>
      </c>
      <c r="M822" s="1" t="str">
        <f t="shared" ca="1" si="52"/>
        <v>Left Wing</v>
      </c>
      <c r="N822" s="1" t="str">
        <f t="shared" ca="1" si="53"/>
        <v>Left Wing</v>
      </c>
      <c r="O822" s="1" t="str">
        <f t="shared" ca="1" si="54"/>
        <v>Left Wing</v>
      </c>
      <c r="P822" s="1" t="str">
        <f t="shared" ca="1" si="55"/>
        <v>F</v>
      </c>
      <c r="Q822" s="1" t="str">
        <f t="shared" ca="1" si="56"/>
        <v>F</v>
      </c>
      <c r="R822" s="1" t="str">
        <f t="shared" ca="1" si="57"/>
        <v>F</v>
      </c>
      <c r="S822" s="1" t="str">
        <f t="shared" ca="1" si="58"/>
        <v>F</v>
      </c>
      <c r="T822" s="1" t="str">
        <f t="shared" ca="1" si="59"/>
        <v>F</v>
      </c>
      <c r="U822" s="1" t="str">
        <f t="shared" ca="1" si="60"/>
        <v>F</v>
      </c>
      <c r="V822" s="1" t="str">
        <f t="shared" ca="1" si="61"/>
        <v>F</v>
      </c>
      <c r="W822" s="1" t="str">
        <f t="shared" ca="1" si="62"/>
        <v>David Vazquez</v>
      </c>
    </row>
    <row r="823" spans="1:23">
      <c r="A823" s="1" t="str">
        <f ca="1">IFERROR(__xludf.DUMMYFUNCTION("""COMPUTED_VALUE"""),"Alan")</f>
        <v>Alan</v>
      </c>
      <c r="B823" s="1" t="str">
        <f ca="1">IFERROR(__xludf.DUMMYFUNCTION("""COMPUTED_VALUE"""),"Velasco")</f>
        <v>Velasco</v>
      </c>
      <c r="C823" s="1" t="str">
        <f ca="1">IFERROR(__xludf.DUMMYFUNCTION("""COMPUTED_VALUE"""),"FC Dallas")</f>
        <v>FC Dallas</v>
      </c>
      <c r="D823" s="1" t="str">
        <f ca="1">IFERROR(__xludf.DUMMYFUNCTION("""COMPUTED_VALUE"""),"Left Wing")</f>
        <v>Left Wing</v>
      </c>
      <c r="E823" s="2">
        <f ca="1">IFERROR(__xludf.DUMMYFUNCTION("""COMPUTED_VALUE"""),1250000)</f>
        <v>1250000</v>
      </c>
      <c r="F823" s="2">
        <f ca="1">IFERROR(__xludf.DUMMYFUNCTION("""COMPUTED_VALUE"""),1451000)</f>
        <v>1451000</v>
      </c>
      <c r="H823" s="1" t="str">
        <f t="shared" ca="1" si="48"/>
        <v>Left Wing</v>
      </c>
      <c r="I823" s="3" t="str">
        <f t="shared" ca="1" si="49"/>
        <v>Left Wing</v>
      </c>
      <c r="J823" s="1" t="str">
        <f t="shared" ca="1" si="50"/>
        <v>Left Wing</v>
      </c>
      <c r="K823" s="1" t="str">
        <f t="shared" ca="1" si="63"/>
        <v>Left Wing</v>
      </c>
      <c r="L823" s="1" t="str">
        <f t="shared" ca="1" si="51"/>
        <v>Left Wing</v>
      </c>
      <c r="M823" s="1" t="str">
        <f t="shared" ca="1" si="52"/>
        <v>Left Wing</v>
      </c>
      <c r="N823" s="1" t="str">
        <f t="shared" ca="1" si="53"/>
        <v>Left Wing</v>
      </c>
      <c r="O823" s="1" t="str">
        <f t="shared" ca="1" si="54"/>
        <v>Left Wing</v>
      </c>
      <c r="P823" s="1" t="str">
        <f t="shared" ca="1" si="55"/>
        <v>F</v>
      </c>
      <c r="Q823" s="1" t="str">
        <f t="shared" ca="1" si="56"/>
        <v>F</v>
      </c>
      <c r="R823" s="1" t="str">
        <f t="shared" ca="1" si="57"/>
        <v>F</v>
      </c>
      <c r="S823" s="1" t="str">
        <f t="shared" ca="1" si="58"/>
        <v>F</v>
      </c>
      <c r="T823" s="1" t="str">
        <f t="shared" ca="1" si="59"/>
        <v>F</v>
      </c>
      <c r="U823" s="1" t="str">
        <f t="shared" ca="1" si="60"/>
        <v>F</v>
      </c>
      <c r="V823" s="1" t="str">
        <f t="shared" ca="1" si="61"/>
        <v>F</v>
      </c>
      <c r="W823" s="1" t="str">
        <f t="shared" ca="1" si="62"/>
        <v>Alan Velasco</v>
      </c>
    </row>
    <row r="824" spans="1:23">
      <c r="A824" s="1" t="str">
        <f ca="1">IFERROR(__xludf.DUMMYFUNCTION("""COMPUTED_VALUE"""),"Brayan")</f>
        <v>Brayan</v>
      </c>
      <c r="B824" s="1" t="str">
        <f ca="1">IFERROR(__xludf.DUMMYFUNCTION("""COMPUTED_VALUE"""),"Vera")</f>
        <v>Vera</v>
      </c>
      <c r="C824" s="1" t="str">
        <f ca="1">IFERROR(__xludf.DUMMYFUNCTION("""COMPUTED_VALUE"""),"Real Salt Lake")</f>
        <v>Real Salt Lake</v>
      </c>
      <c r="D824" s="1" t="str">
        <f ca="1">IFERROR(__xludf.DUMMYFUNCTION("""COMPUTED_VALUE"""),"Center-back")</f>
        <v>Center-back</v>
      </c>
      <c r="E824" s="2">
        <f ca="1">IFERROR(__xludf.DUMMYFUNCTION("""COMPUTED_VALUE"""),475000)</f>
        <v>475000</v>
      </c>
      <c r="F824" s="2">
        <f ca="1">IFERROR(__xludf.DUMMYFUNCTION("""COMPUTED_VALUE"""),532000)</f>
        <v>532000</v>
      </c>
      <c r="H824" s="1" t="str">
        <f t="shared" ca="1" si="48"/>
        <v>D</v>
      </c>
      <c r="I824" s="3" t="str">
        <f t="shared" ca="1" si="49"/>
        <v>D</v>
      </c>
      <c r="J824" s="1" t="str">
        <f t="shared" ca="1" si="50"/>
        <v>D</v>
      </c>
      <c r="K824" s="1" t="str">
        <f t="shared" ca="1" si="63"/>
        <v>D</v>
      </c>
      <c r="L824" s="1" t="str">
        <f t="shared" ca="1" si="51"/>
        <v>D</v>
      </c>
      <c r="M824" s="1" t="str">
        <f t="shared" ca="1" si="52"/>
        <v>D</v>
      </c>
      <c r="N824" s="1" t="str">
        <f t="shared" ca="1" si="53"/>
        <v>D</v>
      </c>
      <c r="O824" s="1" t="str">
        <f t="shared" ca="1" si="54"/>
        <v>D</v>
      </c>
      <c r="P824" s="1" t="str">
        <f t="shared" ca="1" si="55"/>
        <v>D</v>
      </c>
      <c r="Q824" s="1" t="str">
        <f t="shared" ca="1" si="56"/>
        <v>D</v>
      </c>
      <c r="R824" s="1" t="str">
        <f t="shared" ca="1" si="57"/>
        <v>D</v>
      </c>
      <c r="S824" s="1" t="str">
        <f t="shared" ca="1" si="58"/>
        <v>D</v>
      </c>
      <c r="T824" s="1" t="str">
        <f t="shared" ca="1" si="59"/>
        <v>D</v>
      </c>
      <c r="U824" s="1" t="str">
        <f t="shared" ca="1" si="60"/>
        <v>D</v>
      </c>
      <c r="V824" s="1" t="str">
        <f t="shared" ca="1" si="61"/>
        <v>D</v>
      </c>
      <c r="W824" s="1" t="str">
        <f t="shared" ca="1" si="62"/>
        <v>Brayan Vera</v>
      </c>
    </row>
    <row r="825" spans="1:23">
      <c r="A825" s="1" t="str">
        <f ca="1">IFERROR(__xludf.DUMMYFUNCTION("""COMPUTED_VALUE"""),"Oscar")</f>
        <v>Oscar</v>
      </c>
      <c r="B825" s="1" t="str">
        <f ca="1">IFERROR(__xludf.DUMMYFUNCTION("""COMPUTED_VALUE"""),"Verhoeven")</f>
        <v>Verhoeven</v>
      </c>
      <c r="C825" s="1" t="str">
        <f ca="1">IFERROR(__xludf.DUMMYFUNCTION("""COMPUTED_VALUE"""),"San Jose Earthquakes")</f>
        <v>San Jose Earthquakes</v>
      </c>
      <c r="D825" s="1" t="str">
        <f ca="1">IFERROR(__xludf.DUMMYFUNCTION("""COMPUTED_VALUE"""),"Right-back")</f>
        <v>Right-back</v>
      </c>
      <c r="E825" s="2">
        <f ca="1">IFERROR(__xludf.DUMMYFUNCTION("""COMPUTED_VALUE"""),89716)</f>
        <v>89716</v>
      </c>
      <c r="F825" s="2">
        <f ca="1">IFERROR(__xludf.DUMMYFUNCTION("""COMPUTED_VALUE"""),103111)</f>
        <v>103111</v>
      </c>
      <c r="H825" s="1" t="str">
        <f t="shared" ca="1" si="48"/>
        <v>Right-back</v>
      </c>
      <c r="I825" s="3" t="str">
        <f t="shared" ca="1" si="49"/>
        <v>Right-back</v>
      </c>
      <c r="J825" s="1" t="str">
        <f t="shared" ca="1" si="50"/>
        <v>D</v>
      </c>
      <c r="K825" s="1" t="str">
        <f t="shared" ca="1" si="63"/>
        <v>D</v>
      </c>
      <c r="L825" s="1" t="str">
        <f t="shared" ca="1" si="51"/>
        <v>D</v>
      </c>
      <c r="M825" s="1" t="str">
        <f t="shared" ca="1" si="52"/>
        <v>D</v>
      </c>
      <c r="N825" s="1" t="str">
        <f t="shared" ca="1" si="53"/>
        <v>D</v>
      </c>
      <c r="O825" s="1" t="str">
        <f t="shared" ca="1" si="54"/>
        <v>D</v>
      </c>
      <c r="P825" s="1" t="str">
        <f t="shared" ca="1" si="55"/>
        <v>D</v>
      </c>
      <c r="Q825" s="1" t="str">
        <f t="shared" ca="1" si="56"/>
        <v>D</v>
      </c>
      <c r="R825" s="1" t="str">
        <f t="shared" ca="1" si="57"/>
        <v>D</v>
      </c>
      <c r="S825" s="1" t="str">
        <f t="shared" ca="1" si="58"/>
        <v>D</v>
      </c>
      <c r="T825" s="1" t="str">
        <f t="shared" ca="1" si="59"/>
        <v>D</v>
      </c>
      <c r="U825" s="1" t="str">
        <f t="shared" ca="1" si="60"/>
        <v>D</v>
      </c>
      <c r="V825" s="1" t="str">
        <f t="shared" ca="1" si="61"/>
        <v>D</v>
      </c>
      <c r="W825" s="1" t="str">
        <f t="shared" ca="1" si="62"/>
        <v>Oscar Verhoeven</v>
      </c>
    </row>
    <row r="826" spans="1:23">
      <c r="A826" s="1" t="str">
        <f ca="1">IFERROR(__xludf.DUMMYFUNCTION("""COMPUTED_VALUE"""),"Ranko")</f>
        <v>Ranko</v>
      </c>
      <c r="B826" s="1" t="str">
        <f ca="1">IFERROR(__xludf.DUMMYFUNCTION("""COMPUTED_VALUE"""),"Veselinovic")</f>
        <v>Veselinovic</v>
      </c>
      <c r="C826" s="1" t="str">
        <f ca="1">IFERROR(__xludf.DUMMYFUNCTION("""COMPUTED_VALUE"""),"Vancouver Whitecaps")</f>
        <v>Vancouver Whitecaps</v>
      </c>
      <c r="D826" s="1" t="str">
        <f ca="1">IFERROR(__xludf.DUMMYFUNCTION("""COMPUTED_VALUE"""),"Center-back")</f>
        <v>Center-back</v>
      </c>
      <c r="E826" s="2">
        <f ca="1">IFERROR(__xludf.DUMMYFUNCTION("""COMPUTED_VALUE"""),620000)</f>
        <v>620000</v>
      </c>
      <c r="F826" s="2">
        <f ca="1">IFERROR(__xludf.DUMMYFUNCTION("""COMPUTED_VALUE"""),687125)</f>
        <v>687125</v>
      </c>
      <c r="H826" s="1" t="str">
        <f t="shared" ca="1" si="48"/>
        <v>D</v>
      </c>
      <c r="I826" s="3" t="str">
        <f t="shared" ca="1" si="49"/>
        <v>D</v>
      </c>
      <c r="J826" s="1" t="str">
        <f t="shared" ca="1" si="50"/>
        <v>D</v>
      </c>
      <c r="K826" s="1" t="str">
        <f t="shared" ca="1" si="63"/>
        <v>D</v>
      </c>
      <c r="L826" s="1" t="str">
        <f t="shared" ca="1" si="51"/>
        <v>D</v>
      </c>
      <c r="M826" s="1" t="str">
        <f t="shared" ca="1" si="52"/>
        <v>D</v>
      </c>
      <c r="N826" s="1" t="str">
        <f t="shared" ca="1" si="53"/>
        <v>D</v>
      </c>
      <c r="O826" s="1" t="str">
        <f t="shared" ca="1" si="54"/>
        <v>D</v>
      </c>
      <c r="P826" s="1" t="str">
        <f t="shared" ca="1" si="55"/>
        <v>D</v>
      </c>
      <c r="Q826" s="1" t="str">
        <f t="shared" ca="1" si="56"/>
        <v>D</v>
      </c>
      <c r="R826" s="1" t="str">
        <f t="shared" ca="1" si="57"/>
        <v>D</v>
      </c>
      <c r="S826" s="1" t="str">
        <f t="shared" ca="1" si="58"/>
        <v>D</v>
      </c>
      <c r="T826" s="1" t="str">
        <f t="shared" ca="1" si="59"/>
        <v>D</v>
      </c>
      <c r="U826" s="1" t="str">
        <f t="shared" ca="1" si="60"/>
        <v>D</v>
      </c>
      <c r="V826" s="1" t="str">
        <f t="shared" ca="1" si="61"/>
        <v>D</v>
      </c>
      <c r="W826" s="1" t="str">
        <f t="shared" ca="1" si="62"/>
        <v>Ranko Veselinovic</v>
      </c>
    </row>
    <row r="827" spans="1:23">
      <c r="A827" s="1" t="str">
        <f ca="1">IFERROR(__xludf.DUMMYFUNCTION("""COMPUTED_VALUE"""),"Jules-Anthony")</f>
        <v>Jules-Anthony</v>
      </c>
      <c r="B827" s="1" t="str">
        <f ca="1">IFERROR(__xludf.DUMMYFUNCTION("""COMPUTED_VALUE"""),"Vilsaint")</f>
        <v>Vilsaint</v>
      </c>
      <c r="C827" s="1" t="str">
        <f ca="1">IFERROR(__xludf.DUMMYFUNCTION("""COMPUTED_VALUE"""),"CF Montreal")</f>
        <v>CF Montreal</v>
      </c>
      <c r="D827" s="1" t="str">
        <f ca="1">IFERROR(__xludf.DUMMYFUNCTION("""COMPUTED_VALUE"""),"Center Forward")</f>
        <v>Center Forward</v>
      </c>
      <c r="E827" s="2">
        <f ca="1">IFERROR(__xludf.DUMMYFUNCTION("""COMPUTED_VALUE"""),89716)</f>
        <v>89716</v>
      </c>
      <c r="F827" s="2">
        <f ca="1">IFERROR(__xludf.DUMMYFUNCTION("""COMPUTED_VALUE"""),96591)</f>
        <v>96591</v>
      </c>
      <c r="H827" s="1" t="str">
        <f t="shared" ca="1" si="48"/>
        <v>Center Forward</v>
      </c>
      <c r="I827" s="3" t="str">
        <f t="shared" ca="1" si="49"/>
        <v>Center Forward</v>
      </c>
      <c r="J827" s="1" t="str">
        <f t="shared" ca="1" si="50"/>
        <v>Center Forward</v>
      </c>
      <c r="K827" s="1" t="str">
        <f t="shared" ca="1" si="63"/>
        <v>Center Forward</v>
      </c>
      <c r="L827" s="1" t="str">
        <f t="shared" ca="1" si="51"/>
        <v>Center Forward</v>
      </c>
      <c r="M827" s="1" t="str">
        <f t="shared" ca="1" si="52"/>
        <v>Center Forward</v>
      </c>
      <c r="N827" s="1" t="str">
        <f t="shared" ca="1" si="53"/>
        <v>Center Forward</v>
      </c>
      <c r="O827" s="1" t="str">
        <f t="shared" ca="1" si="54"/>
        <v>F</v>
      </c>
      <c r="P827" s="1" t="str">
        <f t="shared" ca="1" si="55"/>
        <v>F</v>
      </c>
      <c r="Q827" s="1" t="str">
        <f t="shared" ca="1" si="56"/>
        <v>F</v>
      </c>
      <c r="R827" s="1" t="str">
        <f t="shared" ca="1" si="57"/>
        <v>F</v>
      </c>
      <c r="S827" s="1" t="str">
        <f t="shared" ca="1" si="58"/>
        <v>F</v>
      </c>
      <c r="T827" s="1" t="str">
        <f t="shared" ca="1" si="59"/>
        <v>F</v>
      </c>
      <c r="U827" s="1" t="str">
        <f t="shared" ca="1" si="60"/>
        <v>F</v>
      </c>
      <c r="V827" s="1" t="str">
        <f t="shared" ca="1" si="61"/>
        <v>F</v>
      </c>
      <c r="W827" s="1" t="str">
        <f t="shared" ca="1" si="62"/>
        <v>Jules-Anthony Vilsaint</v>
      </c>
    </row>
    <row r="828" spans="1:23">
      <c r="A828" s="1" t="str">
        <f ca="1">IFERROR(__xludf.DUMMYFUNCTION("""COMPUTED_VALUE"""),"Sam")</f>
        <v>Sam</v>
      </c>
      <c r="B828" s="1" t="str">
        <f ca="1">IFERROR(__xludf.DUMMYFUNCTION("""COMPUTED_VALUE"""),"Vines")</f>
        <v>Vines</v>
      </c>
      <c r="C828" s="1" t="str">
        <f ca="1">IFERROR(__xludf.DUMMYFUNCTION("""COMPUTED_VALUE"""),"Colorado Rapids")</f>
        <v>Colorado Rapids</v>
      </c>
      <c r="D828" s="1" t="str">
        <f ca="1">IFERROR(__xludf.DUMMYFUNCTION("""COMPUTED_VALUE"""),"Left-back")</f>
        <v>Left-back</v>
      </c>
      <c r="E828" s="2">
        <f ca="1">IFERROR(__xludf.DUMMYFUNCTION("""COMPUTED_VALUE"""),850000)</f>
        <v>850000</v>
      </c>
      <c r="F828" s="2">
        <f ca="1">IFERROR(__xludf.DUMMYFUNCTION("""COMPUTED_VALUE"""),862500)</f>
        <v>862500</v>
      </c>
      <c r="H828" s="1" t="str">
        <f t="shared" ca="1" si="48"/>
        <v>Left-back</v>
      </c>
      <c r="I828" s="3" t="str">
        <f t="shared" ca="1" si="49"/>
        <v>D</v>
      </c>
      <c r="J828" s="1" t="str">
        <f t="shared" ca="1" si="50"/>
        <v>D</v>
      </c>
      <c r="K828" s="1" t="str">
        <f t="shared" ca="1" si="63"/>
        <v>D</v>
      </c>
      <c r="L828" s="1" t="str">
        <f t="shared" ca="1" si="51"/>
        <v>D</v>
      </c>
      <c r="M828" s="1" t="str">
        <f t="shared" ca="1" si="52"/>
        <v>D</v>
      </c>
      <c r="N828" s="1" t="str">
        <f t="shared" ca="1" si="53"/>
        <v>D</v>
      </c>
      <c r="O828" s="1" t="str">
        <f t="shared" ca="1" si="54"/>
        <v>D</v>
      </c>
      <c r="P828" s="1" t="str">
        <f t="shared" ca="1" si="55"/>
        <v>D</v>
      </c>
      <c r="Q828" s="1" t="str">
        <f t="shared" ca="1" si="56"/>
        <v>D</v>
      </c>
      <c r="R828" s="1" t="str">
        <f t="shared" ca="1" si="57"/>
        <v>D</v>
      </c>
      <c r="S828" s="1" t="str">
        <f t="shared" ca="1" si="58"/>
        <v>D</v>
      </c>
      <c r="T828" s="1" t="str">
        <f t="shared" ca="1" si="59"/>
        <v>D</v>
      </c>
      <c r="U828" s="1" t="str">
        <f t="shared" ca="1" si="60"/>
        <v>D</v>
      </c>
      <c r="V828" s="1" t="str">
        <f t="shared" ca="1" si="61"/>
        <v>D</v>
      </c>
      <c r="W828" s="1" t="str">
        <f t="shared" ca="1" si="62"/>
        <v>Sam Vines</v>
      </c>
    </row>
    <row r="829" spans="1:23">
      <c r="A829" s="1" t="str">
        <f ca="1">IFERROR(__xludf.DUMMYFUNCTION("""COMPUTED_VALUE"""),"Pedro")</f>
        <v>Pedro</v>
      </c>
      <c r="B829" s="1" t="str">
        <f ca="1">IFERROR(__xludf.DUMMYFUNCTION("""COMPUTED_VALUE"""),"Vite")</f>
        <v>Vite</v>
      </c>
      <c r="C829" s="1" t="str">
        <f ca="1">IFERROR(__xludf.DUMMYFUNCTION("""COMPUTED_VALUE"""),"Vancouver Whitecaps")</f>
        <v>Vancouver Whitecaps</v>
      </c>
      <c r="D829" s="1" t="str">
        <f ca="1">IFERROR(__xludf.DUMMYFUNCTION("""COMPUTED_VALUE"""),"Attacking Midfield")</f>
        <v>Attacking Midfield</v>
      </c>
      <c r="E829" s="2">
        <f ca="1">IFERROR(__xludf.DUMMYFUNCTION("""COMPUTED_VALUE"""),621000)</f>
        <v>621000</v>
      </c>
      <c r="F829" s="2">
        <f ca="1">IFERROR(__xludf.DUMMYFUNCTION("""COMPUTED_VALUE"""),674997)</f>
        <v>674997</v>
      </c>
      <c r="H829" s="1" t="str">
        <f t="shared" ca="1" si="48"/>
        <v>Attacking Midfield</v>
      </c>
      <c r="I829" s="3" t="str">
        <f t="shared" ca="1" si="49"/>
        <v>Attacking Midfield</v>
      </c>
      <c r="J829" s="1" t="str">
        <f t="shared" ca="1" si="50"/>
        <v>Attacking Midfield</v>
      </c>
      <c r="K829" s="1" t="str">
        <f t="shared" ca="1" si="63"/>
        <v>Attacking Midfield</v>
      </c>
      <c r="L829" s="1" t="str">
        <f t="shared" ca="1" si="51"/>
        <v>Attacking Midfield</v>
      </c>
      <c r="M829" s="1" t="str">
        <f t="shared" ca="1" si="52"/>
        <v>M</v>
      </c>
      <c r="N829" s="1" t="str">
        <f t="shared" ca="1" si="53"/>
        <v>M</v>
      </c>
      <c r="O829" s="1" t="str">
        <f t="shared" ca="1" si="54"/>
        <v>M</v>
      </c>
      <c r="P829" s="1" t="str">
        <f t="shared" ca="1" si="55"/>
        <v>M</v>
      </c>
      <c r="Q829" s="1" t="str">
        <f t="shared" ca="1" si="56"/>
        <v>M</v>
      </c>
      <c r="R829" s="1" t="str">
        <f t="shared" ca="1" si="57"/>
        <v>M</v>
      </c>
      <c r="S829" s="1" t="str">
        <f t="shared" ca="1" si="58"/>
        <v>M</v>
      </c>
      <c r="T829" s="1" t="str">
        <f t="shared" ca="1" si="59"/>
        <v>M</v>
      </c>
      <c r="U829" s="1" t="str">
        <f t="shared" ca="1" si="60"/>
        <v>M</v>
      </c>
      <c r="V829" s="1" t="str">
        <f t="shared" ca="1" si="61"/>
        <v>M</v>
      </c>
      <c r="W829" s="1" t="str">
        <f t="shared" ca="1" si="62"/>
        <v>Pedro Vite</v>
      </c>
    </row>
    <row r="830" spans="1:23">
      <c r="A830" s="1" t="str">
        <f ca="1">IFERROR(__xludf.DUMMYFUNCTION("""COMPUTED_VALUE"""),"Gino")</f>
        <v>Gino</v>
      </c>
      <c r="B830" s="1" t="str">
        <f ca="1">IFERROR(__xludf.DUMMYFUNCTION("""COMPUTED_VALUE"""),"Vivi")</f>
        <v>Vivi</v>
      </c>
      <c r="C830" s="1" t="str">
        <f ca="1">IFERROR(__xludf.DUMMYFUNCTION("""COMPUTED_VALUE"""),"LA Galaxy")</f>
        <v>LA Galaxy</v>
      </c>
      <c r="D830" s="1" t="str">
        <f ca="1">IFERROR(__xludf.DUMMYFUNCTION("""COMPUTED_VALUE"""),"Left Wing")</f>
        <v>Left Wing</v>
      </c>
      <c r="E830" s="2">
        <f ca="1">IFERROR(__xludf.DUMMYFUNCTION("""COMPUTED_VALUE"""),71401)</f>
        <v>71401</v>
      </c>
      <c r="F830" s="2">
        <f ca="1">IFERROR(__xludf.DUMMYFUNCTION("""COMPUTED_VALUE"""),71401)</f>
        <v>71401</v>
      </c>
      <c r="H830" s="1" t="str">
        <f t="shared" ca="1" si="48"/>
        <v>Left Wing</v>
      </c>
      <c r="I830" s="3" t="str">
        <f t="shared" ca="1" si="49"/>
        <v>Left Wing</v>
      </c>
      <c r="J830" s="1" t="str">
        <f t="shared" ca="1" si="50"/>
        <v>Left Wing</v>
      </c>
      <c r="K830" s="1" t="str">
        <f t="shared" ca="1" si="63"/>
        <v>Left Wing</v>
      </c>
      <c r="L830" s="1" t="str">
        <f t="shared" ca="1" si="51"/>
        <v>Left Wing</v>
      </c>
      <c r="M830" s="1" t="str">
        <f t="shared" ca="1" si="52"/>
        <v>Left Wing</v>
      </c>
      <c r="N830" s="1" t="str">
        <f t="shared" ca="1" si="53"/>
        <v>Left Wing</v>
      </c>
      <c r="O830" s="1" t="str">
        <f t="shared" ca="1" si="54"/>
        <v>Left Wing</v>
      </c>
      <c r="P830" s="1" t="str">
        <f t="shared" ca="1" si="55"/>
        <v>F</v>
      </c>
      <c r="Q830" s="1" t="str">
        <f t="shared" ca="1" si="56"/>
        <v>F</v>
      </c>
      <c r="R830" s="1" t="str">
        <f t="shared" ca="1" si="57"/>
        <v>F</v>
      </c>
      <c r="S830" s="1" t="str">
        <f t="shared" ca="1" si="58"/>
        <v>F</v>
      </c>
      <c r="T830" s="1" t="str">
        <f t="shared" ca="1" si="59"/>
        <v>F</v>
      </c>
      <c r="U830" s="1" t="str">
        <f t="shared" ca="1" si="60"/>
        <v>F</v>
      </c>
      <c r="V830" s="1" t="str">
        <f t="shared" ca="1" si="61"/>
        <v>F</v>
      </c>
      <c r="W830" s="1" t="str">
        <f t="shared" ca="1" si="62"/>
        <v>Gino Vivi</v>
      </c>
    </row>
    <row r="831" spans="1:23">
      <c r="A831" s="1" t="str">
        <f ca="1">IFERROR(__xludf.DUMMYFUNCTION("""COMPUTED_VALUE"""),"Robert")</f>
        <v>Robert</v>
      </c>
      <c r="B831" s="1" t="str">
        <f ca="1">IFERROR(__xludf.DUMMYFUNCTION("""COMPUTED_VALUE"""),"Voloder")</f>
        <v>Voloder</v>
      </c>
      <c r="C831" s="1" t="str">
        <f ca="1">IFERROR(__xludf.DUMMYFUNCTION("""COMPUTED_VALUE"""),"Sporting Kansas City")</f>
        <v>Sporting Kansas City</v>
      </c>
      <c r="D831" s="1" t="str">
        <f ca="1">IFERROR(__xludf.DUMMYFUNCTION("""COMPUTED_VALUE"""),"Center-back")</f>
        <v>Center-back</v>
      </c>
      <c r="E831" s="2">
        <f ca="1">IFERROR(__xludf.DUMMYFUNCTION("""COMPUTED_VALUE"""),450000)</f>
        <v>450000</v>
      </c>
      <c r="F831" s="2">
        <f ca="1">IFERROR(__xludf.DUMMYFUNCTION("""COMPUTED_VALUE"""),477860)</f>
        <v>477860</v>
      </c>
      <c r="H831" s="1" t="str">
        <f t="shared" ca="1" si="48"/>
        <v>D</v>
      </c>
      <c r="I831" s="3" t="str">
        <f t="shared" ca="1" si="49"/>
        <v>D</v>
      </c>
      <c r="J831" s="1" t="str">
        <f t="shared" ca="1" si="50"/>
        <v>D</v>
      </c>
      <c r="K831" s="1" t="str">
        <f t="shared" ca="1" si="63"/>
        <v>D</v>
      </c>
      <c r="L831" s="1" t="str">
        <f t="shared" ca="1" si="51"/>
        <v>D</v>
      </c>
      <c r="M831" s="1" t="str">
        <f t="shared" ca="1" si="52"/>
        <v>D</v>
      </c>
      <c r="N831" s="1" t="str">
        <f t="shared" ca="1" si="53"/>
        <v>D</v>
      </c>
      <c r="O831" s="1" t="str">
        <f t="shared" ca="1" si="54"/>
        <v>D</v>
      </c>
      <c r="P831" s="1" t="str">
        <f t="shared" ca="1" si="55"/>
        <v>D</v>
      </c>
      <c r="Q831" s="1" t="str">
        <f t="shared" ca="1" si="56"/>
        <v>D</v>
      </c>
      <c r="R831" s="1" t="str">
        <f t="shared" ca="1" si="57"/>
        <v>D</v>
      </c>
      <c r="S831" s="1" t="str">
        <f t="shared" ca="1" si="58"/>
        <v>D</v>
      </c>
      <c r="T831" s="1" t="str">
        <f t="shared" ca="1" si="59"/>
        <v>D</v>
      </c>
      <c r="U831" s="1" t="str">
        <f t="shared" ca="1" si="60"/>
        <v>D</v>
      </c>
      <c r="V831" s="1" t="str">
        <f t="shared" ca="1" si="61"/>
        <v>D</v>
      </c>
      <c r="W831" s="1" t="str">
        <f t="shared" ca="1" si="62"/>
        <v>Robert Voloder</v>
      </c>
    </row>
    <row r="832" spans="1:23">
      <c r="A832" s="1" t="str">
        <f ca="1">IFERROR(__xludf.DUMMYFUNCTION("""COMPUTED_VALUE"""),"Giacomo")</f>
        <v>Giacomo</v>
      </c>
      <c r="B832" s="1" t="str">
        <f ca="1">IFERROR(__xludf.DUMMYFUNCTION("""COMPUTED_VALUE"""),"Vrioni")</f>
        <v>Vrioni</v>
      </c>
      <c r="C832" s="1" t="str">
        <f ca="1">IFERROR(__xludf.DUMMYFUNCTION("""COMPUTED_VALUE"""),"New England Revolution")</f>
        <v>New England Revolution</v>
      </c>
      <c r="D832" s="1" t="str">
        <f ca="1">IFERROR(__xludf.DUMMYFUNCTION("""COMPUTED_VALUE"""),"Center Forward")</f>
        <v>Center Forward</v>
      </c>
      <c r="E832" s="2">
        <f ca="1">IFERROR(__xludf.DUMMYFUNCTION("""COMPUTED_VALUE"""),1700000)</f>
        <v>1700000</v>
      </c>
      <c r="F832" s="2">
        <f ca="1">IFERROR(__xludf.DUMMYFUNCTION("""COMPUTED_VALUE"""),1947500)</f>
        <v>1947500</v>
      </c>
      <c r="H832" s="1" t="str">
        <f t="shared" ca="1" si="48"/>
        <v>Center Forward</v>
      </c>
      <c r="I832" s="3" t="str">
        <f t="shared" ca="1" si="49"/>
        <v>Center Forward</v>
      </c>
      <c r="J832" s="1" t="str">
        <f t="shared" ca="1" si="50"/>
        <v>Center Forward</v>
      </c>
      <c r="K832" s="1" t="str">
        <f t="shared" ca="1" si="63"/>
        <v>Center Forward</v>
      </c>
      <c r="L832" s="1" t="str">
        <f t="shared" ca="1" si="51"/>
        <v>Center Forward</v>
      </c>
      <c r="M832" s="1" t="str">
        <f t="shared" ca="1" si="52"/>
        <v>Center Forward</v>
      </c>
      <c r="N832" s="1" t="str">
        <f t="shared" ca="1" si="53"/>
        <v>Center Forward</v>
      </c>
      <c r="O832" s="1" t="str">
        <f t="shared" ca="1" si="54"/>
        <v>F</v>
      </c>
      <c r="P832" s="1" t="str">
        <f t="shared" ca="1" si="55"/>
        <v>F</v>
      </c>
      <c r="Q832" s="1" t="str">
        <f t="shared" ca="1" si="56"/>
        <v>F</v>
      </c>
      <c r="R832" s="1" t="str">
        <f t="shared" ca="1" si="57"/>
        <v>F</v>
      </c>
      <c r="S832" s="1" t="str">
        <f t="shared" ca="1" si="58"/>
        <v>F</v>
      </c>
      <c r="T832" s="1" t="str">
        <f t="shared" ca="1" si="59"/>
        <v>F</v>
      </c>
      <c r="U832" s="1" t="str">
        <f t="shared" ca="1" si="60"/>
        <v>F</v>
      </c>
      <c r="V832" s="1" t="str">
        <f t="shared" ca="1" si="61"/>
        <v>F</v>
      </c>
      <c r="W832" s="1" t="str">
        <f t="shared" ca="1" si="62"/>
        <v>Giacomo Vrioni</v>
      </c>
    </row>
    <row r="833" spans="1:23">
      <c r="A833" s="1" t="str">
        <f ca="1">IFERROR(__xludf.DUMMYFUNCTION("""COMPUTED_VALUE"""),"Kai")</f>
        <v>Kai</v>
      </c>
      <c r="B833" s="1" t="str">
        <f ca="1">IFERROR(__xludf.DUMMYFUNCTION("""COMPUTED_VALUE"""),"Wagner")</f>
        <v>Wagner</v>
      </c>
      <c r="C833" s="1" t="str">
        <f ca="1">IFERROR(__xludf.DUMMYFUNCTION("""COMPUTED_VALUE"""),"Philadelphia Union")</f>
        <v>Philadelphia Union</v>
      </c>
      <c r="D833" s="1" t="str">
        <f ca="1">IFERROR(__xludf.DUMMYFUNCTION("""COMPUTED_VALUE"""),"Left-back")</f>
        <v>Left-back</v>
      </c>
      <c r="E833" s="2">
        <f ca="1">IFERROR(__xludf.DUMMYFUNCTION("""COMPUTED_VALUE"""),875000)</f>
        <v>875000</v>
      </c>
      <c r="F833" s="2">
        <f ca="1">IFERROR(__xludf.DUMMYFUNCTION("""COMPUTED_VALUE"""),1032500)</f>
        <v>1032500</v>
      </c>
      <c r="H833" s="1" t="str">
        <f t="shared" ca="1" si="48"/>
        <v>Left-back</v>
      </c>
      <c r="I833" s="3" t="str">
        <f t="shared" ca="1" si="49"/>
        <v>D</v>
      </c>
      <c r="J833" s="1" t="str">
        <f t="shared" ca="1" si="50"/>
        <v>D</v>
      </c>
      <c r="K833" s="1" t="str">
        <f t="shared" ca="1" si="63"/>
        <v>D</v>
      </c>
      <c r="L833" s="1" t="str">
        <f t="shared" ca="1" si="51"/>
        <v>D</v>
      </c>
      <c r="M833" s="1" t="str">
        <f t="shared" ca="1" si="52"/>
        <v>D</v>
      </c>
      <c r="N833" s="1" t="str">
        <f t="shared" ca="1" si="53"/>
        <v>D</v>
      </c>
      <c r="O833" s="1" t="str">
        <f t="shared" ca="1" si="54"/>
        <v>D</v>
      </c>
      <c r="P833" s="1" t="str">
        <f t="shared" ca="1" si="55"/>
        <v>D</v>
      </c>
      <c r="Q833" s="1" t="str">
        <f t="shared" ca="1" si="56"/>
        <v>D</v>
      </c>
      <c r="R833" s="1" t="str">
        <f t="shared" ca="1" si="57"/>
        <v>D</v>
      </c>
      <c r="S833" s="1" t="str">
        <f t="shared" ca="1" si="58"/>
        <v>D</v>
      </c>
      <c r="T833" s="1" t="str">
        <f t="shared" ca="1" si="59"/>
        <v>D</v>
      </c>
      <c r="U833" s="1" t="str">
        <f t="shared" ca="1" si="60"/>
        <v>D</v>
      </c>
      <c r="V833" s="1" t="str">
        <f t="shared" ca="1" si="61"/>
        <v>D</v>
      </c>
      <c r="W833" s="1" t="str">
        <f t="shared" ca="1" si="62"/>
        <v>Kai Wagner</v>
      </c>
    </row>
    <row r="834" spans="1:23">
      <c r="A834" s="1" t="str">
        <f ca="1">IFERROR(__xludf.DUMMYFUNCTION("""COMPUTED_VALUE"""),"Casey")</f>
        <v>Casey</v>
      </c>
      <c r="B834" s="1" t="str">
        <f ca="1">IFERROR(__xludf.DUMMYFUNCTION("""COMPUTED_VALUE"""),"Walls")</f>
        <v>Walls</v>
      </c>
      <c r="C834" s="1" t="str">
        <f ca="1">IFERROR(__xludf.DUMMYFUNCTION("""COMPUTED_VALUE"""),"San Jose Earthquakes")</f>
        <v>San Jose Earthquakes</v>
      </c>
      <c r="D834" s="1" t="str">
        <f ca="1">IFERROR(__xludf.DUMMYFUNCTION("""COMPUTED_VALUE"""),"Center-back")</f>
        <v>Center-back</v>
      </c>
      <c r="E834" s="2">
        <f ca="1">IFERROR(__xludf.DUMMYFUNCTION("""COMPUTED_VALUE"""),200000)</f>
        <v>200000</v>
      </c>
      <c r="F834" s="2">
        <f ca="1">IFERROR(__xludf.DUMMYFUNCTION("""COMPUTED_VALUE"""),203000)</f>
        <v>203000</v>
      </c>
      <c r="H834" s="1" t="str">
        <f t="shared" ca="1" si="48"/>
        <v>D</v>
      </c>
      <c r="I834" s="3" t="str">
        <f t="shared" ca="1" si="49"/>
        <v>D</v>
      </c>
      <c r="J834" s="1" t="str">
        <f t="shared" ca="1" si="50"/>
        <v>D</v>
      </c>
      <c r="K834" s="1" t="str">
        <f t="shared" ca="1" si="63"/>
        <v>D</v>
      </c>
      <c r="L834" s="1" t="str">
        <f t="shared" ca="1" si="51"/>
        <v>D</v>
      </c>
      <c r="M834" s="1" t="str">
        <f t="shared" ca="1" si="52"/>
        <v>D</v>
      </c>
      <c r="N834" s="1" t="str">
        <f t="shared" ca="1" si="53"/>
        <v>D</v>
      </c>
      <c r="O834" s="1" t="str">
        <f t="shared" ca="1" si="54"/>
        <v>D</v>
      </c>
      <c r="P834" s="1" t="str">
        <f t="shared" ca="1" si="55"/>
        <v>D</v>
      </c>
      <c r="Q834" s="1" t="str">
        <f t="shared" ca="1" si="56"/>
        <v>D</v>
      </c>
      <c r="R834" s="1" t="str">
        <f t="shared" ca="1" si="57"/>
        <v>D</v>
      </c>
      <c r="S834" s="1" t="str">
        <f t="shared" ca="1" si="58"/>
        <v>D</v>
      </c>
      <c r="T834" s="1" t="str">
        <f t="shared" ca="1" si="59"/>
        <v>D</v>
      </c>
      <c r="U834" s="1" t="str">
        <f t="shared" ca="1" si="60"/>
        <v>D</v>
      </c>
      <c r="V834" s="1" t="str">
        <f t="shared" ca="1" si="61"/>
        <v>D</v>
      </c>
      <c r="W834" s="1" t="str">
        <f t="shared" ca="1" si="62"/>
        <v>Casey Walls</v>
      </c>
    </row>
    <row r="835" spans="1:23">
      <c r="A835" s="1" t="str">
        <f ca="1">IFERROR(__xludf.DUMMYFUNCTION("""COMPUTED_VALUE"""),"Rémi")</f>
        <v>Rémi</v>
      </c>
      <c r="B835" s="1" t="str">
        <f ca="1">IFERROR(__xludf.DUMMYFUNCTION("""COMPUTED_VALUE"""),"Walter")</f>
        <v>Walter</v>
      </c>
      <c r="C835" s="1" t="str">
        <f ca="1">IFERROR(__xludf.DUMMYFUNCTION("""COMPUTED_VALUE"""),"Sporting Kansas City")</f>
        <v>Sporting Kansas City</v>
      </c>
      <c r="D835" s="1" t="str">
        <f ca="1">IFERROR(__xludf.DUMMYFUNCTION("""COMPUTED_VALUE"""),"Central Midfield")</f>
        <v>Central Midfield</v>
      </c>
      <c r="E835" s="2">
        <f ca="1">IFERROR(__xludf.DUMMYFUNCTION("""COMPUTED_VALUE"""),900000)</f>
        <v>900000</v>
      </c>
      <c r="F835" s="2">
        <f ca="1">IFERROR(__xludf.DUMMYFUNCTION("""COMPUTED_VALUE"""),900000)</f>
        <v>900000</v>
      </c>
      <c r="H835" s="1" t="str">
        <f t="shared" ca="1" si="48"/>
        <v>Central Midfield</v>
      </c>
      <c r="I835" s="3" t="str">
        <f t="shared" ca="1" si="49"/>
        <v>Central Midfield</v>
      </c>
      <c r="J835" s="1" t="str">
        <f t="shared" ca="1" si="50"/>
        <v>Central Midfield</v>
      </c>
      <c r="K835" s="1" t="str">
        <f t="shared" ca="1" si="63"/>
        <v>Central Midfield</v>
      </c>
      <c r="L835" s="1" t="str">
        <f t="shared" ca="1" si="51"/>
        <v>M</v>
      </c>
      <c r="M835" s="1" t="str">
        <f t="shared" ca="1" si="52"/>
        <v>M</v>
      </c>
      <c r="N835" s="1" t="str">
        <f t="shared" ca="1" si="53"/>
        <v>M</v>
      </c>
      <c r="O835" s="1" t="str">
        <f t="shared" ca="1" si="54"/>
        <v>M</v>
      </c>
      <c r="P835" s="1" t="str">
        <f t="shared" ca="1" si="55"/>
        <v>M</v>
      </c>
      <c r="Q835" s="1" t="str">
        <f t="shared" ca="1" si="56"/>
        <v>M</v>
      </c>
      <c r="R835" s="1" t="str">
        <f t="shared" ca="1" si="57"/>
        <v>M</v>
      </c>
      <c r="S835" s="1" t="str">
        <f t="shared" ca="1" si="58"/>
        <v>M</v>
      </c>
      <c r="T835" s="1" t="str">
        <f t="shared" ca="1" si="59"/>
        <v>M</v>
      </c>
      <c r="U835" s="1" t="str">
        <f t="shared" ca="1" si="60"/>
        <v>M</v>
      </c>
      <c r="V835" s="1" t="str">
        <f t="shared" ca="1" si="61"/>
        <v>M</v>
      </c>
      <c r="W835" s="1" t="str">
        <f t="shared" ca="1" si="62"/>
        <v>Rémi Walter</v>
      </c>
    </row>
    <row r="836" spans="1:23">
      <c r="A836" s="1" t="str">
        <f ca="1">IFERROR(__xludf.DUMMYFUNCTION("""COMPUTED_VALUE"""),"Paul")</f>
        <v>Paul</v>
      </c>
      <c r="B836" s="1" t="str">
        <f ca="1">IFERROR(__xludf.DUMMYFUNCTION("""COMPUTED_VALUE"""),"Walters")</f>
        <v>Walters</v>
      </c>
      <c r="C836" s="1" t="str">
        <f ca="1">IFERROR(__xludf.DUMMYFUNCTION("""COMPUTED_VALUE"""),"FC Cincinnati")</f>
        <v>FC Cincinnati</v>
      </c>
      <c r="D836" s="1" t="str">
        <f ca="1">IFERROR(__xludf.DUMMYFUNCTION("""COMPUTED_VALUE"""),"Goalkeeper")</f>
        <v>Goalkeeper</v>
      </c>
      <c r="E836" s="2">
        <f ca="1">IFERROR(__xludf.DUMMYFUNCTION("""COMPUTED_VALUE"""),71401)</f>
        <v>71401</v>
      </c>
      <c r="F836" s="2">
        <f ca="1">IFERROR(__xludf.DUMMYFUNCTION("""COMPUTED_VALUE"""),79368)</f>
        <v>79368</v>
      </c>
      <c r="H836" s="1" t="str">
        <f t="shared" ca="1" si="48"/>
        <v>Goalkeeper</v>
      </c>
      <c r="I836" s="3" t="str">
        <f t="shared" ca="1" si="49"/>
        <v>Goalkeeper</v>
      </c>
      <c r="J836" s="1" t="str">
        <f t="shared" ca="1" si="50"/>
        <v>Goalkeeper</v>
      </c>
      <c r="K836" s="1" t="str">
        <f t="shared" ca="1" si="63"/>
        <v>Goalkeeper</v>
      </c>
      <c r="L836" s="1" t="str">
        <f t="shared" ca="1" si="51"/>
        <v>Goalkeeper</v>
      </c>
      <c r="M836" s="1" t="str">
        <f t="shared" ca="1" si="52"/>
        <v>Goalkeeper</v>
      </c>
      <c r="N836" s="1" t="str">
        <f t="shared" ca="1" si="53"/>
        <v>Goalkeeper</v>
      </c>
      <c r="O836" s="1" t="str">
        <f t="shared" ca="1" si="54"/>
        <v>Goalkeeper</v>
      </c>
      <c r="P836" s="1" t="str">
        <f t="shared" ca="1" si="55"/>
        <v>Goalkeeper</v>
      </c>
      <c r="Q836" s="1" t="str">
        <f t="shared" ca="1" si="56"/>
        <v>Goalkeeper</v>
      </c>
      <c r="R836" s="1" t="str">
        <f t="shared" ca="1" si="57"/>
        <v>GK</v>
      </c>
      <c r="S836" s="1" t="str">
        <f t="shared" ca="1" si="58"/>
        <v>GK</v>
      </c>
      <c r="T836" s="1" t="str">
        <f t="shared" ca="1" si="59"/>
        <v>GK</v>
      </c>
      <c r="U836" s="1" t="str">
        <f t="shared" ca="1" si="60"/>
        <v>GK</v>
      </c>
      <c r="V836" s="1" t="str">
        <f t="shared" ca="1" si="61"/>
        <v>GK</v>
      </c>
      <c r="W836" s="1" t="str">
        <f t="shared" ca="1" si="62"/>
        <v>Paul Walters</v>
      </c>
    </row>
    <row r="837" spans="1:23">
      <c r="A837" s="1" t="str">
        <f ca="1">IFERROR(__xludf.DUMMYFUNCTION("""COMPUTED_VALUE"""),"Victor")</f>
        <v>Victor</v>
      </c>
      <c r="B837" s="1" t="str">
        <f ca="1">IFERROR(__xludf.DUMMYFUNCTION("""COMPUTED_VALUE"""),"Wanyama")</f>
        <v>Wanyama</v>
      </c>
      <c r="C837" s="1" t="str">
        <f ca="1">IFERROR(__xludf.DUMMYFUNCTION("""COMPUTED_VALUE"""),"CF Montreal")</f>
        <v>CF Montreal</v>
      </c>
      <c r="D837" s="1" t="str">
        <f ca="1">IFERROR(__xludf.DUMMYFUNCTION("""COMPUTED_VALUE"""),"Defensive Midfield")</f>
        <v>Defensive Midfield</v>
      </c>
      <c r="E837" s="2">
        <f ca="1">IFERROR(__xludf.DUMMYFUNCTION("""COMPUTED_VALUE"""),1440000)</f>
        <v>1440000</v>
      </c>
      <c r="F837" s="2">
        <f ca="1">IFERROR(__xludf.DUMMYFUNCTION("""COMPUTED_VALUE"""),1800000)</f>
        <v>1800000</v>
      </c>
      <c r="H837" s="1" t="str">
        <f t="shared" ca="1" si="48"/>
        <v>Defensive Midfield</v>
      </c>
      <c r="I837" s="3" t="str">
        <f t="shared" ca="1" si="49"/>
        <v>Defensive Midfield</v>
      </c>
      <c r="J837" s="1" t="str">
        <f t="shared" ca="1" si="50"/>
        <v>Defensive Midfield</v>
      </c>
      <c r="K837" s="1" t="str">
        <f t="shared" ca="1" si="63"/>
        <v>M</v>
      </c>
      <c r="L837" s="1" t="str">
        <f t="shared" ca="1" si="51"/>
        <v>M</v>
      </c>
      <c r="M837" s="1" t="str">
        <f t="shared" ca="1" si="52"/>
        <v>M</v>
      </c>
      <c r="N837" s="1" t="str">
        <f t="shared" ca="1" si="53"/>
        <v>M</v>
      </c>
      <c r="O837" s="1" t="str">
        <f t="shared" ca="1" si="54"/>
        <v>M</v>
      </c>
      <c r="P837" s="1" t="str">
        <f t="shared" ca="1" si="55"/>
        <v>M</v>
      </c>
      <c r="Q837" s="1" t="str">
        <f t="shared" ca="1" si="56"/>
        <v>M</v>
      </c>
      <c r="R837" s="1" t="str">
        <f t="shared" ca="1" si="57"/>
        <v>M</v>
      </c>
      <c r="S837" s="1" t="str">
        <f t="shared" ca="1" si="58"/>
        <v>M</v>
      </c>
      <c r="T837" s="1" t="str">
        <f t="shared" ca="1" si="59"/>
        <v>M</v>
      </c>
      <c r="U837" s="1" t="str">
        <f t="shared" ca="1" si="60"/>
        <v>M</v>
      </c>
      <c r="V837" s="1" t="str">
        <f t="shared" ca="1" si="61"/>
        <v>M</v>
      </c>
      <c r="W837" s="1" t="str">
        <f t="shared" ca="1" si="62"/>
        <v>Victor Wanyama</v>
      </c>
    </row>
    <row r="838" spans="1:23">
      <c r="A838" s="1" t="str">
        <f ca="1">IFERROR(__xludf.DUMMYFUNCTION("""COMPUTED_VALUE"""),"Taylor")</f>
        <v>Taylor</v>
      </c>
      <c r="B838" s="1" t="str">
        <f ca="1">IFERROR(__xludf.DUMMYFUNCTION("""COMPUTED_VALUE"""),"Washington")</f>
        <v>Washington</v>
      </c>
      <c r="C838" s="1" t="str">
        <f ca="1">IFERROR(__xludf.DUMMYFUNCTION("""COMPUTED_VALUE"""),"Nashville SC")</f>
        <v>Nashville SC</v>
      </c>
      <c r="D838" s="1" t="str">
        <f ca="1">IFERROR(__xludf.DUMMYFUNCTION("""COMPUTED_VALUE"""),"Left-back")</f>
        <v>Left-back</v>
      </c>
      <c r="E838" s="2">
        <f ca="1">IFERROR(__xludf.DUMMYFUNCTION("""COMPUTED_VALUE"""),89716)</f>
        <v>89716</v>
      </c>
      <c r="F838" s="2">
        <f ca="1">IFERROR(__xludf.DUMMYFUNCTION("""COMPUTED_VALUE"""),89716)</f>
        <v>89716</v>
      </c>
      <c r="H838" s="1" t="str">
        <f t="shared" ca="1" si="48"/>
        <v>Left-back</v>
      </c>
      <c r="I838" s="3" t="str">
        <f t="shared" ca="1" si="49"/>
        <v>D</v>
      </c>
      <c r="J838" s="1" t="str">
        <f t="shared" ca="1" si="50"/>
        <v>D</v>
      </c>
      <c r="K838" s="1" t="str">
        <f t="shared" ca="1" si="63"/>
        <v>D</v>
      </c>
      <c r="L838" s="1" t="str">
        <f t="shared" ca="1" si="51"/>
        <v>D</v>
      </c>
      <c r="M838" s="1" t="str">
        <f t="shared" ca="1" si="52"/>
        <v>D</v>
      </c>
      <c r="N838" s="1" t="str">
        <f t="shared" ca="1" si="53"/>
        <v>D</v>
      </c>
      <c r="O838" s="1" t="str">
        <f t="shared" ca="1" si="54"/>
        <v>D</v>
      </c>
      <c r="P838" s="1" t="str">
        <f t="shared" ca="1" si="55"/>
        <v>D</v>
      </c>
      <c r="Q838" s="1" t="str">
        <f t="shared" ca="1" si="56"/>
        <v>D</v>
      </c>
      <c r="R838" s="1" t="str">
        <f t="shared" ca="1" si="57"/>
        <v>D</v>
      </c>
      <c r="S838" s="1" t="str">
        <f t="shared" ca="1" si="58"/>
        <v>D</v>
      </c>
      <c r="T838" s="1" t="str">
        <f t="shared" ca="1" si="59"/>
        <v>D</v>
      </c>
      <c r="U838" s="1" t="str">
        <f t="shared" ca="1" si="60"/>
        <v>D</v>
      </c>
      <c r="V838" s="1" t="str">
        <f t="shared" ca="1" si="61"/>
        <v>D</v>
      </c>
      <c r="W838" s="1" t="str">
        <f t="shared" ca="1" si="62"/>
        <v>Taylor Washington</v>
      </c>
    </row>
    <row r="839" spans="1:23">
      <c r="A839" s="1" t="str">
        <f ca="1">IFERROR(__xludf.DUMMYFUNCTION("""COMPUTED_VALUE"""),"Joel")</f>
        <v>Joel</v>
      </c>
      <c r="B839" s="1" t="str">
        <f ca="1">IFERROR(__xludf.DUMMYFUNCTION("""COMPUTED_VALUE"""),"Waterman")</f>
        <v>Waterman</v>
      </c>
      <c r="C839" s="1" t="str">
        <f ca="1">IFERROR(__xludf.DUMMYFUNCTION("""COMPUTED_VALUE"""),"CF Montreal")</f>
        <v>CF Montreal</v>
      </c>
      <c r="D839" s="1" t="str">
        <f ca="1">IFERROR(__xludf.DUMMYFUNCTION("""COMPUTED_VALUE"""),"Center-back")</f>
        <v>Center-back</v>
      </c>
      <c r="E839" s="2">
        <f ca="1">IFERROR(__xludf.DUMMYFUNCTION("""COMPUTED_VALUE"""),336000)</f>
        <v>336000</v>
      </c>
      <c r="F839" s="2">
        <f ca="1">IFERROR(__xludf.DUMMYFUNCTION("""COMPUTED_VALUE"""),384333)</f>
        <v>384333</v>
      </c>
      <c r="H839" s="1" t="str">
        <f t="shared" ca="1" si="48"/>
        <v>D</v>
      </c>
      <c r="I839" s="3" t="str">
        <f t="shared" ca="1" si="49"/>
        <v>D</v>
      </c>
      <c r="J839" s="1" t="str">
        <f t="shared" ca="1" si="50"/>
        <v>D</v>
      </c>
      <c r="K839" s="1" t="str">
        <f t="shared" ca="1" si="63"/>
        <v>D</v>
      </c>
      <c r="L839" s="1" t="str">
        <f t="shared" ca="1" si="51"/>
        <v>D</v>
      </c>
      <c r="M839" s="1" t="str">
        <f t="shared" ca="1" si="52"/>
        <v>D</v>
      </c>
      <c r="N839" s="1" t="str">
        <f t="shared" ca="1" si="53"/>
        <v>D</v>
      </c>
      <c r="O839" s="1" t="str">
        <f t="shared" ca="1" si="54"/>
        <v>D</v>
      </c>
      <c r="P839" s="1" t="str">
        <f t="shared" ca="1" si="55"/>
        <v>D</v>
      </c>
      <c r="Q839" s="1" t="str">
        <f t="shared" ca="1" si="56"/>
        <v>D</v>
      </c>
      <c r="R839" s="1" t="str">
        <f t="shared" ca="1" si="57"/>
        <v>D</v>
      </c>
      <c r="S839" s="1" t="str">
        <f t="shared" ca="1" si="58"/>
        <v>D</v>
      </c>
      <c r="T839" s="1" t="str">
        <f t="shared" ca="1" si="59"/>
        <v>D</v>
      </c>
      <c r="U839" s="1" t="str">
        <f t="shared" ca="1" si="60"/>
        <v>D</v>
      </c>
      <c r="V839" s="1" t="str">
        <f t="shared" ca="1" si="61"/>
        <v>D</v>
      </c>
      <c r="W839" s="1" t="str">
        <f t="shared" ca="1" si="62"/>
        <v>Joel Waterman</v>
      </c>
    </row>
    <row r="840" spans="1:23">
      <c r="A840" s="1" t="str">
        <f ca="1">IFERROR(__xludf.DUMMYFUNCTION("""COMPUTED_VALUE"""),"Akil")</f>
        <v>Akil</v>
      </c>
      <c r="B840" s="1" t="str">
        <f ca="1">IFERROR(__xludf.DUMMYFUNCTION("""COMPUTED_VALUE"""),"Watts")</f>
        <v>Watts</v>
      </c>
      <c r="C840" s="1" t="str">
        <f ca="1">IFERROR(__xludf.DUMMYFUNCTION("""COMPUTED_VALUE"""),"St. Louis City SC")</f>
        <v>St. Louis City SC</v>
      </c>
      <c r="D840" s="1" t="str">
        <f ca="1">IFERROR(__xludf.DUMMYFUNCTION("""COMPUTED_VALUE"""),"Right-back")</f>
        <v>Right-back</v>
      </c>
      <c r="E840" s="2">
        <f ca="1">IFERROR(__xludf.DUMMYFUNCTION("""COMPUTED_VALUE"""),74096)</f>
        <v>74096</v>
      </c>
      <c r="F840" s="2">
        <f ca="1">IFERROR(__xludf.DUMMYFUNCTION("""COMPUTED_VALUE"""),74096)</f>
        <v>74096</v>
      </c>
      <c r="H840" s="1" t="str">
        <f t="shared" ca="1" si="48"/>
        <v>Right-back</v>
      </c>
      <c r="I840" s="3" t="str">
        <f t="shared" ca="1" si="49"/>
        <v>Right-back</v>
      </c>
      <c r="J840" s="1" t="str">
        <f t="shared" ca="1" si="50"/>
        <v>D</v>
      </c>
      <c r="K840" s="1" t="str">
        <f t="shared" ca="1" si="63"/>
        <v>D</v>
      </c>
      <c r="L840" s="1" t="str">
        <f t="shared" ca="1" si="51"/>
        <v>D</v>
      </c>
      <c r="M840" s="1" t="str">
        <f t="shared" ca="1" si="52"/>
        <v>D</v>
      </c>
      <c r="N840" s="1" t="str">
        <f t="shared" ca="1" si="53"/>
        <v>D</v>
      </c>
      <c r="O840" s="1" t="str">
        <f t="shared" ca="1" si="54"/>
        <v>D</v>
      </c>
      <c r="P840" s="1" t="str">
        <f t="shared" ca="1" si="55"/>
        <v>D</v>
      </c>
      <c r="Q840" s="1" t="str">
        <f t="shared" ca="1" si="56"/>
        <v>D</v>
      </c>
      <c r="R840" s="1" t="str">
        <f t="shared" ca="1" si="57"/>
        <v>D</v>
      </c>
      <c r="S840" s="1" t="str">
        <f t="shared" ca="1" si="58"/>
        <v>D</v>
      </c>
      <c r="T840" s="1" t="str">
        <f t="shared" ca="1" si="59"/>
        <v>D</v>
      </c>
      <c r="U840" s="1" t="str">
        <f t="shared" ca="1" si="60"/>
        <v>D</v>
      </c>
      <c r="V840" s="1" t="str">
        <f t="shared" ca="1" si="61"/>
        <v>D</v>
      </c>
      <c r="W840" s="1" t="str">
        <f t="shared" ca="1" si="62"/>
        <v>Akil Watts</v>
      </c>
    </row>
    <row r="841" spans="1:23">
      <c r="A841" s="1" t="str">
        <f ca="1">IFERROR(__xludf.DUMMYFUNCTION("""COMPUTED_VALUE"""),"Patrick")</f>
        <v>Patrick</v>
      </c>
      <c r="B841" s="1" t="str">
        <f ca="1">IFERROR(__xludf.DUMMYFUNCTION("""COMPUTED_VALUE"""),"Weah")</f>
        <v>Weah</v>
      </c>
      <c r="C841" s="1" t="str">
        <f ca="1">IFERROR(__xludf.DUMMYFUNCTION("""COMPUTED_VALUE"""),"Minnesota United")</f>
        <v>Minnesota United</v>
      </c>
      <c r="D841" s="1" t="str">
        <f ca="1">IFERROR(__xludf.DUMMYFUNCTION("""COMPUTED_VALUE"""),"Center Forward")</f>
        <v>Center Forward</v>
      </c>
      <c r="E841" s="2">
        <f ca="1">IFERROR(__xludf.DUMMYFUNCTION("""COMPUTED_VALUE"""),89716)</f>
        <v>89716</v>
      </c>
      <c r="F841" s="2">
        <f ca="1">IFERROR(__xludf.DUMMYFUNCTION("""COMPUTED_VALUE"""),103008)</f>
        <v>103008</v>
      </c>
      <c r="H841" s="1" t="str">
        <f t="shared" ca="1" si="48"/>
        <v>Center Forward</v>
      </c>
      <c r="I841" s="3" t="str">
        <f t="shared" ca="1" si="49"/>
        <v>Center Forward</v>
      </c>
      <c r="J841" s="1" t="str">
        <f t="shared" ca="1" si="50"/>
        <v>Center Forward</v>
      </c>
      <c r="K841" s="1" t="str">
        <f t="shared" ca="1" si="63"/>
        <v>Center Forward</v>
      </c>
      <c r="L841" s="1" t="str">
        <f t="shared" ca="1" si="51"/>
        <v>Center Forward</v>
      </c>
      <c r="M841" s="1" t="str">
        <f t="shared" ca="1" si="52"/>
        <v>Center Forward</v>
      </c>
      <c r="N841" s="1" t="str">
        <f t="shared" ca="1" si="53"/>
        <v>Center Forward</v>
      </c>
      <c r="O841" s="1" t="str">
        <f t="shared" ca="1" si="54"/>
        <v>F</v>
      </c>
      <c r="P841" s="1" t="str">
        <f t="shared" ca="1" si="55"/>
        <v>F</v>
      </c>
      <c r="Q841" s="1" t="str">
        <f t="shared" ca="1" si="56"/>
        <v>F</v>
      </c>
      <c r="R841" s="1" t="str">
        <f t="shared" ca="1" si="57"/>
        <v>F</v>
      </c>
      <c r="S841" s="1" t="str">
        <f t="shared" ca="1" si="58"/>
        <v>F</v>
      </c>
      <c r="T841" s="1" t="str">
        <f t="shared" ca="1" si="59"/>
        <v>F</v>
      </c>
      <c r="U841" s="1" t="str">
        <f t="shared" ca="1" si="60"/>
        <v>F</v>
      </c>
      <c r="V841" s="1" t="str">
        <f t="shared" ca="1" si="61"/>
        <v>F</v>
      </c>
      <c r="W841" s="1" t="str">
        <f t="shared" ca="1" si="62"/>
        <v>Patrick Weah</v>
      </c>
    </row>
    <row r="842" spans="1:23">
      <c r="A842" s="1" t="str">
        <f ca="1">IFERROR(__xludf.DUMMYFUNCTION("""COMPUTED_VALUE"""),"Marcelo")</f>
        <v>Marcelo</v>
      </c>
      <c r="B842" s="1" t="str">
        <f ca="1">IFERROR(__xludf.DUMMYFUNCTION("""COMPUTED_VALUE"""),"Weigandt")</f>
        <v>Weigandt</v>
      </c>
      <c r="C842" s="1" t="str">
        <f ca="1">IFERROR(__xludf.DUMMYFUNCTION("""COMPUTED_VALUE"""),"Inter Miami")</f>
        <v>Inter Miami</v>
      </c>
      <c r="D842" s="1" t="str">
        <f ca="1">IFERROR(__xludf.DUMMYFUNCTION("""COMPUTED_VALUE"""),"Right-back")</f>
        <v>Right-back</v>
      </c>
      <c r="E842" s="2">
        <f ca="1">IFERROR(__xludf.DUMMYFUNCTION("""COMPUTED_VALUE"""),150000)</f>
        <v>150000</v>
      </c>
      <c r="F842" s="2">
        <f ca="1">IFERROR(__xludf.DUMMYFUNCTION("""COMPUTED_VALUE"""),384708)</f>
        <v>384708</v>
      </c>
      <c r="H842" s="1" t="str">
        <f t="shared" ca="1" si="48"/>
        <v>Right-back</v>
      </c>
      <c r="I842" s="3" t="str">
        <f t="shared" ca="1" si="49"/>
        <v>Right-back</v>
      </c>
      <c r="J842" s="1" t="str">
        <f t="shared" ca="1" si="50"/>
        <v>D</v>
      </c>
      <c r="K842" s="1" t="str">
        <f t="shared" ca="1" si="63"/>
        <v>D</v>
      </c>
      <c r="L842" s="1" t="str">
        <f t="shared" ca="1" si="51"/>
        <v>D</v>
      </c>
      <c r="M842" s="1" t="str">
        <f t="shared" ca="1" si="52"/>
        <v>D</v>
      </c>
      <c r="N842" s="1" t="str">
        <f t="shared" ca="1" si="53"/>
        <v>D</v>
      </c>
      <c r="O842" s="1" t="str">
        <f t="shared" ca="1" si="54"/>
        <v>D</v>
      </c>
      <c r="P842" s="1" t="str">
        <f t="shared" ca="1" si="55"/>
        <v>D</v>
      </c>
      <c r="Q842" s="1" t="str">
        <f t="shared" ca="1" si="56"/>
        <v>D</v>
      </c>
      <c r="R842" s="1" t="str">
        <f t="shared" ca="1" si="57"/>
        <v>D</v>
      </c>
      <c r="S842" s="1" t="str">
        <f t="shared" ca="1" si="58"/>
        <v>D</v>
      </c>
      <c r="T842" s="1" t="str">
        <f t="shared" ca="1" si="59"/>
        <v>D</v>
      </c>
      <c r="U842" s="1" t="str">
        <f t="shared" ca="1" si="60"/>
        <v>D</v>
      </c>
      <c r="V842" s="1" t="str">
        <f t="shared" ca="1" si="61"/>
        <v>D</v>
      </c>
      <c r="W842" s="1" t="str">
        <f t="shared" ca="1" si="62"/>
        <v>Marcelo Weigandt</v>
      </c>
    </row>
    <row r="843" spans="1:23">
      <c r="A843" s="1" t="str">
        <f ca="1">IFERROR(__xludf.DUMMYFUNCTION("""COMPUTED_VALUE"""),"Jude")</f>
        <v>Jude</v>
      </c>
      <c r="B843" s="1" t="str">
        <f ca="1">IFERROR(__xludf.DUMMYFUNCTION("""COMPUTED_VALUE"""),"Wellings")</f>
        <v>Wellings</v>
      </c>
      <c r="C843" s="1" t="str">
        <f ca="1">IFERROR(__xludf.DUMMYFUNCTION("""COMPUTED_VALUE"""),"Real Salt Lake")</f>
        <v>Real Salt Lake</v>
      </c>
      <c r="D843" s="1" t="str">
        <f ca="1">IFERROR(__xludf.DUMMYFUNCTION("""COMPUTED_VALUE"""),"Central Midfield")</f>
        <v>Central Midfield</v>
      </c>
      <c r="E843" s="2">
        <f ca="1">IFERROR(__xludf.DUMMYFUNCTION("""COMPUTED_VALUE"""),110000)</f>
        <v>110000</v>
      </c>
      <c r="F843" s="2">
        <f ca="1">IFERROR(__xludf.DUMMYFUNCTION("""COMPUTED_VALUE"""),130000)</f>
        <v>130000</v>
      </c>
      <c r="H843" s="1" t="str">
        <f t="shared" ca="1" si="48"/>
        <v>Central Midfield</v>
      </c>
      <c r="I843" s="3" t="str">
        <f t="shared" ca="1" si="49"/>
        <v>Central Midfield</v>
      </c>
      <c r="J843" s="1" t="str">
        <f t="shared" ca="1" si="50"/>
        <v>Central Midfield</v>
      </c>
      <c r="K843" s="1" t="str">
        <f t="shared" ca="1" si="63"/>
        <v>Central Midfield</v>
      </c>
      <c r="L843" s="1" t="str">
        <f t="shared" ca="1" si="51"/>
        <v>M</v>
      </c>
      <c r="M843" s="1" t="str">
        <f t="shared" ca="1" si="52"/>
        <v>M</v>
      </c>
      <c r="N843" s="1" t="str">
        <f t="shared" ca="1" si="53"/>
        <v>M</v>
      </c>
      <c r="O843" s="1" t="str">
        <f t="shared" ca="1" si="54"/>
        <v>M</v>
      </c>
      <c r="P843" s="1" t="str">
        <f t="shared" ca="1" si="55"/>
        <v>M</v>
      </c>
      <c r="Q843" s="1" t="str">
        <f t="shared" ca="1" si="56"/>
        <v>M</v>
      </c>
      <c r="R843" s="1" t="str">
        <f t="shared" ca="1" si="57"/>
        <v>M</v>
      </c>
      <c r="S843" s="1" t="str">
        <f t="shared" ca="1" si="58"/>
        <v>M</v>
      </c>
      <c r="T843" s="1" t="str">
        <f t="shared" ca="1" si="59"/>
        <v>M</v>
      </c>
      <c r="U843" s="1" t="str">
        <f t="shared" ca="1" si="60"/>
        <v>M</v>
      </c>
      <c r="V843" s="1" t="str">
        <f t="shared" ca="1" si="61"/>
        <v>M</v>
      </c>
      <c r="W843" s="1" t="str">
        <f t="shared" ca="1" si="62"/>
        <v>Jude Wellings</v>
      </c>
    </row>
    <row r="844" spans="1:23">
      <c r="A844" s="1" t="str">
        <f ca="1">IFERROR(__xludf.DUMMYFUNCTION("""COMPUTED_VALUE"""),"Quentin")</f>
        <v>Quentin</v>
      </c>
      <c r="B844" s="1" t="str">
        <f ca="1">IFERROR(__xludf.DUMMYFUNCTION("""COMPUTED_VALUE"""),"Westberg")</f>
        <v>Westberg</v>
      </c>
      <c r="C844" s="1" t="str">
        <f ca="1">IFERROR(__xludf.DUMMYFUNCTION("""COMPUTED_VALUE"""),"Atlanta United")</f>
        <v>Atlanta United</v>
      </c>
      <c r="D844" s="1" t="str">
        <f ca="1">IFERROR(__xludf.DUMMYFUNCTION("""COMPUTED_VALUE"""),"Goalkeeper")</f>
        <v>Goalkeeper</v>
      </c>
      <c r="E844" s="2">
        <f ca="1">IFERROR(__xludf.DUMMYFUNCTION("""COMPUTED_VALUE"""),89716)</f>
        <v>89716</v>
      </c>
      <c r="F844" s="2">
        <f ca="1">IFERROR(__xludf.DUMMYFUNCTION("""COMPUTED_VALUE"""),109716)</f>
        <v>109716</v>
      </c>
      <c r="H844" s="1" t="str">
        <f t="shared" ca="1" si="48"/>
        <v>Goalkeeper</v>
      </c>
      <c r="I844" s="3" t="str">
        <f t="shared" ca="1" si="49"/>
        <v>Goalkeeper</v>
      </c>
      <c r="J844" s="1" t="str">
        <f t="shared" ca="1" si="50"/>
        <v>Goalkeeper</v>
      </c>
      <c r="K844" s="1" t="str">
        <f t="shared" ca="1" si="63"/>
        <v>Goalkeeper</v>
      </c>
      <c r="L844" s="1" t="str">
        <f t="shared" ca="1" si="51"/>
        <v>Goalkeeper</v>
      </c>
      <c r="M844" s="1" t="str">
        <f t="shared" ca="1" si="52"/>
        <v>Goalkeeper</v>
      </c>
      <c r="N844" s="1" t="str">
        <f t="shared" ca="1" si="53"/>
        <v>Goalkeeper</v>
      </c>
      <c r="O844" s="1" t="str">
        <f t="shared" ca="1" si="54"/>
        <v>Goalkeeper</v>
      </c>
      <c r="P844" s="1" t="str">
        <f t="shared" ca="1" si="55"/>
        <v>Goalkeeper</v>
      </c>
      <c r="Q844" s="1" t="str">
        <f t="shared" ca="1" si="56"/>
        <v>Goalkeeper</v>
      </c>
      <c r="R844" s="1" t="str">
        <f t="shared" ca="1" si="57"/>
        <v>GK</v>
      </c>
      <c r="S844" s="1" t="str">
        <f t="shared" ca="1" si="58"/>
        <v>GK</v>
      </c>
      <c r="T844" s="1" t="str">
        <f t="shared" ca="1" si="59"/>
        <v>GK</v>
      </c>
      <c r="U844" s="1" t="str">
        <f t="shared" ca="1" si="60"/>
        <v>GK</v>
      </c>
      <c r="V844" s="1" t="str">
        <f t="shared" ca="1" si="61"/>
        <v>GK</v>
      </c>
      <c r="W844" s="1" t="str">
        <f t="shared" ca="1" si="62"/>
        <v>Quentin Westberg</v>
      </c>
    </row>
    <row r="845" spans="1:23">
      <c r="A845" s="1" t="str">
        <f ca="1">IFERROR(__xludf.DUMMYFUNCTION("""COMPUTED_VALUE"""),"Ashley")</f>
        <v>Ashley</v>
      </c>
      <c r="B845" s="1" t="str">
        <f ca="1">IFERROR(__xludf.DUMMYFUNCTION("""COMPUTED_VALUE"""),"Westwood")</f>
        <v>Westwood</v>
      </c>
      <c r="C845" s="1" t="str">
        <f ca="1">IFERROR(__xludf.DUMMYFUNCTION("""COMPUTED_VALUE"""),"Charlotte FC")</f>
        <v>Charlotte FC</v>
      </c>
      <c r="D845" s="1" t="str">
        <f ca="1">IFERROR(__xludf.DUMMYFUNCTION("""COMPUTED_VALUE"""),"Defensive Midfield")</f>
        <v>Defensive Midfield</v>
      </c>
      <c r="E845" s="2">
        <f ca="1">IFERROR(__xludf.DUMMYFUNCTION("""COMPUTED_VALUE"""),750000)</f>
        <v>750000</v>
      </c>
      <c r="F845" s="2">
        <f ca="1">IFERROR(__xludf.DUMMYFUNCTION("""COMPUTED_VALUE"""),850000)</f>
        <v>850000</v>
      </c>
      <c r="H845" s="1" t="str">
        <f t="shared" ca="1" si="48"/>
        <v>Defensive Midfield</v>
      </c>
      <c r="I845" s="3" t="str">
        <f t="shared" ca="1" si="49"/>
        <v>Defensive Midfield</v>
      </c>
      <c r="J845" s="1" t="str">
        <f t="shared" ca="1" si="50"/>
        <v>Defensive Midfield</v>
      </c>
      <c r="K845" s="1" t="str">
        <f t="shared" ca="1" si="63"/>
        <v>M</v>
      </c>
      <c r="L845" s="1" t="str">
        <f t="shared" ca="1" si="51"/>
        <v>M</v>
      </c>
      <c r="M845" s="1" t="str">
        <f t="shared" ca="1" si="52"/>
        <v>M</v>
      </c>
      <c r="N845" s="1" t="str">
        <f t="shared" ca="1" si="53"/>
        <v>M</v>
      </c>
      <c r="O845" s="1" t="str">
        <f t="shared" ca="1" si="54"/>
        <v>M</v>
      </c>
      <c r="P845" s="1" t="str">
        <f t="shared" ca="1" si="55"/>
        <v>M</v>
      </c>
      <c r="Q845" s="1" t="str">
        <f t="shared" ca="1" si="56"/>
        <v>M</v>
      </c>
      <c r="R845" s="1" t="str">
        <f t="shared" ca="1" si="57"/>
        <v>M</v>
      </c>
      <c r="S845" s="1" t="str">
        <f t="shared" ca="1" si="58"/>
        <v>M</v>
      </c>
      <c r="T845" s="1" t="str">
        <f t="shared" ca="1" si="59"/>
        <v>M</v>
      </c>
      <c r="U845" s="1" t="str">
        <f t="shared" ca="1" si="60"/>
        <v>M</v>
      </c>
      <c r="V845" s="1" t="str">
        <f t="shared" ca="1" si="61"/>
        <v>M</v>
      </c>
      <c r="W845" s="1" t="str">
        <f t="shared" ca="1" si="62"/>
        <v>Ashley Westwood</v>
      </c>
    </row>
    <row r="846" spans="1:23">
      <c r="A846" s="1" t="str">
        <f ca="1">IFERROR(__xludf.DUMMYFUNCTION("""COMPUTED_VALUE"""),"Brian")</f>
        <v>Brian</v>
      </c>
      <c r="B846" s="1" t="str">
        <f ca="1">IFERROR(__xludf.DUMMYFUNCTION("""COMPUTED_VALUE"""),"White")</f>
        <v>White</v>
      </c>
      <c r="C846" s="1" t="str">
        <f ca="1">IFERROR(__xludf.DUMMYFUNCTION("""COMPUTED_VALUE"""),"Vancouver Whitecaps")</f>
        <v>Vancouver Whitecaps</v>
      </c>
      <c r="D846" s="1" t="str">
        <f ca="1">IFERROR(__xludf.DUMMYFUNCTION("""COMPUTED_VALUE"""),"Center Forward")</f>
        <v>Center Forward</v>
      </c>
      <c r="E846" s="2">
        <f ca="1">IFERROR(__xludf.DUMMYFUNCTION("""COMPUTED_VALUE"""),754500)</f>
        <v>754500</v>
      </c>
      <c r="F846" s="2">
        <f ca="1">IFERROR(__xludf.DUMMYFUNCTION("""COMPUTED_VALUE"""),754500)</f>
        <v>754500</v>
      </c>
      <c r="H846" s="1" t="str">
        <f t="shared" ca="1" si="48"/>
        <v>Center Forward</v>
      </c>
      <c r="I846" s="3" t="str">
        <f t="shared" ca="1" si="49"/>
        <v>Center Forward</v>
      </c>
      <c r="J846" s="1" t="str">
        <f t="shared" ca="1" si="50"/>
        <v>Center Forward</v>
      </c>
      <c r="K846" s="1" t="str">
        <f t="shared" ca="1" si="63"/>
        <v>Center Forward</v>
      </c>
      <c r="L846" s="1" t="str">
        <f t="shared" ca="1" si="51"/>
        <v>Center Forward</v>
      </c>
      <c r="M846" s="1" t="str">
        <f t="shared" ca="1" si="52"/>
        <v>Center Forward</v>
      </c>
      <c r="N846" s="1" t="str">
        <f t="shared" ca="1" si="53"/>
        <v>Center Forward</v>
      </c>
      <c r="O846" s="1" t="str">
        <f t="shared" ca="1" si="54"/>
        <v>F</v>
      </c>
      <c r="P846" s="1" t="str">
        <f t="shared" ca="1" si="55"/>
        <v>F</v>
      </c>
      <c r="Q846" s="1" t="str">
        <f t="shared" ca="1" si="56"/>
        <v>F</v>
      </c>
      <c r="R846" s="1" t="str">
        <f t="shared" ca="1" si="57"/>
        <v>F</v>
      </c>
      <c r="S846" s="1" t="str">
        <f t="shared" ca="1" si="58"/>
        <v>F</v>
      </c>
      <c r="T846" s="1" t="str">
        <f t="shared" ca="1" si="59"/>
        <v>F</v>
      </c>
      <c r="U846" s="1" t="str">
        <f t="shared" ca="1" si="60"/>
        <v>F</v>
      </c>
      <c r="V846" s="1" t="str">
        <f t="shared" ca="1" si="61"/>
        <v>F</v>
      </c>
      <c r="W846" s="1" t="str">
        <f t="shared" ca="1" si="62"/>
        <v>Brian White</v>
      </c>
    </row>
    <row r="847" spans="1:23">
      <c r="A847" s="1" t="str">
        <f ca="1">IFERROR(__xludf.DUMMYFUNCTION("""COMPUTED_VALUE"""),"Caleb")</f>
        <v>Caleb</v>
      </c>
      <c r="B847" s="1" t="str">
        <f ca="1">IFERROR(__xludf.DUMMYFUNCTION("""COMPUTED_VALUE"""),"Wiley")</f>
        <v>Wiley</v>
      </c>
      <c r="C847" s="1" t="str">
        <f ca="1">IFERROR(__xludf.DUMMYFUNCTION("""COMPUTED_VALUE"""),"Atlanta United")</f>
        <v>Atlanta United</v>
      </c>
      <c r="D847" s="1" t="str">
        <f ca="1">IFERROR(__xludf.DUMMYFUNCTION("""COMPUTED_VALUE"""),"Left-back")</f>
        <v>Left-back</v>
      </c>
      <c r="E847" s="2">
        <f ca="1">IFERROR(__xludf.DUMMYFUNCTION("""COMPUTED_VALUE"""),150000)</f>
        <v>150000</v>
      </c>
      <c r="F847" s="2">
        <f ca="1">IFERROR(__xludf.DUMMYFUNCTION("""COMPUTED_VALUE"""),151600)</f>
        <v>151600</v>
      </c>
      <c r="H847" s="1" t="str">
        <f t="shared" ca="1" si="48"/>
        <v>Left-back</v>
      </c>
      <c r="I847" s="3" t="str">
        <f t="shared" ca="1" si="49"/>
        <v>D</v>
      </c>
      <c r="J847" s="1" t="str">
        <f t="shared" ca="1" si="50"/>
        <v>D</v>
      </c>
      <c r="K847" s="1" t="str">
        <f t="shared" ca="1" si="63"/>
        <v>D</v>
      </c>
      <c r="L847" s="1" t="str">
        <f t="shared" ca="1" si="51"/>
        <v>D</v>
      </c>
      <c r="M847" s="1" t="str">
        <f t="shared" ca="1" si="52"/>
        <v>D</v>
      </c>
      <c r="N847" s="1" t="str">
        <f t="shared" ca="1" si="53"/>
        <v>D</v>
      </c>
      <c r="O847" s="1" t="str">
        <f t="shared" ca="1" si="54"/>
        <v>D</v>
      </c>
      <c r="P847" s="1" t="str">
        <f t="shared" ca="1" si="55"/>
        <v>D</v>
      </c>
      <c r="Q847" s="1" t="str">
        <f t="shared" ca="1" si="56"/>
        <v>D</v>
      </c>
      <c r="R847" s="1" t="str">
        <f t="shared" ca="1" si="57"/>
        <v>D</v>
      </c>
      <c r="S847" s="1" t="str">
        <f t="shared" ca="1" si="58"/>
        <v>D</v>
      </c>
      <c r="T847" s="1" t="str">
        <f t="shared" ca="1" si="59"/>
        <v>D</v>
      </c>
      <c r="U847" s="1" t="str">
        <f t="shared" ca="1" si="60"/>
        <v>D</v>
      </c>
      <c r="V847" s="1" t="str">
        <f t="shared" ca="1" si="61"/>
        <v>D</v>
      </c>
      <c r="W847" s="1" t="str">
        <f t="shared" ca="1" si="62"/>
        <v>Caleb Wiley</v>
      </c>
    </row>
    <row r="848" spans="1:23">
      <c r="A848" s="1" t="str">
        <f ca="1">IFERROR(__xludf.DUMMYFUNCTION("""COMPUTED_VALUE"""),"Derrick")</f>
        <v>Derrick</v>
      </c>
      <c r="B848" s="1" t="str">
        <f ca="1">IFERROR(__xludf.DUMMYFUNCTION("""COMPUTED_VALUE"""),"Williams")</f>
        <v>Williams</v>
      </c>
      <c r="C848" s="1" t="str">
        <f ca="1">IFERROR(__xludf.DUMMYFUNCTION("""COMPUTED_VALUE"""),"Atlanta United")</f>
        <v>Atlanta United</v>
      </c>
      <c r="D848" s="1" t="str">
        <f ca="1">IFERROR(__xludf.DUMMYFUNCTION("""COMPUTED_VALUE"""),"Center-back")</f>
        <v>Center-back</v>
      </c>
      <c r="E848" s="2">
        <f ca="1">IFERROR(__xludf.DUMMYFUNCTION("""COMPUTED_VALUE"""),400000)</f>
        <v>400000</v>
      </c>
      <c r="F848" s="2">
        <f ca="1">IFERROR(__xludf.DUMMYFUNCTION("""COMPUTED_VALUE"""),447500)</f>
        <v>447500</v>
      </c>
      <c r="H848" s="1" t="str">
        <f t="shared" ca="1" si="48"/>
        <v>D</v>
      </c>
      <c r="I848" s="3" t="str">
        <f t="shared" ca="1" si="49"/>
        <v>D</v>
      </c>
      <c r="J848" s="1" t="str">
        <f t="shared" ca="1" si="50"/>
        <v>D</v>
      </c>
      <c r="K848" s="1" t="str">
        <f t="shared" ca="1" si="63"/>
        <v>D</v>
      </c>
      <c r="L848" s="1" t="str">
        <f t="shared" ca="1" si="51"/>
        <v>D</v>
      </c>
      <c r="M848" s="1" t="str">
        <f t="shared" ca="1" si="52"/>
        <v>D</v>
      </c>
      <c r="N848" s="1" t="str">
        <f t="shared" ca="1" si="53"/>
        <v>D</v>
      </c>
      <c r="O848" s="1" t="str">
        <f t="shared" ca="1" si="54"/>
        <v>D</v>
      </c>
      <c r="P848" s="1" t="str">
        <f t="shared" ca="1" si="55"/>
        <v>D</v>
      </c>
      <c r="Q848" s="1" t="str">
        <f t="shared" ca="1" si="56"/>
        <v>D</v>
      </c>
      <c r="R848" s="1" t="str">
        <f t="shared" ca="1" si="57"/>
        <v>D</v>
      </c>
      <c r="S848" s="1" t="str">
        <f t="shared" ca="1" si="58"/>
        <v>D</v>
      </c>
      <c r="T848" s="1" t="str">
        <f t="shared" ca="1" si="59"/>
        <v>D</v>
      </c>
      <c r="U848" s="1" t="str">
        <f t="shared" ca="1" si="60"/>
        <v>D</v>
      </c>
      <c r="V848" s="1" t="str">
        <f t="shared" ca="1" si="61"/>
        <v>D</v>
      </c>
      <c r="W848" s="1" t="str">
        <f t="shared" ca="1" si="62"/>
        <v>Derrick Williams</v>
      </c>
    </row>
    <row r="849" spans="1:23">
      <c r="A849" s="1" t="str">
        <f ca="1">IFERROR(__xludf.DUMMYFUNCTION("""COMPUTED_VALUE"""),"Thomas")</f>
        <v>Thomas</v>
      </c>
      <c r="B849" s="1" t="str">
        <f ca="1">IFERROR(__xludf.DUMMYFUNCTION("""COMPUTED_VALUE"""),"Williams")</f>
        <v>Williams</v>
      </c>
      <c r="C849" s="1" t="str">
        <f ca="1">IFERROR(__xludf.DUMMYFUNCTION("""COMPUTED_VALUE"""),"Orlando City SC")</f>
        <v>Orlando City SC</v>
      </c>
      <c r="D849" s="1" t="str">
        <f ca="1">IFERROR(__xludf.DUMMYFUNCTION("""COMPUTED_VALUE"""),"Center-back")</f>
        <v>Center-back</v>
      </c>
      <c r="E849" s="2">
        <f ca="1">IFERROR(__xludf.DUMMYFUNCTION("""COMPUTED_VALUE"""),120000)</f>
        <v>120000</v>
      </c>
      <c r="F849" s="2">
        <f ca="1">IFERROR(__xludf.DUMMYFUNCTION("""COMPUTED_VALUE"""),126530)</f>
        <v>126530</v>
      </c>
      <c r="H849" s="1" t="str">
        <f t="shared" ca="1" si="48"/>
        <v>D</v>
      </c>
      <c r="I849" s="3" t="str">
        <f t="shared" ca="1" si="49"/>
        <v>D</v>
      </c>
      <c r="J849" s="1" t="str">
        <f t="shared" ca="1" si="50"/>
        <v>D</v>
      </c>
      <c r="K849" s="1" t="str">
        <f t="shared" ca="1" si="63"/>
        <v>D</v>
      </c>
      <c r="L849" s="1" t="str">
        <f t="shared" ca="1" si="51"/>
        <v>D</v>
      </c>
      <c r="M849" s="1" t="str">
        <f t="shared" ca="1" si="52"/>
        <v>D</v>
      </c>
      <c r="N849" s="1" t="str">
        <f t="shared" ca="1" si="53"/>
        <v>D</v>
      </c>
      <c r="O849" s="1" t="str">
        <f t="shared" ca="1" si="54"/>
        <v>D</v>
      </c>
      <c r="P849" s="1" t="str">
        <f t="shared" ca="1" si="55"/>
        <v>D</v>
      </c>
      <c r="Q849" s="1" t="str">
        <f t="shared" ca="1" si="56"/>
        <v>D</v>
      </c>
      <c r="R849" s="1" t="str">
        <f t="shared" ca="1" si="57"/>
        <v>D</v>
      </c>
      <c r="S849" s="1" t="str">
        <f t="shared" ca="1" si="58"/>
        <v>D</v>
      </c>
      <c r="T849" s="1" t="str">
        <f t="shared" ca="1" si="59"/>
        <v>D</v>
      </c>
      <c r="U849" s="1" t="str">
        <f t="shared" ca="1" si="60"/>
        <v>D</v>
      </c>
      <c r="V849" s="1" t="str">
        <f t="shared" ca="1" si="61"/>
        <v>D</v>
      </c>
      <c r="W849" s="1" t="str">
        <f t="shared" ca="1" si="62"/>
        <v>Thomas Williams</v>
      </c>
    </row>
    <row r="850" spans="1:23">
      <c r="A850" s="1" t="str">
        <f ca="1">IFERROR(__xludf.DUMMYFUNCTION("""COMPUTED_VALUE"""),"Eryk")</f>
        <v>Eryk</v>
      </c>
      <c r="B850" s="1" t="str">
        <f ca="1">IFERROR(__xludf.DUMMYFUNCTION("""COMPUTED_VALUE"""),"Williamson")</f>
        <v>Williamson</v>
      </c>
      <c r="C850" s="1" t="str">
        <f ca="1">IFERROR(__xludf.DUMMYFUNCTION("""COMPUTED_VALUE"""),"Portland Timbers")</f>
        <v>Portland Timbers</v>
      </c>
      <c r="D850" s="1" t="str">
        <f ca="1">IFERROR(__xludf.DUMMYFUNCTION("""COMPUTED_VALUE"""),"Central Midfield")</f>
        <v>Central Midfield</v>
      </c>
      <c r="E850" s="2">
        <f ca="1">IFERROR(__xludf.DUMMYFUNCTION("""COMPUTED_VALUE"""),675000)</f>
        <v>675000</v>
      </c>
      <c r="F850" s="2">
        <f ca="1">IFERROR(__xludf.DUMMYFUNCTION("""COMPUTED_VALUE"""),675000)</f>
        <v>675000</v>
      </c>
      <c r="H850" s="1" t="str">
        <f t="shared" ca="1" si="48"/>
        <v>Central Midfield</v>
      </c>
      <c r="I850" s="3" t="str">
        <f t="shared" ca="1" si="49"/>
        <v>Central Midfield</v>
      </c>
      <c r="J850" s="1" t="str">
        <f t="shared" ca="1" si="50"/>
        <v>Central Midfield</v>
      </c>
      <c r="K850" s="1" t="str">
        <f t="shared" ca="1" si="63"/>
        <v>Central Midfield</v>
      </c>
      <c r="L850" s="1" t="str">
        <f t="shared" ca="1" si="51"/>
        <v>M</v>
      </c>
      <c r="M850" s="1" t="str">
        <f t="shared" ca="1" si="52"/>
        <v>M</v>
      </c>
      <c r="N850" s="1" t="str">
        <f t="shared" ca="1" si="53"/>
        <v>M</v>
      </c>
      <c r="O850" s="1" t="str">
        <f t="shared" ca="1" si="54"/>
        <v>M</v>
      </c>
      <c r="P850" s="1" t="str">
        <f t="shared" ca="1" si="55"/>
        <v>M</v>
      </c>
      <c r="Q850" s="1" t="str">
        <f t="shared" ca="1" si="56"/>
        <v>M</v>
      </c>
      <c r="R850" s="1" t="str">
        <f t="shared" ca="1" si="57"/>
        <v>M</v>
      </c>
      <c r="S850" s="1" t="str">
        <f t="shared" ca="1" si="58"/>
        <v>M</v>
      </c>
      <c r="T850" s="1" t="str">
        <f t="shared" ca="1" si="59"/>
        <v>M</v>
      </c>
      <c r="U850" s="1" t="str">
        <f t="shared" ca="1" si="60"/>
        <v>M</v>
      </c>
      <c r="V850" s="1" t="str">
        <f t="shared" ca="1" si="61"/>
        <v>M</v>
      </c>
      <c r="W850" s="1" t="str">
        <f t="shared" ca="1" si="62"/>
        <v>Eryk Williamson</v>
      </c>
    </row>
    <row r="851" spans="1:23">
      <c r="A851" s="1" t="str">
        <f ca="1">IFERROR(__xludf.DUMMYFUNCTION("""COMPUTED_VALUE"""),"Joe")</f>
        <v>Joe</v>
      </c>
      <c r="B851" s="1" t="str">
        <f ca="1">IFERROR(__xludf.DUMMYFUNCTION("""COMPUTED_VALUE"""),"Willis")</f>
        <v>Willis</v>
      </c>
      <c r="C851" s="1" t="str">
        <f ca="1">IFERROR(__xludf.DUMMYFUNCTION("""COMPUTED_VALUE"""),"Nashville SC")</f>
        <v>Nashville SC</v>
      </c>
      <c r="D851" s="1" t="str">
        <f ca="1">IFERROR(__xludf.DUMMYFUNCTION("""COMPUTED_VALUE"""),"Goalkeeper")</f>
        <v>Goalkeeper</v>
      </c>
      <c r="E851" s="2">
        <f ca="1">IFERROR(__xludf.DUMMYFUNCTION("""COMPUTED_VALUE"""),600000)</f>
        <v>600000</v>
      </c>
      <c r="F851" s="2">
        <f ca="1">IFERROR(__xludf.DUMMYFUNCTION("""COMPUTED_VALUE"""),658333)</f>
        <v>658333</v>
      </c>
      <c r="H851" s="1" t="str">
        <f t="shared" ca="1" si="48"/>
        <v>Goalkeeper</v>
      </c>
      <c r="I851" s="3" t="str">
        <f t="shared" ca="1" si="49"/>
        <v>Goalkeeper</v>
      </c>
      <c r="J851" s="1" t="str">
        <f t="shared" ca="1" si="50"/>
        <v>Goalkeeper</v>
      </c>
      <c r="K851" s="1" t="str">
        <f t="shared" ca="1" si="63"/>
        <v>Goalkeeper</v>
      </c>
      <c r="L851" s="1" t="str">
        <f t="shared" ca="1" si="51"/>
        <v>Goalkeeper</v>
      </c>
      <c r="M851" s="1" t="str">
        <f t="shared" ca="1" si="52"/>
        <v>Goalkeeper</v>
      </c>
      <c r="N851" s="1" t="str">
        <f t="shared" ca="1" si="53"/>
        <v>Goalkeeper</v>
      </c>
      <c r="O851" s="1" t="str">
        <f t="shared" ca="1" si="54"/>
        <v>Goalkeeper</v>
      </c>
      <c r="P851" s="1" t="str">
        <f t="shared" ca="1" si="55"/>
        <v>Goalkeeper</v>
      </c>
      <c r="Q851" s="1" t="str">
        <f t="shared" ca="1" si="56"/>
        <v>Goalkeeper</v>
      </c>
      <c r="R851" s="1" t="str">
        <f t="shared" ca="1" si="57"/>
        <v>GK</v>
      </c>
      <c r="S851" s="1" t="str">
        <f t="shared" ca="1" si="58"/>
        <v>GK</v>
      </c>
      <c r="T851" s="1" t="str">
        <f t="shared" ca="1" si="59"/>
        <v>GK</v>
      </c>
      <c r="U851" s="1" t="str">
        <f t="shared" ca="1" si="60"/>
        <v>GK</v>
      </c>
      <c r="V851" s="1" t="str">
        <f t="shared" ca="1" si="61"/>
        <v>GK</v>
      </c>
      <c r="W851" s="1" t="str">
        <f t="shared" ca="1" si="62"/>
        <v>Joe Willis</v>
      </c>
    </row>
    <row r="852" spans="1:23">
      <c r="A852" s="1" t="str">
        <f ca="1">IFERROR(__xludf.DUMMYFUNCTION("""COMPUTED_VALUE"""),"Bruno")</f>
        <v>Bruno</v>
      </c>
      <c r="B852" s="1" t="str">
        <f ca="1">IFERROR(__xludf.DUMMYFUNCTION("""COMPUTED_VALUE"""),"Wilson")</f>
        <v>Wilson</v>
      </c>
      <c r="C852" s="1" t="str">
        <f ca="1">IFERROR(__xludf.DUMMYFUNCTION("""COMPUTED_VALUE"""),"San Jose Earthquakes")</f>
        <v>San Jose Earthquakes</v>
      </c>
      <c r="D852" s="1" t="str">
        <f ca="1">IFERROR(__xludf.DUMMYFUNCTION("""COMPUTED_VALUE"""),"Center-back")</f>
        <v>Center-back</v>
      </c>
      <c r="E852" s="2">
        <f ca="1">IFERROR(__xludf.DUMMYFUNCTION("""COMPUTED_VALUE"""),1000000)</f>
        <v>1000000</v>
      </c>
      <c r="F852" s="2">
        <f ca="1">IFERROR(__xludf.DUMMYFUNCTION("""COMPUTED_VALUE"""),1118333)</f>
        <v>1118333</v>
      </c>
      <c r="H852" s="1" t="str">
        <f t="shared" ca="1" si="48"/>
        <v>D</v>
      </c>
      <c r="I852" s="3" t="str">
        <f t="shared" ca="1" si="49"/>
        <v>D</v>
      </c>
      <c r="J852" s="1" t="str">
        <f t="shared" ca="1" si="50"/>
        <v>D</v>
      </c>
      <c r="K852" s="1" t="str">
        <f t="shared" ca="1" si="63"/>
        <v>D</v>
      </c>
      <c r="L852" s="1" t="str">
        <f t="shared" ca="1" si="51"/>
        <v>D</v>
      </c>
      <c r="M852" s="1" t="str">
        <f t="shared" ca="1" si="52"/>
        <v>D</v>
      </c>
      <c r="N852" s="1" t="str">
        <f t="shared" ca="1" si="53"/>
        <v>D</v>
      </c>
      <c r="O852" s="1" t="str">
        <f t="shared" ca="1" si="54"/>
        <v>D</v>
      </c>
      <c r="P852" s="1" t="str">
        <f t="shared" ca="1" si="55"/>
        <v>D</v>
      </c>
      <c r="Q852" s="1" t="str">
        <f t="shared" ca="1" si="56"/>
        <v>D</v>
      </c>
      <c r="R852" s="1" t="str">
        <f t="shared" ca="1" si="57"/>
        <v>D</v>
      </c>
      <c r="S852" s="1" t="str">
        <f t="shared" ca="1" si="58"/>
        <v>D</v>
      </c>
      <c r="T852" s="1" t="str">
        <f t="shared" ca="1" si="59"/>
        <v>D</v>
      </c>
      <c r="U852" s="1" t="str">
        <f t="shared" ca="1" si="60"/>
        <v>D</v>
      </c>
      <c r="V852" s="1" t="str">
        <f t="shared" ca="1" si="61"/>
        <v>D</v>
      </c>
      <c r="W852" s="1" t="str">
        <f t="shared" ca="1" si="62"/>
        <v>Bruno Wilson</v>
      </c>
    </row>
    <row r="853" spans="1:23">
      <c r="A853" s="1" t="str">
        <f ca="1">IFERROR(__xludf.DUMMYFUNCTION("""COMPUTED_VALUE"""),"Hannes")</f>
        <v>Hannes</v>
      </c>
      <c r="B853" s="1" t="str">
        <f ca="1">IFERROR(__xludf.DUMMYFUNCTION("""COMPUTED_VALUE"""),"Wolf")</f>
        <v>Wolf</v>
      </c>
      <c r="C853" s="1" t="str">
        <f ca="1">IFERROR(__xludf.DUMMYFUNCTION("""COMPUTED_VALUE"""),"New York City FC")</f>
        <v>New York City FC</v>
      </c>
      <c r="D853" s="1" t="str">
        <f ca="1">IFERROR(__xludf.DUMMYFUNCTION("""COMPUTED_VALUE"""),"Left Wing")</f>
        <v>Left Wing</v>
      </c>
      <c r="E853" s="2">
        <f ca="1">IFERROR(__xludf.DUMMYFUNCTION("""COMPUTED_VALUE"""),1400000)</f>
        <v>1400000</v>
      </c>
      <c r="F853" s="2">
        <f ca="1">IFERROR(__xludf.DUMMYFUNCTION("""COMPUTED_VALUE"""),1510000)</f>
        <v>1510000</v>
      </c>
      <c r="H853" s="1" t="str">
        <f t="shared" ca="1" si="48"/>
        <v>Left Wing</v>
      </c>
      <c r="I853" s="3" t="str">
        <f t="shared" ca="1" si="49"/>
        <v>Left Wing</v>
      </c>
      <c r="J853" s="1" t="str">
        <f t="shared" ca="1" si="50"/>
        <v>Left Wing</v>
      </c>
      <c r="K853" s="1" t="str">
        <f t="shared" ca="1" si="63"/>
        <v>Left Wing</v>
      </c>
      <c r="L853" s="1" t="str">
        <f t="shared" ca="1" si="51"/>
        <v>Left Wing</v>
      </c>
      <c r="M853" s="1" t="str">
        <f t="shared" ca="1" si="52"/>
        <v>Left Wing</v>
      </c>
      <c r="N853" s="1" t="str">
        <f t="shared" ca="1" si="53"/>
        <v>Left Wing</v>
      </c>
      <c r="O853" s="1" t="str">
        <f t="shared" ca="1" si="54"/>
        <v>Left Wing</v>
      </c>
      <c r="P853" s="1" t="str">
        <f t="shared" ca="1" si="55"/>
        <v>F</v>
      </c>
      <c r="Q853" s="1" t="str">
        <f t="shared" ca="1" si="56"/>
        <v>F</v>
      </c>
      <c r="R853" s="1" t="str">
        <f t="shared" ca="1" si="57"/>
        <v>F</v>
      </c>
      <c r="S853" s="1" t="str">
        <f t="shared" ca="1" si="58"/>
        <v>F</v>
      </c>
      <c r="T853" s="1" t="str">
        <f t="shared" ca="1" si="59"/>
        <v>F</v>
      </c>
      <c r="U853" s="1" t="str">
        <f t="shared" ca="1" si="60"/>
        <v>F</v>
      </c>
      <c r="V853" s="1" t="str">
        <f t="shared" ca="1" si="61"/>
        <v>F</v>
      </c>
      <c r="W853" s="1" t="str">
        <f t="shared" ca="1" si="62"/>
        <v>Hannes Wolf</v>
      </c>
    </row>
    <row r="854" spans="1:23">
      <c r="A854" s="1" t="str">
        <f ca="1">IFERROR(__xludf.DUMMYFUNCTION("""COMPUTED_VALUE"""),"Tyler")</f>
        <v>Tyler</v>
      </c>
      <c r="B854" s="1" t="str">
        <f ca="1">IFERROR(__xludf.DUMMYFUNCTION("""COMPUTED_VALUE"""),"Wolff")</f>
        <v>Wolff</v>
      </c>
      <c r="C854" s="1" t="str">
        <f ca="1">IFERROR(__xludf.DUMMYFUNCTION("""COMPUTED_VALUE"""),"Atlanta United")</f>
        <v>Atlanta United</v>
      </c>
      <c r="D854" s="1" t="str">
        <f ca="1">IFERROR(__xludf.DUMMYFUNCTION("""COMPUTED_VALUE"""),"Right Wing")</f>
        <v>Right Wing</v>
      </c>
      <c r="E854" s="2">
        <f ca="1">IFERROR(__xludf.DUMMYFUNCTION("""COMPUTED_VALUE"""),150000)</f>
        <v>150000</v>
      </c>
      <c r="F854" s="2">
        <f ca="1">IFERROR(__xludf.DUMMYFUNCTION("""COMPUTED_VALUE"""),154500)</f>
        <v>154500</v>
      </c>
      <c r="H854" s="1" t="str">
        <f t="shared" ca="1" si="48"/>
        <v>Right Wing</v>
      </c>
      <c r="I854" s="3" t="str">
        <f t="shared" ca="1" si="49"/>
        <v>Right Wing</v>
      </c>
      <c r="J854" s="1" t="str">
        <f t="shared" ca="1" si="50"/>
        <v>Right Wing</v>
      </c>
      <c r="K854" s="1" t="str">
        <f t="shared" ca="1" si="63"/>
        <v>Right Wing</v>
      </c>
      <c r="L854" s="1" t="str">
        <f t="shared" ca="1" si="51"/>
        <v>Right Wing</v>
      </c>
      <c r="M854" s="1" t="str">
        <f t="shared" ca="1" si="52"/>
        <v>Right Wing</v>
      </c>
      <c r="N854" s="1" t="str">
        <f t="shared" ca="1" si="53"/>
        <v>F</v>
      </c>
      <c r="O854" s="1" t="str">
        <f t="shared" ca="1" si="54"/>
        <v>F</v>
      </c>
      <c r="P854" s="1" t="str">
        <f t="shared" ca="1" si="55"/>
        <v>F</v>
      </c>
      <c r="Q854" s="1" t="str">
        <f t="shared" ca="1" si="56"/>
        <v>F</v>
      </c>
      <c r="R854" s="1" t="str">
        <f t="shared" ca="1" si="57"/>
        <v>F</v>
      </c>
      <c r="S854" s="1" t="str">
        <f t="shared" ca="1" si="58"/>
        <v>F</v>
      </c>
      <c r="T854" s="1" t="str">
        <f t="shared" ca="1" si="59"/>
        <v>F</v>
      </c>
      <c r="U854" s="1" t="str">
        <f t="shared" ca="1" si="60"/>
        <v>F</v>
      </c>
      <c r="V854" s="1" t="str">
        <f t="shared" ca="1" si="61"/>
        <v>F</v>
      </c>
      <c r="W854" s="1" t="str">
        <f t="shared" ca="1" si="62"/>
        <v>Tyler Wolff</v>
      </c>
    </row>
    <row r="855" spans="1:23">
      <c r="A855" s="1" t="str">
        <f ca="1">IFERROR(__xludf.DUMMYFUNCTION("""COMPUTED_VALUE"""),"Owen")</f>
        <v>Owen</v>
      </c>
      <c r="B855" s="1" t="str">
        <f ca="1">IFERROR(__xludf.DUMMYFUNCTION("""COMPUTED_VALUE"""),"Wolff")</f>
        <v>Wolff</v>
      </c>
      <c r="C855" s="1" t="str">
        <f ca="1">IFERROR(__xludf.DUMMYFUNCTION("""COMPUTED_VALUE"""),"Austin FC")</f>
        <v>Austin FC</v>
      </c>
      <c r="D855" s="1" t="str">
        <f ca="1">IFERROR(__xludf.DUMMYFUNCTION("""COMPUTED_VALUE"""),"Central Midfield")</f>
        <v>Central Midfield</v>
      </c>
      <c r="E855" s="2">
        <f ca="1">IFERROR(__xludf.DUMMYFUNCTION("""COMPUTED_VALUE"""),110000)</f>
        <v>110000</v>
      </c>
      <c r="F855" s="2">
        <f ca="1">IFERROR(__xludf.DUMMYFUNCTION("""COMPUTED_VALUE"""),123053)</f>
        <v>123053</v>
      </c>
      <c r="H855" s="1" t="str">
        <f t="shared" ca="1" si="48"/>
        <v>Central Midfield</v>
      </c>
      <c r="I855" s="3" t="str">
        <f t="shared" ca="1" si="49"/>
        <v>Central Midfield</v>
      </c>
      <c r="J855" s="1" t="str">
        <f t="shared" ca="1" si="50"/>
        <v>Central Midfield</v>
      </c>
      <c r="K855" s="1" t="str">
        <f t="shared" ca="1" si="63"/>
        <v>Central Midfield</v>
      </c>
      <c r="L855" s="1" t="str">
        <f t="shared" ca="1" si="51"/>
        <v>M</v>
      </c>
      <c r="M855" s="1" t="str">
        <f t="shared" ca="1" si="52"/>
        <v>M</v>
      </c>
      <c r="N855" s="1" t="str">
        <f t="shared" ca="1" si="53"/>
        <v>M</v>
      </c>
      <c r="O855" s="1" t="str">
        <f t="shared" ca="1" si="54"/>
        <v>M</v>
      </c>
      <c r="P855" s="1" t="str">
        <f t="shared" ca="1" si="55"/>
        <v>M</v>
      </c>
      <c r="Q855" s="1" t="str">
        <f t="shared" ca="1" si="56"/>
        <v>M</v>
      </c>
      <c r="R855" s="1" t="str">
        <f t="shared" ca="1" si="57"/>
        <v>M</v>
      </c>
      <c r="S855" s="1" t="str">
        <f t="shared" ca="1" si="58"/>
        <v>M</v>
      </c>
      <c r="T855" s="1" t="str">
        <f t="shared" ca="1" si="59"/>
        <v>M</v>
      </c>
      <c r="U855" s="1" t="str">
        <f t="shared" ca="1" si="60"/>
        <v>M</v>
      </c>
      <c r="V855" s="1" t="str">
        <f t="shared" ca="1" si="61"/>
        <v>M</v>
      </c>
      <c r="W855" s="1" t="str">
        <f t="shared" ca="1" si="62"/>
        <v>Owen Wolff</v>
      </c>
    </row>
    <row r="856" spans="1:23">
      <c r="A856" s="1" t="str">
        <f ca="1">IFERROR(__xludf.DUMMYFUNCTION("""COMPUTED_VALUE"""),"Bobby")</f>
        <v>Bobby</v>
      </c>
      <c r="B856" s="1" t="str">
        <f ca="1">IFERROR(__xludf.DUMMYFUNCTION("""COMPUTED_VALUE"""),"Wood")</f>
        <v>Wood</v>
      </c>
      <c r="C856" s="1" t="str">
        <f ca="1">IFERROR(__xludf.DUMMYFUNCTION("""COMPUTED_VALUE"""),"New England Revolution")</f>
        <v>New England Revolution</v>
      </c>
      <c r="D856" s="1" t="str">
        <f ca="1">IFERROR(__xludf.DUMMYFUNCTION("""COMPUTED_VALUE"""),"Center Forward")</f>
        <v>Center Forward</v>
      </c>
      <c r="E856" s="2">
        <f ca="1">IFERROR(__xludf.DUMMYFUNCTION("""COMPUTED_VALUE"""),450000)</f>
        <v>450000</v>
      </c>
      <c r="F856" s="2">
        <f ca="1">IFERROR(__xludf.DUMMYFUNCTION("""COMPUTED_VALUE"""),471250)</f>
        <v>471250</v>
      </c>
      <c r="H856" s="1" t="str">
        <f t="shared" ca="1" si="48"/>
        <v>Center Forward</v>
      </c>
      <c r="I856" s="3" t="str">
        <f t="shared" ca="1" si="49"/>
        <v>Center Forward</v>
      </c>
      <c r="J856" s="1" t="str">
        <f t="shared" ca="1" si="50"/>
        <v>Center Forward</v>
      </c>
      <c r="K856" s="1" t="str">
        <f t="shared" ca="1" si="63"/>
        <v>Center Forward</v>
      </c>
      <c r="L856" s="1" t="str">
        <f t="shared" ca="1" si="51"/>
        <v>Center Forward</v>
      </c>
      <c r="M856" s="1" t="str">
        <f t="shared" ca="1" si="52"/>
        <v>Center Forward</v>
      </c>
      <c r="N856" s="1" t="str">
        <f t="shared" ca="1" si="53"/>
        <v>Center Forward</v>
      </c>
      <c r="O856" s="1" t="str">
        <f t="shared" ca="1" si="54"/>
        <v>F</v>
      </c>
      <c r="P856" s="1" t="str">
        <f t="shared" ca="1" si="55"/>
        <v>F</v>
      </c>
      <c r="Q856" s="1" t="str">
        <f t="shared" ca="1" si="56"/>
        <v>F</v>
      </c>
      <c r="R856" s="1" t="str">
        <f t="shared" ca="1" si="57"/>
        <v>F</v>
      </c>
      <c r="S856" s="1" t="str">
        <f t="shared" ca="1" si="58"/>
        <v>F</v>
      </c>
      <c r="T856" s="1" t="str">
        <f t="shared" ca="1" si="59"/>
        <v>F</v>
      </c>
      <c r="U856" s="1" t="str">
        <f t="shared" ca="1" si="60"/>
        <v>F</v>
      </c>
      <c r="V856" s="1" t="str">
        <f t="shared" ca="1" si="61"/>
        <v>F</v>
      </c>
      <c r="W856" s="1" t="str">
        <f t="shared" ca="1" si="62"/>
        <v>Bobby Wood</v>
      </c>
    </row>
    <row r="857" spans="1:23">
      <c r="A857" s="1" t="str">
        <f ca="1">IFERROR(__xludf.DUMMYFUNCTION("""COMPUTED_VALUE"""),"Laurence")</f>
        <v>Laurence</v>
      </c>
      <c r="B857" s="1" t="str">
        <f ca="1">IFERROR(__xludf.DUMMYFUNCTION("""COMPUTED_VALUE"""),"Wootton")</f>
        <v>Wootton</v>
      </c>
      <c r="C857" s="1" t="str">
        <f ca="1">IFERROR(__xludf.DUMMYFUNCTION("""COMPUTED_VALUE"""),"Chicago Fire")</f>
        <v>Chicago Fire</v>
      </c>
      <c r="D857" s="1" t="str">
        <f ca="1">IFERROR(__xludf.DUMMYFUNCTION("""COMPUTED_VALUE"""),"Central Midfield")</f>
        <v>Central Midfield</v>
      </c>
      <c r="E857" s="2">
        <f ca="1">IFERROR(__xludf.DUMMYFUNCTION("""COMPUTED_VALUE"""),71401)</f>
        <v>71401</v>
      </c>
      <c r="F857" s="2">
        <f ca="1">IFERROR(__xludf.DUMMYFUNCTION("""COMPUTED_VALUE"""),73285)</f>
        <v>73285</v>
      </c>
      <c r="H857" s="1" t="str">
        <f t="shared" ca="1" si="48"/>
        <v>Central Midfield</v>
      </c>
      <c r="I857" s="3" t="str">
        <f t="shared" ca="1" si="49"/>
        <v>Central Midfield</v>
      </c>
      <c r="J857" s="1" t="str">
        <f t="shared" ca="1" si="50"/>
        <v>Central Midfield</v>
      </c>
      <c r="K857" s="1" t="str">
        <f t="shared" ca="1" si="63"/>
        <v>Central Midfield</v>
      </c>
      <c r="L857" s="1" t="str">
        <f t="shared" ca="1" si="51"/>
        <v>M</v>
      </c>
      <c r="M857" s="1" t="str">
        <f t="shared" ca="1" si="52"/>
        <v>M</v>
      </c>
      <c r="N857" s="1" t="str">
        <f t="shared" ca="1" si="53"/>
        <v>M</v>
      </c>
      <c r="O857" s="1" t="str">
        <f t="shared" ca="1" si="54"/>
        <v>M</v>
      </c>
      <c r="P857" s="1" t="str">
        <f t="shared" ca="1" si="55"/>
        <v>M</v>
      </c>
      <c r="Q857" s="1" t="str">
        <f t="shared" ca="1" si="56"/>
        <v>M</v>
      </c>
      <c r="R857" s="1" t="str">
        <f t="shared" ca="1" si="57"/>
        <v>M</v>
      </c>
      <c r="S857" s="1" t="str">
        <f t="shared" ca="1" si="58"/>
        <v>M</v>
      </c>
      <c r="T857" s="1" t="str">
        <f t="shared" ca="1" si="59"/>
        <v>M</v>
      </c>
      <c r="U857" s="1" t="str">
        <f t="shared" ca="1" si="60"/>
        <v>M</v>
      </c>
      <c r="V857" s="1" t="str">
        <f t="shared" ca="1" si="61"/>
        <v>M</v>
      </c>
      <c r="W857" s="1" t="str">
        <f t="shared" ca="1" si="62"/>
        <v>Laurence Wootton</v>
      </c>
    </row>
    <row r="858" spans="1:23">
      <c r="A858" s="1" t="str">
        <f ca="1">IFERROR(__xludf.DUMMYFUNCTION("""COMPUTED_VALUE"""),"Zidane")</f>
        <v>Zidane</v>
      </c>
      <c r="B858" s="1" t="str">
        <f ca="1">IFERROR(__xludf.DUMMYFUNCTION("""COMPUTED_VALUE"""),"Yañez")</f>
        <v>Yañez</v>
      </c>
      <c r="C858" s="1" t="str">
        <f ca="1">IFERROR(__xludf.DUMMYFUNCTION("""COMPUTED_VALUE"""),"New York City FC")</f>
        <v>New York City FC</v>
      </c>
      <c r="D858" s="1" t="str">
        <f ca="1">IFERROR(__xludf.DUMMYFUNCTION("""COMPUTED_VALUE"""),"Center Forward")</f>
        <v>Center Forward</v>
      </c>
      <c r="E858" s="2">
        <f ca="1">IFERROR(__xludf.DUMMYFUNCTION("""COMPUTED_VALUE"""),71401)</f>
        <v>71401</v>
      </c>
      <c r="F858" s="2">
        <f ca="1">IFERROR(__xludf.DUMMYFUNCTION("""COMPUTED_VALUE"""),75568)</f>
        <v>75568</v>
      </c>
      <c r="H858" s="1" t="str">
        <f t="shared" ca="1" si="48"/>
        <v>Center Forward</v>
      </c>
      <c r="I858" s="3" t="str">
        <f t="shared" ca="1" si="49"/>
        <v>Center Forward</v>
      </c>
      <c r="J858" s="1" t="str">
        <f t="shared" ca="1" si="50"/>
        <v>Center Forward</v>
      </c>
      <c r="K858" s="1" t="str">
        <f t="shared" ca="1" si="63"/>
        <v>Center Forward</v>
      </c>
      <c r="L858" s="1" t="str">
        <f t="shared" ca="1" si="51"/>
        <v>Center Forward</v>
      </c>
      <c r="M858" s="1" t="str">
        <f t="shared" ca="1" si="52"/>
        <v>Center Forward</v>
      </c>
      <c r="N858" s="1" t="str">
        <f t="shared" ca="1" si="53"/>
        <v>Center Forward</v>
      </c>
      <c r="O858" s="1" t="str">
        <f t="shared" ca="1" si="54"/>
        <v>F</v>
      </c>
      <c r="P858" s="1" t="str">
        <f t="shared" ca="1" si="55"/>
        <v>F</v>
      </c>
      <c r="Q858" s="1" t="str">
        <f t="shared" ca="1" si="56"/>
        <v>F</v>
      </c>
      <c r="R858" s="1" t="str">
        <f t="shared" ca="1" si="57"/>
        <v>F</v>
      </c>
      <c r="S858" s="1" t="str">
        <f t="shared" ca="1" si="58"/>
        <v>F</v>
      </c>
      <c r="T858" s="1" t="str">
        <f t="shared" ca="1" si="59"/>
        <v>F</v>
      </c>
      <c r="U858" s="1" t="str">
        <f t="shared" ca="1" si="60"/>
        <v>F</v>
      </c>
      <c r="V858" s="1" t="str">
        <f t="shared" ca="1" si="61"/>
        <v>F</v>
      </c>
      <c r="W858" s="1" t="str">
        <f t="shared" ca="1" si="62"/>
        <v>Zidane Yañez</v>
      </c>
    </row>
    <row r="859" spans="1:23">
      <c r="A859" s="1" t="str">
        <f ca="1">IFERROR(__xludf.DUMMYFUNCTION("""COMPUTED_VALUE"""),"Miki")</f>
        <v>Miki</v>
      </c>
      <c r="B859" s="1" t="str">
        <f ca="1">IFERROR(__xludf.DUMMYFUNCTION("""COMPUTED_VALUE"""),"Yamane")</f>
        <v>Yamane</v>
      </c>
      <c r="C859" s="1" t="str">
        <f ca="1">IFERROR(__xludf.DUMMYFUNCTION("""COMPUTED_VALUE"""),"LA Galaxy")</f>
        <v>LA Galaxy</v>
      </c>
      <c r="D859" s="1" t="str">
        <f ca="1">IFERROR(__xludf.DUMMYFUNCTION("""COMPUTED_VALUE"""),"Right-back")</f>
        <v>Right-back</v>
      </c>
      <c r="E859" s="2">
        <f ca="1">IFERROR(__xludf.DUMMYFUNCTION("""COMPUTED_VALUE"""),550000)</f>
        <v>550000</v>
      </c>
      <c r="F859" s="2">
        <f ca="1">IFERROR(__xludf.DUMMYFUNCTION("""COMPUTED_VALUE"""),616667)</f>
        <v>616667</v>
      </c>
      <c r="H859" s="1" t="str">
        <f t="shared" ca="1" si="48"/>
        <v>Right-back</v>
      </c>
      <c r="I859" s="3" t="str">
        <f t="shared" ca="1" si="49"/>
        <v>Right-back</v>
      </c>
      <c r="J859" s="1" t="str">
        <f t="shared" ca="1" si="50"/>
        <v>D</v>
      </c>
      <c r="K859" s="1" t="str">
        <f t="shared" ca="1" si="63"/>
        <v>D</v>
      </c>
      <c r="L859" s="1" t="str">
        <f t="shared" ca="1" si="51"/>
        <v>D</v>
      </c>
      <c r="M859" s="1" t="str">
        <f t="shared" ca="1" si="52"/>
        <v>D</v>
      </c>
      <c r="N859" s="1" t="str">
        <f t="shared" ca="1" si="53"/>
        <v>D</v>
      </c>
      <c r="O859" s="1" t="str">
        <f t="shared" ca="1" si="54"/>
        <v>D</v>
      </c>
      <c r="P859" s="1" t="str">
        <f t="shared" ca="1" si="55"/>
        <v>D</v>
      </c>
      <c r="Q859" s="1" t="str">
        <f t="shared" ca="1" si="56"/>
        <v>D</v>
      </c>
      <c r="R859" s="1" t="str">
        <f t="shared" ca="1" si="57"/>
        <v>D</v>
      </c>
      <c r="S859" s="1" t="str">
        <f t="shared" ca="1" si="58"/>
        <v>D</v>
      </c>
      <c r="T859" s="1" t="str">
        <f t="shared" ca="1" si="59"/>
        <v>D</v>
      </c>
      <c r="U859" s="1" t="str">
        <f t="shared" ca="1" si="60"/>
        <v>D</v>
      </c>
      <c r="V859" s="1" t="str">
        <f t="shared" ca="1" si="61"/>
        <v>D</v>
      </c>
      <c r="W859" s="1" t="str">
        <f t="shared" ca="1" si="62"/>
        <v>Miki Yamane</v>
      </c>
    </row>
    <row r="860" spans="1:23">
      <c r="A860" s="1" t="str">
        <f ca="1">IFERROR(__xludf.DUMMYFUNCTION("""COMPUTED_VALUE"""),"Dominik")</f>
        <v>Dominik</v>
      </c>
      <c r="B860" s="1" t="str">
        <f ca="1">IFERROR(__xludf.DUMMYFUNCTION("""COMPUTED_VALUE"""),"Yankov")</f>
        <v>Yankov</v>
      </c>
      <c r="C860" s="1" t="str">
        <f ca="1">IFERROR(__xludf.DUMMYFUNCTION("""COMPUTED_VALUE"""),"CF Montreal")</f>
        <v>CF Montreal</v>
      </c>
      <c r="D860" s="1" t="str">
        <f ca="1">IFERROR(__xludf.DUMMYFUNCTION("""COMPUTED_VALUE"""),"Attacking Midfield")</f>
        <v>Attacking Midfield</v>
      </c>
      <c r="E860" s="2">
        <f ca="1">IFERROR(__xludf.DUMMYFUNCTION("""COMPUTED_VALUE"""),350000)</f>
        <v>350000</v>
      </c>
      <c r="F860" s="2">
        <f ca="1">IFERROR(__xludf.DUMMYFUNCTION("""COMPUTED_VALUE"""),385000)</f>
        <v>385000</v>
      </c>
      <c r="H860" s="1" t="str">
        <f t="shared" ca="1" si="48"/>
        <v>Attacking Midfield</v>
      </c>
      <c r="I860" s="3" t="str">
        <f t="shared" ca="1" si="49"/>
        <v>Attacking Midfield</v>
      </c>
      <c r="J860" s="1" t="str">
        <f t="shared" ca="1" si="50"/>
        <v>Attacking Midfield</v>
      </c>
      <c r="K860" s="1" t="str">
        <f t="shared" ca="1" si="63"/>
        <v>Attacking Midfield</v>
      </c>
      <c r="L860" s="1" t="str">
        <f t="shared" ca="1" si="51"/>
        <v>Attacking Midfield</v>
      </c>
      <c r="M860" s="1" t="str">
        <f t="shared" ca="1" si="52"/>
        <v>M</v>
      </c>
      <c r="N860" s="1" t="str">
        <f t="shared" ca="1" si="53"/>
        <v>M</v>
      </c>
      <c r="O860" s="1" t="str">
        <f t="shared" ca="1" si="54"/>
        <v>M</v>
      </c>
      <c r="P860" s="1" t="str">
        <f t="shared" ca="1" si="55"/>
        <v>M</v>
      </c>
      <c r="Q860" s="1" t="str">
        <f t="shared" ca="1" si="56"/>
        <v>M</v>
      </c>
      <c r="R860" s="1" t="str">
        <f t="shared" ca="1" si="57"/>
        <v>M</v>
      </c>
      <c r="S860" s="1" t="str">
        <f t="shared" ca="1" si="58"/>
        <v>M</v>
      </c>
      <c r="T860" s="1" t="str">
        <f t="shared" ca="1" si="59"/>
        <v>M</v>
      </c>
      <c r="U860" s="1" t="str">
        <f t="shared" ca="1" si="60"/>
        <v>M</v>
      </c>
      <c r="V860" s="1" t="str">
        <f t="shared" ca="1" si="61"/>
        <v>M</v>
      </c>
      <c r="W860" s="1" t="str">
        <f t="shared" ca="1" si="62"/>
        <v>Dominik Yankov</v>
      </c>
    </row>
    <row r="861" spans="1:23">
      <c r="A861" s="1" t="str">
        <f ca="1">IFERROR(__xludf.DUMMYFUNCTION("""COMPUTED_VALUE"""),"Darren")</f>
        <v>Darren</v>
      </c>
      <c r="B861" s="1" t="str">
        <f ca="1">IFERROR(__xludf.DUMMYFUNCTION("""COMPUTED_VALUE"""),"Yapi")</f>
        <v>Yapi</v>
      </c>
      <c r="C861" s="1" t="str">
        <f ca="1">IFERROR(__xludf.DUMMYFUNCTION("""COMPUTED_VALUE"""),"Colorado Rapids")</f>
        <v>Colorado Rapids</v>
      </c>
      <c r="D861" s="1" t="str">
        <f ca="1">IFERROR(__xludf.DUMMYFUNCTION("""COMPUTED_VALUE"""),"Center Forward")</f>
        <v>Center Forward</v>
      </c>
      <c r="E861" s="2">
        <f ca="1">IFERROR(__xludf.DUMMYFUNCTION("""COMPUTED_VALUE"""),89716)</f>
        <v>89716</v>
      </c>
      <c r="F861" s="2">
        <f ca="1">IFERROR(__xludf.DUMMYFUNCTION("""COMPUTED_VALUE"""),100549)</f>
        <v>100549</v>
      </c>
      <c r="H861" s="1" t="str">
        <f t="shared" ca="1" si="48"/>
        <v>Center Forward</v>
      </c>
      <c r="I861" s="3" t="str">
        <f t="shared" ca="1" si="49"/>
        <v>Center Forward</v>
      </c>
      <c r="J861" s="1" t="str">
        <f t="shared" ca="1" si="50"/>
        <v>Center Forward</v>
      </c>
      <c r="K861" s="1" t="str">
        <f t="shared" ca="1" si="63"/>
        <v>Center Forward</v>
      </c>
      <c r="L861" s="1" t="str">
        <f t="shared" ca="1" si="51"/>
        <v>Center Forward</v>
      </c>
      <c r="M861" s="1" t="str">
        <f t="shared" ca="1" si="52"/>
        <v>Center Forward</v>
      </c>
      <c r="N861" s="1" t="str">
        <f t="shared" ca="1" si="53"/>
        <v>Center Forward</v>
      </c>
      <c r="O861" s="1" t="str">
        <f t="shared" ca="1" si="54"/>
        <v>F</v>
      </c>
      <c r="P861" s="1" t="str">
        <f t="shared" ca="1" si="55"/>
        <v>F</v>
      </c>
      <c r="Q861" s="1" t="str">
        <f t="shared" ca="1" si="56"/>
        <v>F</v>
      </c>
      <c r="R861" s="1" t="str">
        <f t="shared" ca="1" si="57"/>
        <v>F</v>
      </c>
      <c r="S861" s="1" t="str">
        <f t="shared" ca="1" si="58"/>
        <v>F</v>
      </c>
      <c r="T861" s="1" t="str">
        <f t="shared" ca="1" si="59"/>
        <v>F</v>
      </c>
      <c r="U861" s="1" t="str">
        <f t="shared" ca="1" si="60"/>
        <v>F</v>
      </c>
      <c r="V861" s="1" t="str">
        <f t="shared" ca="1" si="61"/>
        <v>F</v>
      </c>
      <c r="W861" s="1" t="str">
        <f t="shared" ca="1" si="62"/>
        <v>Darren Yapi</v>
      </c>
    </row>
    <row r="862" spans="1:23">
      <c r="A862" s="1" t="str">
        <f ca="1">IFERROR(__xludf.DUMMYFUNCTION("""COMPUTED_VALUE"""),"William")</f>
        <v>William</v>
      </c>
      <c r="B862" s="1" t="str">
        <f ca="1">IFERROR(__xludf.DUMMYFUNCTION("""COMPUTED_VALUE"""),"Yarbrough")</f>
        <v>Yarbrough</v>
      </c>
      <c r="C862" s="1" t="str">
        <f ca="1">IFERROR(__xludf.DUMMYFUNCTION("""COMPUTED_VALUE"""),"San Jose Earthquakes")</f>
        <v>San Jose Earthquakes</v>
      </c>
      <c r="D862" s="1" t="str">
        <f ca="1">IFERROR(__xludf.DUMMYFUNCTION("""COMPUTED_VALUE"""),"Goalkeeper")</f>
        <v>Goalkeeper</v>
      </c>
      <c r="E862" s="2">
        <f ca="1">IFERROR(__xludf.DUMMYFUNCTION("""COMPUTED_VALUE"""),385000)</f>
        <v>385000</v>
      </c>
      <c r="F862" s="2">
        <f ca="1">IFERROR(__xludf.DUMMYFUNCTION("""COMPUTED_VALUE"""),385000)</f>
        <v>385000</v>
      </c>
      <c r="H862" s="1" t="str">
        <f t="shared" ca="1" si="48"/>
        <v>Goalkeeper</v>
      </c>
      <c r="I862" s="3" t="str">
        <f t="shared" ca="1" si="49"/>
        <v>Goalkeeper</v>
      </c>
      <c r="J862" s="1" t="str">
        <f t="shared" ca="1" si="50"/>
        <v>Goalkeeper</v>
      </c>
      <c r="K862" s="1" t="str">
        <f t="shared" ca="1" si="63"/>
        <v>Goalkeeper</v>
      </c>
      <c r="L862" s="1" t="str">
        <f t="shared" ca="1" si="51"/>
        <v>Goalkeeper</v>
      </c>
      <c r="M862" s="1" t="str">
        <f t="shared" ca="1" si="52"/>
        <v>Goalkeeper</v>
      </c>
      <c r="N862" s="1" t="str">
        <f t="shared" ca="1" si="53"/>
        <v>Goalkeeper</v>
      </c>
      <c r="O862" s="1" t="str">
        <f t="shared" ca="1" si="54"/>
        <v>Goalkeeper</v>
      </c>
      <c r="P862" s="1" t="str">
        <f t="shared" ca="1" si="55"/>
        <v>Goalkeeper</v>
      </c>
      <c r="Q862" s="1" t="str">
        <f t="shared" ca="1" si="56"/>
        <v>Goalkeeper</v>
      </c>
      <c r="R862" s="1" t="str">
        <f t="shared" ca="1" si="57"/>
        <v>GK</v>
      </c>
      <c r="S862" s="1" t="str">
        <f t="shared" ca="1" si="58"/>
        <v>GK</v>
      </c>
      <c r="T862" s="1" t="str">
        <f t="shared" ca="1" si="59"/>
        <v>GK</v>
      </c>
      <c r="U862" s="1" t="str">
        <f t="shared" ca="1" si="60"/>
        <v>GK</v>
      </c>
      <c r="V862" s="1" t="str">
        <f t="shared" ca="1" si="61"/>
        <v>GK</v>
      </c>
      <c r="W862" s="1" t="str">
        <f t="shared" ca="1" si="62"/>
        <v>William Yarbrough</v>
      </c>
    </row>
    <row r="863" spans="1:23">
      <c r="A863" s="1" t="str">
        <f ca="1">IFERROR(__xludf.DUMMYFUNCTION("""COMPUTED_VALUE"""),"Joshua")</f>
        <v>Joshua</v>
      </c>
      <c r="B863" s="1" t="str">
        <f ca="1">IFERROR(__xludf.DUMMYFUNCTION("""COMPUTED_VALUE"""),"Yaro")</f>
        <v>Yaro</v>
      </c>
      <c r="C863" s="1" t="str">
        <f ca="1">IFERROR(__xludf.DUMMYFUNCTION("""COMPUTED_VALUE"""),"St. Louis City SC")</f>
        <v>St. Louis City SC</v>
      </c>
      <c r="D863" s="1" t="str">
        <f ca="1">IFERROR(__xludf.DUMMYFUNCTION("""COMPUTED_VALUE"""),"Center-back")</f>
        <v>Center-back</v>
      </c>
      <c r="E863" s="2">
        <f ca="1">IFERROR(__xludf.DUMMYFUNCTION("""COMPUTED_VALUE"""),89716)</f>
        <v>89716</v>
      </c>
      <c r="F863" s="2">
        <f ca="1">IFERROR(__xludf.DUMMYFUNCTION("""COMPUTED_VALUE"""),89716)</f>
        <v>89716</v>
      </c>
      <c r="H863" s="1" t="str">
        <f t="shared" ca="1" si="48"/>
        <v>D</v>
      </c>
      <c r="I863" s="3" t="str">
        <f t="shared" ca="1" si="49"/>
        <v>D</v>
      </c>
      <c r="J863" s="1" t="str">
        <f t="shared" ca="1" si="50"/>
        <v>D</v>
      </c>
      <c r="K863" s="1" t="str">
        <f t="shared" ca="1" si="63"/>
        <v>D</v>
      </c>
      <c r="L863" s="1" t="str">
        <f t="shared" ca="1" si="51"/>
        <v>D</v>
      </c>
      <c r="M863" s="1" t="str">
        <f t="shared" ca="1" si="52"/>
        <v>D</v>
      </c>
      <c r="N863" s="1" t="str">
        <f t="shared" ca="1" si="53"/>
        <v>D</v>
      </c>
      <c r="O863" s="1" t="str">
        <f t="shared" ca="1" si="54"/>
        <v>D</v>
      </c>
      <c r="P863" s="1" t="str">
        <f t="shared" ca="1" si="55"/>
        <v>D</v>
      </c>
      <c r="Q863" s="1" t="str">
        <f t="shared" ca="1" si="56"/>
        <v>D</v>
      </c>
      <c r="R863" s="1" t="str">
        <f t="shared" ca="1" si="57"/>
        <v>D</v>
      </c>
      <c r="S863" s="1" t="str">
        <f t="shared" ca="1" si="58"/>
        <v>D</v>
      </c>
      <c r="T863" s="1" t="str">
        <f t="shared" ca="1" si="59"/>
        <v>D</v>
      </c>
      <c r="U863" s="1" t="str">
        <f t="shared" ca="1" si="60"/>
        <v>D</v>
      </c>
      <c r="V863" s="1" t="str">
        <f t="shared" ca="1" si="61"/>
        <v>D</v>
      </c>
      <c r="W863" s="1" t="str">
        <f t="shared" ca="1" si="62"/>
        <v>Joshua Yaro</v>
      </c>
    </row>
    <row r="864" spans="1:23">
      <c r="A864" s="1" t="str">
        <f ca="1">IFERROR(__xludf.DUMMYFUNCTION("""COMPUTED_VALUE"""),"Dru")</f>
        <v>Dru</v>
      </c>
      <c r="B864" s="1" t="str">
        <f ca="1">IFERROR(__xludf.DUMMYFUNCTION("""COMPUTED_VALUE"""),"Yearwood")</f>
        <v>Yearwood</v>
      </c>
      <c r="C864" s="1" t="str">
        <f ca="1">IFERROR(__xludf.DUMMYFUNCTION("""COMPUTED_VALUE"""),"Nashville SC")</f>
        <v>Nashville SC</v>
      </c>
      <c r="D864" s="1" t="str">
        <f ca="1">IFERROR(__xludf.DUMMYFUNCTION("""COMPUTED_VALUE"""),"Central Midfield")</f>
        <v>Central Midfield</v>
      </c>
      <c r="E864" s="2">
        <f ca="1">IFERROR(__xludf.DUMMYFUNCTION("""COMPUTED_VALUE"""),550000)</f>
        <v>550000</v>
      </c>
      <c r="F864" s="2">
        <f ca="1">IFERROR(__xludf.DUMMYFUNCTION("""COMPUTED_VALUE"""),597250)</f>
        <v>597250</v>
      </c>
      <c r="H864" s="1" t="str">
        <f t="shared" ca="1" si="48"/>
        <v>Central Midfield</v>
      </c>
      <c r="I864" s="3" t="str">
        <f t="shared" ca="1" si="49"/>
        <v>Central Midfield</v>
      </c>
      <c r="J864" s="1" t="str">
        <f t="shared" ca="1" si="50"/>
        <v>Central Midfield</v>
      </c>
      <c r="K864" s="1" t="str">
        <f t="shared" ca="1" si="63"/>
        <v>Central Midfield</v>
      </c>
      <c r="L864" s="1" t="str">
        <f t="shared" ca="1" si="51"/>
        <v>M</v>
      </c>
      <c r="M864" s="1" t="str">
        <f t="shared" ca="1" si="52"/>
        <v>M</v>
      </c>
      <c r="N864" s="1" t="str">
        <f t="shared" ca="1" si="53"/>
        <v>M</v>
      </c>
      <c r="O864" s="1" t="str">
        <f t="shared" ca="1" si="54"/>
        <v>M</v>
      </c>
      <c r="P864" s="1" t="str">
        <f t="shared" ca="1" si="55"/>
        <v>M</v>
      </c>
      <c r="Q864" s="1" t="str">
        <f t="shared" ca="1" si="56"/>
        <v>M</v>
      </c>
      <c r="R864" s="1" t="str">
        <f t="shared" ca="1" si="57"/>
        <v>M</v>
      </c>
      <c r="S864" s="1" t="str">
        <f t="shared" ca="1" si="58"/>
        <v>M</v>
      </c>
      <c r="T864" s="1" t="str">
        <f t="shared" ca="1" si="59"/>
        <v>M</v>
      </c>
      <c r="U864" s="1" t="str">
        <f t="shared" ca="1" si="60"/>
        <v>M</v>
      </c>
      <c r="V864" s="1" t="str">
        <f t="shared" ca="1" si="61"/>
        <v>M</v>
      </c>
      <c r="W864" s="1" t="str">
        <f t="shared" ca="1" si="62"/>
        <v>Dru Yearwood</v>
      </c>
    </row>
    <row r="865" spans="1:23">
      <c r="A865" s="1" t="str">
        <f ca="1">IFERROR(__xludf.DUMMYFUNCTION("""COMPUTED_VALUE"""),"Yaw")</f>
        <v>Yaw</v>
      </c>
      <c r="B865" s="1" t="str">
        <f ca="1">IFERROR(__xludf.DUMMYFUNCTION("""COMPUTED_VALUE"""),"Yeboah")</f>
        <v>Yeboah</v>
      </c>
      <c r="C865" s="1" t="str">
        <f ca="1">IFERROR(__xludf.DUMMYFUNCTION("""COMPUTED_VALUE"""),"Columbus Crew")</f>
        <v>Columbus Crew</v>
      </c>
      <c r="D865" s="1" t="str">
        <f ca="1">IFERROR(__xludf.DUMMYFUNCTION("""COMPUTED_VALUE"""),"Right Wing")</f>
        <v>Right Wing</v>
      </c>
      <c r="E865" s="2">
        <f ca="1">IFERROR(__xludf.DUMMYFUNCTION("""COMPUTED_VALUE"""),600000)</f>
        <v>600000</v>
      </c>
      <c r="F865" s="2">
        <f ca="1">IFERROR(__xludf.DUMMYFUNCTION("""COMPUTED_VALUE"""),663750)</f>
        <v>663750</v>
      </c>
      <c r="H865" s="1" t="str">
        <f t="shared" ca="1" si="48"/>
        <v>Right Wing</v>
      </c>
      <c r="I865" s="3" t="str">
        <f t="shared" ca="1" si="49"/>
        <v>Right Wing</v>
      </c>
      <c r="J865" s="1" t="str">
        <f t="shared" ca="1" si="50"/>
        <v>Right Wing</v>
      </c>
      <c r="K865" s="1" t="str">
        <f t="shared" ca="1" si="63"/>
        <v>Right Wing</v>
      </c>
      <c r="L865" s="1" t="str">
        <f t="shared" ca="1" si="51"/>
        <v>Right Wing</v>
      </c>
      <c r="M865" s="1" t="str">
        <f t="shared" ca="1" si="52"/>
        <v>Right Wing</v>
      </c>
      <c r="N865" s="1" t="str">
        <f t="shared" ca="1" si="53"/>
        <v>F</v>
      </c>
      <c r="O865" s="1" t="str">
        <f t="shared" ca="1" si="54"/>
        <v>F</v>
      </c>
      <c r="P865" s="1" t="str">
        <f t="shared" ca="1" si="55"/>
        <v>F</v>
      </c>
      <c r="Q865" s="1" t="str">
        <f t="shared" ca="1" si="56"/>
        <v>F</v>
      </c>
      <c r="R865" s="1" t="str">
        <f t="shared" ca="1" si="57"/>
        <v>F</v>
      </c>
      <c r="S865" s="1" t="str">
        <f t="shared" ca="1" si="58"/>
        <v>F</v>
      </c>
      <c r="T865" s="1" t="str">
        <f t="shared" ca="1" si="59"/>
        <v>F</v>
      </c>
      <c r="U865" s="1" t="str">
        <f t="shared" ca="1" si="60"/>
        <v>F</v>
      </c>
      <c r="V865" s="1" t="str">
        <f t="shared" ca="1" si="61"/>
        <v>F</v>
      </c>
      <c r="W865" s="1" t="str">
        <f t="shared" ca="1" si="62"/>
        <v>Yaw Yeboah</v>
      </c>
    </row>
    <row r="866" spans="1:23">
      <c r="A866" s="1" t="str">
        <f ca="1">IFERROR(__xludf.DUMMYFUNCTION("""COMPUTED_VALUE"""),"DeAndre")</f>
        <v>DeAndre</v>
      </c>
      <c r="B866" s="1" t="str">
        <f ca="1">IFERROR(__xludf.DUMMYFUNCTION("""COMPUTED_VALUE"""),"Yedlin")</f>
        <v>Yedlin</v>
      </c>
      <c r="C866" s="1" t="str">
        <f ca="1">IFERROR(__xludf.DUMMYFUNCTION("""COMPUTED_VALUE"""),"FC Cincinnati")</f>
        <v>FC Cincinnati</v>
      </c>
      <c r="D866" s="1" t="str">
        <f ca="1">IFERROR(__xludf.DUMMYFUNCTION("""COMPUTED_VALUE"""),"Right-back")</f>
        <v>Right-back</v>
      </c>
      <c r="E866" s="2">
        <f ca="1">IFERROR(__xludf.DUMMYFUNCTION("""COMPUTED_VALUE"""),850000)</f>
        <v>850000</v>
      </c>
      <c r="F866" s="2">
        <f ca="1">IFERROR(__xludf.DUMMYFUNCTION("""COMPUTED_VALUE"""),898750)</f>
        <v>898750</v>
      </c>
      <c r="H866" s="1" t="str">
        <f t="shared" ca="1" si="48"/>
        <v>Right-back</v>
      </c>
      <c r="I866" s="3" t="str">
        <f t="shared" ca="1" si="49"/>
        <v>Right-back</v>
      </c>
      <c r="J866" s="1" t="str">
        <f t="shared" ca="1" si="50"/>
        <v>D</v>
      </c>
      <c r="K866" s="1" t="str">
        <f t="shared" ca="1" si="63"/>
        <v>D</v>
      </c>
      <c r="L866" s="1" t="str">
        <f t="shared" ca="1" si="51"/>
        <v>D</v>
      </c>
      <c r="M866" s="1" t="str">
        <f t="shared" ca="1" si="52"/>
        <v>D</v>
      </c>
      <c r="N866" s="1" t="str">
        <f t="shared" ca="1" si="53"/>
        <v>D</v>
      </c>
      <c r="O866" s="1" t="str">
        <f t="shared" ca="1" si="54"/>
        <v>D</v>
      </c>
      <c r="P866" s="1" t="str">
        <f t="shared" ca="1" si="55"/>
        <v>D</v>
      </c>
      <c r="Q866" s="1" t="str">
        <f t="shared" ca="1" si="56"/>
        <v>D</v>
      </c>
      <c r="R866" s="1" t="str">
        <f t="shared" ca="1" si="57"/>
        <v>D</v>
      </c>
      <c r="S866" s="1" t="str">
        <f t="shared" ca="1" si="58"/>
        <v>D</v>
      </c>
      <c r="T866" s="1" t="str">
        <f t="shared" ca="1" si="59"/>
        <v>D</v>
      </c>
      <c r="U866" s="1" t="str">
        <f t="shared" ca="1" si="60"/>
        <v>D</v>
      </c>
      <c r="V866" s="1" t="str">
        <f t="shared" ca="1" si="61"/>
        <v>D</v>
      </c>
      <c r="W866" s="1" t="str">
        <f t="shared" ca="1" si="62"/>
        <v>DeAndre Yedlin</v>
      </c>
    </row>
    <row r="867" spans="1:23">
      <c r="A867" s="1" t="str">
        <f ca="1">IFERROR(__xludf.DUMMYFUNCTION("""COMPUTED_VALUE"""),"Maya")</f>
        <v>Maya</v>
      </c>
      <c r="B867" s="1" t="str">
        <f ca="1">IFERROR(__xludf.DUMMYFUNCTION("""COMPUTED_VALUE"""),"Yoshida")</f>
        <v>Yoshida</v>
      </c>
      <c r="C867" s="1" t="str">
        <f ca="1">IFERROR(__xludf.DUMMYFUNCTION("""COMPUTED_VALUE"""),"LA Galaxy")</f>
        <v>LA Galaxy</v>
      </c>
      <c r="D867" s="1" t="str">
        <f ca="1">IFERROR(__xludf.DUMMYFUNCTION("""COMPUTED_VALUE"""),"Center-back")</f>
        <v>Center-back</v>
      </c>
      <c r="E867" s="2">
        <f ca="1">IFERROR(__xludf.DUMMYFUNCTION("""COMPUTED_VALUE"""),800000)</f>
        <v>800000</v>
      </c>
      <c r="F867" s="2">
        <f ca="1">IFERROR(__xludf.DUMMYFUNCTION("""COMPUTED_VALUE"""),893334)</f>
        <v>893334</v>
      </c>
      <c r="H867" s="1" t="str">
        <f t="shared" ca="1" si="48"/>
        <v>D</v>
      </c>
      <c r="I867" s="3" t="str">
        <f t="shared" ca="1" si="49"/>
        <v>D</v>
      </c>
      <c r="J867" s="1" t="str">
        <f t="shared" ca="1" si="50"/>
        <v>D</v>
      </c>
      <c r="K867" s="1" t="str">
        <f t="shared" ca="1" si="63"/>
        <v>D</v>
      </c>
      <c r="L867" s="1" t="str">
        <f t="shared" ca="1" si="51"/>
        <v>D</v>
      </c>
      <c r="M867" s="1" t="str">
        <f t="shared" ca="1" si="52"/>
        <v>D</v>
      </c>
      <c r="N867" s="1" t="str">
        <f t="shared" ca="1" si="53"/>
        <v>D</v>
      </c>
      <c r="O867" s="1" t="str">
        <f t="shared" ca="1" si="54"/>
        <v>D</v>
      </c>
      <c r="P867" s="1" t="str">
        <f t="shared" ca="1" si="55"/>
        <v>D</v>
      </c>
      <c r="Q867" s="1" t="str">
        <f t="shared" ca="1" si="56"/>
        <v>D</v>
      </c>
      <c r="R867" s="1" t="str">
        <f t="shared" ca="1" si="57"/>
        <v>D</v>
      </c>
      <c r="S867" s="1" t="str">
        <f t="shared" ca="1" si="58"/>
        <v>D</v>
      </c>
      <c r="T867" s="1" t="str">
        <f t="shared" ca="1" si="59"/>
        <v>D</v>
      </c>
      <c r="U867" s="1" t="str">
        <f t="shared" ca="1" si="60"/>
        <v>D</v>
      </c>
      <c r="V867" s="1" t="str">
        <f t="shared" ca="1" si="61"/>
        <v>D</v>
      </c>
      <c r="W867" s="1" t="str">
        <f t="shared" ca="1" si="62"/>
        <v>Maya Yoshida</v>
      </c>
    </row>
    <row r="868" spans="1:23">
      <c r="A868" s="1" t="str">
        <f ca="1">IFERROR(__xludf.DUMMYFUNCTION("""COMPUTED_VALUE"""),"Jackson")</f>
        <v>Jackson</v>
      </c>
      <c r="B868" s="1" t="str">
        <f ca="1">IFERROR(__xludf.DUMMYFUNCTION("""COMPUTED_VALUE"""),"Yueill")</f>
        <v>Yueill</v>
      </c>
      <c r="C868" s="1" t="str">
        <f ca="1">IFERROR(__xludf.DUMMYFUNCTION("""COMPUTED_VALUE"""),"San Jose Earthquakes")</f>
        <v>San Jose Earthquakes</v>
      </c>
      <c r="D868" s="1" t="str">
        <f ca="1">IFERROR(__xludf.DUMMYFUNCTION("""COMPUTED_VALUE"""),"Central Midfield")</f>
        <v>Central Midfield</v>
      </c>
      <c r="E868" s="2">
        <f ca="1">IFERROR(__xludf.DUMMYFUNCTION("""COMPUTED_VALUE"""),900000)</f>
        <v>900000</v>
      </c>
      <c r="F868" s="2">
        <f ca="1">IFERROR(__xludf.DUMMYFUNCTION("""COMPUTED_VALUE"""),936875)</f>
        <v>936875</v>
      </c>
      <c r="H868" s="1" t="str">
        <f t="shared" ca="1" si="48"/>
        <v>Central Midfield</v>
      </c>
      <c r="I868" s="3" t="str">
        <f t="shared" ca="1" si="49"/>
        <v>Central Midfield</v>
      </c>
      <c r="J868" s="1" t="str">
        <f t="shared" ca="1" si="50"/>
        <v>Central Midfield</v>
      </c>
      <c r="K868" s="1" t="str">
        <f t="shared" ca="1" si="63"/>
        <v>Central Midfield</v>
      </c>
      <c r="L868" s="1" t="str">
        <f t="shared" ca="1" si="51"/>
        <v>M</v>
      </c>
      <c r="M868" s="1" t="str">
        <f t="shared" ca="1" si="52"/>
        <v>M</v>
      </c>
      <c r="N868" s="1" t="str">
        <f t="shared" ca="1" si="53"/>
        <v>M</v>
      </c>
      <c r="O868" s="1" t="str">
        <f t="shared" ca="1" si="54"/>
        <v>M</v>
      </c>
      <c r="P868" s="1" t="str">
        <f t="shared" ca="1" si="55"/>
        <v>M</v>
      </c>
      <c r="Q868" s="1" t="str">
        <f t="shared" ca="1" si="56"/>
        <v>M</v>
      </c>
      <c r="R868" s="1" t="str">
        <f t="shared" ca="1" si="57"/>
        <v>M</v>
      </c>
      <c r="S868" s="1" t="str">
        <f t="shared" ca="1" si="58"/>
        <v>M</v>
      </c>
      <c r="T868" s="1" t="str">
        <f t="shared" ca="1" si="59"/>
        <v>M</v>
      </c>
      <c r="U868" s="1" t="str">
        <f t="shared" ca="1" si="60"/>
        <v>M</v>
      </c>
      <c r="V868" s="1" t="str">
        <f t="shared" ca="1" si="61"/>
        <v>M</v>
      </c>
      <c r="W868" s="1" t="str">
        <f t="shared" ca="1" si="62"/>
        <v>Jackson Yueill</v>
      </c>
    </row>
    <row r="869" spans="1:23">
      <c r="A869" s="1" t="str">
        <f ca="1">IFERROR(__xludf.DUMMYFUNCTION("""COMPUTED_VALUE"""),"Luis")</f>
        <v>Luis</v>
      </c>
      <c r="B869" s="1" t="str">
        <f ca="1">IFERROR(__xludf.DUMMYFUNCTION("""COMPUTED_VALUE"""),"Zamudio")</f>
        <v>Zamudio</v>
      </c>
      <c r="C869" s="1" t="str">
        <f ca="1">IFERROR(__xludf.DUMMYFUNCTION("""COMPUTED_VALUE"""),"DC United")</f>
        <v>DC United</v>
      </c>
      <c r="D869" s="1" t="str">
        <f ca="1">IFERROR(__xludf.DUMMYFUNCTION("""COMPUTED_VALUE"""),"Goalkeeper")</f>
        <v>Goalkeeper</v>
      </c>
      <c r="E869" s="2">
        <f ca="1">IFERROR(__xludf.DUMMYFUNCTION("""COMPUTED_VALUE"""),89716)</f>
        <v>89716</v>
      </c>
      <c r="F869" s="2">
        <f ca="1">IFERROR(__xludf.DUMMYFUNCTION("""COMPUTED_VALUE"""),89716)</f>
        <v>89716</v>
      </c>
      <c r="H869" s="1" t="str">
        <f t="shared" ca="1" si="48"/>
        <v>Goalkeeper</v>
      </c>
      <c r="I869" s="3" t="str">
        <f t="shared" ca="1" si="49"/>
        <v>Goalkeeper</v>
      </c>
      <c r="J869" s="1" t="str">
        <f t="shared" ca="1" si="50"/>
        <v>Goalkeeper</v>
      </c>
      <c r="K869" s="1" t="str">
        <f t="shared" ca="1" si="63"/>
        <v>Goalkeeper</v>
      </c>
      <c r="L869" s="1" t="str">
        <f t="shared" ca="1" si="51"/>
        <v>Goalkeeper</v>
      </c>
      <c r="M869" s="1" t="str">
        <f t="shared" ca="1" si="52"/>
        <v>Goalkeeper</v>
      </c>
      <c r="N869" s="1" t="str">
        <f t="shared" ca="1" si="53"/>
        <v>Goalkeeper</v>
      </c>
      <c r="O869" s="1" t="str">
        <f t="shared" ca="1" si="54"/>
        <v>Goalkeeper</v>
      </c>
      <c r="P869" s="1" t="str">
        <f t="shared" ca="1" si="55"/>
        <v>Goalkeeper</v>
      </c>
      <c r="Q869" s="1" t="str">
        <f t="shared" ca="1" si="56"/>
        <v>Goalkeeper</v>
      </c>
      <c r="R869" s="1" t="str">
        <f t="shared" ca="1" si="57"/>
        <v>GK</v>
      </c>
      <c r="S869" s="1" t="str">
        <f t="shared" ca="1" si="58"/>
        <v>GK</v>
      </c>
      <c r="T869" s="1" t="str">
        <f t="shared" ca="1" si="59"/>
        <v>GK</v>
      </c>
      <c r="U869" s="1" t="str">
        <f t="shared" ca="1" si="60"/>
        <v>GK</v>
      </c>
      <c r="V869" s="1" t="str">
        <f t="shared" ca="1" si="61"/>
        <v>GK</v>
      </c>
      <c r="W869" s="1" t="str">
        <f t="shared" ca="1" si="62"/>
        <v>Luis Zamudio</v>
      </c>
    </row>
    <row r="870" spans="1:23">
      <c r="A870" s="1" t="str">
        <f ca="1">IFERROR(__xludf.DUMMYFUNCTION("""COMPUTED_VALUE"""),"Gyasi")</f>
        <v>Gyasi</v>
      </c>
      <c r="B870" s="1" t="str">
        <f ca="1">IFERROR(__xludf.DUMMYFUNCTION("""COMPUTED_VALUE"""),"Zardes")</f>
        <v>Zardes</v>
      </c>
      <c r="C870" s="1" t="str">
        <f ca="1">IFERROR(__xludf.DUMMYFUNCTION("""COMPUTED_VALUE"""),"Austin FC")</f>
        <v>Austin FC</v>
      </c>
      <c r="D870" s="1" t="str">
        <f ca="1">IFERROR(__xludf.DUMMYFUNCTION("""COMPUTED_VALUE"""),"Center Forward")</f>
        <v>Center Forward</v>
      </c>
      <c r="E870" s="2">
        <f ca="1">IFERROR(__xludf.DUMMYFUNCTION("""COMPUTED_VALUE"""),1000000)</f>
        <v>1000000</v>
      </c>
      <c r="F870" s="2">
        <f ca="1">IFERROR(__xludf.DUMMYFUNCTION("""COMPUTED_VALUE"""),1000000)</f>
        <v>1000000</v>
      </c>
      <c r="H870" s="1" t="str">
        <f t="shared" ca="1" si="48"/>
        <v>Center Forward</v>
      </c>
      <c r="I870" s="3" t="str">
        <f t="shared" ca="1" si="49"/>
        <v>Center Forward</v>
      </c>
      <c r="J870" s="1" t="str">
        <f t="shared" ca="1" si="50"/>
        <v>Center Forward</v>
      </c>
      <c r="K870" s="1" t="str">
        <f t="shared" ca="1" si="63"/>
        <v>Center Forward</v>
      </c>
      <c r="L870" s="1" t="str">
        <f t="shared" ca="1" si="51"/>
        <v>Center Forward</v>
      </c>
      <c r="M870" s="1" t="str">
        <f t="shared" ca="1" si="52"/>
        <v>Center Forward</v>
      </c>
      <c r="N870" s="1" t="str">
        <f t="shared" ca="1" si="53"/>
        <v>Center Forward</v>
      </c>
      <c r="O870" s="1" t="str">
        <f t="shared" ca="1" si="54"/>
        <v>F</v>
      </c>
      <c r="P870" s="1" t="str">
        <f t="shared" ca="1" si="55"/>
        <v>F</v>
      </c>
      <c r="Q870" s="1" t="str">
        <f t="shared" ca="1" si="56"/>
        <v>F</v>
      </c>
      <c r="R870" s="1" t="str">
        <f t="shared" ca="1" si="57"/>
        <v>F</v>
      </c>
      <c r="S870" s="1" t="str">
        <f t="shared" ca="1" si="58"/>
        <v>F</v>
      </c>
      <c r="T870" s="1" t="str">
        <f t="shared" ca="1" si="59"/>
        <v>F</v>
      </c>
      <c r="U870" s="1" t="str">
        <f t="shared" ca="1" si="60"/>
        <v>F</v>
      </c>
      <c r="V870" s="1" t="str">
        <f t="shared" ca="1" si="61"/>
        <v>F</v>
      </c>
      <c r="W870" s="1" t="str">
        <f t="shared" ca="1" si="62"/>
        <v>Gyasi Zardes</v>
      </c>
    </row>
    <row r="871" spans="1:23">
      <c r="A871" s="1" t="str">
        <f ca="1">IFERROR(__xludf.DUMMYFUNCTION("""COMPUTED_VALUE"""),"Eriq")</f>
        <v>Eriq</v>
      </c>
      <c r="B871" s="1" t="str">
        <f ca="1">IFERROR(__xludf.DUMMYFUNCTION("""COMPUTED_VALUE"""),"Zavaleta")</f>
        <v>Zavaleta</v>
      </c>
      <c r="C871" s="1" t="str">
        <f ca="1">IFERROR(__xludf.DUMMYFUNCTION("""COMPUTED_VALUE"""),"LA Galaxy")</f>
        <v>LA Galaxy</v>
      </c>
      <c r="D871" s="1" t="str">
        <f ca="1">IFERROR(__xludf.DUMMYFUNCTION("""COMPUTED_VALUE"""),"Center-back")</f>
        <v>Center-back</v>
      </c>
      <c r="E871" s="2">
        <f ca="1">IFERROR(__xludf.DUMMYFUNCTION("""COMPUTED_VALUE"""),89716)</f>
        <v>89716</v>
      </c>
      <c r="F871" s="2">
        <f ca="1">IFERROR(__xludf.DUMMYFUNCTION("""COMPUTED_VALUE"""),89716)</f>
        <v>89716</v>
      </c>
      <c r="H871" s="1" t="str">
        <f t="shared" ca="1" si="48"/>
        <v>D</v>
      </c>
      <c r="I871" s="3" t="str">
        <f t="shared" ca="1" si="49"/>
        <v>D</v>
      </c>
      <c r="J871" s="1" t="str">
        <f t="shared" ca="1" si="50"/>
        <v>D</v>
      </c>
      <c r="K871" s="1" t="str">
        <f t="shared" ca="1" si="63"/>
        <v>D</v>
      </c>
      <c r="L871" s="1" t="str">
        <f t="shared" ca="1" si="51"/>
        <v>D</v>
      </c>
      <c r="M871" s="1" t="str">
        <f t="shared" ca="1" si="52"/>
        <v>D</v>
      </c>
      <c r="N871" s="1" t="str">
        <f t="shared" ca="1" si="53"/>
        <v>D</v>
      </c>
      <c r="O871" s="1" t="str">
        <f t="shared" ca="1" si="54"/>
        <v>D</v>
      </c>
      <c r="P871" s="1" t="str">
        <f t="shared" ca="1" si="55"/>
        <v>D</v>
      </c>
      <c r="Q871" s="1" t="str">
        <f t="shared" ca="1" si="56"/>
        <v>D</v>
      </c>
      <c r="R871" s="1" t="str">
        <f t="shared" ca="1" si="57"/>
        <v>D</v>
      </c>
      <c r="S871" s="1" t="str">
        <f t="shared" ca="1" si="58"/>
        <v>D</v>
      </c>
      <c r="T871" s="1" t="str">
        <f t="shared" ca="1" si="59"/>
        <v>D</v>
      </c>
      <c r="U871" s="1" t="str">
        <f t="shared" ca="1" si="60"/>
        <v>D</v>
      </c>
      <c r="V871" s="1" t="str">
        <f t="shared" ca="1" si="61"/>
        <v>D</v>
      </c>
      <c r="W871" s="1" t="str">
        <f t="shared" ca="1" si="62"/>
        <v>Eriq Zavaleta</v>
      </c>
    </row>
    <row r="872" spans="1:23">
      <c r="A872" s="1" t="str">
        <f ca="1">IFERROR(__xludf.DUMMYFUNCTION("""COMPUTED_VALUE"""),"Sean")</f>
        <v>Sean</v>
      </c>
      <c r="B872" s="1" t="str">
        <f ca="1">IFERROR(__xludf.DUMMYFUNCTION("""COMPUTED_VALUE"""),"Zawadzki")</f>
        <v>Zawadzki</v>
      </c>
      <c r="C872" s="1" t="str">
        <f ca="1">IFERROR(__xludf.DUMMYFUNCTION("""COMPUTED_VALUE"""),"Columbus Crew")</f>
        <v>Columbus Crew</v>
      </c>
      <c r="D872" s="1" t="str">
        <f ca="1">IFERROR(__xludf.DUMMYFUNCTION("""COMPUTED_VALUE"""),"Central Midfield")</f>
        <v>Central Midfield</v>
      </c>
      <c r="E872" s="2">
        <f ca="1">IFERROR(__xludf.DUMMYFUNCTION("""COMPUTED_VALUE"""),375000)</f>
        <v>375000</v>
      </c>
      <c r="F872" s="2">
        <f ca="1">IFERROR(__xludf.DUMMYFUNCTION("""COMPUTED_VALUE"""),421875)</f>
        <v>421875</v>
      </c>
      <c r="H872" s="1" t="str">
        <f t="shared" ca="1" si="48"/>
        <v>Central Midfield</v>
      </c>
      <c r="I872" s="3" t="str">
        <f t="shared" ca="1" si="49"/>
        <v>Central Midfield</v>
      </c>
      <c r="J872" s="1" t="str">
        <f t="shared" ca="1" si="50"/>
        <v>Central Midfield</v>
      </c>
      <c r="K872" s="1" t="str">
        <f t="shared" ca="1" si="63"/>
        <v>Central Midfield</v>
      </c>
      <c r="L872" s="1" t="str">
        <f t="shared" ca="1" si="51"/>
        <v>M</v>
      </c>
      <c r="M872" s="1" t="str">
        <f t="shared" ca="1" si="52"/>
        <v>M</v>
      </c>
      <c r="N872" s="1" t="str">
        <f t="shared" ca="1" si="53"/>
        <v>M</v>
      </c>
      <c r="O872" s="1" t="str">
        <f t="shared" ca="1" si="54"/>
        <v>M</v>
      </c>
      <c r="P872" s="1" t="str">
        <f t="shared" ca="1" si="55"/>
        <v>M</v>
      </c>
      <c r="Q872" s="1" t="str">
        <f t="shared" ca="1" si="56"/>
        <v>M</v>
      </c>
      <c r="R872" s="1" t="str">
        <f t="shared" ca="1" si="57"/>
        <v>M</v>
      </c>
      <c r="S872" s="1" t="str">
        <f t="shared" ca="1" si="58"/>
        <v>M</v>
      </c>
      <c r="T872" s="1" t="str">
        <f t="shared" ca="1" si="59"/>
        <v>M</v>
      </c>
      <c r="U872" s="1" t="str">
        <f t="shared" ca="1" si="60"/>
        <v>M</v>
      </c>
      <c r="V872" s="1" t="str">
        <f t="shared" ca="1" si="61"/>
        <v>M</v>
      </c>
      <c r="W872" s="1" t="str">
        <f t="shared" ca="1" si="62"/>
        <v>Sean Zawadzki</v>
      </c>
    </row>
    <row r="873" spans="1:23">
      <c r="A873" s="1" t="str">
        <f ca="1">IFERROR(__xludf.DUMMYFUNCTION("""COMPUTED_VALUE"""),"Walker")</f>
        <v>Walker</v>
      </c>
      <c r="B873" s="1" t="str">
        <f ca="1">IFERROR(__xludf.DUMMYFUNCTION("""COMPUTED_VALUE"""),"Zimmerman")</f>
        <v>Zimmerman</v>
      </c>
      <c r="C873" s="1" t="str">
        <f ca="1">IFERROR(__xludf.DUMMYFUNCTION("""COMPUTED_VALUE"""),"Nashville SC")</f>
        <v>Nashville SC</v>
      </c>
      <c r="D873" s="1" t="str">
        <f ca="1">IFERROR(__xludf.DUMMYFUNCTION("""COMPUTED_VALUE"""),"Center-back")</f>
        <v>Center-back</v>
      </c>
      <c r="E873" s="2">
        <f ca="1">IFERROR(__xludf.DUMMYFUNCTION("""COMPUTED_VALUE"""),3200000)</f>
        <v>3200000</v>
      </c>
      <c r="F873" s="2">
        <f ca="1">IFERROR(__xludf.DUMMYFUNCTION("""COMPUTED_VALUE"""),3456979)</f>
        <v>3456979</v>
      </c>
      <c r="H873" s="1" t="str">
        <f t="shared" ca="1" si="48"/>
        <v>D</v>
      </c>
      <c r="I873" s="3" t="str">
        <f t="shared" ca="1" si="49"/>
        <v>D</v>
      </c>
      <c r="J873" s="1" t="str">
        <f t="shared" ca="1" si="50"/>
        <v>D</v>
      </c>
      <c r="K873" s="1" t="str">
        <f t="shared" ca="1" si="63"/>
        <v>D</v>
      </c>
      <c r="L873" s="1" t="str">
        <f t="shared" ca="1" si="51"/>
        <v>D</v>
      </c>
      <c r="M873" s="1" t="str">
        <f t="shared" ca="1" si="52"/>
        <v>D</v>
      </c>
      <c r="N873" s="1" t="str">
        <f t="shared" ca="1" si="53"/>
        <v>D</v>
      </c>
      <c r="O873" s="1" t="str">
        <f t="shared" ca="1" si="54"/>
        <v>D</v>
      </c>
      <c r="P873" s="1" t="str">
        <f t="shared" ca="1" si="55"/>
        <v>D</v>
      </c>
      <c r="Q873" s="1" t="str">
        <f t="shared" ca="1" si="56"/>
        <v>D</v>
      </c>
      <c r="R873" s="1" t="str">
        <f t="shared" ca="1" si="57"/>
        <v>D</v>
      </c>
      <c r="S873" s="1" t="str">
        <f t="shared" ca="1" si="58"/>
        <v>D</v>
      </c>
      <c r="T873" s="1" t="str">
        <f t="shared" ca="1" si="59"/>
        <v>D</v>
      </c>
      <c r="U873" s="1" t="str">
        <f t="shared" ca="1" si="60"/>
        <v>D</v>
      </c>
      <c r="V873" s="1" t="str">
        <f t="shared" ca="1" si="61"/>
        <v>D</v>
      </c>
      <c r="W873" s="1" t="str">
        <f t="shared" ca="1" si="62"/>
        <v>Walker Zimmerman</v>
      </c>
    </row>
    <row r="874" spans="1:23">
      <c r="A874" s="1" t="str">
        <f ca="1">IFERROR(__xludf.DUMMYFUNCTION("""COMPUTED_VALUE"""),"Rida")</f>
        <v>Rida</v>
      </c>
      <c r="B874" s="1" t="str">
        <f ca="1">IFERROR(__xludf.DUMMYFUNCTION("""COMPUTED_VALUE"""),"Zouhir")</f>
        <v>Zouhir</v>
      </c>
      <c r="C874" s="1" t="str">
        <f ca="1">IFERROR(__xludf.DUMMYFUNCTION("""COMPUTED_VALUE"""),"CF Montreal")</f>
        <v>CF Montreal</v>
      </c>
      <c r="D874" s="1" t="str">
        <f ca="1">IFERROR(__xludf.DUMMYFUNCTION("""COMPUTED_VALUE"""),"Central Midfield")</f>
        <v>Central Midfield</v>
      </c>
      <c r="E874" s="2">
        <f ca="1">IFERROR(__xludf.DUMMYFUNCTION("""COMPUTED_VALUE"""),89716)</f>
        <v>89716</v>
      </c>
      <c r="F874" s="2">
        <f ca="1">IFERROR(__xludf.DUMMYFUNCTION("""COMPUTED_VALUE"""),100452)</f>
        <v>100452</v>
      </c>
      <c r="H874" s="1" t="str">
        <f t="shared" ca="1" si="48"/>
        <v>Central Midfield</v>
      </c>
      <c r="I874" s="3" t="str">
        <f t="shared" ca="1" si="49"/>
        <v>Central Midfield</v>
      </c>
      <c r="J874" s="1" t="str">
        <f t="shared" ca="1" si="50"/>
        <v>Central Midfield</v>
      </c>
      <c r="K874" s="1" t="str">
        <f t="shared" ca="1" si="63"/>
        <v>Central Midfield</v>
      </c>
      <c r="L874" s="1" t="str">
        <f t="shared" ca="1" si="51"/>
        <v>M</v>
      </c>
      <c r="M874" s="1" t="str">
        <f t="shared" ca="1" si="52"/>
        <v>M</v>
      </c>
      <c r="N874" s="1" t="str">
        <f t="shared" ca="1" si="53"/>
        <v>M</v>
      </c>
      <c r="O874" s="1" t="str">
        <f t="shared" ca="1" si="54"/>
        <v>M</v>
      </c>
      <c r="P874" s="1" t="str">
        <f t="shared" ca="1" si="55"/>
        <v>M</v>
      </c>
      <c r="Q874" s="1" t="str">
        <f t="shared" ca="1" si="56"/>
        <v>M</v>
      </c>
      <c r="R874" s="1" t="str">
        <f t="shared" ca="1" si="57"/>
        <v>M</v>
      </c>
      <c r="S874" s="1" t="str">
        <f t="shared" ca="1" si="58"/>
        <v>M</v>
      </c>
      <c r="T874" s="1" t="str">
        <f t="shared" ca="1" si="59"/>
        <v>M</v>
      </c>
      <c r="U874" s="1" t="str">
        <f t="shared" ca="1" si="60"/>
        <v>M</v>
      </c>
      <c r="V874" s="1" t="str">
        <f t="shared" ca="1" si="61"/>
        <v>M</v>
      </c>
      <c r="W874" s="1" t="str">
        <f t="shared" ca="1" si="62"/>
        <v>Rida Zouhir</v>
      </c>
    </row>
    <row r="875" spans="1:23">
      <c r="A875" s="1" t="str">
        <f ca="1">IFERROR(__xludf.DUMMYFUNCTION("""COMPUTED_VALUE"""),"Dario")</f>
        <v>Dario</v>
      </c>
      <c r="B875" s="1" t="str">
        <f ca="1">IFERROR(__xludf.DUMMYFUNCTION("""COMPUTED_VALUE"""),"Zuparic")</f>
        <v>Zuparic</v>
      </c>
      <c r="C875" s="1" t="str">
        <f ca="1">IFERROR(__xludf.DUMMYFUNCTION("""COMPUTED_VALUE"""),"Portland Timbers")</f>
        <v>Portland Timbers</v>
      </c>
      <c r="D875" s="1" t="str">
        <f ca="1">IFERROR(__xludf.DUMMYFUNCTION("""COMPUTED_VALUE"""),"Center-back")</f>
        <v>Center-back</v>
      </c>
      <c r="E875" s="2">
        <f ca="1">IFERROR(__xludf.DUMMYFUNCTION("""COMPUTED_VALUE"""),735000)</f>
        <v>735000</v>
      </c>
      <c r="F875" s="2">
        <f ca="1">IFERROR(__xludf.DUMMYFUNCTION("""COMPUTED_VALUE"""),907950)</f>
        <v>907950</v>
      </c>
      <c r="H875" s="1" t="str">
        <f t="shared" ca="1" si="48"/>
        <v>D</v>
      </c>
      <c r="I875" s="3" t="str">
        <f t="shared" ca="1" si="49"/>
        <v>D</v>
      </c>
      <c r="J875" s="1" t="str">
        <f t="shared" ca="1" si="50"/>
        <v>D</v>
      </c>
      <c r="K875" s="1" t="str">
        <f t="shared" ca="1" si="63"/>
        <v>D</v>
      </c>
      <c r="L875" s="1" t="str">
        <f t="shared" ca="1" si="51"/>
        <v>D</v>
      </c>
      <c r="M875" s="1" t="str">
        <f t="shared" ca="1" si="52"/>
        <v>D</v>
      </c>
      <c r="N875" s="1" t="str">
        <f t="shared" ca="1" si="53"/>
        <v>D</v>
      </c>
      <c r="O875" s="1" t="str">
        <f t="shared" ca="1" si="54"/>
        <v>D</v>
      </c>
      <c r="P875" s="1" t="str">
        <f t="shared" ca="1" si="55"/>
        <v>D</v>
      </c>
      <c r="Q875" s="1" t="str">
        <f t="shared" ca="1" si="56"/>
        <v>D</v>
      </c>
      <c r="R875" s="1" t="str">
        <f t="shared" ca="1" si="57"/>
        <v>D</v>
      </c>
      <c r="S875" s="1" t="str">
        <f t="shared" ca="1" si="58"/>
        <v>D</v>
      </c>
      <c r="T875" s="1" t="str">
        <f t="shared" ca="1" si="59"/>
        <v>D</v>
      </c>
      <c r="U875" s="1" t="str">
        <f t="shared" ca="1" si="60"/>
        <v>D</v>
      </c>
      <c r="V875" s="1" t="str">
        <f t="shared" ca="1" si="61"/>
        <v>D</v>
      </c>
      <c r="W875" s="1" t="str">
        <f t="shared" ca="1" si="62"/>
        <v>Dario Zuparic</v>
      </c>
    </row>
  </sheetData>
  <autoFilter ref="W1:W100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MLS Salaries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Savannah</dc:creator>
  <cp:lastModifiedBy>Savannah Williams</cp:lastModifiedBy>
  <dcterms:created xsi:type="dcterms:W3CDTF">2024-06-15T17:42:35Z</dcterms:created>
  <dcterms:modified xsi:type="dcterms:W3CDTF">2024-06-15T17:42:35Z</dcterms:modified>
</cp:coreProperties>
</file>