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vannah\Documents\DA11\Python\capstone\sports-league-wage-gap\capstonedashboard\"/>
    </mc:Choice>
  </mc:AlternateContent>
  <xr:revisionPtr revIDLastSave="0" documentId="8_{1EF41EA3-3F55-4898-A36B-4B0B7883D9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1" i="1" l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M96" i="1"/>
  <c r="L96" i="1"/>
  <c r="K96" i="1"/>
  <c r="J96" i="1"/>
  <c r="I96" i="1"/>
  <c r="H96" i="1"/>
  <c r="G96" i="1"/>
  <c r="F96" i="1"/>
  <c r="E96" i="1"/>
  <c r="D96" i="1"/>
  <c r="N96" i="1" s="1"/>
  <c r="C96" i="1"/>
  <c r="B96" i="1"/>
  <c r="A96" i="1"/>
  <c r="M95" i="1"/>
  <c r="L95" i="1"/>
  <c r="K95" i="1"/>
  <c r="J95" i="1"/>
  <c r="I95" i="1"/>
  <c r="H95" i="1"/>
  <c r="G95" i="1"/>
  <c r="F95" i="1"/>
  <c r="E95" i="1"/>
  <c r="D95" i="1"/>
  <c r="N95" i="1" s="1"/>
  <c r="C95" i="1"/>
  <c r="B95" i="1"/>
  <c r="A95" i="1"/>
  <c r="M94" i="1"/>
  <c r="L94" i="1"/>
  <c r="K94" i="1"/>
  <c r="J94" i="1"/>
  <c r="I94" i="1"/>
  <c r="H94" i="1"/>
  <c r="G94" i="1"/>
  <c r="F94" i="1"/>
  <c r="E94" i="1"/>
  <c r="D94" i="1"/>
  <c r="N94" i="1" s="1"/>
  <c r="C94" i="1"/>
  <c r="B94" i="1"/>
  <c r="A94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M92" i="1"/>
  <c r="L92" i="1"/>
  <c r="K92" i="1"/>
  <c r="J92" i="1"/>
  <c r="I92" i="1"/>
  <c r="H92" i="1"/>
  <c r="G92" i="1"/>
  <c r="F92" i="1"/>
  <c r="E92" i="1"/>
  <c r="D92" i="1"/>
  <c r="N92" i="1" s="1"/>
  <c r="C92" i="1"/>
  <c r="B92" i="1"/>
  <c r="A92" i="1"/>
  <c r="M91" i="1"/>
  <c r="L91" i="1"/>
  <c r="K91" i="1"/>
  <c r="J91" i="1"/>
  <c r="I91" i="1"/>
  <c r="H91" i="1"/>
  <c r="G91" i="1"/>
  <c r="F91" i="1"/>
  <c r="E91" i="1"/>
  <c r="D91" i="1"/>
  <c r="N91" i="1" s="1"/>
  <c r="C91" i="1"/>
  <c r="B91" i="1"/>
  <c r="A91" i="1"/>
  <c r="M90" i="1"/>
  <c r="L90" i="1"/>
  <c r="K90" i="1"/>
  <c r="J90" i="1"/>
  <c r="I90" i="1"/>
  <c r="H90" i="1"/>
  <c r="G90" i="1"/>
  <c r="F90" i="1"/>
  <c r="E90" i="1"/>
  <c r="D90" i="1"/>
  <c r="N90" i="1" s="1"/>
  <c r="C90" i="1"/>
  <c r="B90" i="1"/>
  <c r="A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N88" i="1" s="1"/>
  <c r="C88" i="1"/>
  <c r="B88" i="1"/>
  <c r="A88" i="1"/>
  <c r="M87" i="1"/>
  <c r="L87" i="1"/>
  <c r="K87" i="1"/>
  <c r="J87" i="1"/>
  <c r="I87" i="1"/>
  <c r="H87" i="1"/>
  <c r="G87" i="1"/>
  <c r="F87" i="1"/>
  <c r="E87" i="1"/>
  <c r="D87" i="1"/>
  <c r="N87" i="1" s="1"/>
  <c r="C87" i="1"/>
  <c r="B87" i="1"/>
  <c r="A87" i="1"/>
  <c r="M86" i="1"/>
  <c r="L86" i="1"/>
  <c r="K86" i="1"/>
  <c r="J86" i="1"/>
  <c r="I86" i="1"/>
  <c r="H86" i="1"/>
  <c r="G86" i="1"/>
  <c r="F86" i="1"/>
  <c r="E86" i="1"/>
  <c r="D86" i="1"/>
  <c r="N86" i="1" s="1"/>
  <c r="C86" i="1"/>
  <c r="B86" i="1"/>
  <c r="A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M84" i="1"/>
  <c r="L84" i="1"/>
  <c r="K84" i="1"/>
  <c r="J84" i="1"/>
  <c r="I84" i="1"/>
  <c r="H84" i="1"/>
  <c r="G84" i="1"/>
  <c r="F84" i="1"/>
  <c r="E84" i="1"/>
  <c r="D84" i="1"/>
  <c r="N84" i="1" s="1"/>
  <c r="C84" i="1"/>
  <c r="B84" i="1"/>
  <c r="A84" i="1"/>
  <c r="M83" i="1"/>
  <c r="L83" i="1"/>
  <c r="K83" i="1"/>
  <c r="J83" i="1"/>
  <c r="I83" i="1"/>
  <c r="H83" i="1"/>
  <c r="G83" i="1"/>
  <c r="F83" i="1"/>
  <c r="E83" i="1"/>
  <c r="D83" i="1"/>
  <c r="N83" i="1" s="1"/>
  <c r="C83" i="1"/>
  <c r="B83" i="1"/>
  <c r="A83" i="1"/>
  <c r="M82" i="1"/>
  <c r="L82" i="1"/>
  <c r="K82" i="1"/>
  <c r="J82" i="1"/>
  <c r="I82" i="1"/>
  <c r="H82" i="1"/>
  <c r="G82" i="1"/>
  <c r="F82" i="1"/>
  <c r="E82" i="1"/>
  <c r="D82" i="1"/>
  <c r="N82" i="1" s="1"/>
  <c r="C82" i="1"/>
  <c r="B82" i="1"/>
  <c r="A82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M80" i="1"/>
  <c r="L80" i="1"/>
  <c r="K80" i="1"/>
  <c r="J80" i="1"/>
  <c r="I80" i="1"/>
  <c r="H80" i="1"/>
  <c r="G80" i="1"/>
  <c r="F80" i="1"/>
  <c r="E80" i="1"/>
  <c r="D80" i="1"/>
  <c r="N80" i="1" s="1"/>
  <c r="C80" i="1"/>
  <c r="B80" i="1"/>
  <c r="A80" i="1"/>
  <c r="M79" i="1"/>
  <c r="L79" i="1"/>
  <c r="K79" i="1"/>
  <c r="J79" i="1"/>
  <c r="I79" i="1"/>
  <c r="H79" i="1"/>
  <c r="G79" i="1"/>
  <c r="F79" i="1"/>
  <c r="E79" i="1"/>
  <c r="D79" i="1"/>
  <c r="N79" i="1" s="1"/>
  <c r="C79" i="1"/>
  <c r="B79" i="1"/>
  <c r="A79" i="1"/>
  <c r="M78" i="1"/>
  <c r="L78" i="1"/>
  <c r="K78" i="1"/>
  <c r="J78" i="1"/>
  <c r="I78" i="1"/>
  <c r="H78" i="1"/>
  <c r="G78" i="1"/>
  <c r="F78" i="1"/>
  <c r="E78" i="1"/>
  <c r="D78" i="1"/>
  <c r="N78" i="1" s="1"/>
  <c r="C78" i="1"/>
  <c r="B78" i="1"/>
  <c r="A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N76" i="1" s="1"/>
  <c r="C76" i="1"/>
  <c r="B76" i="1"/>
  <c r="A76" i="1"/>
  <c r="M75" i="1"/>
  <c r="L75" i="1"/>
  <c r="K75" i="1"/>
  <c r="J75" i="1"/>
  <c r="I75" i="1"/>
  <c r="H75" i="1"/>
  <c r="G75" i="1"/>
  <c r="F75" i="1"/>
  <c r="E75" i="1"/>
  <c r="D75" i="1"/>
  <c r="N75" i="1" s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N74" i="1" s="1"/>
  <c r="C74" i="1"/>
  <c r="B74" i="1"/>
  <c r="A74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M72" i="1"/>
  <c r="L72" i="1"/>
  <c r="K72" i="1"/>
  <c r="J72" i="1"/>
  <c r="I72" i="1"/>
  <c r="H72" i="1"/>
  <c r="G72" i="1"/>
  <c r="F72" i="1"/>
  <c r="E72" i="1"/>
  <c r="D72" i="1"/>
  <c r="N72" i="1" s="1"/>
  <c r="C72" i="1"/>
  <c r="B72" i="1"/>
  <c r="A72" i="1"/>
  <c r="M71" i="1"/>
  <c r="L71" i="1"/>
  <c r="K71" i="1"/>
  <c r="J71" i="1"/>
  <c r="I71" i="1"/>
  <c r="H71" i="1"/>
  <c r="G71" i="1"/>
  <c r="F71" i="1"/>
  <c r="E71" i="1"/>
  <c r="D71" i="1"/>
  <c r="N71" i="1" s="1"/>
  <c r="C71" i="1"/>
  <c r="B71" i="1"/>
  <c r="A71" i="1"/>
  <c r="M70" i="1"/>
  <c r="L70" i="1"/>
  <c r="K70" i="1"/>
  <c r="J70" i="1"/>
  <c r="I70" i="1"/>
  <c r="H70" i="1"/>
  <c r="G70" i="1"/>
  <c r="F70" i="1"/>
  <c r="E70" i="1"/>
  <c r="D70" i="1"/>
  <c r="N70" i="1" s="1"/>
  <c r="C70" i="1"/>
  <c r="B70" i="1"/>
  <c r="A70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M68" i="1"/>
  <c r="L68" i="1"/>
  <c r="K68" i="1"/>
  <c r="J68" i="1"/>
  <c r="I68" i="1"/>
  <c r="H68" i="1"/>
  <c r="G68" i="1"/>
  <c r="F68" i="1"/>
  <c r="E68" i="1"/>
  <c r="D68" i="1"/>
  <c r="N68" i="1" s="1"/>
  <c r="C68" i="1"/>
  <c r="B68" i="1"/>
  <c r="A68" i="1"/>
  <c r="M67" i="1"/>
  <c r="L67" i="1"/>
  <c r="K67" i="1"/>
  <c r="J67" i="1"/>
  <c r="I67" i="1"/>
  <c r="H67" i="1"/>
  <c r="G67" i="1"/>
  <c r="F67" i="1"/>
  <c r="E67" i="1"/>
  <c r="D67" i="1"/>
  <c r="N67" i="1" s="1"/>
  <c r="C67" i="1"/>
  <c r="B67" i="1"/>
  <c r="A67" i="1"/>
  <c r="M66" i="1"/>
  <c r="L66" i="1"/>
  <c r="K66" i="1"/>
  <c r="J66" i="1"/>
  <c r="I66" i="1"/>
  <c r="H66" i="1"/>
  <c r="G66" i="1"/>
  <c r="F66" i="1"/>
  <c r="E66" i="1"/>
  <c r="D66" i="1"/>
  <c r="N66" i="1" s="1"/>
  <c r="C66" i="1"/>
  <c r="B66" i="1"/>
  <c r="A66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M64" i="1"/>
  <c r="L64" i="1"/>
  <c r="K64" i="1"/>
  <c r="J64" i="1"/>
  <c r="I64" i="1"/>
  <c r="H64" i="1"/>
  <c r="G64" i="1"/>
  <c r="F64" i="1"/>
  <c r="E64" i="1"/>
  <c r="D64" i="1"/>
  <c r="N64" i="1" s="1"/>
  <c r="C64" i="1"/>
  <c r="B64" i="1"/>
  <c r="A64" i="1"/>
  <c r="M63" i="1"/>
  <c r="L63" i="1"/>
  <c r="K63" i="1"/>
  <c r="J63" i="1"/>
  <c r="I63" i="1"/>
  <c r="H63" i="1"/>
  <c r="G63" i="1"/>
  <c r="F63" i="1"/>
  <c r="E63" i="1"/>
  <c r="D63" i="1"/>
  <c r="N63" i="1" s="1"/>
  <c r="C63" i="1"/>
  <c r="B63" i="1"/>
  <c r="A63" i="1"/>
  <c r="M62" i="1"/>
  <c r="L62" i="1"/>
  <c r="K62" i="1"/>
  <c r="J62" i="1"/>
  <c r="I62" i="1"/>
  <c r="H62" i="1"/>
  <c r="G62" i="1"/>
  <c r="F62" i="1"/>
  <c r="E62" i="1"/>
  <c r="D62" i="1"/>
  <c r="N62" i="1" s="1"/>
  <c r="C62" i="1"/>
  <c r="B62" i="1"/>
  <c r="A62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M60" i="1"/>
  <c r="L60" i="1"/>
  <c r="K60" i="1"/>
  <c r="J60" i="1"/>
  <c r="I60" i="1"/>
  <c r="H60" i="1"/>
  <c r="G60" i="1"/>
  <c r="F60" i="1"/>
  <c r="E60" i="1"/>
  <c r="D60" i="1"/>
  <c r="N60" i="1" s="1"/>
  <c r="C60" i="1"/>
  <c r="B60" i="1"/>
  <c r="A60" i="1"/>
  <c r="M59" i="1"/>
  <c r="L59" i="1"/>
  <c r="K59" i="1"/>
  <c r="J59" i="1"/>
  <c r="I59" i="1"/>
  <c r="H59" i="1"/>
  <c r="G59" i="1"/>
  <c r="F59" i="1"/>
  <c r="E59" i="1"/>
  <c r="D59" i="1"/>
  <c r="N59" i="1" s="1"/>
  <c r="C59" i="1"/>
  <c r="B59" i="1"/>
  <c r="A59" i="1"/>
  <c r="M58" i="1"/>
  <c r="L58" i="1"/>
  <c r="K58" i="1"/>
  <c r="J58" i="1"/>
  <c r="I58" i="1"/>
  <c r="H58" i="1"/>
  <c r="G58" i="1"/>
  <c r="F58" i="1"/>
  <c r="E58" i="1"/>
  <c r="D58" i="1"/>
  <c r="N58" i="1" s="1"/>
  <c r="C58" i="1"/>
  <c r="B58" i="1"/>
  <c r="A58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M56" i="1"/>
  <c r="L56" i="1"/>
  <c r="K56" i="1"/>
  <c r="J56" i="1"/>
  <c r="I56" i="1"/>
  <c r="H56" i="1"/>
  <c r="G56" i="1"/>
  <c r="F56" i="1"/>
  <c r="E56" i="1"/>
  <c r="D56" i="1"/>
  <c r="N56" i="1" s="1"/>
  <c r="C56" i="1"/>
  <c r="B56" i="1"/>
  <c r="A56" i="1"/>
  <c r="M55" i="1"/>
  <c r="L55" i="1"/>
  <c r="K55" i="1"/>
  <c r="J55" i="1"/>
  <c r="I55" i="1"/>
  <c r="H55" i="1"/>
  <c r="G55" i="1"/>
  <c r="F55" i="1"/>
  <c r="E55" i="1"/>
  <c r="D55" i="1"/>
  <c r="N55" i="1" s="1"/>
  <c r="C55" i="1"/>
  <c r="B55" i="1"/>
  <c r="A55" i="1"/>
  <c r="M54" i="1"/>
  <c r="L54" i="1"/>
  <c r="K54" i="1"/>
  <c r="J54" i="1"/>
  <c r="I54" i="1"/>
  <c r="H54" i="1"/>
  <c r="G54" i="1"/>
  <c r="F54" i="1"/>
  <c r="E54" i="1"/>
  <c r="D54" i="1"/>
  <c r="N54" i="1" s="1"/>
  <c r="C54" i="1"/>
  <c r="B54" i="1"/>
  <c r="A54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M52" i="1"/>
  <c r="L52" i="1"/>
  <c r="K52" i="1"/>
  <c r="J52" i="1"/>
  <c r="I52" i="1"/>
  <c r="H52" i="1"/>
  <c r="G52" i="1"/>
  <c r="F52" i="1"/>
  <c r="E52" i="1"/>
  <c r="D52" i="1"/>
  <c r="N52" i="1" s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N51" i="1" s="1"/>
  <c r="C51" i="1"/>
  <c r="B51" i="1"/>
  <c r="A51" i="1"/>
  <c r="M50" i="1"/>
  <c r="L50" i="1"/>
  <c r="K50" i="1"/>
  <c r="J50" i="1"/>
  <c r="I50" i="1"/>
  <c r="H50" i="1"/>
  <c r="G50" i="1"/>
  <c r="F50" i="1"/>
  <c r="E50" i="1"/>
  <c r="D50" i="1"/>
  <c r="N50" i="1" s="1"/>
  <c r="C50" i="1"/>
  <c r="B50" i="1"/>
  <c r="A50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N48" i="1" s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N47" i="1" s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N46" i="1" s="1"/>
  <c r="C46" i="1"/>
  <c r="B46" i="1"/>
  <c r="A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N44" i="1" s="1"/>
  <c r="C44" i="1"/>
  <c r="B44" i="1"/>
  <c r="A44" i="1"/>
  <c r="M43" i="1"/>
  <c r="L43" i="1"/>
  <c r="K43" i="1"/>
  <c r="J43" i="1"/>
  <c r="I43" i="1"/>
  <c r="H43" i="1"/>
  <c r="G43" i="1"/>
  <c r="F43" i="1"/>
  <c r="E43" i="1"/>
  <c r="D43" i="1"/>
  <c r="N43" i="1" s="1"/>
  <c r="C43" i="1"/>
  <c r="B43" i="1"/>
  <c r="A43" i="1"/>
  <c r="M42" i="1"/>
  <c r="L42" i="1"/>
  <c r="K42" i="1"/>
  <c r="J42" i="1"/>
  <c r="I42" i="1"/>
  <c r="H42" i="1"/>
  <c r="G42" i="1"/>
  <c r="F42" i="1"/>
  <c r="E42" i="1"/>
  <c r="D42" i="1"/>
  <c r="N42" i="1" s="1"/>
  <c r="C42" i="1"/>
  <c r="B42" i="1"/>
  <c r="A42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M40" i="1"/>
  <c r="L40" i="1"/>
  <c r="K40" i="1"/>
  <c r="J40" i="1"/>
  <c r="I40" i="1"/>
  <c r="H40" i="1"/>
  <c r="G40" i="1"/>
  <c r="F40" i="1"/>
  <c r="E40" i="1"/>
  <c r="D40" i="1"/>
  <c r="N40" i="1" s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N39" i="1" s="1"/>
  <c r="C39" i="1"/>
  <c r="B39" i="1"/>
  <c r="A39" i="1"/>
  <c r="M38" i="1"/>
  <c r="L38" i="1"/>
  <c r="K38" i="1"/>
  <c r="J38" i="1"/>
  <c r="I38" i="1"/>
  <c r="H38" i="1"/>
  <c r="G38" i="1"/>
  <c r="F38" i="1"/>
  <c r="E38" i="1"/>
  <c r="D38" i="1"/>
  <c r="N38" i="1" s="1"/>
  <c r="C38" i="1"/>
  <c r="B38" i="1"/>
  <c r="A38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M36" i="1"/>
  <c r="L36" i="1"/>
  <c r="K36" i="1"/>
  <c r="J36" i="1"/>
  <c r="I36" i="1"/>
  <c r="H36" i="1"/>
  <c r="G36" i="1"/>
  <c r="F36" i="1"/>
  <c r="E36" i="1"/>
  <c r="D36" i="1"/>
  <c r="N36" i="1" s="1"/>
  <c r="C36" i="1"/>
  <c r="B36" i="1"/>
  <c r="A36" i="1"/>
  <c r="M35" i="1"/>
  <c r="L35" i="1"/>
  <c r="K35" i="1"/>
  <c r="J35" i="1"/>
  <c r="I35" i="1"/>
  <c r="H35" i="1"/>
  <c r="G35" i="1"/>
  <c r="F35" i="1"/>
  <c r="E35" i="1"/>
  <c r="D35" i="1"/>
  <c r="N35" i="1" s="1"/>
  <c r="C35" i="1"/>
  <c r="B35" i="1"/>
  <c r="A35" i="1"/>
  <c r="M34" i="1"/>
  <c r="L34" i="1"/>
  <c r="K34" i="1"/>
  <c r="J34" i="1"/>
  <c r="I34" i="1"/>
  <c r="H34" i="1"/>
  <c r="G34" i="1"/>
  <c r="F34" i="1"/>
  <c r="E34" i="1"/>
  <c r="D34" i="1"/>
  <c r="N34" i="1" s="1"/>
  <c r="C34" i="1"/>
  <c r="B34" i="1"/>
  <c r="A34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M32" i="1"/>
  <c r="L32" i="1"/>
  <c r="K32" i="1"/>
  <c r="J32" i="1"/>
  <c r="I32" i="1"/>
  <c r="H32" i="1"/>
  <c r="G32" i="1"/>
  <c r="F32" i="1"/>
  <c r="E32" i="1"/>
  <c r="D32" i="1"/>
  <c r="N32" i="1" s="1"/>
  <c r="C32" i="1"/>
  <c r="B32" i="1"/>
  <c r="A32" i="1"/>
  <c r="M31" i="1"/>
  <c r="L31" i="1"/>
  <c r="K31" i="1"/>
  <c r="J31" i="1"/>
  <c r="I31" i="1"/>
  <c r="H31" i="1"/>
  <c r="G31" i="1"/>
  <c r="F31" i="1"/>
  <c r="E31" i="1"/>
  <c r="D31" i="1"/>
  <c r="N31" i="1" s="1"/>
  <c r="C31" i="1"/>
  <c r="B31" i="1"/>
  <c r="A31" i="1"/>
  <c r="M30" i="1"/>
  <c r="L30" i="1"/>
  <c r="K30" i="1"/>
  <c r="J30" i="1"/>
  <c r="I30" i="1"/>
  <c r="H30" i="1"/>
  <c r="G30" i="1"/>
  <c r="F30" i="1"/>
  <c r="E30" i="1"/>
  <c r="D30" i="1"/>
  <c r="N30" i="1" s="1"/>
  <c r="C30" i="1"/>
  <c r="B30" i="1"/>
  <c r="A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M28" i="1"/>
  <c r="L28" i="1"/>
  <c r="K28" i="1"/>
  <c r="J28" i="1"/>
  <c r="I28" i="1"/>
  <c r="H28" i="1"/>
  <c r="G28" i="1"/>
  <c r="F28" i="1"/>
  <c r="E28" i="1"/>
  <c r="D28" i="1"/>
  <c r="N28" i="1" s="1"/>
  <c r="C28" i="1"/>
  <c r="B28" i="1"/>
  <c r="A28" i="1"/>
  <c r="M27" i="1"/>
  <c r="L27" i="1"/>
  <c r="K27" i="1"/>
  <c r="J27" i="1"/>
  <c r="I27" i="1"/>
  <c r="H27" i="1"/>
  <c r="G27" i="1"/>
  <c r="F27" i="1"/>
  <c r="E27" i="1"/>
  <c r="D27" i="1"/>
  <c r="N27" i="1" s="1"/>
  <c r="C27" i="1"/>
  <c r="B27" i="1"/>
  <c r="A27" i="1"/>
  <c r="M26" i="1"/>
  <c r="L26" i="1"/>
  <c r="K26" i="1"/>
  <c r="J26" i="1"/>
  <c r="I26" i="1"/>
  <c r="H26" i="1"/>
  <c r="G26" i="1"/>
  <c r="F26" i="1"/>
  <c r="E26" i="1"/>
  <c r="D26" i="1"/>
  <c r="N26" i="1" s="1"/>
  <c r="C26" i="1"/>
  <c r="B26" i="1"/>
  <c r="A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M24" i="1"/>
  <c r="L24" i="1"/>
  <c r="K24" i="1"/>
  <c r="J24" i="1"/>
  <c r="I24" i="1"/>
  <c r="H24" i="1"/>
  <c r="G24" i="1"/>
  <c r="F24" i="1"/>
  <c r="E24" i="1"/>
  <c r="D24" i="1"/>
  <c r="N24" i="1" s="1"/>
  <c r="C24" i="1"/>
  <c r="B24" i="1"/>
  <c r="A24" i="1"/>
  <c r="M23" i="1"/>
  <c r="L23" i="1"/>
  <c r="K23" i="1"/>
  <c r="J23" i="1"/>
  <c r="I23" i="1"/>
  <c r="H23" i="1"/>
  <c r="G23" i="1"/>
  <c r="F23" i="1"/>
  <c r="E23" i="1"/>
  <c r="D23" i="1"/>
  <c r="N23" i="1" s="1"/>
  <c r="C23" i="1"/>
  <c r="B23" i="1"/>
  <c r="A23" i="1"/>
  <c r="M22" i="1"/>
  <c r="L22" i="1"/>
  <c r="K22" i="1"/>
  <c r="J22" i="1"/>
  <c r="I22" i="1"/>
  <c r="H22" i="1"/>
  <c r="G22" i="1"/>
  <c r="F22" i="1"/>
  <c r="E22" i="1"/>
  <c r="D22" i="1"/>
  <c r="N22" i="1" s="1"/>
  <c r="C22" i="1"/>
  <c r="B22" i="1"/>
  <c r="A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M20" i="1"/>
  <c r="L20" i="1"/>
  <c r="K20" i="1"/>
  <c r="J20" i="1"/>
  <c r="I20" i="1"/>
  <c r="H20" i="1"/>
  <c r="G20" i="1"/>
  <c r="F20" i="1"/>
  <c r="E20" i="1"/>
  <c r="D20" i="1"/>
  <c r="N20" i="1" s="1"/>
  <c r="C20" i="1"/>
  <c r="B20" i="1"/>
  <c r="A20" i="1"/>
  <c r="M19" i="1"/>
  <c r="L19" i="1"/>
  <c r="K19" i="1"/>
  <c r="J19" i="1"/>
  <c r="I19" i="1"/>
  <c r="H19" i="1"/>
  <c r="G19" i="1"/>
  <c r="F19" i="1"/>
  <c r="E19" i="1"/>
  <c r="D19" i="1"/>
  <c r="N19" i="1" s="1"/>
  <c r="C19" i="1"/>
  <c r="B19" i="1"/>
  <c r="A19" i="1"/>
  <c r="M18" i="1"/>
  <c r="L18" i="1"/>
  <c r="K18" i="1"/>
  <c r="J18" i="1"/>
  <c r="I18" i="1"/>
  <c r="H18" i="1"/>
  <c r="G18" i="1"/>
  <c r="F18" i="1"/>
  <c r="E18" i="1"/>
  <c r="D18" i="1"/>
  <c r="N18" i="1" s="1"/>
  <c r="C18" i="1"/>
  <c r="B18" i="1"/>
  <c r="A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16" i="1"/>
  <c r="L16" i="1"/>
  <c r="K16" i="1"/>
  <c r="J16" i="1"/>
  <c r="I16" i="1"/>
  <c r="H16" i="1"/>
  <c r="G16" i="1"/>
  <c r="F16" i="1"/>
  <c r="E16" i="1"/>
  <c r="D16" i="1"/>
  <c r="N16" i="1" s="1"/>
  <c r="C16" i="1"/>
  <c r="B16" i="1"/>
  <c r="A16" i="1"/>
  <c r="M15" i="1"/>
  <c r="L15" i="1"/>
  <c r="K15" i="1"/>
  <c r="J15" i="1"/>
  <c r="I15" i="1"/>
  <c r="H15" i="1"/>
  <c r="G15" i="1"/>
  <c r="F15" i="1"/>
  <c r="E15" i="1"/>
  <c r="D15" i="1"/>
  <c r="N15" i="1" s="1"/>
  <c r="C15" i="1"/>
  <c r="B15" i="1"/>
  <c r="A15" i="1"/>
  <c r="M14" i="1"/>
  <c r="L14" i="1"/>
  <c r="K14" i="1"/>
  <c r="J14" i="1"/>
  <c r="I14" i="1"/>
  <c r="H14" i="1"/>
  <c r="G14" i="1"/>
  <c r="F14" i="1"/>
  <c r="E14" i="1"/>
  <c r="D14" i="1"/>
  <c r="N14" i="1" s="1"/>
  <c r="C14" i="1"/>
  <c r="B14" i="1"/>
  <c r="A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L12" i="1"/>
  <c r="K12" i="1"/>
  <c r="J12" i="1"/>
  <c r="I12" i="1"/>
  <c r="H12" i="1"/>
  <c r="G12" i="1"/>
  <c r="F12" i="1"/>
  <c r="E12" i="1"/>
  <c r="D12" i="1"/>
  <c r="N12" i="1" s="1"/>
  <c r="C12" i="1"/>
  <c r="B12" i="1"/>
  <c r="A12" i="1"/>
  <c r="M11" i="1"/>
  <c r="L11" i="1"/>
  <c r="K11" i="1"/>
  <c r="J11" i="1"/>
  <c r="I11" i="1"/>
  <c r="H11" i="1"/>
  <c r="G11" i="1"/>
  <c r="F11" i="1"/>
  <c r="E11" i="1"/>
  <c r="D11" i="1"/>
  <c r="N11" i="1" s="1"/>
  <c r="C11" i="1"/>
  <c r="B11" i="1"/>
  <c r="A11" i="1"/>
  <c r="M10" i="1"/>
  <c r="L10" i="1"/>
  <c r="K10" i="1"/>
  <c r="J10" i="1"/>
  <c r="I10" i="1"/>
  <c r="H10" i="1"/>
  <c r="G10" i="1"/>
  <c r="F10" i="1"/>
  <c r="E10" i="1"/>
  <c r="D10" i="1"/>
  <c r="N10" i="1" s="1"/>
  <c r="C10" i="1"/>
  <c r="B10" i="1"/>
  <c r="A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M8" i="1"/>
  <c r="L8" i="1"/>
  <c r="K8" i="1"/>
  <c r="J8" i="1"/>
  <c r="I8" i="1"/>
  <c r="H8" i="1"/>
  <c r="G8" i="1"/>
  <c r="F8" i="1"/>
  <c r="E8" i="1"/>
  <c r="D8" i="1"/>
  <c r="N8" i="1" s="1"/>
  <c r="C8" i="1"/>
  <c r="B8" i="1"/>
  <c r="A8" i="1"/>
  <c r="M7" i="1"/>
  <c r="L7" i="1"/>
  <c r="K7" i="1"/>
  <c r="J7" i="1"/>
  <c r="I7" i="1"/>
  <c r="H7" i="1"/>
  <c r="G7" i="1"/>
  <c r="F7" i="1"/>
  <c r="E7" i="1"/>
  <c r="D7" i="1"/>
  <c r="N7" i="1" s="1"/>
  <c r="C7" i="1"/>
  <c r="B7" i="1"/>
  <c r="A7" i="1"/>
  <c r="M6" i="1"/>
  <c r="L6" i="1"/>
  <c r="K6" i="1"/>
  <c r="J6" i="1"/>
  <c r="I6" i="1"/>
  <c r="H6" i="1"/>
  <c r="G6" i="1"/>
  <c r="F6" i="1"/>
  <c r="E6" i="1"/>
  <c r="D6" i="1"/>
  <c r="N6" i="1" s="1"/>
  <c r="C6" i="1"/>
  <c r="B6" i="1"/>
  <c r="A6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L4" i="1"/>
  <c r="K4" i="1"/>
  <c r="J4" i="1"/>
  <c r="I4" i="1"/>
  <c r="H4" i="1"/>
  <c r="G4" i="1"/>
  <c r="F4" i="1"/>
  <c r="E4" i="1"/>
  <c r="D4" i="1"/>
  <c r="N4" i="1" s="1"/>
  <c r="C4" i="1"/>
  <c r="B4" i="1"/>
  <c r="A4" i="1"/>
  <c r="M3" i="1"/>
  <c r="L3" i="1"/>
  <c r="K3" i="1"/>
  <c r="J3" i="1"/>
  <c r="I3" i="1"/>
  <c r="H3" i="1"/>
  <c r="G3" i="1"/>
  <c r="F3" i="1"/>
  <c r="E3" i="1"/>
  <c r="D3" i="1"/>
  <c r="N3" i="1" s="1"/>
  <c r="C3" i="1"/>
  <c r="B3" i="1"/>
  <c r="A3" i="1"/>
  <c r="M2" i="1"/>
  <c r="L2" i="1"/>
  <c r="K2" i="1"/>
  <c r="J2" i="1"/>
  <c r="I2" i="1"/>
  <c r="H2" i="1"/>
  <c r="G2" i="1"/>
  <c r="F2" i="1"/>
  <c r="E2" i="1"/>
  <c r="D2" i="1"/>
  <c r="N2" i="1" s="1"/>
  <c r="C2" i="1"/>
  <c r="B2" i="1"/>
  <c r="A2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<sst xmlns="http://schemas.openxmlformats.org/spreadsheetml/2006/main" count="1" uniqueCount="1">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</sst>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1"/>
  <sheetViews>
    <sheetView tabSelected="1" workbookViewId="0"/>
  </sheetViews>
  <sheetFormatPr defaultColWidth="12.6640625" defaultRowHeight="15.75" customHeight="1" x14ac:dyDescent="0.25"/>
  <cols>
    <col min="11" max="11" width="15.44140625" customWidth="1"/>
    <col min="13" max="13" width="15.21875" customWidth="1"/>
  </cols>
  <sheetData>
    <row r="1" spans="1:14" x14ac:dyDescent="0.25">
      <c r="A1" s="1" t="str">
        <f ca="1">IFERROR(__xludf.DUMMYFUNCTION("IMPORTHTML(""https://www.spotrac.com/nfl/contracts"",""table"",1)"),"Rank")</f>
        <v>Rank</v>
      </c>
      <c r="B1" s="1" t="str">
        <f ca="1">IFERROR(__xludf.DUMMYFUNCTION("""COMPUTED_VALUE"""),"Player")</f>
        <v>Player</v>
      </c>
      <c r="C1" s="1" t="str">
        <f ca="1">IFERROR(__xludf.DUMMYFUNCTION("""COMPUTED_VALUE"""),"Pos")</f>
        <v>Pos</v>
      </c>
      <c r="D1" s="1" t="str">
        <f ca="1">IFERROR(__xludf.DUMMYFUNCTION("""COMPUTED_VALUE"""),"TeamCurrently With")</f>
        <v>TeamCurrently With</v>
      </c>
      <c r="E1" s="1" t="str">
        <f ca="1">IFERROR(__xludf.DUMMYFUNCTION("""COMPUTED_VALUE"""),"AgeAt Signing")</f>
        <v>AgeAt Signing</v>
      </c>
      <c r="F1" s="1" t="str">
        <f ca="1">IFERROR(__xludf.DUMMYFUNCTION("""COMPUTED_VALUE"""),"StartYear")</f>
        <v>StartYear</v>
      </c>
      <c r="G1" s="1" t="str">
        <f ca="1">IFERROR(__xludf.DUMMYFUNCTION("""COMPUTED_VALUE"""),"EndYear")</f>
        <v>EndYear</v>
      </c>
      <c r="H1" s="1" t="str">
        <f ca="1">IFERROR(__xludf.DUMMYFUNCTION("""COMPUTED_VALUE"""),"Yrs")</f>
        <v>Yrs</v>
      </c>
      <c r="I1" s="1" t="str">
        <f ca="1">IFERROR(__xludf.DUMMYFUNCTION("""COMPUTED_VALUE"""),"Value")</f>
        <v>Value</v>
      </c>
      <c r="J1" s="1" t="str">
        <f ca="1">IFERROR(__xludf.DUMMYFUNCTION("""COMPUTED_VALUE"""),"AverageSalary")</f>
        <v>AverageSalary</v>
      </c>
      <c r="K1" s="1" t="str">
        <f ca="1">IFERROR(__xludf.DUMMYFUNCTION("""COMPUTED_VALUE"""),"Average %% of Cap At Sign")</f>
        <v>Average %% of Cap At Sign</v>
      </c>
      <c r="L1" s="1" t="str">
        <f ca="1">IFERROR(__xludf.DUMMYFUNCTION("""COMPUTED_VALUE"""),"Guaranteeat Sign")</f>
        <v>Guaranteeat Sign</v>
      </c>
      <c r="M1" s="1" t="str">
        <f ca="1">IFERROR(__xludf.DUMMYFUNCTION("""COMPUTED_VALUE"""),"PracticalGuarantee")</f>
        <v>PracticalGuarantee</v>
      </c>
      <c r="N1" s="1" t="s">
        <v>0</v>
      </c>
    </row>
    <row r="2" spans="1:14" x14ac:dyDescent="0.25">
      <c r="A2" s="1">
        <f ca="1">IFERROR(__xludf.DUMMYFUNCTION("""COMPUTED_VALUE"""),1)</f>
        <v>1</v>
      </c>
      <c r="B2" s="1" t="str">
        <f ca="1">IFERROR(__xludf.DUMMYFUNCTION("""COMPUTED_VALUE"""),"Patrick Mahomes")</f>
        <v>Patrick Mahomes</v>
      </c>
      <c r="C2" s="1" t="str">
        <f ca="1">IFERROR(__xludf.DUMMYFUNCTION("""COMPUTED_VALUE"""),"QB")</f>
        <v>QB</v>
      </c>
      <c r="D2" s="1" t="str">
        <f ca="1">IFERROR(__xludf.DUMMYFUNCTION("""COMPUTED_VALUE"""),"KC KC")</f>
        <v>KC KC</v>
      </c>
      <c r="E2" s="1">
        <f ca="1">IFERROR(__xludf.DUMMYFUNCTION("""COMPUTED_VALUE"""),24)</f>
        <v>24</v>
      </c>
      <c r="F2" s="1">
        <f ca="1">IFERROR(__xludf.DUMMYFUNCTION("""COMPUTED_VALUE"""),2020)</f>
        <v>2020</v>
      </c>
      <c r="G2" s="1">
        <f ca="1">IFERROR(__xludf.DUMMYFUNCTION("""COMPUTED_VALUE"""),2031)</f>
        <v>2031</v>
      </c>
      <c r="H2" s="1">
        <f ca="1">IFERROR(__xludf.DUMMYFUNCTION("""COMPUTED_VALUE"""),10)</f>
        <v>10</v>
      </c>
      <c r="I2" s="2">
        <f ca="1">IFERROR(__xludf.DUMMYFUNCTION("""COMPUTED_VALUE"""),450000000)</f>
        <v>450000000</v>
      </c>
      <c r="J2" s="2">
        <f ca="1">IFERROR(__xludf.DUMMYFUNCTION("""COMPUTED_VALUE"""),45000000)</f>
        <v>45000000</v>
      </c>
      <c r="K2" s="3">
        <f ca="1">IFERROR(__xludf.DUMMYFUNCTION("""COMPUTED_VALUE"""),0.227)</f>
        <v>0.22700000000000001</v>
      </c>
      <c r="L2" s="2">
        <f ca="1">IFERROR(__xludf.DUMMYFUNCTION("""COMPUTED_VALUE"""),63081905)</f>
        <v>63081905</v>
      </c>
      <c r="M2" s="2">
        <f ca="1">IFERROR(__xludf.DUMMYFUNCTION("""COMPUTED_VALUE"""),141481905)</f>
        <v>141481905</v>
      </c>
      <c r="N2" s="1" t="str">
        <f t="shared" ref="N2:N101" ca="1" si="0">LEFT($D2,FIND(" ",$D2)-1)</f>
        <v>KC</v>
      </c>
    </row>
    <row r="3" spans="1:14" x14ac:dyDescent="0.25">
      <c r="A3" s="1" t="str">
        <f ca="1">IFERROR(__xludf.DUMMYFUNCTION("""COMPUTED_VALUE"""),"T2")</f>
        <v>T2</v>
      </c>
      <c r="B3" s="1" t="str">
        <f ca="1">IFERROR(__xludf.DUMMYFUNCTION("""COMPUTED_VALUE"""),"Trevor Lawrence")</f>
        <v>Trevor Lawrence</v>
      </c>
      <c r="C3" s="1" t="str">
        <f ca="1">IFERROR(__xludf.DUMMYFUNCTION("""COMPUTED_VALUE"""),"QB")</f>
        <v>QB</v>
      </c>
      <c r="D3" s="1" t="str">
        <f ca="1">IFERROR(__xludf.DUMMYFUNCTION("""COMPUTED_VALUE"""),"JAX JAX")</f>
        <v>JAX JAX</v>
      </c>
      <c r="E3" s="1">
        <f ca="1">IFERROR(__xludf.DUMMYFUNCTION("""COMPUTED_VALUE"""),24)</f>
        <v>24</v>
      </c>
      <c r="F3" s="1">
        <f ca="1">IFERROR(__xludf.DUMMYFUNCTION("""COMPUTED_VALUE"""),2024)</f>
        <v>2024</v>
      </c>
      <c r="G3" s="1">
        <f ca="1">IFERROR(__xludf.DUMMYFUNCTION("""COMPUTED_VALUE"""),2030)</f>
        <v>2030</v>
      </c>
      <c r="H3" s="1">
        <f ca="1">IFERROR(__xludf.DUMMYFUNCTION("""COMPUTED_VALUE"""),5)</f>
        <v>5</v>
      </c>
      <c r="I3" s="2">
        <f ca="1">IFERROR(__xludf.DUMMYFUNCTION("""COMPUTED_VALUE"""),275000000)</f>
        <v>275000000</v>
      </c>
      <c r="J3" s="2">
        <f ca="1">IFERROR(__xludf.DUMMYFUNCTION("""COMPUTED_VALUE"""),55000000)</f>
        <v>55000000</v>
      </c>
      <c r="K3" s="3">
        <f ca="1">IFERROR(__xludf.DUMMYFUNCTION("""COMPUTED_VALUE"""),0.2153)</f>
        <v>0.21529999999999999</v>
      </c>
      <c r="L3" s="2">
        <f ca="1">IFERROR(__xludf.DUMMYFUNCTION("""COMPUTED_VALUE"""),142000000)</f>
        <v>142000000</v>
      </c>
      <c r="M3" s="2">
        <f ca="1">IFERROR(__xludf.DUMMYFUNCTION("""COMPUTED_VALUE"""),200000000)</f>
        <v>200000000</v>
      </c>
      <c r="N3" s="1" t="str">
        <f t="shared" ca="1" si="0"/>
        <v>JAX</v>
      </c>
    </row>
    <row r="4" spans="1:14" x14ac:dyDescent="0.25">
      <c r="A4" s="1" t="str">
        <f ca="1">IFERROR(__xludf.DUMMYFUNCTION("""COMPUTED_VALUE"""),"T2")</f>
        <v>T2</v>
      </c>
      <c r="B4" s="1" t="str">
        <f ca="1">IFERROR(__xludf.DUMMYFUNCTION("""COMPUTED_VALUE"""),"Joe Burrow")</f>
        <v>Joe Burrow</v>
      </c>
      <c r="C4" s="1" t="str">
        <f ca="1">IFERROR(__xludf.DUMMYFUNCTION("""COMPUTED_VALUE"""),"QB")</f>
        <v>QB</v>
      </c>
      <c r="D4" s="1" t="str">
        <f ca="1">IFERROR(__xludf.DUMMYFUNCTION("""COMPUTED_VALUE"""),"CIN CIN")</f>
        <v>CIN CIN</v>
      </c>
      <c r="E4" s="1">
        <f ca="1">IFERROR(__xludf.DUMMYFUNCTION("""COMPUTED_VALUE"""),26)</f>
        <v>26</v>
      </c>
      <c r="F4" s="1">
        <f ca="1">IFERROR(__xludf.DUMMYFUNCTION("""COMPUTED_VALUE"""),2023)</f>
        <v>2023</v>
      </c>
      <c r="G4" s="1">
        <f ca="1">IFERROR(__xludf.DUMMYFUNCTION("""COMPUTED_VALUE"""),2029)</f>
        <v>2029</v>
      </c>
      <c r="H4" s="1">
        <f ca="1">IFERROR(__xludf.DUMMYFUNCTION("""COMPUTED_VALUE"""),5)</f>
        <v>5</v>
      </c>
      <c r="I4" s="2">
        <f ca="1">IFERROR(__xludf.DUMMYFUNCTION("""COMPUTED_VALUE"""),275000000)</f>
        <v>275000000</v>
      </c>
      <c r="J4" s="2">
        <f ca="1">IFERROR(__xludf.DUMMYFUNCTION("""COMPUTED_VALUE"""),55000000)</f>
        <v>55000000</v>
      </c>
      <c r="K4" s="3">
        <f ca="1">IFERROR(__xludf.DUMMYFUNCTION("""COMPUTED_VALUE"""),0.2447)</f>
        <v>0.2447</v>
      </c>
      <c r="L4" s="2">
        <f ca="1">IFERROR(__xludf.DUMMYFUNCTION("""COMPUTED_VALUE"""),146510000)</f>
        <v>146510000</v>
      </c>
      <c r="M4" s="2">
        <f ca="1">IFERROR(__xludf.DUMMYFUNCTION("""COMPUTED_VALUE"""),219010000)</f>
        <v>219010000</v>
      </c>
      <c r="N4" s="1" t="str">
        <f t="shared" ca="1" si="0"/>
        <v>CIN</v>
      </c>
    </row>
    <row r="5" spans="1:14" x14ac:dyDescent="0.25">
      <c r="A5" s="1">
        <f ca="1">IFERROR(__xludf.DUMMYFUNCTION("""COMPUTED_VALUE"""),4)</f>
        <v>4</v>
      </c>
      <c r="B5" s="1" t="str">
        <f ca="1">IFERROR(__xludf.DUMMYFUNCTION("""COMPUTED_VALUE"""),"Justin Herbert")</f>
        <v>Justin Herbert</v>
      </c>
      <c r="C5" s="1" t="str">
        <f ca="1">IFERROR(__xludf.DUMMYFUNCTION("""COMPUTED_VALUE"""),"QB")</f>
        <v>QB</v>
      </c>
      <c r="D5" s="1" t="str">
        <f ca="1">IFERROR(__xludf.DUMMYFUNCTION("""COMPUTED_VALUE"""),"LAC LAC")</f>
        <v>LAC LAC</v>
      </c>
      <c r="E5" s="1">
        <f ca="1">IFERROR(__xludf.DUMMYFUNCTION("""COMPUTED_VALUE"""),25)</f>
        <v>25</v>
      </c>
      <c r="F5" s="1">
        <f ca="1">IFERROR(__xludf.DUMMYFUNCTION("""COMPUTED_VALUE"""),2023)</f>
        <v>2023</v>
      </c>
      <c r="G5" s="1">
        <f ca="1">IFERROR(__xludf.DUMMYFUNCTION("""COMPUTED_VALUE"""),2029)</f>
        <v>2029</v>
      </c>
      <c r="H5" s="1">
        <f ca="1">IFERROR(__xludf.DUMMYFUNCTION("""COMPUTED_VALUE"""),5)</f>
        <v>5</v>
      </c>
      <c r="I5" s="2">
        <f ca="1">IFERROR(__xludf.DUMMYFUNCTION("""COMPUTED_VALUE"""),262500000)</f>
        <v>262500000</v>
      </c>
      <c r="J5" s="2">
        <f ca="1">IFERROR(__xludf.DUMMYFUNCTION("""COMPUTED_VALUE"""),52500000)</f>
        <v>52500000</v>
      </c>
      <c r="K5" s="3">
        <f ca="1">IFERROR(__xludf.DUMMYFUNCTION("""COMPUTED_VALUE"""),0.2335)</f>
        <v>0.23350000000000001</v>
      </c>
      <c r="L5" s="2">
        <f ca="1">IFERROR(__xludf.DUMMYFUNCTION("""COMPUTED_VALUE"""),133738376)</f>
        <v>133738376</v>
      </c>
      <c r="M5" s="2">
        <f ca="1">IFERROR(__xludf.DUMMYFUNCTION("""COMPUTED_VALUE"""),218738376)</f>
        <v>218738376</v>
      </c>
      <c r="N5" s="1" t="str">
        <f t="shared" ca="1" si="0"/>
        <v>LAC</v>
      </c>
    </row>
    <row r="6" spans="1:14" x14ac:dyDescent="0.25">
      <c r="A6" s="1">
        <f ca="1">IFERROR(__xludf.DUMMYFUNCTION("""COMPUTED_VALUE"""),5)</f>
        <v>5</v>
      </c>
      <c r="B6" s="1" t="str">
        <f ca="1">IFERROR(__xludf.DUMMYFUNCTION("""COMPUTED_VALUE"""),"Lamar Jackson")</f>
        <v>Lamar Jackson</v>
      </c>
      <c r="C6" s="1" t="str">
        <f ca="1">IFERROR(__xludf.DUMMYFUNCTION("""COMPUTED_VALUE"""),"QB")</f>
        <v>QB</v>
      </c>
      <c r="D6" s="1" t="str">
        <f ca="1">IFERROR(__xludf.DUMMYFUNCTION("""COMPUTED_VALUE"""),"BAL BAL")</f>
        <v>BAL BAL</v>
      </c>
      <c r="E6" s="1">
        <f ca="1">IFERROR(__xludf.DUMMYFUNCTION("""COMPUTED_VALUE"""),26)</f>
        <v>26</v>
      </c>
      <c r="F6" s="1">
        <f ca="1">IFERROR(__xludf.DUMMYFUNCTION("""COMPUTED_VALUE"""),2023)</f>
        <v>2023</v>
      </c>
      <c r="G6" s="1">
        <f ca="1">IFERROR(__xludf.DUMMYFUNCTION("""COMPUTED_VALUE"""),2027)</f>
        <v>2027</v>
      </c>
      <c r="H6" s="1">
        <f ca="1">IFERROR(__xludf.DUMMYFUNCTION("""COMPUTED_VALUE"""),5)</f>
        <v>5</v>
      </c>
      <c r="I6" s="2">
        <f ca="1">IFERROR(__xludf.DUMMYFUNCTION("""COMPUTED_VALUE"""),260000000)</f>
        <v>260000000</v>
      </c>
      <c r="J6" s="2">
        <f ca="1">IFERROR(__xludf.DUMMYFUNCTION("""COMPUTED_VALUE"""),52000000)</f>
        <v>52000000</v>
      </c>
      <c r="K6" s="3">
        <f ca="1">IFERROR(__xludf.DUMMYFUNCTION("""COMPUTED_VALUE"""),0.2313)</f>
        <v>0.23130000000000001</v>
      </c>
      <c r="L6" s="2">
        <f ca="1">IFERROR(__xludf.DUMMYFUNCTION("""COMPUTED_VALUE"""),135000000)</f>
        <v>135000000</v>
      </c>
      <c r="M6" s="2">
        <f ca="1">IFERROR(__xludf.DUMMYFUNCTION("""COMPUTED_VALUE"""),185000000)</f>
        <v>185000000</v>
      </c>
      <c r="N6" s="1" t="str">
        <f t="shared" ca="1" si="0"/>
        <v>BAL</v>
      </c>
    </row>
    <row r="7" spans="1:14" x14ac:dyDescent="0.25">
      <c r="A7" s="1">
        <f ca="1">IFERROR(__xludf.DUMMYFUNCTION("""COMPUTED_VALUE"""),6)</f>
        <v>6</v>
      </c>
      <c r="B7" s="1" t="str">
        <f ca="1">IFERROR(__xludf.DUMMYFUNCTION("""COMPUTED_VALUE"""),"Josh Allen")</f>
        <v>Josh Allen</v>
      </c>
      <c r="C7" s="1" t="str">
        <f ca="1">IFERROR(__xludf.DUMMYFUNCTION("""COMPUTED_VALUE"""),"QB")</f>
        <v>QB</v>
      </c>
      <c r="D7" s="1" t="str">
        <f ca="1">IFERROR(__xludf.DUMMYFUNCTION("""COMPUTED_VALUE"""),"BUF BUF")</f>
        <v>BUF BUF</v>
      </c>
      <c r="E7" s="1">
        <f ca="1">IFERROR(__xludf.DUMMYFUNCTION("""COMPUTED_VALUE"""),24)</f>
        <v>24</v>
      </c>
      <c r="F7" s="1">
        <f ca="1">IFERROR(__xludf.DUMMYFUNCTION("""COMPUTED_VALUE"""),2021)</f>
        <v>2021</v>
      </c>
      <c r="G7" s="1">
        <f ca="1">IFERROR(__xludf.DUMMYFUNCTION("""COMPUTED_VALUE"""),2028)</f>
        <v>2028</v>
      </c>
      <c r="H7" s="1">
        <f ca="1">IFERROR(__xludf.DUMMYFUNCTION("""COMPUTED_VALUE"""),6)</f>
        <v>6</v>
      </c>
      <c r="I7" s="2">
        <f ca="1">IFERROR(__xludf.DUMMYFUNCTION("""COMPUTED_VALUE"""),258034000)</f>
        <v>258034000</v>
      </c>
      <c r="J7" s="2">
        <f ca="1">IFERROR(__xludf.DUMMYFUNCTION("""COMPUTED_VALUE"""),43005667)</f>
        <v>43005667</v>
      </c>
      <c r="K7" s="3">
        <f ca="1">IFERROR(__xludf.DUMMYFUNCTION("""COMPUTED_VALUE"""),0.2356)</f>
        <v>0.2356</v>
      </c>
      <c r="L7" s="2">
        <f ca="1">IFERROR(__xludf.DUMMYFUNCTION("""COMPUTED_VALUE"""),100038596)</f>
        <v>100038596</v>
      </c>
      <c r="M7" s="2">
        <f ca="1">IFERROR(__xludf.DUMMYFUNCTION("""COMPUTED_VALUE"""),150000000)</f>
        <v>150000000</v>
      </c>
      <c r="N7" s="1" t="str">
        <f t="shared" ca="1" si="0"/>
        <v>BUF</v>
      </c>
    </row>
    <row r="8" spans="1:14" x14ac:dyDescent="0.25">
      <c r="A8" s="1">
        <f ca="1">IFERROR(__xludf.DUMMYFUNCTION("""COMPUTED_VALUE"""),7)</f>
        <v>7</v>
      </c>
      <c r="B8" s="1" t="str">
        <f ca="1">IFERROR(__xludf.DUMMYFUNCTION("""COMPUTED_VALUE"""),"Jalen Hurts")</f>
        <v>Jalen Hurts</v>
      </c>
      <c r="C8" s="1" t="str">
        <f ca="1">IFERROR(__xludf.DUMMYFUNCTION("""COMPUTED_VALUE"""),"QB")</f>
        <v>QB</v>
      </c>
      <c r="D8" s="1" t="str">
        <f ca="1">IFERROR(__xludf.DUMMYFUNCTION("""COMPUTED_VALUE"""),"PHI PHI")</f>
        <v>PHI PHI</v>
      </c>
      <c r="E8" s="1">
        <f ca="1">IFERROR(__xludf.DUMMYFUNCTION("""COMPUTED_VALUE"""),24)</f>
        <v>24</v>
      </c>
      <c r="F8" s="1">
        <f ca="1">IFERROR(__xludf.DUMMYFUNCTION("""COMPUTED_VALUE"""),2023)</f>
        <v>2023</v>
      </c>
      <c r="G8" s="1">
        <f ca="1">IFERROR(__xludf.DUMMYFUNCTION("""COMPUTED_VALUE"""),2028)</f>
        <v>2028</v>
      </c>
      <c r="H8" s="1">
        <f ca="1">IFERROR(__xludf.DUMMYFUNCTION("""COMPUTED_VALUE"""),5)</f>
        <v>5</v>
      </c>
      <c r="I8" s="2">
        <f ca="1">IFERROR(__xludf.DUMMYFUNCTION("""COMPUTED_VALUE"""),255000000)</f>
        <v>255000000</v>
      </c>
      <c r="J8" s="2">
        <f ca="1">IFERROR(__xludf.DUMMYFUNCTION("""COMPUTED_VALUE"""),51000000)</f>
        <v>51000000</v>
      </c>
      <c r="K8" s="3">
        <f ca="1">IFERROR(__xludf.DUMMYFUNCTION("""COMPUTED_VALUE"""),0.2269)</f>
        <v>0.22689999999999999</v>
      </c>
      <c r="L8" s="2">
        <f ca="1">IFERROR(__xludf.DUMMYFUNCTION("""COMPUTED_VALUE"""),110000000)</f>
        <v>110000000</v>
      </c>
      <c r="M8" s="2">
        <f ca="1">IFERROR(__xludf.DUMMYFUNCTION("""COMPUTED_VALUE"""),179399000)</f>
        <v>179399000</v>
      </c>
      <c r="N8" s="1" t="str">
        <f t="shared" ca="1" si="0"/>
        <v>PHI</v>
      </c>
    </row>
    <row r="9" spans="1:14" x14ac:dyDescent="0.25">
      <c r="A9" s="1">
        <f ca="1">IFERROR(__xludf.DUMMYFUNCTION("""COMPUTED_VALUE"""),8)</f>
        <v>8</v>
      </c>
      <c r="B9" s="1" t="str">
        <f ca="1">IFERROR(__xludf.DUMMYFUNCTION("""COMPUTED_VALUE"""),"Kyler Murray")</f>
        <v>Kyler Murray</v>
      </c>
      <c r="C9" s="1" t="str">
        <f ca="1">IFERROR(__xludf.DUMMYFUNCTION("""COMPUTED_VALUE"""),"QB")</f>
        <v>QB</v>
      </c>
      <c r="D9" s="1" t="str">
        <f ca="1">IFERROR(__xludf.DUMMYFUNCTION("""COMPUTED_VALUE"""),"ARI ARI")</f>
        <v>ARI ARI</v>
      </c>
      <c r="E9" s="1">
        <f ca="1">IFERROR(__xludf.DUMMYFUNCTION("""COMPUTED_VALUE"""),24)</f>
        <v>24</v>
      </c>
      <c r="F9" s="1">
        <f ca="1">IFERROR(__xludf.DUMMYFUNCTION("""COMPUTED_VALUE"""),2022)</f>
        <v>2022</v>
      </c>
      <c r="G9" s="1">
        <f ca="1">IFERROR(__xludf.DUMMYFUNCTION("""COMPUTED_VALUE"""),2028)</f>
        <v>2028</v>
      </c>
      <c r="H9" s="1">
        <f ca="1">IFERROR(__xludf.DUMMYFUNCTION("""COMPUTED_VALUE"""),5)</f>
        <v>5</v>
      </c>
      <c r="I9" s="2">
        <f ca="1">IFERROR(__xludf.DUMMYFUNCTION("""COMPUTED_VALUE"""),230500000)</f>
        <v>230500000</v>
      </c>
      <c r="J9" s="2">
        <f ca="1">IFERROR(__xludf.DUMMYFUNCTION("""COMPUTED_VALUE"""),46100000)</f>
        <v>46100000</v>
      </c>
      <c r="K9" s="3">
        <f ca="1">IFERROR(__xludf.DUMMYFUNCTION("""COMPUTED_VALUE"""),0.2214)</f>
        <v>0.22140000000000001</v>
      </c>
      <c r="L9" s="2">
        <f ca="1">IFERROR(__xludf.DUMMYFUNCTION("""COMPUTED_VALUE"""),103300000)</f>
        <v>103300000</v>
      </c>
      <c r="M9" s="2">
        <f ca="1">IFERROR(__xludf.DUMMYFUNCTION("""COMPUTED_VALUE"""),159797000)</f>
        <v>159797000</v>
      </c>
      <c r="N9" s="1" t="str">
        <f t="shared" ca="1" si="0"/>
        <v>ARI</v>
      </c>
    </row>
    <row r="10" spans="1:14" x14ac:dyDescent="0.25">
      <c r="A10" s="1">
        <f ca="1">IFERROR(__xludf.DUMMYFUNCTION("""COMPUTED_VALUE"""),9)</f>
        <v>9</v>
      </c>
      <c r="B10" s="1" t="str">
        <f ca="1">IFERROR(__xludf.DUMMYFUNCTION("""COMPUTED_VALUE"""),"Deshaun Watson")</f>
        <v>Deshaun Watson</v>
      </c>
      <c r="C10" s="1" t="str">
        <f ca="1">IFERROR(__xludf.DUMMYFUNCTION("""COMPUTED_VALUE"""),"QB")</f>
        <v>QB</v>
      </c>
      <c r="D10" s="1" t="str">
        <f ca="1">IFERROR(__xludf.DUMMYFUNCTION("""COMPUTED_VALUE"""),"CLE CLE")</f>
        <v>CLE CLE</v>
      </c>
      <c r="E10" s="1">
        <f ca="1">IFERROR(__xludf.DUMMYFUNCTION("""COMPUTED_VALUE"""),26)</f>
        <v>26</v>
      </c>
      <c r="F10" s="1">
        <f ca="1">IFERROR(__xludf.DUMMYFUNCTION("""COMPUTED_VALUE"""),2022)</f>
        <v>2022</v>
      </c>
      <c r="G10" s="1">
        <f ca="1">IFERROR(__xludf.DUMMYFUNCTION("""COMPUTED_VALUE"""),2026)</f>
        <v>2026</v>
      </c>
      <c r="H10" s="1">
        <f ca="1">IFERROR(__xludf.DUMMYFUNCTION("""COMPUTED_VALUE"""),5)</f>
        <v>5</v>
      </c>
      <c r="I10" s="2">
        <f ca="1">IFERROR(__xludf.DUMMYFUNCTION("""COMPUTED_VALUE"""),230000000)</f>
        <v>230000000</v>
      </c>
      <c r="J10" s="2">
        <f ca="1">IFERROR(__xludf.DUMMYFUNCTION("""COMPUTED_VALUE"""),46000000)</f>
        <v>46000000</v>
      </c>
      <c r="K10" s="3">
        <f ca="1">IFERROR(__xludf.DUMMYFUNCTION("""COMPUTED_VALUE"""),0.2209)</f>
        <v>0.22090000000000001</v>
      </c>
      <c r="L10" s="2">
        <f ca="1">IFERROR(__xludf.DUMMYFUNCTION("""COMPUTED_VALUE"""),230000000)</f>
        <v>230000000</v>
      </c>
      <c r="M10" s="2">
        <f ca="1">IFERROR(__xludf.DUMMYFUNCTION("""COMPUTED_VALUE"""),230000000)</f>
        <v>230000000</v>
      </c>
      <c r="N10" s="1" t="str">
        <f t="shared" ca="1" si="0"/>
        <v>CLE</v>
      </c>
    </row>
    <row r="11" spans="1:14" x14ac:dyDescent="0.25">
      <c r="A11" s="1">
        <f ca="1">IFERROR(__xludf.DUMMYFUNCTION("""COMPUTED_VALUE"""),10)</f>
        <v>10</v>
      </c>
      <c r="B11" s="1" t="str">
        <f ca="1">IFERROR(__xludf.DUMMYFUNCTION("""COMPUTED_VALUE"""),"Jared Goff")</f>
        <v>Jared Goff</v>
      </c>
      <c r="C11" s="1" t="str">
        <f ca="1">IFERROR(__xludf.DUMMYFUNCTION("""COMPUTED_VALUE"""),"QB")</f>
        <v>QB</v>
      </c>
      <c r="D11" s="1" t="str">
        <f ca="1">IFERROR(__xludf.DUMMYFUNCTION("""COMPUTED_VALUE"""),"DET DET")</f>
        <v>DET DET</v>
      </c>
      <c r="E11" s="1">
        <f ca="1">IFERROR(__xludf.DUMMYFUNCTION("""COMPUTED_VALUE"""),29)</f>
        <v>29</v>
      </c>
      <c r="F11" s="1">
        <f ca="1">IFERROR(__xludf.DUMMYFUNCTION("""COMPUTED_VALUE"""),2024)</f>
        <v>2024</v>
      </c>
      <c r="G11" s="1">
        <f ca="1">IFERROR(__xludf.DUMMYFUNCTION("""COMPUTED_VALUE"""),2028)</f>
        <v>2028</v>
      </c>
      <c r="H11" s="1">
        <f ca="1">IFERROR(__xludf.DUMMYFUNCTION("""COMPUTED_VALUE"""),4)</f>
        <v>4</v>
      </c>
      <c r="I11" s="2">
        <f ca="1">IFERROR(__xludf.DUMMYFUNCTION("""COMPUTED_VALUE"""),212000000)</f>
        <v>212000000</v>
      </c>
      <c r="J11" s="2">
        <f ca="1">IFERROR(__xludf.DUMMYFUNCTION("""COMPUTED_VALUE"""),53000000)</f>
        <v>53000000</v>
      </c>
      <c r="K11" s="3">
        <f ca="1">IFERROR(__xludf.DUMMYFUNCTION("""COMPUTED_VALUE"""),0.2075)</f>
        <v>0.20749999999999999</v>
      </c>
      <c r="L11" s="2">
        <f ca="1">IFERROR(__xludf.DUMMYFUNCTION("""COMPUTED_VALUE"""),113611000)</f>
        <v>113611000</v>
      </c>
      <c r="M11" s="2">
        <f ca="1">IFERROR(__xludf.DUMMYFUNCTION("""COMPUTED_VALUE"""),170611000)</f>
        <v>170611000</v>
      </c>
      <c r="N11" s="1" t="str">
        <f t="shared" ca="1" si="0"/>
        <v>DET</v>
      </c>
    </row>
    <row r="12" spans="1:14" x14ac:dyDescent="0.25">
      <c r="A12" s="1">
        <f ca="1">IFERROR(__xludf.DUMMYFUNCTION("""COMPUTED_VALUE"""),11)</f>
        <v>11</v>
      </c>
      <c r="B12" s="1" t="str">
        <f ca="1">IFERROR(__xludf.DUMMYFUNCTION("""COMPUTED_VALUE"""),"Kirk Cousins")</f>
        <v>Kirk Cousins</v>
      </c>
      <c r="C12" s="1" t="str">
        <f ca="1">IFERROR(__xludf.DUMMYFUNCTION("""COMPUTED_VALUE"""),"QB")</f>
        <v>QB</v>
      </c>
      <c r="D12" s="1" t="str">
        <f ca="1">IFERROR(__xludf.DUMMYFUNCTION("""COMPUTED_VALUE"""),"ATL ATL")</f>
        <v>ATL ATL</v>
      </c>
      <c r="E12" s="1">
        <f ca="1">IFERROR(__xludf.DUMMYFUNCTION("""COMPUTED_VALUE"""),35)</f>
        <v>35</v>
      </c>
      <c r="F12" s="1">
        <f ca="1">IFERROR(__xludf.DUMMYFUNCTION("""COMPUTED_VALUE"""),2024)</f>
        <v>2024</v>
      </c>
      <c r="G12" s="1">
        <f ca="1">IFERROR(__xludf.DUMMYFUNCTION("""COMPUTED_VALUE"""),2027)</f>
        <v>2027</v>
      </c>
      <c r="H12" s="1">
        <f ca="1">IFERROR(__xludf.DUMMYFUNCTION("""COMPUTED_VALUE"""),4)</f>
        <v>4</v>
      </c>
      <c r="I12" s="2">
        <f ca="1">IFERROR(__xludf.DUMMYFUNCTION("""COMPUTED_VALUE"""),180000000)</f>
        <v>180000000</v>
      </c>
      <c r="J12" s="2">
        <f ca="1">IFERROR(__xludf.DUMMYFUNCTION("""COMPUTED_VALUE"""),45000000)</f>
        <v>45000000</v>
      </c>
      <c r="K12" s="3">
        <f ca="1">IFERROR(__xludf.DUMMYFUNCTION("""COMPUTED_VALUE"""),0.1762)</f>
        <v>0.1762</v>
      </c>
      <c r="L12" s="2">
        <f ca="1">IFERROR(__xludf.DUMMYFUNCTION("""COMPUTED_VALUE"""),90000000)</f>
        <v>90000000</v>
      </c>
      <c r="M12" s="2">
        <f ca="1">IFERROR(__xludf.DUMMYFUNCTION("""COMPUTED_VALUE"""),100000000)</f>
        <v>100000000</v>
      </c>
      <c r="N12" s="1" t="str">
        <f t="shared" ca="1" si="0"/>
        <v>ATL</v>
      </c>
    </row>
    <row r="13" spans="1:14" x14ac:dyDescent="0.25">
      <c r="A13" s="1">
        <f ca="1">IFERROR(__xludf.DUMMYFUNCTION("""COMPUTED_VALUE"""),12)</f>
        <v>12</v>
      </c>
      <c r="B13" s="1" t="str">
        <f ca="1">IFERROR(__xludf.DUMMYFUNCTION("""COMPUTED_VALUE"""),"Nick Bosa")</f>
        <v>Nick Bosa</v>
      </c>
      <c r="C13" s="1" t="str">
        <f ca="1">IFERROR(__xludf.DUMMYFUNCTION("""COMPUTED_VALUE"""),"DE")</f>
        <v>DE</v>
      </c>
      <c r="D13" s="1" t="str">
        <f ca="1">IFERROR(__xludf.DUMMYFUNCTION("""COMPUTED_VALUE"""),"SF SF")</f>
        <v>SF SF</v>
      </c>
      <c r="E13" s="1">
        <f ca="1">IFERROR(__xludf.DUMMYFUNCTION("""COMPUTED_VALUE"""),25)</f>
        <v>25</v>
      </c>
      <c r="F13" s="1">
        <f ca="1">IFERROR(__xludf.DUMMYFUNCTION("""COMPUTED_VALUE"""),2023)</f>
        <v>2023</v>
      </c>
      <c r="G13" s="1">
        <f ca="1">IFERROR(__xludf.DUMMYFUNCTION("""COMPUTED_VALUE"""),2028)</f>
        <v>2028</v>
      </c>
      <c r="H13" s="1">
        <f ca="1">IFERROR(__xludf.DUMMYFUNCTION("""COMPUTED_VALUE"""),5)</f>
        <v>5</v>
      </c>
      <c r="I13" s="2">
        <f ca="1">IFERROR(__xludf.DUMMYFUNCTION("""COMPUTED_VALUE"""),170000000)</f>
        <v>170000000</v>
      </c>
      <c r="J13" s="2">
        <f ca="1">IFERROR(__xludf.DUMMYFUNCTION("""COMPUTED_VALUE"""),34000000)</f>
        <v>34000000</v>
      </c>
      <c r="K13" s="3">
        <f ca="1">IFERROR(__xludf.DUMMYFUNCTION("""COMPUTED_VALUE"""),0.1512)</f>
        <v>0.1512</v>
      </c>
      <c r="L13" s="2">
        <f ca="1">IFERROR(__xludf.DUMMYFUNCTION("""COMPUTED_VALUE"""),88000000)</f>
        <v>88000000</v>
      </c>
      <c r="M13" s="2">
        <f ca="1">IFERROR(__xludf.DUMMYFUNCTION("""COMPUTED_VALUE"""),122500000)</f>
        <v>122500000</v>
      </c>
      <c r="N13" s="1" t="str">
        <f t="shared" ca="1" si="0"/>
        <v>SF</v>
      </c>
    </row>
    <row r="14" spans="1:14" x14ac:dyDescent="0.25">
      <c r="A14" s="1" t="str">
        <f ca="1">IFERROR(__xludf.DUMMYFUNCTION("""COMPUTED_VALUE"""),"T13")</f>
        <v>T13</v>
      </c>
      <c r="B14" s="1" t="str">
        <f ca="1">IFERROR(__xludf.DUMMYFUNCTION("""COMPUTED_VALUE"""),"Dak Prescott")</f>
        <v>Dak Prescott</v>
      </c>
      <c r="C14" s="1" t="str">
        <f ca="1">IFERROR(__xludf.DUMMYFUNCTION("""COMPUTED_VALUE"""),"QB")</f>
        <v>QB</v>
      </c>
      <c r="D14" s="1" t="str">
        <f ca="1">IFERROR(__xludf.DUMMYFUNCTION("""COMPUTED_VALUE"""),"DAL DAL")</f>
        <v>DAL DAL</v>
      </c>
      <c r="E14" s="1">
        <f ca="1">IFERROR(__xludf.DUMMYFUNCTION("""COMPUTED_VALUE"""),27)</f>
        <v>27</v>
      </c>
      <c r="F14" s="1">
        <f ca="1">IFERROR(__xludf.DUMMYFUNCTION("""COMPUTED_VALUE"""),2021)</f>
        <v>2021</v>
      </c>
      <c r="G14" s="1">
        <f ca="1">IFERROR(__xludf.DUMMYFUNCTION("""COMPUTED_VALUE"""),2024)</f>
        <v>2024</v>
      </c>
      <c r="H14" s="1">
        <f ca="1">IFERROR(__xludf.DUMMYFUNCTION("""COMPUTED_VALUE"""),4)</f>
        <v>4</v>
      </c>
      <c r="I14" s="2">
        <f ca="1">IFERROR(__xludf.DUMMYFUNCTION("""COMPUTED_VALUE"""),160000000)</f>
        <v>160000000</v>
      </c>
      <c r="J14" s="2">
        <f ca="1">IFERROR(__xludf.DUMMYFUNCTION("""COMPUTED_VALUE"""),40000000)</f>
        <v>40000000</v>
      </c>
      <c r="K14" s="3">
        <f ca="1">IFERROR(__xludf.DUMMYFUNCTION("""COMPUTED_VALUE"""),0.2192)</f>
        <v>0.21920000000000001</v>
      </c>
      <c r="L14" s="2">
        <f ca="1">IFERROR(__xludf.DUMMYFUNCTION("""COMPUTED_VALUE"""),95000000)</f>
        <v>95000000</v>
      </c>
      <c r="M14" s="2">
        <f ca="1">IFERROR(__xludf.DUMMYFUNCTION("""COMPUTED_VALUE"""),126000000)</f>
        <v>126000000</v>
      </c>
      <c r="N14" s="1" t="str">
        <f t="shared" ca="1" si="0"/>
        <v>DAL</v>
      </c>
    </row>
    <row r="15" spans="1:14" x14ac:dyDescent="0.25">
      <c r="A15" s="1" t="str">
        <f ca="1">IFERROR(__xludf.DUMMYFUNCTION("""COMPUTED_VALUE"""),"T13")</f>
        <v>T13</v>
      </c>
      <c r="B15" s="1" t="str">
        <f ca="1">IFERROR(__xludf.DUMMYFUNCTION("""COMPUTED_VALUE"""),"Daniel Jones")</f>
        <v>Daniel Jones</v>
      </c>
      <c r="C15" s="1" t="str">
        <f ca="1">IFERROR(__xludf.DUMMYFUNCTION("""COMPUTED_VALUE"""),"QB")</f>
        <v>QB</v>
      </c>
      <c r="D15" s="1" t="str">
        <f ca="1">IFERROR(__xludf.DUMMYFUNCTION("""COMPUTED_VALUE"""),"NYG NYG")</f>
        <v>NYG NYG</v>
      </c>
      <c r="E15" s="1">
        <f ca="1">IFERROR(__xludf.DUMMYFUNCTION("""COMPUTED_VALUE"""),25)</f>
        <v>25</v>
      </c>
      <c r="F15" s="1">
        <f ca="1">IFERROR(__xludf.DUMMYFUNCTION("""COMPUTED_VALUE"""),2023)</f>
        <v>2023</v>
      </c>
      <c r="G15" s="1">
        <f ca="1">IFERROR(__xludf.DUMMYFUNCTION("""COMPUTED_VALUE"""),2026)</f>
        <v>2026</v>
      </c>
      <c r="H15" s="1">
        <f ca="1">IFERROR(__xludf.DUMMYFUNCTION("""COMPUTED_VALUE"""),4)</f>
        <v>4</v>
      </c>
      <c r="I15" s="2">
        <f ca="1">IFERROR(__xludf.DUMMYFUNCTION("""COMPUTED_VALUE"""),160000000)</f>
        <v>160000000</v>
      </c>
      <c r="J15" s="2">
        <f ca="1">IFERROR(__xludf.DUMMYFUNCTION("""COMPUTED_VALUE"""),40000000)</f>
        <v>40000000</v>
      </c>
      <c r="K15" s="3">
        <f ca="1">IFERROR(__xludf.DUMMYFUNCTION("""COMPUTED_VALUE"""),0.1779)</f>
        <v>0.1779</v>
      </c>
      <c r="L15" s="2">
        <f ca="1">IFERROR(__xludf.DUMMYFUNCTION("""COMPUTED_VALUE"""),81000000)</f>
        <v>81000000</v>
      </c>
      <c r="M15" s="2">
        <f ca="1">IFERROR(__xludf.DUMMYFUNCTION("""COMPUTED_VALUE"""),92000000)</f>
        <v>92000000</v>
      </c>
      <c r="N15" s="1" t="str">
        <f t="shared" ca="1" si="0"/>
        <v>NYG</v>
      </c>
    </row>
    <row r="16" spans="1:14" x14ac:dyDescent="0.25">
      <c r="A16" s="1" t="str">
        <f ca="1">IFERROR(__xludf.DUMMYFUNCTION("""COMPUTED_VALUE"""),"T13")</f>
        <v>T13</v>
      </c>
      <c r="B16" s="1" t="str">
        <f ca="1">IFERROR(__xludf.DUMMYFUNCTION("""COMPUTED_VALUE"""),"Matthew Stafford")</f>
        <v>Matthew Stafford</v>
      </c>
      <c r="C16" s="1" t="str">
        <f ca="1">IFERROR(__xludf.DUMMYFUNCTION("""COMPUTED_VALUE"""),"QB")</f>
        <v>QB</v>
      </c>
      <c r="D16" s="1" t="str">
        <f ca="1">IFERROR(__xludf.DUMMYFUNCTION("""COMPUTED_VALUE"""),"LAR LAR")</f>
        <v>LAR LAR</v>
      </c>
      <c r="E16" s="1">
        <f ca="1">IFERROR(__xludf.DUMMYFUNCTION("""COMPUTED_VALUE"""),33)</f>
        <v>33</v>
      </c>
      <c r="F16" s="1">
        <f ca="1">IFERROR(__xludf.DUMMYFUNCTION("""COMPUTED_VALUE"""),2022)</f>
        <v>2022</v>
      </c>
      <c r="G16" s="1">
        <f ca="1">IFERROR(__xludf.DUMMYFUNCTION("""COMPUTED_VALUE"""),2026)</f>
        <v>2026</v>
      </c>
      <c r="H16" s="1">
        <f ca="1">IFERROR(__xludf.DUMMYFUNCTION("""COMPUTED_VALUE"""),4)</f>
        <v>4</v>
      </c>
      <c r="I16" s="2">
        <f ca="1">IFERROR(__xludf.DUMMYFUNCTION("""COMPUTED_VALUE"""),160000000)</f>
        <v>160000000</v>
      </c>
      <c r="J16" s="2">
        <f ca="1">IFERROR(__xludf.DUMMYFUNCTION("""COMPUTED_VALUE"""),40000000)</f>
        <v>40000000</v>
      </c>
      <c r="K16" s="3">
        <f ca="1">IFERROR(__xludf.DUMMYFUNCTION("""COMPUTED_VALUE"""),0.1921)</f>
        <v>0.19209999999999999</v>
      </c>
      <c r="L16" s="2">
        <f ca="1">IFERROR(__xludf.DUMMYFUNCTION("""COMPUTED_VALUE"""),63000000)</f>
        <v>63000000</v>
      </c>
      <c r="M16" s="2">
        <f ca="1">IFERROR(__xludf.DUMMYFUNCTION("""COMPUTED_VALUE"""),130000000)</f>
        <v>130000000</v>
      </c>
      <c r="N16" s="1" t="str">
        <f t="shared" ca="1" si="0"/>
        <v>LAR</v>
      </c>
    </row>
    <row r="17" spans="1:14" x14ac:dyDescent="0.25">
      <c r="A17" s="1">
        <f ca="1">IFERROR(__xludf.DUMMYFUNCTION("""COMPUTED_VALUE"""),16)</f>
        <v>16</v>
      </c>
      <c r="B17" s="1" t="str">
        <f ca="1">IFERROR(__xludf.DUMMYFUNCTION("""COMPUTED_VALUE"""),"Chris Jones")</f>
        <v>Chris Jones</v>
      </c>
      <c r="C17" s="1" t="str">
        <f ca="1">IFERROR(__xludf.DUMMYFUNCTION("""COMPUTED_VALUE"""),"DT")</f>
        <v>DT</v>
      </c>
      <c r="D17" s="1" t="str">
        <f ca="1">IFERROR(__xludf.DUMMYFUNCTION("""COMPUTED_VALUE"""),"KC KC")</f>
        <v>KC KC</v>
      </c>
      <c r="E17" s="1">
        <f ca="1">IFERROR(__xludf.DUMMYFUNCTION("""COMPUTED_VALUE"""),29)</f>
        <v>29</v>
      </c>
      <c r="F17" s="1">
        <f ca="1">IFERROR(__xludf.DUMMYFUNCTION("""COMPUTED_VALUE"""),2024)</f>
        <v>2024</v>
      </c>
      <c r="G17" s="1">
        <f ca="1">IFERROR(__xludf.DUMMYFUNCTION("""COMPUTED_VALUE"""),2028)</f>
        <v>2028</v>
      </c>
      <c r="H17" s="1">
        <f ca="1">IFERROR(__xludf.DUMMYFUNCTION("""COMPUTED_VALUE"""),5)</f>
        <v>5</v>
      </c>
      <c r="I17" s="2">
        <f ca="1">IFERROR(__xludf.DUMMYFUNCTION("""COMPUTED_VALUE"""),158750000)</f>
        <v>158750000</v>
      </c>
      <c r="J17" s="2">
        <f ca="1">IFERROR(__xludf.DUMMYFUNCTION("""COMPUTED_VALUE"""),31750000)</f>
        <v>31750000</v>
      </c>
      <c r="K17" s="3">
        <f ca="1">IFERROR(__xludf.DUMMYFUNCTION("""COMPUTED_VALUE"""),0.1243)</f>
        <v>0.12429999999999999</v>
      </c>
      <c r="L17" s="2">
        <f ca="1">IFERROR(__xludf.DUMMYFUNCTION("""COMPUTED_VALUE"""),60000000)</f>
        <v>60000000</v>
      </c>
      <c r="M17" s="2">
        <f ca="1">IFERROR(__xludf.DUMMYFUNCTION("""COMPUTED_VALUE"""),95000000)</f>
        <v>95000000</v>
      </c>
      <c r="N17" s="1" t="str">
        <f t="shared" ca="1" si="0"/>
        <v>KC</v>
      </c>
    </row>
    <row r="18" spans="1:14" x14ac:dyDescent="0.25">
      <c r="A18" s="1">
        <f ca="1">IFERROR(__xludf.DUMMYFUNCTION("""COMPUTED_VALUE"""),17)</f>
        <v>17</v>
      </c>
      <c r="B18" s="1" t="str">
        <f ca="1">IFERROR(__xludf.DUMMYFUNCTION("""COMPUTED_VALUE"""),"Derek Carr")</f>
        <v>Derek Carr</v>
      </c>
      <c r="C18" s="1" t="str">
        <f ca="1">IFERROR(__xludf.DUMMYFUNCTION("""COMPUTED_VALUE"""),"QB")</f>
        <v>QB</v>
      </c>
      <c r="D18" s="1" t="str">
        <f ca="1">IFERROR(__xludf.DUMMYFUNCTION("""COMPUTED_VALUE"""),"NO NO")</f>
        <v>NO NO</v>
      </c>
      <c r="E18" s="1">
        <f ca="1">IFERROR(__xludf.DUMMYFUNCTION("""COMPUTED_VALUE"""),31)</f>
        <v>31</v>
      </c>
      <c r="F18" s="1">
        <f ca="1">IFERROR(__xludf.DUMMYFUNCTION("""COMPUTED_VALUE"""),2023)</f>
        <v>2023</v>
      </c>
      <c r="G18" s="1">
        <f ca="1">IFERROR(__xludf.DUMMYFUNCTION("""COMPUTED_VALUE"""),2026)</f>
        <v>2026</v>
      </c>
      <c r="H18" s="1">
        <f ca="1">IFERROR(__xludf.DUMMYFUNCTION("""COMPUTED_VALUE"""),4)</f>
        <v>4</v>
      </c>
      <c r="I18" s="2">
        <f ca="1">IFERROR(__xludf.DUMMYFUNCTION("""COMPUTED_VALUE"""),150000000)</f>
        <v>150000000</v>
      </c>
      <c r="J18" s="2">
        <f ca="1">IFERROR(__xludf.DUMMYFUNCTION("""COMPUTED_VALUE"""),37500000)</f>
        <v>37500000</v>
      </c>
      <c r="K18" s="3">
        <f ca="1">IFERROR(__xludf.DUMMYFUNCTION("""COMPUTED_VALUE"""),0.1668)</f>
        <v>0.1668</v>
      </c>
      <c r="L18" s="2">
        <f ca="1">IFERROR(__xludf.DUMMYFUNCTION("""COMPUTED_VALUE"""),60000000)</f>
        <v>60000000</v>
      </c>
      <c r="M18" s="2">
        <f ca="1">IFERROR(__xludf.DUMMYFUNCTION("""COMPUTED_VALUE"""),100000000)</f>
        <v>100000000</v>
      </c>
      <c r="N18" s="1" t="str">
        <f t="shared" ca="1" si="0"/>
        <v>NO</v>
      </c>
    </row>
    <row r="19" spans="1:14" x14ac:dyDescent="0.25">
      <c r="A19" s="1">
        <f ca="1">IFERROR(__xludf.DUMMYFUNCTION("""COMPUTED_VALUE"""),18)</f>
        <v>18</v>
      </c>
      <c r="B19" s="1" t="str">
        <f ca="1">IFERROR(__xludf.DUMMYFUNCTION("""COMPUTED_VALUE"""),"Josh Allen")</f>
        <v>Josh Allen</v>
      </c>
      <c r="C19" s="1" t="str">
        <f ca="1">IFERROR(__xludf.DUMMYFUNCTION("""COMPUTED_VALUE"""),"OLB")</f>
        <v>OLB</v>
      </c>
      <c r="D19" s="1" t="str">
        <f ca="1">IFERROR(__xludf.DUMMYFUNCTION("""COMPUTED_VALUE"""),"JAX JAX")</f>
        <v>JAX JAX</v>
      </c>
      <c r="E19" s="1">
        <f ca="1">IFERROR(__xludf.DUMMYFUNCTION("""COMPUTED_VALUE"""),26)</f>
        <v>26</v>
      </c>
      <c r="F19" s="1">
        <f ca="1">IFERROR(__xludf.DUMMYFUNCTION("""COMPUTED_VALUE"""),2024)</f>
        <v>2024</v>
      </c>
      <c r="G19" s="1">
        <f ca="1">IFERROR(__xludf.DUMMYFUNCTION("""COMPUTED_VALUE"""),2028)</f>
        <v>2028</v>
      </c>
      <c r="H19" s="1">
        <f ca="1">IFERROR(__xludf.DUMMYFUNCTION("""COMPUTED_VALUE"""),5)</f>
        <v>5</v>
      </c>
      <c r="I19" s="2">
        <f ca="1">IFERROR(__xludf.DUMMYFUNCTION("""COMPUTED_VALUE"""),141250000)</f>
        <v>141250000</v>
      </c>
      <c r="J19" s="2">
        <f ca="1">IFERROR(__xludf.DUMMYFUNCTION("""COMPUTED_VALUE"""),28250000)</f>
        <v>28250000</v>
      </c>
      <c r="K19" s="3">
        <f ca="1">IFERROR(__xludf.DUMMYFUNCTION("""COMPUTED_VALUE"""),0.1106)</f>
        <v>0.1106</v>
      </c>
      <c r="L19" s="2">
        <f ca="1">IFERROR(__xludf.DUMMYFUNCTION("""COMPUTED_VALUE"""),76500000)</f>
        <v>76500000</v>
      </c>
      <c r="M19" s="2">
        <f ca="1">IFERROR(__xludf.DUMMYFUNCTION("""COMPUTED_VALUE"""),88000000)</f>
        <v>88000000</v>
      </c>
      <c r="N19" s="1" t="str">
        <f t="shared" ca="1" si="0"/>
        <v>JAX</v>
      </c>
    </row>
    <row r="20" spans="1:14" x14ac:dyDescent="0.25">
      <c r="A20" s="1">
        <f ca="1">IFERROR(__xludf.DUMMYFUNCTION("""COMPUTED_VALUE"""),19)</f>
        <v>19</v>
      </c>
      <c r="B20" s="1" t="str">
        <f ca="1">IFERROR(__xludf.DUMMYFUNCTION("""COMPUTED_VALUE"""),"Brian Burns")</f>
        <v>Brian Burns</v>
      </c>
      <c r="C20" s="1" t="str">
        <f ca="1">IFERROR(__xludf.DUMMYFUNCTION("""COMPUTED_VALUE"""),"DE")</f>
        <v>DE</v>
      </c>
      <c r="D20" s="1" t="str">
        <f ca="1">IFERROR(__xludf.DUMMYFUNCTION("""COMPUTED_VALUE"""),"NYG NYG")</f>
        <v>NYG NYG</v>
      </c>
      <c r="E20" s="1">
        <f ca="1">IFERROR(__xludf.DUMMYFUNCTION("""COMPUTED_VALUE"""),25)</f>
        <v>25</v>
      </c>
      <c r="F20" s="1">
        <f ca="1">IFERROR(__xludf.DUMMYFUNCTION("""COMPUTED_VALUE"""),2024)</f>
        <v>2024</v>
      </c>
      <c r="G20" s="1">
        <f ca="1">IFERROR(__xludf.DUMMYFUNCTION("""COMPUTED_VALUE"""),2028)</f>
        <v>2028</v>
      </c>
      <c r="H20" s="1">
        <f ca="1">IFERROR(__xludf.DUMMYFUNCTION("""COMPUTED_VALUE"""),5)</f>
        <v>5</v>
      </c>
      <c r="I20" s="2">
        <f ca="1">IFERROR(__xludf.DUMMYFUNCTION("""COMPUTED_VALUE"""),141000000)</f>
        <v>141000000</v>
      </c>
      <c r="J20" s="2">
        <f ca="1">IFERROR(__xludf.DUMMYFUNCTION("""COMPUTED_VALUE"""),28200000)</f>
        <v>28200000</v>
      </c>
      <c r="K20" s="3">
        <f ca="1">IFERROR(__xludf.DUMMYFUNCTION("""COMPUTED_VALUE"""),0.1104)</f>
        <v>0.1104</v>
      </c>
      <c r="L20" s="2">
        <f ca="1">IFERROR(__xludf.DUMMYFUNCTION("""COMPUTED_VALUE"""),76000000)</f>
        <v>76000000</v>
      </c>
      <c r="M20" s="2">
        <f ca="1">IFERROR(__xludf.DUMMYFUNCTION("""COMPUTED_VALUE"""),87500000)</f>
        <v>87500000</v>
      </c>
      <c r="N20" s="1" t="str">
        <f t="shared" ca="1" si="0"/>
        <v>NYG</v>
      </c>
    </row>
    <row r="21" spans="1:14" x14ac:dyDescent="0.25">
      <c r="A21" s="1" t="str">
        <f ca="1">IFERROR(__xludf.DUMMYFUNCTION("""COMPUTED_VALUE"""),"T20")</f>
        <v>T20</v>
      </c>
      <c r="B21" s="1" t="str">
        <f ca="1">IFERROR(__xludf.DUMMYFUNCTION("""COMPUTED_VALUE"""),"Davante Adams")</f>
        <v>Davante Adams</v>
      </c>
      <c r="C21" s="1" t="str">
        <f ca="1">IFERROR(__xludf.DUMMYFUNCTION("""COMPUTED_VALUE"""),"WR")</f>
        <v>WR</v>
      </c>
      <c r="D21" s="1" t="str">
        <f ca="1">IFERROR(__xludf.DUMMYFUNCTION("""COMPUTED_VALUE"""),"LV LV")</f>
        <v>LV LV</v>
      </c>
      <c r="E21" s="1">
        <f ca="1">IFERROR(__xludf.DUMMYFUNCTION("""COMPUTED_VALUE"""),29)</f>
        <v>29</v>
      </c>
      <c r="F21" s="1">
        <f ca="1">IFERROR(__xludf.DUMMYFUNCTION("""COMPUTED_VALUE"""),2022)</f>
        <v>2022</v>
      </c>
      <c r="G21" s="1">
        <f ca="1">IFERROR(__xludf.DUMMYFUNCTION("""COMPUTED_VALUE"""),2026)</f>
        <v>2026</v>
      </c>
      <c r="H21" s="1">
        <f ca="1">IFERROR(__xludf.DUMMYFUNCTION("""COMPUTED_VALUE"""),5)</f>
        <v>5</v>
      </c>
      <c r="I21" s="2">
        <f ca="1">IFERROR(__xludf.DUMMYFUNCTION("""COMPUTED_VALUE"""),140000000)</f>
        <v>140000000</v>
      </c>
      <c r="J21" s="2">
        <f ca="1">IFERROR(__xludf.DUMMYFUNCTION("""COMPUTED_VALUE"""),28000000)</f>
        <v>28000000</v>
      </c>
      <c r="K21" s="3">
        <f ca="1">IFERROR(__xludf.DUMMYFUNCTION("""COMPUTED_VALUE"""),0.1345)</f>
        <v>0.13450000000000001</v>
      </c>
      <c r="L21" s="2">
        <f ca="1">IFERROR(__xludf.DUMMYFUNCTION("""COMPUTED_VALUE"""),22750000)</f>
        <v>22750000</v>
      </c>
      <c r="M21" s="2">
        <f ca="1">IFERROR(__xludf.DUMMYFUNCTION("""COMPUTED_VALUE"""),65670000)</f>
        <v>65670000</v>
      </c>
      <c r="N21" s="1" t="str">
        <f t="shared" ca="1" si="0"/>
        <v>LV</v>
      </c>
    </row>
    <row r="22" spans="1:14" x14ac:dyDescent="0.25">
      <c r="A22" s="1" t="str">
        <f ca="1">IFERROR(__xludf.DUMMYFUNCTION("""COMPUTED_VALUE"""),"T20")</f>
        <v>T20</v>
      </c>
      <c r="B22" s="1" t="str">
        <f ca="1">IFERROR(__xludf.DUMMYFUNCTION("""COMPUTED_VALUE"""),"Justin Jefferson")</f>
        <v>Justin Jefferson</v>
      </c>
      <c r="C22" s="1" t="str">
        <f ca="1">IFERROR(__xludf.DUMMYFUNCTION("""COMPUTED_VALUE"""),"WR")</f>
        <v>WR</v>
      </c>
      <c r="D22" s="1" t="str">
        <f ca="1">IFERROR(__xludf.DUMMYFUNCTION("""COMPUTED_VALUE"""),"MIN MIN")</f>
        <v>MIN MIN</v>
      </c>
      <c r="E22" s="1">
        <f ca="1">IFERROR(__xludf.DUMMYFUNCTION("""COMPUTED_VALUE"""),25)</f>
        <v>25</v>
      </c>
      <c r="F22" s="1">
        <f ca="1">IFERROR(__xludf.DUMMYFUNCTION("""COMPUTED_VALUE"""),2024)</f>
        <v>2024</v>
      </c>
      <c r="G22" s="1">
        <f ca="1">IFERROR(__xludf.DUMMYFUNCTION("""COMPUTED_VALUE"""),2028)</f>
        <v>2028</v>
      </c>
      <c r="H22" s="1">
        <f ca="1">IFERROR(__xludf.DUMMYFUNCTION("""COMPUTED_VALUE"""),4)</f>
        <v>4</v>
      </c>
      <c r="I22" s="2">
        <f ca="1">IFERROR(__xludf.DUMMYFUNCTION("""COMPUTED_VALUE"""),140000000)</f>
        <v>140000000</v>
      </c>
      <c r="J22" s="2">
        <f ca="1">IFERROR(__xludf.DUMMYFUNCTION("""COMPUTED_VALUE"""),35000000)</f>
        <v>35000000</v>
      </c>
      <c r="K22" s="3">
        <f ca="1">IFERROR(__xludf.DUMMYFUNCTION("""COMPUTED_VALUE"""),0.137)</f>
        <v>0.13700000000000001</v>
      </c>
      <c r="L22" s="2">
        <f ca="1">IFERROR(__xludf.DUMMYFUNCTION("""COMPUTED_VALUE"""),88743000)</f>
        <v>88743000</v>
      </c>
      <c r="M22" s="2">
        <f ca="1">IFERROR(__xludf.DUMMYFUNCTION("""COMPUTED_VALUE"""),110000000)</f>
        <v>110000000</v>
      </c>
      <c r="N22" s="1" t="str">
        <f t="shared" ca="1" si="0"/>
        <v>MIN</v>
      </c>
    </row>
    <row r="23" spans="1:14" x14ac:dyDescent="0.25">
      <c r="A23" s="1">
        <f ca="1">IFERROR(__xludf.DUMMYFUNCTION("""COMPUTED_VALUE"""),22)</f>
        <v>22</v>
      </c>
      <c r="B23" s="1" t="str">
        <f ca="1">IFERROR(__xludf.DUMMYFUNCTION("""COMPUTED_VALUE"""),"Trent Williams")</f>
        <v>Trent Williams</v>
      </c>
      <c r="C23" s="1" t="str">
        <f ca="1">IFERROR(__xludf.DUMMYFUNCTION("""COMPUTED_VALUE"""),"LT")</f>
        <v>LT</v>
      </c>
      <c r="D23" s="1" t="str">
        <f ca="1">IFERROR(__xludf.DUMMYFUNCTION("""COMPUTED_VALUE"""),"SF SF")</f>
        <v>SF SF</v>
      </c>
      <c r="E23" s="1">
        <f ca="1">IFERROR(__xludf.DUMMYFUNCTION("""COMPUTED_VALUE"""),32)</f>
        <v>32</v>
      </c>
      <c r="F23" s="1">
        <f ca="1">IFERROR(__xludf.DUMMYFUNCTION("""COMPUTED_VALUE"""),2021)</f>
        <v>2021</v>
      </c>
      <c r="G23" s="1">
        <f ca="1">IFERROR(__xludf.DUMMYFUNCTION("""COMPUTED_VALUE"""),2026)</f>
        <v>2026</v>
      </c>
      <c r="H23" s="1">
        <f ca="1">IFERROR(__xludf.DUMMYFUNCTION("""COMPUTED_VALUE"""),6)</f>
        <v>6</v>
      </c>
      <c r="I23" s="2">
        <f ca="1">IFERROR(__xludf.DUMMYFUNCTION("""COMPUTED_VALUE"""),138060000)</f>
        <v>138060000</v>
      </c>
      <c r="J23" s="2">
        <f ca="1">IFERROR(__xludf.DUMMYFUNCTION("""COMPUTED_VALUE"""),23010000)</f>
        <v>23010000</v>
      </c>
      <c r="K23" s="3">
        <f ca="1">IFERROR(__xludf.DUMMYFUNCTION("""COMPUTED_VALUE"""),0.1261)</f>
        <v>0.12609999999999999</v>
      </c>
      <c r="L23" s="2">
        <f ca="1">IFERROR(__xludf.DUMMYFUNCTION("""COMPUTED_VALUE"""),40100000)</f>
        <v>40100000</v>
      </c>
      <c r="M23" s="2">
        <f ca="1">IFERROR(__xludf.DUMMYFUNCTION("""COMPUTED_VALUE"""),55100000)</f>
        <v>55100000</v>
      </c>
      <c r="N23" s="1" t="str">
        <f t="shared" ca="1" si="0"/>
        <v>SF</v>
      </c>
    </row>
    <row r="24" spans="1:14" x14ac:dyDescent="0.25">
      <c r="A24" s="1">
        <f ca="1">IFERROR(__xludf.DUMMYFUNCTION("""COMPUTED_VALUE"""),23)</f>
        <v>23</v>
      </c>
      <c r="B24" s="1" t="str">
        <f ca="1">IFERROR(__xludf.DUMMYFUNCTION("""COMPUTED_VALUE"""),"Myles Garrett")</f>
        <v>Myles Garrett</v>
      </c>
      <c r="C24" s="1" t="str">
        <f ca="1">IFERROR(__xludf.DUMMYFUNCTION("""COMPUTED_VALUE"""),"DE")</f>
        <v>DE</v>
      </c>
      <c r="D24" s="1" t="str">
        <f ca="1">IFERROR(__xludf.DUMMYFUNCTION("""COMPUTED_VALUE"""),"CLE CLE")</f>
        <v>CLE CLE</v>
      </c>
      <c r="E24" s="1">
        <f ca="1">IFERROR(__xludf.DUMMYFUNCTION("""COMPUTED_VALUE"""),24)</f>
        <v>24</v>
      </c>
      <c r="F24" s="1">
        <f ca="1">IFERROR(__xludf.DUMMYFUNCTION("""COMPUTED_VALUE"""),2020)</f>
        <v>2020</v>
      </c>
      <c r="G24" s="1">
        <f ca="1">IFERROR(__xludf.DUMMYFUNCTION("""COMPUTED_VALUE"""),2026)</f>
        <v>2026</v>
      </c>
      <c r="H24" s="1">
        <f ca="1">IFERROR(__xludf.DUMMYFUNCTION("""COMPUTED_VALUE"""),5)</f>
        <v>5</v>
      </c>
      <c r="I24" s="2">
        <f ca="1">IFERROR(__xludf.DUMMYFUNCTION("""COMPUTED_VALUE"""),125000000)</f>
        <v>125000000</v>
      </c>
      <c r="J24" s="2">
        <f ca="1">IFERROR(__xludf.DUMMYFUNCTION("""COMPUTED_VALUE"""),25000000)</f>
        <v>25000000</v>
      </c>
      <c r="K24" s="3">
        <f ca="1">IFERROR(__xludf.DUMMYFUNCTION("""COMPUTED_VALUE"""),0.1261)</f>
        <v>0.12609999999999999</v>
      </c>
      <c r="L24" s="2">
        <f ca="1">IFERROR(__xludf.DUMMYFUNCTION("""COMPUTED_VALUE"""),43546125)</f>
        <v>43546125</v>
      </c>
      <c r="M24" s="2">
        <f ca="1">IFERROR(__xludf.DUMMYFUNCTION("""COMPUTED_VALUE"""),100000000)</f>
        <v>100000000</v>
      </c>
      <c r="N24" s="1" t="str">
        <f t="shared" ca="1" si="0"/>
        <v>CLE</v>
      </c>
    </row>
    <row r="25" spans="1:14" x14ac:dyDescent="0.25">
      <c r="A25" s="1">
        <f ca="1">IFERROR(__xludf.DUMMYFUNCTION("""COMPUTED_VALUE"""),24)</f>
        <v>24</v>
      </c>
      <c r="B25" s="1" t="str">
        <f ca="1">IFERROR(__xludf.DUMMYFUNCTION("""COMPUTED_VALUE"""),"Amon-Ra St. Brown")</f>
        <v>Amon-Ra St. Brown</v>
      </c>
      <c r="C25" s="1" t="str">
        <f ca="1">IFERROR(__xludf.DUMMYFUNCTION("""COMPUTED_VALUE"""),"WR")</f>
        <v>WR</v>
      </c>
      <c r="D25" s="1" t="str">
        <f ca="1">IFERROR(__xludf.DUMMYFUNCTION("""COMPUTED_VALUE"""),"DET DET")</f>
        <v>DET DET</v>
      </c>
      <c r="E25" s="1">
        <f ca="1">IFERROR(__xludf.DUMMYFUNCTION("""COMPUTED_VALUE"""),24)</f>
        <v>24</v>
      </c>
      <c r="F25" s="1">
        <f ca="1">IFERROR(__xludf.DUMMYFUNCTION("""COMPUTED_VALUE"""),2024)</f>
        <v>2024</v>
      </c>
      <c r="G25" s="1">
        <f ca="1">IFERROR(__xludf.DUMMYFUNCTION("""COMPUTED_VALUE"""),2028)</f>
        <v>2028</v>
      </c>
      <c r="H25" s="1">
        <f ca="1">IFERROR(__xludf.DUMMYFUNCTION("""COMPUTED_VALUE"""),4)</f>
        <v>4</v>
      </c>
      <c r="I25" s="2">
        <f ca="1">IFERROR(__xludf.DUMMYFUNCTION("""COMPUTED_VALUE"""),120010000)</f>
        <v>120010000</v>
      </c>
      <c r="J25" s="2">
        <f ca="1">IFERROR(__xludf.DUMMYFUNCTION("""COMPUTED_VALUE"""),30002500)</f>
        <v>30002500</v>
      </c>
      <c r="K25" s="3">
        <f ca="1">IFERROR(__xludf.DUMMYFUNCTION("""COMPUTED_VALUE"""),0.1175)</f>
        <v>0.11749999999999999</v>
      </c>
      <c r="L25" s="2">
        <f ca="1">IFERROR(__xludf.DUMMYFUNCTION("""COMPUTED_VALUE"""),34666000)</f>
        <v>34666000</v>
      </c>
      <c r="M25" s="2">
        <f ca="1">IFERROR(__xludf.DUMMYFUNCTION("""COMPUTED_VALUE"""),77000000)</f>
        <v>77000000</v>
      </c>
      <c r="N25" s="1" t="str">
        <f t="shared" ca="1" si="0"/>
        <v>DET</v>
      </c>
    </row>
    <row r="26" spans="1:14" x14ac:dyDescent="0.25">
      <c r="A26" s="1" t="str">
        <f ca="1">IFERROR(__xludf.DUMMYFUNCTION("""COMPUTED_VALUE"""),"T25")</f>
        <v>T25</v>
      </c>
      <c r="B26" s="1" t="str">
        <f ca="1">IFERROR(__xludf.DUMMYFUNCTION("""COMPUTED_VALUE"""),"Tyreek Hill")</f>
        <v>Tyreek Hill</v>
      </c>
      <c r="C26" s="1" t="str">
        <f ca="1">IFERROR(__xludf.DUMMYFUNCTION("""COMPUTED_VALUE"""),"WR")</f>
        <v>WR</v>
      </c>
      <c r="D26" s="1" t="str">
        <f ca="1">IFERROR(__xludf.DUMMYFUNCTION("""COMPUTED_VALUE"""),"MIA MIA")</f>
        <v>MIA MIA</v>
      </c>
      <c r="E26" s="1">
        <f ca="1">IFERROR(__xludf.DUMMYFUNCTION("""COMPUTED_VALUE"""),27)</f>
        <v>27</v>
      </c>
      <c r="F26" s="1">
        <f ca="1">IFERROR(__xludf.DUMMYFUNCTION("""COMPUTED_VALUE"""),2022)</f>
        <v>2022</v>
      </c>
      <c r="G26" s="1">
        <f ca="1">IFERROR(__xludf.DUMMYFUNCTION("""COMPUTED_VALUE"""),2026)</f>
        <v>2026</v>
      </c>
      <c r="H26" s="1">
        <f ca="1">IFERROR(__xludf.DUMMYFUNCTION("""COMPUTED_VALUE"""),4)</f>
        <v>4</v>
      </c>
      <c r="I26" s="2">
        <f ca="1">IFERROR(__xludf.DUMMYFUNCTION("""COMPUTED_VALUE"""),120000000)</f>
        <v>120000000</v>
      </c>
      <c r="J26" s="2">
        <f ca="1">IFERROR(__xludf.DUMMYFUNCTION("""COMPUTED_VALUE"""),30000000)</f>
        <v>30000000</v>
      </c>
      <c r="K26" s="3">
        <f ca="1">IFERROR(__xludf.DUMMYFUNCTION("""COMPUTED_VALUE"""),0.1441)</f>
        <v>0.14410000000000001</v>
      </c>
      <c r="L26" s="2">
        <f ca="1">IFERROR(__xludf.DUMMYFUNCTION("""COMPUTED_VALUE"""),52535000)</f>
        <v>52535000</v>
      </c>
      <c r="M26" s="2">
        <f ca="1">IFERROR(__xludf.DUMMYFUNCTION("""COMPUTED_VALUE"""),72200000)</f>
        <v>72200000</v>
      </c>
      <c r="N26" s="1" t="str">
        <f t="shared" ca="1" si="0"/>
        <v>MIA</v>
      </c>
    </row>
    <row r="27" spans="1:14" x14ac:dyDescent="0.25">
      <c r="A27" s="1" t="str">
        <f ca="1">IFERROR(__xludf.DUMMYFUNCTION("""COMPUTED_VALUE"""),"T25")</f>
        <v>T25</v>
      </c>
      <c r="B27" s="1" t="str">
        <f ca="1">IFERROR(__xludf.DUMMYFUNCTION("""COMPUTED_VALUE"""),"Von Miller")</f>
        <v>Von Miller</v>
      </c>
      <c r="C27" s="1" t="str">
        <f ca="1">IFERROR(__xludf.DUMMYFUNCTION("""COMPUTED_VALUE"""),"DE")</f>
        <v>DE</v>
      </c>
      <c r="D27" s="1" t="str">
        <f ca="1">IFERROR(__xludf.DUMMYFUNCTION("""COMPUTED_VALUE"""),"BUF BUF")</f>
        <v>BUF BUF</v>
      </c>
      <c r="E27" s="1">
        <f ca="1">IFERROR(__xludf.DUMMYFUNCTION("""COMPUTED_VALUE"""),32)</f>
        <v>32</v>
      </c>
      <c r="F27" s="1">
        <f ca="1">IFERROR(__xludf.DUMMYFUNCTION("""COMPUTED_VALUE"""),2022)</f>
        <v>2022</v>
      </c>
      <c r="G27" s="1">
        <f ca="1">IFERROR(__xludf.DUMMYFUNCTION("""COMPUTED_VALUE"""),2027)</f>
        <v>2027</v>
      </c>
      <c r="H27" s="1">
        <f ca="1">IFERROR(__xludf.DUMMYFUNCTION("""COMPUTED_VALUE"""),6)</f>
        <v>6</v>
      </c>
      <c r="I27" s="2">
        <f ca="1">IFERROR(__xludf.DUMMYFUNCTION("""COMPUTED_VALUE"""),120000000)</f>
        <v>120000000</v>
      </c>
      <c r="J27" s="2">
        <f ca="1">IFERROR(__xludf.DUMMYFUNCTION("""COMPUTED_VALUE"""),20000000)</f>
        <v>20000000</v>
      </c>
      <c r="K27" s="3">
        <f ca="1">IFERROR(__xludf.DUMMYFUNCTION("""COMPUTED_VALUE"""),0.0961)</f>
        <v>9.6100000000000005E-2</v>
      </c>
      <c r="L27" s="2">
        <f ca="1">IFERROR(__xludf.DUMMYFUNCTION("""COMPUTED_VALUE"""),45000000)</f>
        <v>45000000</v>
      </c>
      <c r="M27" s="2">
        <f ca="1">IFERROR(__xludf.DUMMYFUNCTION("""COMPUTED_VALUE"""),51435000)</f>
        <v>51435000</v>
      </c>
      <c r="N27" s="1" t="str">
        <f t="shared" ca="1" si="0"/>
        <v>BUF</v>
      </c>
    </row>
    <row r="28" spans="1:14" x14ac:dyDescent="0.25">
      <c r="A28" s="1">
        <f ca="1">IFERROR(__xludf.DUMMYFUNCTION("""COMPUTED_VALUE"""),27)</f>
        <v>27</v>
      </c>
      <c r="B28" s="1" t="str">
        <f ca="1">IFERROR(__xludf.DUMMYFUNCTION("""COMPUTED_VALUE"""),"Andrew Thomas")</f>
        <v>Andrew Thomas</v>
      </c>
      <c r="C28" s="1" t="str">
        <f ca="1">IFERROR(__xludf.DUMMYFUNCTION("""COMPUTED_VALUE"""),"LT")</f>
        <v>LT</v>
      </c>
      <c r="D28" s="1" t="str">
        <f ca="1">IFERROR(__xludf.DUMMYFUNCTION("""COMPUTED_VALUE"""),"NYG NYG")</f>
        <v>NYG NYG</v>
      </c>
      <c r="E28" s="1">
        <f ca="1">IFERROR(__xludf.DUMMYFUNCTION("""COMPUTED_VALUE"""),24)</f>
        <v>24</v>
      </c>
      <c r="F28" s="1">
        <f ca="1">IFERROR(__xludf.DUMMYFUNCTION("""COMPUTED_VALUE"""),2023)</f>
        <v>2023</v>
      </c>
      <c r="G28" s="1">
        <f ca="1">IFERROR(__xludf.DUMMYFUNCTION("""COMPUTED_VALUE"""),2029)</f>
        <v>2029</v>
      </c>
      <c r="H28" s="1">
        <f ca="1">IFERROR(__xludf.DUMMYFUNCTION("""COMPUTED_VALUE"""),5)</f>
        <v>5</v>
      </c>
      <c r="I28" s="2">
        <f ca="1">IFERROR(__xludf.DUMMYFUNCTION("""COMPUTED_VALUE"""),117500000)</f>
        <v>117500000</v>
      </c>
      <c r="J28" s="2">
        <f ca="1">IFERROR(__xludf.DUMMYFUNCTION("""COMPUTED_VALUE"""),23500000)</f>
        <v>23500000</v>
      </c>
      <c r="K28" s="3">
        <f ca="1">IFERROR(__xludf.DUMMYFUNCTION("""COMPUTED_VALUE"""),0.1045)</f>
        <v>0.1045</v>
      </c>
      <c r="L28" s="2">
        <f ca="1">IFERROR(__xludf.DUMMYFUNCTION("""COMPUTED_VALUE"""),67000000)</f>
        <v>67000000</v>
      </c>
      <c r="M28" s="2">
        <f ca="1">IFERROR(__xludf.DUMMYFUNCTION("""COMPUTED_VALUE"""),67000000)</f>
        <v>67000000</v>
      </c>
      <c r="N28" s="1" t="str">
        <f t="shared" ca="1" si="0"/>
        <v>NYG</v>
      </c>
    </row>
    <row r="29" spans="1:14" x14ac:dyDescent="0.25">
      <c r="A29" s="1">
        <f ca="1">IFERROR(__xludf.DUMMYFUNCTION("""COMPUTED_VALUE"""),28)</f>
        <v>28</v>
      </c>
      <c r="B29" s="1" t="str">
        <f ca="1">IFERROR(__xludf.DUMMYFUNCTION("""COMPUTED_VALUE"""),"Aaron Rodgers")</f>
        <v>Aaron Rodgers</v>
      </c>
      <c r="C29" s="1" t="str">
        <f ca="1">IFERROR(__xludf.DUMMYFUNCTION("""COMPUTED_VALUE"""),"QB")</f>
        <v>QB</v>
      </c>
      <c r="D29" s="1" t="str">
        <f ca="1">IFERROR(__xludf.DUMMYFUNCTION("""COMPUTED_VALUE"""),"NYJ NYJ")</f>
        <v>NYJ NYJ</v>
      </c>
      <c r="E29" s="1">
        <f ca="1">IFERROR(__xludf.DUMMYFUNCTION("""COMPUTED_VALUE"""),39)</f>
        <v>39</v>
      </c>
      <c r="F29" s="1">
        <f ca="1">IFERROR(__xludf.DUMMYFUNCTION("""COMPUTED_VALUE"""),2023)</f>
        <v>2023</v>
      </c>
      <c r="G29" s="1">
        <f ca="1">IFERROR(__xludf.DUMMYFUNCTION("""COMPUTED_VALUE"""),2025)</f>
        <v>2025</v>
      </c>
      <c r="H29" s="1">
        <f ca="1">IFERROR(__xludf.DUMMYFUNCTION("""COMPUTED_VALUE"""),3)</f>
        <v>3</v>
      </c>
      <c r="I29" s="2">
        <f ca="1">IFERROR(__xludf.DUMMYFUNCTION("""COMPUTED_VALUE"""),112500000)</f>
        <v>112500000</v>
      </c>
      <c r="J29" s="2">
        <f ca="1">IFERROR(__xludf.DUMMYFUNCTION("""COMPUTED_VALUE"""),37500000)</f>
        <v>37500000</v>
      </c>
      <c r="K29" s="3">
        <f ca="1">IFERROR(__xludf.DUMMYFUNCTION("""COMPUTED_VALUE"""),0.1668)</f>
        <v>0.1668</v>
      </c>
      <c r="L29" s="2">
        <f ca="1">IFERROR(__xludf.DUMMYFUNCTION("""COMPUTED_VALUE"""),75000000)</f>
        <v>75000000</v>
      </c>
      <c r="M29" s="2">
        <f ca="1">IFERROR(__xludf.DUMMYFUNCTION("""COMPUTED_VALUE"""),75000000)</f>
        <v>75000000</v>
      </c>
      <c r="N29" s="1" t="str">
        <f t="shared" ca="1" si="0"/>
        <v>NYJ</v>
      </c>
    </row>
    <row r="30" spans="1:14" x14ac:dyDescent="0.25">
      <c r="A30" s="1">
        <f ca="1">IFERROR(__xludf.DUMMYFUNCTION("""COMPUTED_VALUE"""),29)</f>
        <v>29</v>
      </c>
      <c r="B30" s="1" t="str">
        <f ca="1">IFERROR(__xludf.DUMMYFUNCTION("""COMPUTED_VALUE"""),"T.J. Watt")</f>
        <v>T.J. Watt</v>
      </c>
      <c r="C30" s="1" t="str">
        <f ca="1">IFERROR(__xludf.DUMMYFUNCTION("""COMPUTED_VALUE"""),"OLB")</f>
        <v>OLB</v>
      </c>
      <c r="D30" s="1" t="str">
        <f ca="1">IFERROR(__xludf.DUMMYFUNCTION("""COMPUTED_VALUE"""),"PIT PIT")</f>
        <v>PIT PIT</v>
      </c>
      <c r="E30" s="1">
        <f ca="1">IFERROR(__xludf.DUMMYFUNCTION("""COMPUTED_VALUE"""),26)</f>
        <v>26</v>
      </c>
      <c r="F30" s="1">
        <f ca="1">IFERROR(__xludf.DUMMYFUNCTION("""COMPUTED_VALUE"""),2021)</f>
        <v>2021</v>
      </c>
      <c r="G30" s="1">
        <f ca="1">IFERROR(__xludf.DUMMYFUNCTION("""COMPUTED_VALUE"""),2025)</f>
        <v>2025</v>
      </c>
      <c r="H30" s="1">
        <f ca="1">IFERROR(__xludf.DUMMYFUNCTION("""COMPUTED_VALUE"""),4)</f>
        <v>4</v>
      </c>
      <c r="I30" s="2">
        <f ca="1">IFERROR(__xludf.DUMMYFUNCTION("""COMPUTED_VALUE"""),112011000)</f>
        <v>112011000</v>
      </c>
      <c r="J30" s="2">
        <f ca="1">IFERROR(__xludf.DUMMYFUNCTION("""COMPUTED_VALUE"""),28002750)</f>
        <v>28002750</v>
      </c>
      <c r="K30" s="3">
        <f ca="1">IFERROR(__xludf.DUMMYFUNCTION("""COMPUTED_VALUE"""),0.1534)</f>
        <v>0.15340000000000001</v>
      </c>
      <c r="L30" s="2">
        <f ca="1">IFERROR(__xludf.DUMMYFUNCTION("""COMPUTED_VALUE"""),80000000)</f>
        <v>80000000</v>
      </c>
      <c r="M30" s="2">
        <f ca="1">IFERROR(__xludf.DUMMYFUNCTION("""COMPUTED_VALUE"""),80000000)</f>
        <v>80000000</v>
      </c>
      <c r="N30" s="1" t="str">
        <f t="shared" ca="1" si="0"/>
        <v>PIT</v>
      </c>
    </row>
    <row r="31" spans="1:14" x14ac:dyDescent="0.25">
      <c r="A31" s="1">
        <f ca="1">IFERROR(__xludf.DUMMYFUNCTION("""COMPUTED_VALUE"""),30)</f>
        <v>30</v>
      </c>
      <c r="B31" s="1" t="str">
        <f ca="1">IFERROR(__xludf.DUMMYFUNCTION("""COMPUTED_VALUE"""),"Penei Sewell")</f>
        <v>Penei Sewell</v>
      </c>
      <c r="C31" s="1" t="str">
        <f ca="1">IFERROR(__xludf.DUMMYFUNCTION("""COMPUTED_VALUE"""),"RT")</f>
        <v>RT</v>
      </c>
      <c r="D31" s="1" t="str">
        <f ca="1">IFERROR(__xludf.DUMMYFUNCTION("""COMPUTED_VALUE"""),"DET DET")</f>
        <v>DET DET</v>
      </c>
      <c r="E31" s="1">
        <f ca="1">IFERROR(__xludf.DUMMYFUNCTION("""COMPUTED_VALUE"""),23)</f>
        <v>23</v>
      </c>
      <c r="F31" s="1">
        <f ca="1">IFERROR(__xludf.DUMMYFUNCTION("""COMPUTED_VALUE"""),2024)</f>
        <v>2024</v>
      </c>
      <c r="G31" s="1">
        <f ca="1">IFERROR(__xludf.DUMMYFUNCTION("""COMPUTED_VALUE"""),2029)</f>
        <v>2029</v>
      </c>
      <c r="H31" s="1">
        <f ca="1">IFERROR(__xludf.DUMMYFUNCTION("""COMPUTED_VALUE"""),4)</f>
        <v>4</v>
      </c>
      <c r="I31" s="2">
        <f ca="1">IFERROR(__xludf.DUMMYFUNCTION("""COMPUTED_VALUE"""),112000000)</f>
        <v>112000000</v>
      </c>
      <c r="J31" s="2">
        <f ca="1">IFERROR(__xludf.DUMMYFUNCTION("""COMPUTED_VALUE"""),28000000)</f>
        <v>28000000</v>
      </c>
      <c r="K31" s="3">
        <f ca="1">IFERROR(__xludf.DUMMYFUNCTION("""COMPUTED_VALUE"""),0.1096)</f>
        <v>0.1096</v>
      </c>
      <c r="L31" s="2">
        <f ca="1">IFERROR(__xludf.DUMMYFUNCTION("""COMPUTED_VALUE"""),42986000)</f>
        <v>42986000</v>
      </c>
      <c r="M31" s="2">
        <f ca="1">IFERROR(__xludf.DUMMYFUNCTION("""COMPUTED_VALUE"""),85000000)</f>
        <v>85000000</v>
      </c>
      <c r="N31" s="1" t="str">
        <f t="shared" ca="1" si="0"/>
        <v>DET</v>
      </c>
    </row>
    <row r="32" spans="1:14" x14ac:dyDescent="0.25">
      <c r="A32" s="1" t="str">
        <f ca="1">IFERROR(__xludf.DUMMYFUNCTION("""COMPUTED_VALUE"""),"T31")</f>
        <v>T31</v>
      </c>
      <c r="B32" s="1" t="str">
        <f ca="1">IFERROR(__xludf.DUMMYFUNCTION("""COMPUTED_VALUE"""),"Christian Wilkins")</f>
        <v>Christian Wilkins</v>
      </c>
      <c r="C32" s="1" t="str">
        <f ca="1">IFERROR(__xludf.DUMMYFUNCTION("""COMPUTED_VALUE"""),"DT")</f>
        <v>DT</v>
      </c>
      <c r="D32" s="1" t="str">
        <f ca="1">IFERROR(__xludf.DUMMYFUNCTION("""COMPUTED_VALUE"""),"LV LV")</f>
        <v>LV LV</v>
      </c>
      <c r="E32" s="1">
        <f ca="1">IFERROR(__xludf.DUMMYFUNCTION("""COMPUTED_VALUE"""),28)</f>
        <v>28</v>
      </c>
      <c r="F32" s="1">
        <f ca="1">IFERROR(__xludf.DUMMYFUNCTION("""COMPUTED_VALUE"""),2024)</f>
        <v>2024</v>
      </c>
      <c r="G32" s="1">
        <f ca="1">IFERROR(__xludf.DUMMYFUNCTION("""COMPUTED_VALUE"""),2027)</f>
        <v>2027</v>
      </c>
      <c r="H32" s="1">
        <f ca="1">IFERROR(__xludf.DUMMYFUNCTION("""COMPUTED_VALUE"""),4)</f>
        <v>4</v>
      </c>
      <c r="I32" s="2">
        <f ca="1">IFERROR(__xludf.DUMMYFUNCTION("""COMPUTED_VALUE"""),110000000)</f>
        <v>110000000</v>
      </c>
      <c r="J32" s="2">
        <f ca="1">IFERROR(__xludf.DUMMYFUNCTION("""COMPUTED_VALUE"""),27500000)</f>
        <v>27500000</v>
      </c>
      <c r="K32" s="3">
        <f ca="1">IFERROR(__xludf.DUMMYFUNCTION("""COMPUTED_VALUE"""),0.1077)</f>
        <v>0.1077</v>
      </c>
      <c r="L32" s="2">
        <f ca="1">IFERROR(__xludf.DUMMYFUNCTION("""COMPUTED_VALUE"""),57500000)</f>
        <v>57500000</v>
      </c>
      <c r="M32" s="2">
        <f ca="1">IFERROR(__xludf.DUMMYFUNCTION("""COMPUTED_VALUE"""),82750000)</f>
        <v>82750000</v>
      </c>
      <c r="N32" s="1" t="str">
        <f t="shared" ca="1" si="0"/>
        <v>LV</v>
      </c>
    </row>
    <row r="33" spans="1:14" x14ac:dyDescent="0.25">
      <c r="A33" s="1" t="str">
        <f ca="1">IFERROR(__xludf.DUMMYFUNCTION("""COMPUTED_VALUE"""),"T31")</f>
        <v>T31</v>
      </c>
      <c r="B33" s="1" t="str">
        <f ca="1">IFERROR(__xludf.DUMMYFUNCTION("""COMPUTED_VALUE"""),"Bradley Chubb")</f>
        <v>Bradley Chubb</v>
      </c>
      <c r="C33" s="1" t="str">
        <f ca="1">IFERROR(__xludf.DUMMYFUNCTION("""COMPUTED_VALUE"""),"OLB")</f>
        <v>OLB</v>
      </c>
      <c r="D33" s="1" t="str">
        <f ca="1">IFERROR(__xludf.DUMMYFUNCTION("""COMPUTED_VALUE"""),"MIA MIA")</f>
        <v>MIA MIA</v>
      </c>
      <c r="E33" s="1">
        <f ca="1">IFERROR(__xludf.DUMMYFUNCTION("""COMPUTED_VALUE"""),26)</f>
        <v>26</v>
      </c>
      <c r="F33" s="1">
        <f ca="1">IFERROR(__xludf.DUMMYFUNCTION("""COMPUTED_VALUE"""),2022)</f>
        <v>2022</v>
      </c>
      <c r="G33" s="1">
        <f ca="1">IFERROR(__xludf.DUMMYFUNCTION("""COMPUTED_VALUE"""),2027)</f>
        <v>2027</v>
      </c>
      <c r="H33" s="1">
        <f ca="1">IFERROR(__xludf.DUMMYFUNCTION("""COMPUTED_VALUE"""),5)</f>
        <v>5</v>
      </c>
      <c r="I33" s="2">
        <f ca="1">IFERROR(__xludf.DUMMYFUNCTION("""COMPUTED_VALUE"""),110000000)</f>
        <v>110000000</v>
      </c>
      <c r="J33" s="2">
        <f ca="1">IFERROR(__xludf.DUMMYFUNCTION("""COMPUTED_VALUE"""),22000000)</f>
        <v>22000000</v>
      </c>
      <c r="K33" s="3">
        <f ca="1">IFERROR(__xludf.DUMMYFUNCTION("""COMPUTED_VALUE"""),0.1057)</f>
        <v>0.1057</v>
      </c>
      <c r="L33" s="2">
        <f ca="1">IFERROR(__xludf.DUMMYFUNCTION("""COMPUTED_VALUE"""),33462445)</f>
        <v>33462445</v>
      </c>
      <c r="M33" s="2">
        <f ca="1">IFERROR(__xludf.DUMMYFUNCTION("""COMPUTED_VALUE"""),53212445)</f>
        <v>53212445</v>
      </c>
      <c r="N33" s="1" t="str">
        <f t="shared" ca="1" si="0"/>
        <v>MIA</v>
      </c>
    </row>
    <row r="34" spans="1:14" x14ac:dyDescent="0.25">
      <c r="A34" s="1">
        <f ca="1">IFERROR(__xludf.DUMMYFUNCTION("""COMPUTED_VALUE"""),33)</f>
        <v>33</v>
      </c>
      <c r="B34" s="1" t="str">
        <f ca="1">IFERROR(__xludf.DUMMYFUNCTION("""COMPUTED_VALUE"""),"Chris Lindstrom")</f>
        <v>Chris Lindstrom</v>
      </c>
      <c r="C34" s="1" t="str">
        <f ca="1">IFERROR(__xludf.DUMMYFUNCTION("""COMPUTED_VALUE"""),"G")</f>
        <v>G</v>
      </c>
      <c r="D34" s="1" t="str">
        <f ca="1">IFERROR(__xludf.DUMMYFUNCTION("""COMPUTED_VALUE"""),"ATL ATL")</f>
        <v>ATL ATL</v>
      </c>
      <c r="E34" s="1">
        <f ca="1">IFERROR(__xludf.DUMMYFUNCTION("""COMPUTED_VALUE"""),26)</f>
        <v>26</v>
      </c>
      <c r="F34" s="1">
        <f ca="1">IFERROR(__xludf.DUMMYFUNCTION("""COMPUTED_VALUE"""),2023)</f>
        <v>2023</v>
      </c>
      <c r="G34" s="1">
        <f ca="1">IFERROR(__xludf.DUMMYFUNCTION("""COMPUTED_VALUE"""),2028)</f>
        <v>2028</v>
      </c>
      <c r="H34" s="1">
        <f ca="1">IFERROR(__xludf.DUMMYFUNCTION("""COMPUTED_VALUE"""),5)</f>
        <v>5</v>
      </c>
      <c r="I34" s="2">
        <f ca="1">IFERROR(__xludf.DUMMYFUNCTION("""COMPUTED_VALUE"""),102500000)</f>
        <v>102500000</v>
      </c>
      <c r="J34" s="2">
        <f ca="1">IFERROR(__xludf.DUMMYFUNCTION("""COMPUTED_VALUE"""),20500000)</f>
        <v>20500000</v>
      </c>
      <c r="K34" s="3">
        <f ca="1">IFERROR(__xludf.DUMMYFUNCTION("""COMPUTED_VALUE"""),0.0912)</f>
        <v>9.1200000000000003E-2</v>
      </c>
      <c r="L34" s="2">
        <f ca="1">IFERROR(__xludf.DUMMYFUNCTION("""COMPUTED_VALUE"""),48202000)</f>
        <v>48202000</v>
      </c>
      <c r="M34" s="2">
        <f ca="1">IFERROR(__xludf.DUMMYFUNCTION("""COMPUTED_VALUE"""),48202000)</f>
        <v>48202000</v>
      </c>
      <c r="N34" s="1" t="str">
        <f t="shared" ca="1" si="0"/>
        <v>ATL</v>
      </c>
    </row>
    <row r="35" spans="1:14" x14ac:dyDescent="0.25">
      <c r="A35" s="1">
        <f ca="1">IFERROR(__xludf.DUMMYFUNCTION("""COMPUTED_VALUE"""),34)</f>
        <v>34</v>
      </c>
      <c r="B35" s="1" t="str">
        <f ca="1">IFERROR(__xludf.DUMMYFUNCTION("""COMPUTED_VALUE"""),"Denzel Ward")</f>
        <v>Denzel Ward</v>
      </c>
      <c r="C35" s="1" t="str">
        <f ca="1">IFERROR(__xludf.DUMMYFUNCTION("""COMPUTED_VALUE"""),"CB")</f>
        <v>CB</v>
      </c>
      <c r="D35" s="1" t="str">
        <f ca="1">IFERROR(__xludf.DUMMYFUNCTION("""COMPUTED_VALUE"""),"CLE CLE")</f>
        <v>CLE CLE</v>
      </c>
      <c r="E35" s="1">
        <f ca="1">IFERROR(__xludf.DUMMYFUNCTION("""COMPUTED_VALUE"""),24)</f>
        <v>24</v>
      </c>
      <c r="F35" s="1">
        <f ca="1">IFERROR(__xludf.DUMMYFUNCTION("""COMPUTED_VALUE"""),2022)</f>
        <v>2022</v>
      </c>
      <c r="G35" s="1">
        <f ca="1">IFERROR(__xludf.DUMMYFUNCTION("""COMPUTED_VALUE"""),2027)</f>
        <v>2027</v>
      </c>
      <c r="H35" s="1">
        <f ca="1">IFERROR(__xludf.DUMMYFUNCTION("""COMPUTED_VALUE"""),5)</f>
        <v>5</v>
      </c>
      <c r="I35" s="2">
        <f ca="1">IFERROR(__xludf.DUMMYFUNCTION("""COMPUTED_VALUE"""),100500000)</f>
        <v>100500000</v>
      </c>
      <c r="J35" s="2">
        <f ca="1">IFERROR(__xludf.DUMMYFUNCTION("""COMPUTED_VALUE"""),20100000)</f>
        <v>20100000</v>
      </c>
      <c r="K35" s="3">
        <f ca="1">IFERROR(__xludf.DUMMYFUNCTION("""COMPUTED_VALUE"""),0.0965)</f>
        <v>9.6500000000000002E-2</v>
      </c>
      <c r="L35" s="2">
        <f ca="1">IFERROR(__xludf.DUMMYFUNCTION("""COMPUTED_VALUE"""),44500000)</f>
        <v>44500000</v>
      </c>
      <c r="M35" s="2">
        <f ca="1">IFERROR(__xludf.DUMMYFUNCTION("""COMPUTED_VALUE"""),71250000)</f>
        <v>71250000</v>
      </c>
      <c r="N35" s="1" t="str">
        <f t="shared" ca="1" si="0"/>
        <v>CLE</v>
      </c>
    </row>
    <row r="36" spans="1:14" x14ac:dyDescent="0.25">
      <c r="A36" s="1" t="str">
        <f ca="1">IFERROR(__xludf.DUMMYFUNCTION("""COMPUTED_VALUE"""),"T35")</f>
        <v>T35</v>
      </c>
      <c r="B36" s="1" t="str">
        <f ca="1">IFERROR(__xludf.DUMMYFUNCTION("""COMPUTED_VALUE"""),"Amari Cooper")</f>
        <v>Amari Cooper</v>
      </c>
      <c r="C36" s="1" t="str">
        <f ca="1">IFERROR(__xludf.DUMMYFUNCTION("""COMPUTED_VALUE"""),"WR")</f>
        <v>WR</v>
      </c>
      <c r="D36" s="1" t="str">
        <f ca="1">IFERROR(__xludf.DUMMYFUNCTION("""COMPUTED_VALUE"""),"CLE CLE")</f>
        <v>CLE CLE</v>
      </c>
      <c r="E36" s="1">
        <f ca="1">IFERROR(__xludf.DUMMYFUNCTION("""COMPUTED_VALUE"""),25)</f>
        <v>25</v>
      </c>
      <c r="F36" s="1">
        <f ca="1">IFERROR(__xludf.DUMMYFUNCTION("""COMPUTED_VALUE"""),2020)</f>
        <v>2020</v>
      </c>
      <c r="G36" s="1">
        <f ca="1">IFERROR(__xludf.DUMMYFUNCTION("""COMPUTED_VALUE"""),2024)</f>
        <v>2024</v>
      </c>
      <c r="H36" s="1">
        <f ca="1">IFERROR(__xludf.DUMMYFUNCTION("""COMPUTED_VALUE"""),5)</f>
        <v>5</v>
      </c>
      <c r="I36" s="2">
        <f ca="1">IFERROR(__xludf.DUMMYFUNCTION("""COMPUTED_VALUE"""),100000000)</f>
        <v>100000000</v>
      </c>
      <c r="J36" s="2">
        <f ca="1">IFERROR(__xludf.DUMMYFUNCTION("""COMPUTED_VALUE"""),20000000)</f>
        <v>20000000</v>
      </c>
      <c r="K36" s="3">
        <f ca="1">IFERROR(__xludf.DUMMYFUNCTION("""COMPUTED_VALUE"""),0.1009)</f>
        <v>0.1009</v>
      </c>
      <c r="L36" s="2">
        <f ca="1">IFERROR(__xludf.DUMMYFUNCTION("""COMPUTED_VALUE"""),40000000)</f>
        <v>40000000</v>
      </c>
      <c r="M36" s="2">
        <f ca="1">IFERROR(__xludf.DUMMYFUNCTION("""COMPUTED_VALUE"""),60000000)</f>
        <v>60000000</v>
      </c>
      <c r="N36" s="1" t="str">
        <f t="shared" ca="1" si="0"/>
        <v>CLE</v>
      </c>
    </row>
    <row r="37" spans="1:14" x14ac:dyDescent="0.25">
      <c r="A37" s="1" t="str">
        <f ca="1">IFERROR(__xludf.DUMMYFUNCTION("""COMPUTED_VALUE"""),"T35")</f>
        <v>T35</v>
      </c>
      <c r="B37" s="1" t="str">
        <f ca="1">IFERROR(__xludf.DUMMYFUNCTION("""COMPUTED_VALUE"""),"Roquan Smith")</f>
        <v>Roquan Smith</v>
      </c>
      <c r="C37" s="1" t="str">
        <f ca="1">IFERROR(__xludf.DUMMYFUNCTION("""COMPUTED_VALUE"""),"ILB")</f>
        <v>ILB</v>
      </c>
      <c r="D37" s="1" t="str">
        <f ca="1">IFERROR(__xludf.DUMMYFUNCTION("""COMPUTED_VALUE"""),"BAL BAL")</f>
        <v>BAL BAL</v>
      </c>
      <c r="E37" s="1">
        <f ca="1">IFERROR(__xludf.DUMMYFUNCTION("""COMPUTED_VALUE"""),25)</f>
        <v>25</v>
      </c>
      <c r="F37" s="1">
        <f ca="1">IFERROR(__xludf.DUMMYFUNCTION("""COMPUTED_VALUE"""),2023)</f>
        <v>2023</v>
      </c>
      <c r="G37" s="1">
        <f ca="1">IFERROR(__xludf.DUMMYFUNCTION("""COMPUTED_VALUE"""),2027)</f>
        <v>2027</v>
      </c>
      <c r="H37" s="1">
        <f ca="1">IFERROR(__xludf.DUMMYFUNCTION("""COMPUTED_VALUE"""),5)</f>
        <v>5</v>
      </c>
      <c r="I37" s="2">
        <f ca="1">IFERROR(__xludf.DUMMYFUNCTION("""COMPUTED_VALUE"""),100000000)</f>
        <v>100000000</v>
      </c>
      <c r="J37" s="2">
        <f ca="1">IFERROR(__xludf.DUMMYFUNCTION("""COMPUTED_VALUE"""),20000000)</f>
        <v>20000000</v>
      </c>
      <c r="K37" s="3">
        <f ca="1">IFERROR(__xludf.DUMMYFUNCTION("""COMPUTED_VALUE"""),0.089)</f>
        <v>8.8999999999999996E-2</v>
      </c>
      <c r="L37" s="2">
        <f ca="1">IFERROR(__xludf.DUMMYFUNCTION("""COMPUTED_VALUE"""),45000000)</f>
        <v>45000000</v>
      </c>
      <c r="M37" s="2">
        <f ca="1">IFERROR(__xludf.DUMMYFUNCTION("""COMPUTED_VALUE"""),60000000)</f>
        <v>60000000</v>
      </c>
      <c r="N37" s="1" t="str">
        <f t="shared" ca="1" si="0"/>
        <v>BAL</v>
      </c>
    </row>
    <row r="38" spans="1:14" x14ac:dyDescent="0.25">
      <c r="A38" s="1" t="str">
        <f ca="1">IFERROR(__xludf.DUMMYFUNCTION("""COMPUTED_VALUE"""),"T35")</f>
        <v>T35</v>
      </c>
      <c r="B38" s="1" t="str">
        <f ca="1">IFERROR(__xludf.DUMMYFUNCTION("""COMPUTED_VALUE"""),"Robert Hunt")</f>
        <v>Robert Hunt</v>
      </c>
      <c r="C38" s="1" t="str">
        <f ca="1">IFERROR(__xludf.DUMMYFUNCTION("""COMPUTED_VALUE"""),"G")</f>
        <v>G</v>
      </c>
      <c r="D38" s="1" t="str">
        <f ca="1">IFERROR(__xludf.DUMMYFUNCTION("""COMPUTED_VALUE"""),"CAR CAR")</f>
        <v>CAR CAR</v>
      </c>
      <c r="E38" s="1">
        <f ca="1">IFERROR(__xludf.DUMMYFUNCTION("""COMPUTED_VALUE"""),27)</f>
        <v>27</v>
      </c>
      <c r="F38" s="1">
        <f ca="1">IFERROR(__xludf.DUMMYFUNCTION("""COMPUTED_VALUE"""),2024)</f>
        <v>2024</v>
      </c>
      <c r="G38" s="1">
        <f ca="1">IFERROR(__xludf.DUMMYFUNCTION("""COMPUTED_VALUE"""),2028)</f>
        <v>2028</v>
      </c>
      <c r="H38" s="1">
        <f ca="1">IFERROR(__xludf.DUMMYFUNCTION("""COMPUTED_VALUE"""),5)</f>
        <v>5</v>
      </c>
      <c r="I38" s="2">
        <f ca="1">IFERROR(__xludf.DUMMYFUNCTION("""COMPUTED_VALUE"""),100000000)</f>
        <v>100000000</v>
      </c>
      <c r="J38" s="2">
        <f ca="1">IFERROR(__xludf.DUMMYFUNCTION("""COMPUTED_VALUE"""),20000000)</f>
        <v>20000000</v>
      </c>
      <c r="K38" s="3">
        <f ca="1">IFERROR(__xludf.DUMMYFUNCTION("""COMPUTED_VALUE"""),0.0783)</f>
        <v>7.8299999999999995E-2</v>
      </c>
      <c r="L38" s="2">
        <f ca="1">IFERROR(__xludf.DUMMYFUNCTION("""COMPUTED_VALUE"""),44000000)</f>
        <v>44000000</v>
      </c>
      <c r="M38" s="2">
        <f ca="1">IFERROR(__xludf.DUMMYFUNCTION("""COMPUTED_VALUE"""),63000000)</f>
        <v>63000000</v>
      </c>
      <c r="N38" s="1" t="str">
        <f t="shared" ca="1" si="0"/>
        <v>CAR</v>
      </c>
    </row>
    <row r="39" spans="1:14" x14ac:dyDescent="0.25">
      <c r="A39" s="1" t="str">
        <f ca="1">IFERROR(__xludf.DUMMYFUNCTION("""COMPUTED_VALUE"""),"T35")</f>
        <v>T35</v>
      </c>
      <c r="B39" s="1" t="str">
        <f ca="1">IFERROR(__xludf.DUMMYFUNCTION("""COMPUTED_VALUE"""),"Baker Mayfield")</f>
        <v>Baker Mayfield</v>
      </c>
      <c r="C39" s="1" t="str">
        <f ca="1">IFERROR(__xludf.DUMMYFUNCTION("""COMPUTED_VALUE"""),"QB")</f>
        <v>QB</v>
      </c>
      <c r="D39" s="1" t="str">
        <f ca="1">IFERROR(__xludf.DUMMYFUNCTION("""COMPUTED_VALUE"""),"TB TB")</f>
        <v>TB TB</v>
      </c>
      <c r="E39" s="1">
        <f ca="1">IFERROR(__xludf.DUMMYFUNCTION("""COMPUTED_VALUE"""),28)</f>
        <v>28</v>
      </c>
      <c r="F39" s="1">
        <f ca="1">IFERROR(__xludf.DUMMYFUNCTION("""COMPUTED_VALUE"""),2024)</f>
        <v>2024</v>
      </c>
      <c r="G39" s="1">
        <f ca="1">IFERROR(__xludf.DUMMYFUNCTION("""COMPUTED_VALUE"""),2026)</f>
        <v>2026</v>
      </c>
      <c r="H39" s="1">
        <f ca="1">IFERROR(__xludf.DUMMYFUNCTION("""COMPUTED_VALUE"""),3)</f>
        <v>3</v>
      </c>
      <c r="I39" s="2">
        <f ca="1">IFERROR(__xludf.DUMMYFUNCTION("""COMPUTED_VALUE"""),100000000)</f>
        <v>100000000</v>
      </c>
      <c r="J39" s="2">
        <f ca="1">IFERROR(__xludf.DUMMYFUNCTION("""COMPUTED_VALUE"""),33333333)</f>
        <v>33333333</v>
      </c>
      <c r="K39" s="3">
        <f ca="1">IFERROR(__xludf.DUMMYFUNCTION("""COMPUTED_VALUE"""),0.1305)</f>
        <v>0.1305</v>
      </c>
      <c r="L39" s="2">
        <f ca="1">IFERROR(__xludf.DUMMYFUNCTION("""COMPUTED_VALUE"""),40000000)</f>
        <v>40000000</v>
      </c>
      <c r="M39" s="2">
        <f ca="1">IFERROR(__xludf.DUMMYFUNCTION("""COMPUTED_VALUE"""),50000000)</f>
        <v>50000000</v>
      </c>
      <c r="N39" s="1" t="str">
        <f t="shared" ca="1" si="0"/>
        <v>TB</v>
      </c>
    </row>
    <row r="40" spans="1:14" x14ac:dyDescent="0.25">
      <c r="A40" s="1">
        <f ca="1">IFERROR(__xludf.DUMMYFUNCTION("""COMPUTED_VALUE"""),39)</f>
        <v>39</v>
      </c>
      <c r="B40" s="1" t="str">
        <f ca="1">IFERROR(__xludf.DUMMYFUNCTION("""COMPUTED_VALUE"""),"Justin Madubuike")</f>
        <v>Justin Madubuike</v>
      </c>
      <c r="C40" s="1" t="str">
        <f ca="1">IFERROR(__xludf.DUMMYFUNCTION("""COMPUTED_VALUE"""),"DT")</f>
        <v>DT</v>
      </c>
      <c r="D40" s="1" t="str">
        <f ca="1">IFERROR(__xludf.DUMMYFUNCTION("""COMPUTED_VALUE"""),"BAL BAL")</f>
        <v>BAL BAL</v>
      </c>
      <c r="E40" s="1">
        <f ca="1">IFERROR(__xludf.DUMMYFUNCTION("""COMPUTED_VALUE"""),26)</f>
        <v>26</v>
      </c>
      <c r="F40" s="1">
        <f ca="1">IFERROR(__xludf.DUMMYFUNCTION("""COMPUTED_VALUE"""),2024)</f>
        <v>2024</v>
      </c>
      <c r="G40" s="1">
        <f ca="1">IFERROR(__xludf.DUMMYFUNCTION("""COMPUTED_VALUE"""),2027)</f>
        <v>2027</v>
      </c>
      <c r="H40" s="1">
        <f ca="1">IFERROR(__xludf.DUMMYFUNCTION("""COMPUTED_VALUE"""),4)</f>
        <v>4</v>
      </c>
      <c r="I40" s="2">
        <f ca="1">IFERROR(__xludf.DUMMYFUNCTION("""COMPUTED_VALUE"""),98000000)</f>
        <v>98000000</v>
      </c>
      <c r="J40" s="2">
        <f ca="1">IFERROR(__xludf.DUMMYFUNCTION("""COMPUTED_VALUE"""),24500000)</f>
        <v>24500000</v>
      </c>
      <c r="K40" s="3">
        <f ca="1">IFERROR(__xludf.DUMMYFUNCTION("""COMPUTED_VALUE"""),0.0959)</f>
        <v>9.5899999999999999E-2</v>
      </c>
      <c r="L40" s="2">
        <f ca="1">IFERROR(__xludf.DUMMYFUNCTION("""COMPUTED_VALUE"""),53500000)</f>
        <v>53500000</v>
      </c>
      <c r="M40" s="2">
        <f ca="1">IFERROR(__xludf.DUMMYFUNCTION("""COMPUTED_VALUE"""),75500000)</f>
        <v>75500000</v>
      </c>
      <c r="N40" s="1" t="str">
        <f t="shared" ca="1" si="0"/>
        <v>BAL</v>
      </c>
    </row>
    <row r="41" spans="1:14" x14ac:dyDescent="0.25">
      <c r="A41" s="1">
        <f ca="1">IFERROR(__xludf.DUMMYFUNCTION("""COMPUTED_VALUE"""),40)</f>
        <v>40</v>
      </c>
      <c r="B41" s="1" t="str">
        <f ca="1">IFERROR(__xludf.DUMMYFUNCTION("""COMPUTED_VALUE"""),"Marshon Lattimore")</f>
        <v>Marshon Lattimore</v>
      </c>
      <c r="C41" s="1" t="str">
        <f ca="1">IFERROR(__xludf.DUMMYFUNCTION("""COMPUTED_VALUE"""),"CB")</f>
        <v>CB</v>
      </c>
      <c r="D41" s="1" t="str">
        <f ca="1">IFERROR(__xludf.DUMMYFUNCTION("""COMPUTED_VALUE"""),"NO NO")</f>
        <v>NO NO</v>
      </c>
      <c r="E41" s="1">
        <f ca="1">IFERROR(__xludf.DUMMYFUNCTION("""COMPUTED_VALUE"""),24)</f>
        <v>24</v>
      </c>
      <c r="F41" s="1">
        <f ca="1">IFERROR(__xludf.DUMMYFUNCTION("""COMPUTED_VALUE"""),2021)</f>
        <v>2021</v>
      </c>
      <c r="G41" s="1">
        <f ca="1">IFERROR(__xludf.DUMMYFUNCTION("""COMPUTED_VALUE"""),2026)</f>
        <v>2026</v>
      </c>
      <c r="H41" s="1">
        <f ca="1">IFERROR(__xludf.DUMMYFUNCTION("""COMPUTED_VALUE"""),5)</f>
        <v>5</v>
      </c>
      <c r="I41" s="2">
        <f ca="1">IFERROR(__xludf.DUMMYFUNCTION("""COMPUTED_VALUE"""),97603000)</f>
        <v>97603000</v>
      </c>
      <c r="J41" s="2">
        <f ca="1">IFERROR(__xludf.DUMMYFUNCTION("""COMPUTED_VALUE"""),19520600)</f>
        <v>19520600</v>
      </c>
      <c r="K41" s="3">
        <f ca="1">IFERROR(__xludf.DUMMYFUNCTION("""COMPUTED_VALUE"""),0.107)</f>
        <v>0.107</v>
      </c>
      <c r="L41" s="2">
        <f ca="1">IFERROR(__xludf.DUMMYFUNCTION("""COMPUTED_VALUE"""),34103000)</f>
        <v>34103000</v>
      </c>
      <c r="M41" s="2">
        <f ca="1">IFERROR(__xludf.DUMMYFUNCTION("""COMPUTED_VALUE"""),58103000)</f>
        <v>58103000</v>
      </c>
      <c r="N41" s="1" t="str">
        <f t="shared" ca="1" si="0"/>
        <v>NO</v>
      </c>
    </row>
    <row r="42" spans="1:14" x14ac:dyDescent="0.25">
      <c r="A42" s="1">
        <f ca="1">IFERROR(__xludf.DUMMYFUNCTION("""COMPUTED_VALUE"""),41)</f>
        <v>41</v>
      </c>
      <c r="B42" s="1" t="str">
        <f ca="1">IFERROR(__xludf.DUMMYFUNCTION("""COMPUTED_VALUE"""),"Marlon Humphrey")</f>
        <v>Marlon Humphrey</v>
      </c>
      <c r="C42" s="1" t="str">
        <f ca="1">IFERROR(__xludf.DUMMYFUNCTION("""COMPUTED_VALUE"""),"CB")</f>
        <v>CB</v>
      </c>
      <c r="D42" s="1" t="str">
        <f ca="1">IFERROR(__xludf.DUMMYFUNCTION("""COMPUTED_VALUE"""),"BAL BAL")</f>
        <v>BAL BAL</v>
      </c>
      <c r="E42" s="1">
        <f ca="1">IFERROR(__xludf.DUMMYFUNCTION("""COMPUTED_VALUE"""),23)</f>
        <v>23</v>
      </c>
      <c r="F42" s="1">
        <f ca="1">IFERROR(__xludf.DUMMYFUNCTION("""COMPUTED_VALUE"""),2020)</f>
        <v>2020</v>
      </c>
      <c r="G42" s="1">
        <f ca="1">IFERROR(__xludf.DUMMYFUNCTION("""COMPUTED_VALUE"""),2026)</f>
        <v>2026</v>
      </c>
      <c r="H42" s="1">
        <f ca="1">IFERROR(__xludf.DUMMYFUNCTION("""COMPUTED_VALUE"""),5)</f>
        <v>5</v>
      </c>
      <c r="I42" s="2">
        <f ca="1">IFERROR(__xludf.DUMMYFUNCTION("""COMPUTED_VALUE"""),97500000)</f>
        <v>97500000</v>
      </c>
      <c r="J42" s="2">
        <f ca="1">IFERROR(__xludf.DUMMYFUNCTION("""COMPUTED_VALUE"""),19500000)</f>
        <v>19500000</v>
      </c>
      <c r="K42" s="3">
        <f ca="1">IFERROR(__xludf.DUMMYFUNCTION("""COMPUTED_VALUE"""),0.0984)</f>
        <v>9.8400000000000001E-2</v>
      </c>
      <c r="L42" s="2">
        <f ca="1">IFERROR(__xludf.DUMMYFUNCTION("""COMPUTED_VALUE"""),40324566)</f>
        <v>40324566</v>
      </c>
      <c r="M42" s="2">
        <f ca="1">IFERROR(__xludf.DUMMYFUNCTION("""COMPUTED_VALUE"""),67324566)</f>
        <v>67324566</v>
      </c>
      <c r="N42" s="1" t="str">
        <f t="shared" ca="1" si="0"/>
        <v>BAL</v>
      </c>
    </row>
    <row r="43" spans="1:14" x14ac:dyDescent="0.25">
      <c r="A43" s="1">
        <f ca="1">IFERROR(__xludf.DUMMYFUNCTION("""COMPUTED_VALUE"""),42)</f>
        <v>42</v>
      </c>
      <c r="B43" s="1" t="str">
        <f ca="1">IFERROR(__xludf.DUMMYFUNCTION("""COMPUTED_VALUE"""),"Trevon Diggs")</f>
        <v>Trevon Diggs</v>
      </c>
      <c r="C43" s="1" t="str">
        <f ca="1">IFERROR(__xludf.DUMMYFUNCTION("""COMPUTED_VALUE"""),"CB")</f>
        <v>CB</v>
      </c>
      <c r="D43" s="1" t="str">
        <f ca="1">IFERROR(__xludf.DUMMYFUNCTION("""COMPUTED_VALUE"""),"DAL DAL")</f>
        <v>DAL DAL</v>
      </c>
      <c r="E43" s="1">
        <f ca="1">IFERROR(__xludf.DUMMYFUNCTION("""COMPUTED_VALUE"""),25)</f>
        <v>25</v>
      </c>
      <c r="F43" s="1">
        <f ca="1">IFERROR(__xludf.DUMMYFUNCTION("""COMPUTED_VALUE"""),2023)</f>
        <v>2023</v>
      </c>
      <c r="G43" s="1">
        <f ca="1">IFERROR(__xludf.DUMMYFUNCTION("""COMPUTED_VALUE"""),2028)</f>
        <v>2028</v>
      </c>
      <c r="H43" s="1">
        <f ca="1">IFERROR(__xludf.DUMMYFUNCTION("""COMPUTED_VALUE"""),5)</f>
        <v>5</v>
      </c>
      <c r="I43" s="2">
        <f ca="1">IFERROR(__xludf.DUMMYFUNCTION("""COMPUTED_VALUE"""),97000000)</f>
        <v>97000000</v>
      </c>
      <c r="J43" s="2">
        <f ca="1">IFERROR(__xludf.DUMMYFUNCTION("""COMPUTED_VALUE"""),19400000)</f>
        <v>19400000</v>
      </c>
      <c r="K43" s="3">
        <f ca="1">IFERROR(__xludf.DUMMYFUNCTION("""COMPUTED_VALUE"""),0.0863)</f>
        <v>8.6300000000000002E-2</v>
      </c>
      <c r="L43" s="2">
        <f ca="1">IFERROR(__xludf.DUMMYFUNCTION("""COMPUTED_VALUE"""),33304000)</f>
        <v>33304000</v>
      </c>
      <c r="M43" s="2">
        <f ca="1">IFERROR(__xludf.DUMMYFUNCTION("""COMPUTED_VALUE"""),42304000)</f>
        <v>42304000</v>
      </c>
      <c r="N43" s="1" t="str">
        <f t="shared" ca="1" si="0"/>
        <v>DAL</v>
      </c>
    </row>
    <row r="44" spans="1:14" x14ac:dyDescent="0.25">
      <c r="A44" s="1" t="str">
        <f ca="1">IFERROR(__xludf.DUMMYFUNCTION("""COMPUTED_VALUE"""),"T43")</f>
        <v>T43</v>
      </c>
      <c r="B44" s="1" t="str">
        <f ca="1">IFERROR(__xludf.DUMMYFUNCTION("""COMPUTED_VALUE"""),"Ryan Ramczyk")</f>
        <v>Ryan Ramczyk</v>
      </c>
      <c r="C44" s="1" t="str">
        <f ca="1">IFERROR(__xludf.DUMMYFUNCTION("""COMPUTED_VALUE"""),"RT")</f>
        <v>RT</v>
      </c>
      <c r="D44" s="1" t="str">
        <f ca="1">IFERROR(__xludf.DUMMYFUNCTION("""COMPUTED_VALUE"""),"NO NO")</f>
        <v>NO NO</v>
      </c>
      <c r="E44" s="1">
        <f ca="1">IFERROR(__xludf.DUMMYFUNCTION("""COMPUTED_VALUE"""),26)</f>
        <v>26</v>
      </c>
      <c r="F44" s="1">
        <f ca="1">IFERROR(__xludf.DUMMYFUNCTION("""COMPUTED_VALUE"""),2021)</f>
        <v>2021</v>
      </c>
      <c r="G44" s="1">
        <f ca="1">IFERROR(__xludf.DUMMYFUNCTION("""COMPUTED_VALUE"""),2026)</f>
        <v>2026</v>
      </c>
      <c r="H44" s="1">
        <f ca="1">IFERROR(__xludf.DUMMYFUNCTION("""COMPUTED_VALUE"""),5)</f>
        <v>5</v>
      </c>
      <c r="I44" s="2">
        <f ca="1">IFERROR(__xludf.DUMMYFUNCTION("""COMPUTED_VALUE"""),96000000)</f>
        <v>96000000</v>
      </c>
      <c r="J44" s="2">
        <f ca="1">IFERROR(__xludf.DUMMYFUNCTION("""COMPUTED_VALUE"""),19200000)</f>
        <v>19200000</v>
      </c>
      <c r="K44" s="3">
        <f ca="1">IFERROR(__xludf.DUMMYFUNCTION("""COMPUTED_VALUE"""),0.1052)</f>
        <v>0.1052</v>
      </c>
      <c r="L44" s="2">
        <f ca="1">IFERROR(__xludf.DUMMYFUNCTION("""COMPUTED_VALUE"""),43014824)</f>
        <v>43014824</v>
      </c>
      <c r="M44" s="2">
        <f ca="1">IFERROR(__xludf.DUMMYFUNCTION("""COMPUTED_VALUE"""),60214824)</f>
        <v>60214824</v>
      </c>
      <c r="N44" s="1" t="str">
        <f t="shared" ca="1" si="0"/>
        <v>NO</v>
      </c>
    </row>
    <row r="45" spans="1:14" x14ac:dyDescent="0.25">
      <c r="A45" s="1" t="str">
        <f ca="1">IFERROR(__xludf.DUMMYFUNCTION("""COMPUTED_VALUE"""),"T43")</f>
        <v>T43</v>
      </c>
      <c r="B45" s="1" t="str">
        <f ca="1">IFERROR(__xludf.DUMMYFUNCTION("""COMPUTED_VALUE"""),"Quinnen Williams")</f>
        <v>Quinnen Williams</v>
      </c>
      <c r="C45" s="1" t="str">
        <f ca="1">IFERROR(__xludf.DUMMYFUNCTION("""COMPUTED_VALUE"""),"DT")</f>
        <v>DT</v>
      </c>
      <c r="D45" s="1" t="str">
        <f ca="1">IFERROR(__xludf.DUMMYFUNCTION("""COMPUTED_VALUE"""),"NYJ NYJ")</f>
        <v>NYJ NYJ</v>
      </c>
      <c r="E45" s="1">
        <f ca="1">IFERROR(__xludf.DUMMYFUNCTION("""COMPUTED_VALUE"""),25)</f>
        <v>25</v>
      </c>
      <c r="F45" s="1">
        <f ca="1">IFERROR(__xludf.DUMMYFUNCTION("""COMPUTED_VALUE"""),2023)</f>
        <v>2023</v>
      </c>
      <c r="G45" s="1">
        <f ca="1">IFERROR(__xludf.DUMMYFUNCTION("""COMPUTED_VALUE"""),2027)</f>
        <v>2027</v>
      </c>
      <c r="H45" s="1">
        <f ca="1">IFERROR(__xludf.DUMMYFUNCTION("""COMPUTED_VALUE"""),4)</f>
        <v>4</v>
      </c>
      <c r="I45" s="2">
        <f ca="1">IFERROR(__xludf.DUMMYFUNCTION("""COMPUTED_VALUE"""),96000000)</f>
        <v>96000000</v>
      </c>
      <c r="J45" s="2">
        <f ca="1">IFERROR(__xludf.DUMMYFUNCTION("""COMPUTED_VALUE"""),24000000)</f>
        <v>24000000</v>
      </c>
      <c r="K45" s="3">
        <f ca="1">IFERROR(__xludf.DUMMYFUNCTION("""COMPUTED_VALUE"""),0.1068)</f>
        <v>0.10680000000000001</v>
      </c>
      <c r="L45" s="2">
        <f ca="1">IFERROR(__xludf.DUMMYFUNCTION("""COMPUTED_VALUE"""),47835000)</f>
        <v>47835000</v>
      </c>
      <c r="M45" s="2">
        <f ca="1">IFERROR(__xludf.DUMMYFUNCTION("""COMPUTED_VALUE"""),66000000)</f>
        <v>66000000</v>
      </c>
      <c r="N45" s="1" t="str">
        <f t="shared" ca="1" si="0"/>
        <v>NYJ</v>
      </c>
    </row>
    <row r="46" spans="1:14" x14ac:dyDescent="0.25">
      <c r="A46" s="1" t="str">
        <f ca="1">IFERROR(__xludf.DUMMYFUNCTION("""COMPUTED_VALUE"""),"T43")</f>
        <v>T43</v>
      </c>
      <c r="B46" s="1" t="str">
        <f ca="1">IFERROR(__xludf.DUMMYFUNCTION("""COMPUTED_VALUE"""),"A.J. Brown")</f>
        <v>A.J. Brown</v>
      </c>
      <c r="C46" s="1" t="str">
        <f ca="1">IFERROR(__xludf.DUMMYFUNCTION("""COMPUTED_VALUE"""),"WR")</f>
        <v>WR</v>
      </c>
      <c r="D46" s="1" t="str">
        <f ca="1">IFERROR(__xludf.DUMMYFUNCTION("""COMPUTED_VALUE"""),"PHI PHI")</f>
        <v>PHI PHI</v>
      </c>
      <c r="E46" s="1">
        <f ca="1">IFERROR(__xludf.DUMMYFUNCTION("""COMPUTED_VALUE"""),26)</f>
        <v>26</v>
      </c>
      <c r="F46" s="1">
        <f ca="1">IFERROR(__xludf.DUMMYFUNCTION("""COMPUTED_VALUE"""),2024)</f>
        <v>2024</v>
      </c>
      <c r="G46" s="1">
        <f ca="1">IFERROR(__xludf.DUMMYFUNCTION("""COMPUTED_VALUE"""),2029)</f>
        <v>2029</v>
      </c>
      <c r="H46" s="1">
        <f ca="1">IFERROR(__xludf.DUMMYFUNCTION("""COMPUTED_VALUE"""),3)</f>
        <v>3</v>
      </c>
      <c r="I46" s="2">
        <f ca="1">IFERROR(__xludf.DUMMYFUNCTION("""COMPUTED_VALUE"""),96000000)</f>
        <v>96000000</v>
      </c>
      <c r="J46" s="2">
        <f ca="1">IFERROR(__xludf.DUMMYFUNCTION("""COMPUTED_VALUE"""),32000000)</f>
        <v>32000000</v>
      </c>
      <c r="K46" s="3">
        <f ca="1">IFERROR(__xludf.DUMMYFUNCTION("""COMPUTED_VALUE"""),0.1253)</f>
        <v>0.12529999999999999</v>
      </c>
      <c r="L46" s="2">
        <f ca="1">IFERROR(__xludf.DUMMYFUNCTION("""COMPUTED_VALUE"""),51000000)</f>
        <v>51000000</v>
      </c>
      <c r="M46" s="2">
        <f ca="1">IFERROR(__xludf.DUMMYFUNCTION("""COMPUTED_VALUE"""),84000000)</f>
        <v>84000000</v>
      </c>
      <c r="N46" s="1" t="str">
        <f t="shared" ca="1" si="0"/>
        <v>PHI</v>
      </c>
    </row>
    <row r="47" spans="1:14" x14ac:dyDescent="0.25">
      <c r="A47" s="1" t="str">
        <f ca="1">IFERROR(__xludf.DUMMYFUNCTION("""COMPUTED_VALUE"""),"T43")</f>
        <v>T43</v>
      </c>
      <c r="B47" s="1" t="str">
        <f ca="1">IFERROR(__xludf.DUMMYFUNCTION("""COMPUTED_VALUE"""),"Rashan Gary")</f>
        <v>Rashan Gary</v>
      </c>
      <c r="C47" s="1" t="str">
        <f ca="1">IFERROR(__xludf.DUMMYFUNCTION("""COMPUTED_VALUE"""),"OLB")</f>
        <v>OLB</v>
      </c>
      <c r="D47" s="1" t="str">
        <f ca="1">IFERROR(__xludf.DUMMYFUNCTION("""COMPUTED_VALUE"""),"GB GB")</f>
        <v>GB GB</v>
      </c>
      <c r="E47" s="1">
        <f ca="1">IFERROR(__xludf.DUMMYFUNCTION("""COMPUTED_VALUE"""),25)</f>
        <v>25</v>
      </c>
      <c r="F47" s="1">
        <f ca="1">IFERROR(__xludf.DUMMYFUNCTION("""COMPUTED_VALUE"""),2023)</f>
        <v>2023</v>
      </c>
      <c r="G47" s="1">
        <f ca="1">IFERROR(__xludf.DUMMYFUNCTION("""COMPUTED_VALUE"""),2027)</f>
        <v>2027</v>
      </c>
      <c r="H47" s="1">
        <f ca="1">IFERROR(__xludf.DUMMYFUNCTION("""COMPUTED_VALUE"""),4)</f>
        <v>4</v>
      </c>
      <c r="I47" s="2">
        <f ca="1">IFERROR(__xludf.DUMMYFUNCTION("""COMPUTED_VALUE"""),96000000)</f>
        <v>96000000</v>
      </c>
      <c r="J47" s="2">
        <f ca="1">IFERROR(__xludf.DUMMYFUNCTION("""COMPUTED_VALUE"""),24000000)</f>
        <v>24000000</v>
      </c>
      <c r="K47" s="3">
        <f ca="1">IFERROR(__xludf.DUMMYFUNCTION("""COMPUTED_VALUE"""),0.1068)</f>
        <v>0.10680000000000001</v>
      </c>
      <c r="L47" s="2">
        <f ca="1">IFERROR(__xludf.DUMMYFUNCTION("""COMPUTED_VALUE"""),34646928)</f>
        <v>34646928</v>
      </c>
      <c r="M47" s="2">
        <f ca="1">IFERROR(__xludf.DUMMYFUNCTION("""COMPUTED_VALUE"""),34646928)</f>
        <v>34646928</v>
      </c>
      <c r="N47" s="1" t="str">
        <f t="shared" ca="1" si="0"/>
        <v>GB</v>
      </c>
    </row>
    <row r="48" spans="1:14" x14ac:dyDescent="0.25">
      <c r="A48" s="1" t="str">
        <f ca="1">IFERROR(__xludf.DUMMYFUNCTION("""COMPUTED_VALUE"""),"T43")</f>
        <v>T43</v>
      </c>
      <c r="B48" s="1" t="str">
        <f ca="1">IFERROR(__xludf.DUMMYFUNCTION("""COMPUTED_VALUE"""),"Derrick Brown")</f>
        <v>Derrick Brown</v>
      </c>
      <c r="C48" s="1" t="str">
        <f ca="1">IFERROR(__xludf.DUMMYFUNCTION("""COMPUTED_VALUE"""),"DT")</f>
        <v>DT</v>
      </c>
      <c r="D48" s="1" t="str">
        <f ca="1">IFERROR(__xludf.DUMMYFUNCTION("""COMPUTED_VALUE"""),"CAR CAR")</f>
        <v>CAR CAR</v>
      </c>
      <c r="E48" s="1">
        <f ca="1">IFERROR(__xludf.DUMMYFUNCTION("""COMPUTED_VALUE"""),25)</f>
        <v>25</v>
      </c>
      <c r="F48" s="1">
        <f ca="1">IFERROR(__xludf.DUMMYFUNCTION("""COMPUTED_VALUE"""),2024)</f>
        <v>2024</v>
      </c>
      <c r="G48" s="1">
        <f ca="1">IFERROR(__xludf.DUMMYFUNCTION("""COMPUTED_VALUE"""),2028)</f>
        <v>2028</v>
      </c>
      <c r="H48" s="1">
        <f ca="1">IFERROR(__xludf.DUMMYFUNCTION("""COMPUTED_VALUE"""),4)</f>
        <v>4</v>
      </c>
      <c r="I48" s="2">
        <f ca="1">IFERROR(__xludf.DUMMYFUNCTION("""COMPUTED_VALUE"""),96000000)</f>
        <v>96000000</v>
      </c>
      <c r="J48" s="2">
        <f ca="1">IFERROR(__xludf.DUMMYFUNCTION("""COMPUTED_VALUE"""),24000000)</f>
        <v>24000000</v>
      </c>
      <c r="K48" s="3">
        <f ca="1">IFERROR(__xludf.DUMMYFUNCTION("""COMPUTED_VALUE"""),0.094)</f>
        <v>9.4E-2</v>
      </c>
      <c r="L48" s="2">
        <f ca="1">IFERROR(__xludf.DUMMYFUNCTION("""COMPUTED_VALUE"""),41165000)</f>
        <v>41165000</v>
      </c>
      <c r="M48" s="2">
        <f ca="1">IFERROR(__xludf.DUMMYFUNCTION("""COMPUTED_VALUE"""),59315000)</f>
        <v>59315000</v>
      </c>
      <c r="N48" s="1" t="str">
        <f t="shared" ca="1" si="0"/>
        <v>CAR</v>
      </c>
    </row>
    <row r="49" spans="1:14" x14ac:dyDescent="0.25">
      <c r="A49" s="1">
        <f ca="1">IFERROR(__xludf.DUMMYFUNCTION("""COMPUTED_VALUE"""),48)</f>
        <v>48</v>
      </c>
      <c r="B49" s="1" t="str">
        <f ca="1">IFERROR(__xludf.DUMMYFUNCTION("""COMPUTED_VALUE"""),"Fred Warner")</f>
        <v>Fred Warner</v>
      </c>
      <c r="C49" s="1" t="str">
        <f ca="1">IFERROR(__xludf.DUMMYFUNCTION("""COMPUTED_VALUE"""),"ILB")</f>
        <v>ILB</v>
      </c>
      <c r="D49" s="1" t="str">
        <f ca="1">IFERROR(__xludf.DUMMYFUNCTION("""COMPUTED_VALUE"""),"SF SF")</f>
        <v>SF SF</v>
      </c>
      <c r="E49" s="1">
        <f ca="1">IFERROR(__xludf.DUMMYFUNCTION("""COMPUTED_VALUE"""),24)</f>
        <v>24</v>
      </c>
      <c r="F49" s="1">
        <f ca="1">IFERROR(__xludf.DUMMYFUNCTION("""COMPUTED_VALUE"""),2021)</f>
        <v>2021</v>
      </c>
      <c r="G49" s="1">
        <f ca="1">IFERROR(__xludf.DUMMYFUNCTION("""COMPUTED_VALUE"""),2026)</f>
        <v>2026</v>
      </c>
      <c r="H49" s="1">
        <f ca="1">IFERROR(__xludf.DUMMYFUNCTION("""COMPUTED_VALUE"""),5)</f>
        <v>5</v>
      </c>
      <c r="I49" s="2">
        <f ca="1">IFERROR(__xludf.DUMMYFUNCTION("""COMPUTED_VALUE"""),95225000)</f>
        <v>95225000</v>
      </c>
      <c r="J49" s="2">
        <f ca="1">IFERROR(__xludf.DUMMYFUNCTION("""COMPUTED_VALUE"""),19045000)</f>
        <v>19045000</v>
      </c>
      <c r="K49" s="3">
        <f ca="1">IFERROR(__xludf.DUMMYFUNCTION("""COMPUTED_VALUE"""),0.1044)</f>
        <v>0.10440000000000001</v>
      </c>
      <c r="L49" s="2">
        <f ca="1">IFERROR(__xludf.DUMMYFUNCTION("""COMPUTED_VALUE"""),27500000)</f>
        <v>27500000</v>
      </c>
      <c r="M49" s="2">
        <f ca="1">IFERROR(__xludf.DUMMYFUNCTION("""COMPUTED_VALUE"""),40500000)</f>
        <v>40500000</v>
      </c>
      <c r="N49" s="1" t="str">
        <f t="shared" ca="1" si="0"/>
        <v>SF</v>
      </c>
    </row>
    <row r="50" spans="1:14" x14ac:dyDescent="0.25">
      <c r="A50" s="1" t="str">
        <f ca="1">IFERROR(__xludf.DUMMYFUNCTION("""COMPUTED_VALUE"""),"T49")</f>
        <v>T49</v>
      </c>
      <c r="B50" s="1" t="str">
        <f ca="1">IFERROR(__xludf.DUMMYFUNCTION("""COMPUTED_VALUE"""),"Jeffery Simmons")</f>
        <v>Jeffery Simmons</v>
      </c>
      <c r="C50" s="1" t="str">
        <f ca="1">IFERROR(__xludf.DUMMYFUNCTION("""COMPUTED_VALUE"""),"DT")</f>
        <v>DT</v>
      </c>
      <c r="D50" s="1" t="str">
        <f ca="1">IFERROR(__xludf.DUMMYFUNCTION("""COMPUTED_VALUE"""),"TEN TEN")</f>
        <v>TEN TEN</v>
      </c>
      <c r="E50" s="1">
        <f ca="1">IFERROR(__xludf.DUMMYFUNCTION("""COMPUTED_VALUE"""),25)</f>
        <v>25</v>
      </c>
      <c r="F50" s="1">
        <f ca="1">IFERROR(__xludf.DUMMYFUNCTION("""COMPUTED_VALUE"""),2023)</f>
        <v>2023</v>
      </c>
      <c r="G50" s="1">
        <f ca="1">IFERROR(__xludf.DUMMYFUNCTION("""COMPUTED_VALUE"""),2027)</f>
        <v>2027</v>
      </c>
      <c r="H50" s="1">
        <f ca="1">IFERROR(__xludf.DUMMYFUNCTION("""COMPUTED_VALUE"""),4)</f>
        <v>4</v>
      </c>
      <c r="I50" s="2">
        <f ca="1">IFERROR(__xludf.DUMMYFUNCTION("""COMPUTED_VALUE"""),94000000)</f>
        <v>94000000</v>
      </c>
      <c r="J50" s="2">
        <f ca="1">IFERROR(__xludf.DUMMYFUNCTION("""COMPUTED_VALUE"""),23500000)</f>
        <v>23500000</v>
      </c>
      <c r="K50" s="3">
        <f ca="1">IFERROR(__xludf.DUMMYFUNCTION("""COMPUTED_VALUE"""),0.1045)</f>
        <v>0.1045</v>
      </c>
      <c r="L50" s="2">
        <f ca="1">IFERROR(__xludf.DUMMYFUNCTION("""COMPUTED_VALUE"""),47830000)</f>
        <v>47830000</v>
      </c>
      <c r="M50" s="2">
        <f ca="1">IFERROR(__xludf.DUMMYFUNCTION("""COMPUTED_VALUE"""),59330000)</f>
        <v>59330000</v>
      </c>
      <c r="N50" s="1" t="str">
        <f t="shared" ca="1" si="0"/>
        <v>TEN</v>
      </c>
    </row>
    <row r="51" spans="1:14" x14ac:dyDescent="0.25">
      <c r="A51" s="1" t="str">
        <f ca="1">IFERROR(__xludf.DUMMYFUNCTION("""COMPUTED_VALUE"""),"T49")</f>
        <v>T49</v>
      </c>
      <c r="B51" s="1" t="str">
        <f ca="1">IFERROR(__xludf.DUMMYFUNCTION("""COMPUTED_VALUE"""),"Maxx Crosby")</f>
        <v>Maxx Crosby</v>
      </c>
      <c r="C51" s="1" t="str">
        <f ca="1">IFERROR(__xludf.DUMMYFUNCTION("""COMPUTED_VALUE"""),"DE")</f>
        <v>DE</v>
      </c>
      <c r="D51" s="1" t="str">
        <f ca="1">IFERROR(__xludf.DUMMYFUNCTION("""COMPUTED_VALUE"""),"LV LV")</f>
        <v>LV LV</v>
      </c>
      <c r="E51" s="1">
        <f ca="1">IFERROR(__xludf.DUMMYFUNCTION("""COMPUTED_VALUE"""),24)</f>
        <v>24</v>
      </c>
      <c r="F51" s="1">
        <f ca="1">IFERROR(__xludf.DUMMYFUNCTION("""COMPUTED_VALUE"""),2022)</f>
        <v>2022</v>
      </c>
      <c r="G51" s="1">
        <f ca="1">IFERROR(__xludf.DUMMYFUNCTION("""COMPUTED_VALUE"""),2026)</f>
        <v>2026</v>
      </c>
      <c r="H51" s="1">
        <f ca="1">IFERROR(__xludf.DUMMYFUNCTION("""COMPUTED_VALUE"""),4)</f>
        <v>4</v>
      </c>
      <c r="I51" s="2">
        <f ca="1">IFERROR(__xludf.DUMMYFUNCTION("""COMPUTED_VALUE"""),94000000)</f>
        <v>94000000</v>
      </c>
      <c r="J51" s="2">
        <f ca="1">IFERROR(__xludf.DUMMYFUNCTION("""COMPUTED_VALUE"""),23500000)</f>
        <v>23500000</v>
      </c>
      <c r="K51" s="3">
        <f ca="1">IFERROR(__xludf.DUMMYFUNCTION("""COMPUTED_VALUE"""),0.1129)</f>
        <v>0.1129</v>
      </c>
      <c r="L51" s="2">
        <f ca="1">IFERROR(__xludf.DUMMYFUNCTION("""COMPUTED_VALUE"""),26560000)</f>
        <v>26560000</v>
      </c>
      <c r="M51" s="2">
        <f ca="1">IFERROR(__xludf.DUMMYFUNCTION("""COMPUTED_VALUE"""),53075000)</f>
        <v>53075000</v>
      </c>
      <c r="N51" s="1" t="str">
        <f t="shared" ca="1" si="0"/>
        <v>LV</v>
      </c>
    </row>
    <row r="52" spans="1:14" x14ac:dyDescent="0.25">
      <c r="A52" s="1">
        <f ca="1">IFERROR(__xludf.DUMMYFUNCTION("""COMPUTED_VALUE"""),51)</f>
        <v>51</v>
      </c>
      <c r="B52" s="1" t="str">
        <f ca="1">IFERROR(__xludf.DUMMYFUNCTION("""COMPUTED_VALUE"""),"Brian O'Neill")</f>
        <v>Brian O'Neill</v>
      </c>
      <c r="C52" s="1" t="str">
        <f ca="1">IFERROR(__xludf.DUMMYFUNCTION("""COMPUTED_VALUE"""),"T")</f>
        <v>T</v>
      </c>
      <c r="D52" s="1" t="str">
        <f ca="1">IFERROR(__xludf.DUMMYFUNCTION("""COMPUTED_VALUE"""),"MIN MIN")</f>
        <v>MIN MIN</v>
      </c>
      <c r="E52" s="1">
        <f ca="1">IFERROR(__xludf.DUMMYFUNCTION("""COMPUTED_VALUE"""),25)</f>
        <v>25</v>
      </c>
      <c r="F52" s="1">
        <f ca="1">IFERROR(__xludf.DUMMYFUNCTION("""COMPUTED_VALUE"""),2021)</f>
        <v>2021</v>
      </c>
      <c r="G52" s="1">
        <f ca="1">IFERROR(__xludf.DUMMYFUNCTION("""COMPUTED_VALUE"""),2026)</f>
        <v>2026</v>
      </c>
      <c r="H52" s="1">
        <f ca="1">IFERROR(__xludf.DUMMYFUNCTION("""COMPUTED_VALUE"""),5)</f>
        <v>5</v>
      </c>
      <c r="I52" s="2">
        <f ca="1">IFERROR(__xludf.DUMMYFUNCTION("""COMPUTED_VALUE"""),92500000)</f>
        <v>92500000</v>
      </c>
      <c r="J52" s="2">
        <f ca="1">IFERROR(__xludf.DUMMYFUNCTION("""COMPUTED_VALUE"""),18500000)</f>
        <v>18500000</v>
      </c>
      <c r="K52" s="3">
        <f ca="1">IFERROR(__xludf.DUMMYFUNCTION("""COMPUTED_VALUE"""),0.1014)</f>
        <v>0.1014</v>
      </c>
      <c r="L52" s="2">
        <f ca="1">IFERROR(__xludf.DUMMYFUNCTION("""COMPUTED_VALUE"""),22626000)</f>
        <v>22626000</v>
      </c>
      <c r="M52" s="2">
        <f ca="1">IFERROR(__xludf.DUMMYFUNCTION("""COMPUTED_VALUE"""),53526000)</f>
        <v>53526000</v>
      </c>
      <c r="N52" s="1" t="str">
        <f t="shared" ca="1" si="0"/>
        <v>MIN</v>
      </c>
    </row>
    <row r="53" spans="1:14" x14ac:dyDescent="0.25">
      <c r="A53" s="1">
        <f ca="1">IFERROR(__xludf.DUMMYFUNCTION("""COMPUTED_VALUE"""),52)</f>
        <v>52</v>
      </c>
      <c r="B53" s="1" t="str">
        <f ca="1">IFERROR(__xludf.DUMMYFUNCTION("""COMPUTED_VALUE"""),"Calvin Ridley")</f>
        <v>Calvin Ridley</v>
      </c>
      <c r="C53" s="1" t="str">
        <f ca="1">IFERROR(__xludf.DUMMYFUNCTION("""COMPUTED_VALUE"""),"WR")</f>
        <v>WR</v>
      </c>
      <c r="D53" s="1" t="str">
        <f ca="1">IFERROR(__xludf.DUMMYFUNCTION("""COMPUTED_VALUE"""),"TEN TEN")</f>
        <v>TEN TEN</v>
      </c>
      <c r="E53" s="1">
        <f ca="1">IFERROR(__xludf.DUMMYFUNCTION("""COMPUTED_VALUE"""),29)</f>
        <v>29</v>
      </c>
      <c r="F53" s="1">
        <f ca="1">IFERROR(__xludf.DUMMYFUNCTION("""COMPUTED_VALUE"""),2024)</f>
        <v>2024</v>
      </c>
      <c r="G53" s="1">
        <f ca="1">IFERROR(__xludf.DUMMYFUNCTION("""COMPUTED_VALUE"""),2027)</f>
        <v>2027</v>
      </c>
      <c r="H53" s="1">
        <f ca="1">IFERROR(__xludf.DUMMYFUNCTION("""COMPUTED_VALUE"""),4)</f>
        <v>4</v>
      </c>
      <c r="I53" s="2">
        <f ca="1">IFERROR(__xludf.DUMMYFUNCTION("""COMPUTED_VALUE"""),92000000)</f>
        <v>92000000</v>
      </c>
      <c r="J53" s="2">
        <f ca="1">IFERROR(__xludf.DUMMYFUNCTION("""COMPUTED_VALUE"""),23000000)</f>
        <v>23000000</v>
      </c>
      <c r="K53" s="3">
        <f ca="1">IFERROR(__xludf.DUMMYFUNCTION("""COMPUTED_VALUE"""),0.0901)</f>
        <v>9.01E-2</v>
      </c>
      <c r="L53" s="2">
        <f ca="1">IFERROR(__xludf.DUMMYFUNCTION("""COMPUTED_VALUE"""),46980000)</f>
        <v>46980000</v>
      </c>
      <c r="M53" s="2">
        <f ca="1">IFERROR(__xludf.DUMMYFUNCTION("""COMPUTED_VALUE"""),50000000)</f>
        <v>50000000</v>
      </c>
      <c r="N53" s="1" t="str">
        <f t="shared" ca="1" si="0"/>
        <v>TEN</v>
      </c>
    </row>
    <row r="54" spans="1:14" x14ac:dyDescent="0.25">
      <c r="A54" s="1">
        <f ca="1">IFERROR(__xludf.DUMMYFUNCTION("""COMPUTED_VALUE"""),53)</f>
        <v>53</v>
      </c>
      <c r="B54" s="1" t="str">
        <f ca="1">IFERROR(__xludf.DUMMYFUNCTION("""COMPUTED_VALUE"""),"Daron Payne")</f>
        <v>Daron Payne</v>
      </c>
      <c r="C54" s="1" t="str">
        <f ca="1">IFERROR(__xludf.DUMMYFUNCTION("""COMPUTED_VALUE"""),"DT")</f>
        <v>DT</v>
      </c>
      <c r="D54" s="1" t="str">
        <f ca="1">IFERROR(__xludf.DUMMYFUNCTION("""COMPUTED_VALUE"""),"WAS WAS")</f>
        <v>WAS WAS</v>
      </c>
      <c r="E54" s="1">
        <f ca="1">IFERROR(__xludf.DUMMYFUNCTION("""COMPUTED_VALUE"""),25)</f>
        <v>25</v>
      </c>
      <c r="F54" s="1">
        <f ca="1">IFERROR(__xludf.DUMMYFUNCTION("""COMPUTED_VALUE"""),2023)</f>
        <v>2023</v>
      </c>
      <c r="G54" s="1">
        <f ca="1">IFERROR(__xludf.DUMMYFUNCTION("""COMPUTED_VALUE"""),2026)</f>
        <v>2026</v>
      </c>
      <c r="H54" s="1">
        <f ca="1">IFERROR(__xludf.DUMMYFUNCTION("""COMPUTED_VALUE"""),4)</f>
        <v>4</v>
      </c>
      <c r="I54" s="2">
        <f ca="1">IFERROR(__xludf.DUMMYFUNCTION("""COMPUTED_VALUE"""),90000000)</f>
        <v>90000000</v>
      </c>
      <c r="J54" s="2">
        <f ca="1">IFERROR(__xludf.DUMMYFUNCTION("""COMPUTED_VALUE"""),22500000)</f>
        <v>22500000</v>
      </c>
      <c r="K54" s="3">
        <f ca="1">IFERROR(__xludf.DUMMYFUNCTION("""COMPUTED_VALUE"""),0.1001)</f>
        <v>0.10009999999999999</v>
      </c>
      <c r="L54" s="2">
        <f ca="1">IFERROR(__xludf.DUMMYFUNCTION("""COMPUTED_VALUE"""),55010000)</f>
        <v>55010000</v>
      </c>
      <c r="M54" s="2">
        <f ca="1">IFERROR(__xludf.DUMMYFUNCTION("""COMPUTED_VALUE"""),59010000)</f>
        <v>59010000</v>
      </c>
      <c r="N54" s="1" t="str">
        <f t="shared" ca="1" si="0"/>
        <v>WAS</v>
      </c>
    </row>
    <row r="55" spans="1:14" x14ac:dyDescent="0.25">
      <c r="A55" s="1" t="str">
        <f ca="1">IFERROR(__xludf.DUMMYFUNCTION("""COMPUTED_VALUE"""),"T54")</f>
        <v>T54</v>
      </c>
      <c r="B55" s="1" t="str">
        <f ca="1">IFERROR(__xludf.DUMMYFUNCTION("""COMPUTED_VALUE"""),"Dexter Lawrence")</f>
        <v>Dexter Lawrence</v>
      </c>
      <c r="C55" s="1" t="str">
        <f ca="1">IFERROR(__xludf.DUMMYFUNCTION("""COMPUTED_VALUE"""),"DT")</f>
        <v>DT</v>
      </c>
      <c r="D55" s="1" t="str">
        <f ca="1">IFERROR(__xludf.DUMMYFUNCTION("""COMPUTED_VALUE"""),"NYG NYG")</f>
        <v>NYG NYG</v>
      </c>
      <c r="E55" s="1">
        <f ca="1">IFERROR(__xludf.DUMMYFUNCTION("""COMPUTED_VALUE"""),25)</f>
        <v>25</v>
      </c>
      <c r="F55" s="1">
        <f ca="1">IFERROR(__xludf.DUMMYFUNCTION("""COMPUTED_VALUE"""),2023)</f>
        <v>2023</v>
      </c>
      <c r="G55" s="1">
        <f ca="1">IFERROR(__xludf.DUMMYFUNCTION("""COMPUTED_VALUE"""),2027)</f>
        <v>2027</v>
      </c>
      <c r="H55" s="1">
        <f ca="1">IFERROR(__xludf.DUMMYFUNCTION("""COMPUTED_VALUE"""),4)</f>
        <v>4</v>
      </c>
      <c r="I55" s="2">
        <f ca="1">IFERROR(__xludf.DUMMYFUNCTION("""COMPUTED_VALUE"""),87500000)</f>
        <v>87500000</v>
      </c>
      <c r="J55" s="2">
        <f ca="1">IFERROR(__xludf.DUMMYFUNCTION("""COMPUTED_VALUE"""),21875000)</f>
        <v>21875000</v>
      </c>
      <c r="K55" s="3">
        <f ca="1">IFERROR(__xludf.DUMMYFUNCTION("""COMPUTED_VALUE"""),0.0973)</f>
        <v>9.7299999999999998E-2</v>
      </c>
      <c r="L55" s="2">
        <f ca="1">IFERROR(__xludf.DUMMYFUNCTION("""COMPUTED_VALUE"""),46500000)</f>
        <v>46500000</v>
      </c>
      <c r="M55" s="2">
        <f ca="1">IFERROR(__xludf.DUMMYFUNCTION("""COMPUTED_VALUE"""),60000000)</f>
        <v>60000000</v>
      </c>
      <c r="N55" s="1" t="str">
        <f t="shared" ca="1" si="0"/>
        <v>NYG</v>
      </c>
    </row>
    <row r="56" spans="1:14" x14ac:dyDescent="0.25">
      <c r="A56" s="1" t="str">
        <f ca="1">IFERROR(__xludf.DUMMYFUNCTION("""COMPUTED_VALUE"""),"T54")</f>
        <v>T54</v>
      </c>
      <c r="B56" s="1" t="str">
        <f ca="1">IFERROR(__xludf.DUMMYFUNCTION("""COMPUTED_VALUE"""),"Mike McGlinchey")</f>
        <v>Mike McGlinchey</v>
      </c>
      <c r="C56" s="1" t="str">
        <f ca="1">IFERROR(__xludf.DUMMYFUNCTION("""COMPUTED_VALUE"""),"RT")</f>
        <v>RT</v>
      </c>
      <c r="D56" s="1" t="str">
        <f ca="1">IFERROR(__xludf.DUMMYFUNCTION("""COMPUTED_VALUE"""),"DEN DEN")</f>
        <v>DEN DEN</v>
      </c>
      <c r="E56" s="1">
        <f ca="1">IFERROR(__xludf.DUMMYFUNCTION("""COMPUTED_VALUE"""),28)</f>
        <v>28</v>
      </c>
      <c r="F56" s="1">
        <f ca="1">IFERROR(__xludf.DUMMYFUNCTION("""COMPUTED_VALUE"""),2023)</f>
        <v>2023</v>
      </c>
      <c r="G56" s="1">
        <f ca="1">IFERROR(__xludf.DUMMYFUNCTION("""COMPUTED_VALUE"""),2027)</f>
        <v>2027</v>
      </c>
      <c r="H56" s="1">
        <f ca="1">IFERROR(__xludf.DUMMYFUNCTION("""COMPUTED_VALUE"""),5)</f>
        <v>5</v>
      </c>
      <c r="I56" s="2">
        <f ca="1">IFERROR(__xludf.DUMMYFUNCTION("""COMPUTED_VALUE"""),87500000)</f>
        <v>87500000</v>
      </c>
      <c r="J56" s="2">
        <f ca="1">IFERROR(__xludf.DUMMYFUNCTION("""COMPUTED_VALUE"""),17500000)</f>
        <v>17500000</v>
      </c>
      <c r="K56" s="3">
        <f ca="1">IFERROR(__xludf.DUMMYFUNCTION("""COMPUTED_VALUE"""),0.0778)</f>
        <v>7.7799999999999994E-2</v>
      </c>
      <c r="L56" s="2">
        <f ca="1">IFERROR(__xludf.DUMMYFUNCTION("""COMPUTED_VALUE"""),35000000)</f>
        <v>35000000</v>
      </c>
      <c r="M56" s="2">
        <f ca="1">IFERROR(__xludf.DUMMYFUNCTION("""COMPUTED_VALUE"""),52500000)</f>
        <v>52500000</v>
      </c>
      <c r="N56" s="1" t="str">
        <f t="shared" ca="1" si="0"/>
        <v>DEN</v>
      </c>
    </row>
    <row r="57" spans="1:14" x14ac:dyDescent="0.25">
      <c r="A57" s="1" t="str">
        <f ca="1">IFERROR(__xludf.DUMMYFUNCTION("""COMPUTED_VALUE"""),"T54")</f>
        <v>T54</v>
      </c>
      <c r="B57" s="1" t="str">
        <f ca="1">IFERROR(__xludf.DUMMYFUNCTION("""COMPUTED_VALUE"""),"Harold Landry")</f>
        <v>Harold Landry</v>
      </c>
      <c r="C57" s="1" t="str">
        <f ca="1">IFERROR(__xludf.DUMMYFUNCTION("""COMPUTED_VALUE"""),"OLB")</f>
        <v>OLB</v>
      </c>
      <c r="D57" s="1" t="str">
        <f ca="1">IFERROR(__xludf.DUMMYFUNCTION("""COMPUTED_VALUE"""),"TEN TEN")</f>
        <v>TEN TEN</v>
      </c>
      <c r="E57" s="1">
        <f ca="1">IFERROR(__xludf.DUMMYFUNCTION("""COMPUTED_VALUE"""),25)</f>
        <v>25</v>
      </c>
      <c r="F57" s="1">
        <f ca="1">IFERROR(__xludf.DUMMYFUNCTION("""COMPUTED_VALUE"""),2022)</f>
        <v>2022</v>
      </c>
      <c r="G57" s="1">
        <f ca="1">IFERROR(__xludf.DUMMYFUNCTION("""COMPUTED_VALUE"""),2026)</f>
        <v>2026</v>
      </c>
      <c r="H57" s="1">
        <f ca="1">IFERROR(__xludf.DUMMYFUNCTION("""COMPUTED_VALUE"""),5)</f>
        <v>5</v>
      </c>
      <c r="I57" s="2">
        <f ca="1">IFERROR(__xludf.DUMMYFUNCTION("""COMPUTED_VALUE"""),87500000)</f>
        <v>87500000</v>
      </c>
      <c r="J57" s="2">
        <f ca="1">IFERROR(__xludf.DUMMYFUNCTION("""COMPUTED_VALUE"""),17500000)</f>
        <v>17500000</v>
      </c>
      <c r="K57" s="3">
        <f ca="1">IFERROR(__xludf.DUMMYFUNCTION("""COMPUTED_VALUE"""),0.0841)</f>
        <v>8.4099999999999994E-2</v>
      </c>
      <c r="L57" s="2">
        <f ca="1">IFERROR(__xludf.DUMMYFUNCTION("""COMPUTED_VALUE"""),35250000)</f>
        <v>35250000</v>
      </c>
      <c r="M57" s="2">
        <f ca="1">IFERROR(__xludf.DUMMYFUNCTION("""COMPUTED_VALUE"""),52500000)</f>
        <v>52500000</v>
      </c>
      <c r="N57" s="1" t="str">
        <f t="shared" ca="1" si="0"/>
        <v>TEN</v>
      </c>
    </row>
    <row r="58" spans="1:14" x14ac:dyDescent="0.25">
      <c r="A58" s="1">
        <f ca="1">IFERROR(__xludf.DUMMYFUNCTION("""COMPUTED_VALUE"""),57)</f>
        <v>57</v>
      </c>
      <c r="B58" s="1" t="str">
        <f ca="1">IFERROR(__xludf.DUMMYFUNCTION("""COMPUTED_VALUE"""),"Jaylen Waddle")</f>
        <v>Jaylen Waddle</v>
      </c>
      <c r="C58" s="1" t="str">
        <f ca="1">IFERROR(__xludf.DUMMYFUNCTION("""COMPUTED_VALUE"""),"WR")</f>
        <v>WR</v>
      </c>
      <c r="D58" s="1" t="str">
        <f ca="1">IFERROR(__xludf.DUMMYFUNCTION("""COMPUTED_VALUE"""),"MIA MIA")</f>
        <v>MIA MIA</v>
      </c>
      <c r="E58" s="1">
        <f ca="1">IFERROR(__xludf.DUMMYFUNCTION("""COMPUTED_VALUE"""),25)</f>
        <v>25</v>
      </c>
      <c r="F58" s="1">
        <f ca="1">IFERROR(__xludf.DUMMYFUNCTION("""COMPUTED_VALUE"""),2024)</f>
        <v>2024</v>
      </c>
      <c r="G58" s="1">
        <f ca="1">IFERROR(__xludf.DUMMYFUNCTION("""COMPUTED_VALUE"""),2028)</f>
        <v>2028</v>
      </c>
      <c r="H58" s="1">
        <f ca="1">IFERROR(__xludf.DUMMYFUNCTION("""COMPUTED_VALUE"""),3)</f>
        <v>3</v>
      </c>
      <c r="I58" s="2">
        <f ca="1">IFERROR(__xludf.DUMMYFUNCTION("""COMPUTED_VALUE"""),84750000)</f>
        <v>84750000</v>
      </c>
      <c r="J58" s="2">
        <f ca="1">IFERROR(__xludf.DUMMYFUNCTION("""COMPUTED_VALUE"""),28250000)</f>
        <v>28250000</v>
      </c>
      <c r="K58" s="3">
        <f ca="1">IFERROR(__xludf.DUMMYFUNCTION("""COMPUTED_VALUE"""),0.1106)</f>
        <v>0.1106</v>
      </c>
      <c r="L58" s="2">
        <f ca="1">IFERROR(__xludf.DUMMYFUNCTION("""COMPUTED_VALUE"""),35978000)</f>
        <v>35978000</v>
      </c>
      <c r="M58" s="2">
        <f ca="1">IFERROR(__xludf.DUMMYFUNCTION("""COMPUTED_VALUE"""),76000000)</f>
        <v>76000000</v>
      </c>
      <c r="N58" s="1" t="str">
        <f t="shared" ca="1" si="0"/>
        <v>MIA</v>
      </c>
    </row>
    <row r="59" spans="1:14" x14ac:dyDescent="0.25">
      <c r="A59" s="1">
        <f ca="1">IFERROR(__xludf.DUMMYFUNCTION("""COMPUTED_VALUE"""),58)</f>
        <v>58</v>
      </c>
      <c r="B59" s="1" t="str">
        <f ca="1">IFERROR(__xludf.DUMMYFUNCTION("""COMPUTED_VALUE"""),"Antoine Winfield Jr.")</f>
        <v>Antoine Winfield Jr.</v>
      </c>
      <c r="C59" s="1" t="str">
        <f ca="1">IFERROR(__xludf.DUMMYFUNCTION("""COMPUTED_VALUE"""),"S")</f>
        <v>S</v>
      </c>
      <c r="D59" s="1" t="str">
        <f ca="1">IFERROR(__xludf.DUMMYFUNCTION("""COMPUTED_VALUE"""),"TB TB")</f>
        <v>TB TB</v>
      </c>
      <c r="E59" s="1">
        <f ca="1">IFERROR(__xludf.DUMMYFUNCTION("""COMPUTED_VALUE"""),25)</f>
        <v>25</v>
      </c>
      <c r="F59" s="1">
        <f ca="1">IFERROR(__xludf.DUMMYFUNCTION("""COMPUTED_VALUE"""),2024)</f>
        <v>2024</v>
      </c>
      <c r="G59" s="1">
        <f ca="1">IFERROR(__xludf.DUMMYFUNCTION("""COMPUTED_VALUE"""),2027)</f>
        <v>2027</v>
      </c>
      <c r="H59" s="1">
        <f ca="1">IFERROR(__xludf.DUMMYFUNCTION("""COMPUTED_VALUE"""),4)</f>
        <v>4</v>
      </c>
      <c r="I59" s="2">
        <f ca="1">IFERROR(__xludf.DUMMYFUNCTION("""COMPUTED_VALUE"""),84100000)</f>
        <v>84100000</v>
      </c>
      <c r="J59" s="2">
        <f ca="1">IFERROR(__xludf.DUMMYFUNCTION("""COMPUTED_VALUE"""),21025000)</f>
        <v>21025000</v>
      </c>
      <c r="K59" s="3">
        <f ca="1">IFERROR(__xludf.DUMMYFUNCTION("""COMPUTED_VALUE"""),0.0823)</f>
        <v>8.2299999999999998E-2</v>
      </c>
      <c r="L59" s="2">
        <f ca="1">IFERROR(__xludf.DUMMYFUNCTION("""COMPUTED_VALUE"""),45000000)</f>
        <v>45000000</v>
      </c>
      <c r="M59" s="2">
        <f ca="1">IFERROR(__xludf.DUMMYFUNCTION("""COMPUTED_VALUE"""),45000000)</f>
        <v>45000000</v>
      </c>
      <c r="N59" s="1" t="str">
        <f t="shared" ca="1" si="0"/>
        <v>TB</v>
      </c>
    </row>
    <row r="60" spans="1:14" x14ac:dyDescent="0.25">
      <c r="A60" s="1" t="str">
        <f ca="1">IFERROR(__xludf.DUMMYFUNCTION("""COMPUTED_VALUE"""),"T59")</f>
        <v>T59</v>
      </c>
      <c r="B60" s="1" t="str">
        <f ca="1">IFERROR(__xludf.DUMMYFUNCTION("""COMPUTED_VALUE"""),"Javon Hargrave")</f>
        <v>Javon Hargrave</v>
      </c>
      <c r="C60" s="1" t="str">
        <f ca="1">IFERROR(__xludf.DUMMYFUNCTION("""COMPUTED_VALUE"""),"DT")</f>
        <v>DT</v>
      </c>
      <c r="D60" s="1" t="str">
        <f ca="1">IFERROR(__xludf.DUMMYFUNCTION("""COMPUTED_VALUE"""),"SF SF")</f>
        <v>SF SF</v>
      </c>
      <c r="E60" s="1">
        <f ca="1">IFERROR(__xludf.DUMMYFUNCTION("""COMPUTED_VALUE"""),30)</f>
        <v>30</v>
      </c>
      <c r="F60" s="1">
        <f ca="1">IFERROR(__xludf.DUMMYFUNCTION("""COMPUTED_VALUE"""),2023)</f>
        <v>2023</v>
      </c>
      <c r="G60" s="1">
        <f ca="1">IFERROR(__xludf.DUMMYFUNCTION("""COMPUTED_VALUE"""),2026)</f>
        <v>2026</v>
      </c>
      <c r="H60" s="1">
        <f ca="1">IFERROR(__xludf.DUMMYFUNCTION("""COMPUTED_VALUE"""),4)</f>
        <v>4</v>
      </c>
      <c r="I60" s="2">
        <f ca="1">IFERROR(__xludf.DUMMYFUNCTION("""COMPUTED_VALUE"""),84000000)</f>
        <v>84000000</v>
      </c>
      <c r="J60" s="2">
        <f ca="1">IFERROR(__xludf.DUMMYFUNCTION("""COMPUTED_VALUE"""),21000000)</f>
        <v>21000000</v>
      </c>
      <c r="K60" s="3">
        <f ca="1">IFERROR(__xludf.DUMMYFUNCTION("""COMPUTED_VALUE"""),0.0934)</f>
        <v>9.3399999999999997E-2</v>
      </c>
      <c r="L60" s="2">
        <f ca="1">IFERROR(__xludf.DUMMYFUNCTION("""COMPUTED_VALUE"""),40000000)</f>
        <v>40000000</v>
      </c>
      <c r="M60" s="2">
        <f ca="1">IFERROR(__xludf.DUMMYFUNCTION("""COMPUTED_VALUE"""),40000000)</f>
        <v>40000000</v>
      </c>
      <c r="N60" s="1" t="str">
        <f t="shared" ca="1" si="0"/>
        <v>SF</v>
      </c>
    </row>
    <row r="61" spans="1:14" x14ac:dyDescent="0.25">
      <c r="A61" s="1" t="str">
        <f ca="1">IFERROR(__xludf.DUMMYFUNCTION("""COMPUTED_VALUE"""),"T59")</f>
        <v>T59</v>
      </c>
      <c r="B61" s="1" t="str">
        <f ca="1">IFERROR(__xludf.DUMMYFUNCTION("""COMPUTED_VALUE"""),"Jaire Alexander")</f>
        <v>Jaire Alexander</v>
      </c>
      <c r="C61" s="1" t="str">
        <f ca="1">IFERROR(__xludf.DUMMYFUNCTION("""COMPUTED_VALUE"""),"CB")</f>
        <v>CB</v>
      </c>
      <c r="D61" s="1" t="str">
        <f ca="1">IFERROR(__xludf.DUMMYFUNCTION("""COMPUTED_VALUE"""),"GB GB")</f>
        <v>GB GB</v>
      </c>
      <c r="E61" s="1">
        <f ca="1">IFERROR(__xludf.DUMMYFUNCTION("""COMPUTED_VALUE"""),24)</f>
        <v>24</v>
      </c>
      <c r="F61" s="1">
        <f ca="1">IFERROR(__xludf.DUMMYFUNCTION("""COMPUTED_VALUE"""),2022)</f>
        <v>2022</v>
      </c>
      <c r="G61" s="1">
        <f ca="1">IFERROR(__xludf.DUMMYFUNCTION("""COMPUTED_VALUE"""),2026)</f>
        <v>2026</v>
      </c>
      <c r="H61" s="1">
        <f ca="1">IFERROR(__xludf.DUMMYFUNCTION("""COMPUTED_VALUE"""),4)</f>
        <v>4</v>
      </c>
      <c r="I61" s="2">
        <f ca="1">IFERROR(__xludf.DUMMYFUNCTION("""COMPUTED_VALUE"""),84000000)</f>
        <v>84000000</v>
      </c>
      <c r="J61" s="2">
        <f ca="1">IFERROR(__xludf.DUMMYFUNCTION("""COMPUTED_VALUE"""),21000000)</f>
        <v>21000000</v>
      </c>
      <c r="K61" s="3">
        <f ca="1">IFERROR(__xludf.DUMMYFUNCTION("""COMPUTED_VALUE"""),0.1009)</f>
        <v>0.1009</v>
      </c>
      <c r="L61" s="2">
        <f ca="1">IFERROR(__xludf.DUMMYFUNCTION("""COMPUTED_VALUE"""),30000000)</f>
        <v>30000000</v>
      </c>
      <c r="M61" s="2">
        <f ca="1">IFERROR(__xludf.DUMMYFUNCTION("""COMPUTED_VALUE"""),30000000)</f>
        <v>30000000</v>
      </c>
      <c r="N61" s="1" t="str">
        <f t="shared" ca="1" si="0"/>
        <v>GB</v>
      </c>
    </row>
    <row r="62" spans="1:14" x14ac:dyDescent="0.25">
      <c r="A62" s="1" t="str">
        <f ca="1">IFERROR(__xludf.DUMMYFUNCTION("""COMPUTED_VALUE"""),"T59")</f>
        <v>T59</v>
      </c>
      <c r="B62" s="1" t="str">
        <f ca="1">IFERROR(__xludf.DUMMYFUNCTION("""COMPUTED_VALUE"""),"Landon Dickerson")</f>
        <v>Landon Dickerson</v>
      </c>
      <c r="C62" s="1" t="str">
        <f ca="1">IFERROR(__xludf.DUMMYFUNCTION("""COMPUTED_VALUE"""),"G")</f>
        <v>G</v>
      </c>
      <c r="D62" s="1" t="str">
        <f ca="1">IFERROR(__xludf.DUMMYFUNCTION("""COMPUTED_VALUE"""),"PHI PHI")</f>
        <v>PHI PHI</v>
      </c>
      <c r="E62" s="1">
        <f ca="1">IFERROR(__xludf.DUMMYFUNCTION("""COMPUTED_VALUE"""),25)</f>
        <v>25</v>
      </c>
      <c r="F62" s="1">
        <f ca="1">IFERROR(__xludf.DUMMYFUNCTION("""COMPUTED_VALUE"""),2024)</f>
        <v>2024</v>
      </c>
      <c r="G62" s="1">
        <f ca="1">IFERROR(__xludf.DUMMYFUNCTION("""COMPUTED_VALUE"""),2028)</f>
        <v>2028</v>
      </c>
      <c r="H62" s="1">
        <f ca="1">IFERROR(__xludf.DUMMYFUNCTION("""COMPUTED_VALUE"""),4)</f>
        <v>4</v>
      </c>
      <c r="I62" s="2">
        <f ca="1">IFERROR(__xludf.DUMMYFUNCTION("""COMPUTED_VALUE"""),84000000)</f>
        <v>84000000</v>
      </c>
      <c r="J62" s="2">
        <f ca="1">IFERROR(__xludf.DUMMYFUNCTION("""COMPUTED_VALUE"""),21000000)</f>
        <v>21000000</v>
      </c>
      <c r="K62" s="3">
        <f ca="1">IFERROR(__xludf.DUMMYFUNCTION("""COMPUTED_VALUE"""),0.0822)</f>
        <v>8.2199999999999995E-2</v>
      </c>
      <c r="L62" s="2">
        <f ca="1">IFERROR(__xludf.DUMMYFUNCTION("""COMPUTED_VALUE"""),29640000)</f>
        <v>29640000</v>
      </c>
      <c r="M62" s="2">
        <f ca="1">IFERROR(__xludf.DUMMYFUNCTION("""COMPUTED_VALUE"""),50000000)</f>
        <v>50000000</v>
      </c>
      <c r="N62" s="1" t="str">
        <f t="shared" ca="1" si="0"/>
        <v>PHI</v>
      </c>
    </row>
    <row r="63" spans="1:14" x14ac:dyDescent="0.25">
      <c r="A63" s="1">
        <f ca="1">IFERROR(__xludf.DUMMYFUNCTION("""COMPUTED_VALUE"""),62)</f>
        <v>62</v>
      </c>
      <c r="B63" s="1" t="str">
        <f ca="1">IFERROR(__xludf.DUMMYFUNCTION("""COMPUTED_VALUE"""),"Christian Barmore")</f>
        <v>Christian Barmore</v>
      </c>
      <c r="C63" s="1" t="str">
        <f ca="1">IFERROR(__xludf.DUMMYFUNCTION("""COMPUTED_VALUE"""),"DT")</f>
        <v>DT</v>
      </c>
      <c r="D63" s="1" t="str">
        <f ca="1">IFERROR(__xludf.DUMMYFUNCTION("""COMPUTED_VALUE"""),"NE NE")</f>
        <v>NE NE</v>
      </c>
      <c r="E63" s="1">
        <f ca="1">IFERROR(__xludf.DUMMYFUNCTION("""COMPUTED_VALUE"""),24)</f>
        <v>24</v>
      </c>
      <c r="F63" s="1">
        <f ca="1">IFERROR(__xludf.DUMMYFUNCTION("""COMPUTED_VALUE"""),2024)</f>
        <v>2024</v>
      </c>
      <c r="G63" s="1">
        <f ca="1">IFERROR(__xludf.DUMMYFUNCTION("""COMPUTED_VALUE"""),2028)</f>
        <v>2028</v>
      </c>
      <c r="H63" s="1">
        <f ca="1">IFERROR(__xludf.DUMMYFUNCTION("""COMPUTED_VALUE"""),4)</f>
        <v>4</v>
      </c>
      <c r="I63" s="2">
        <f ca="1">IFERROR(__xludf.DUMMYFUNCTION("""COMPUTED_VALUE"""),83000000)</f>
        <v>83000000</v>
      </c>
      <c r="J63" s="2">
        <f ca="1">IFERROR(__xludf.DUMMYFUNCTION("""COMPUTED_VALUE"""),20750000)</f>
        <v>20750000</v>
      </c>
      <c r="K63" s="3">
        <f ca="1">IFERROR(__xludf.DUMMYFUNCTION("""COMPUTED_VALUE"""),0.0812)</f>
        <v>8.1199999999999994E-2</v>
      </c>
      <c r="L63" s="2">
        <f ca="1">IFERROR(__xludf.DUMMYFUNCTION("""COMPUTED_VALUE"""),31822124)</f>
        <v>31822124</v>
      </c>
      <c r="M63" s="2">
        <f ca="1">IFERROR(__xludf.DUMMYFUNCTION("""COMPUTED_VALUE"""),41822124)</f>
        <v>41822124</v>
      </c>
      <c r="N63" s="1" t="str">
        <f t="shared" ca="1" si="0"/>
        <v>NE</v>
      </c>
    </row>
    <row r="64" spans="1:14" x14ac:dyDescent="0.25">
      <c r="A64" s="1">
        <f ca="1">IFERROR(__xludf.DUMMYFUNCTION("""COMPUTED_VALUE"""),63)</f>
        <v>63</v>
      </c>
      <c r="B64" s="1" t="str">
        <f ca="1">IFERROR(__xludf.DUMMYFUNCTION("""COMPUTED_VALUE"""),"Terence Steele")</f>
        <v>Terence Steele</v>
      </c>
      <c r="C64" s="1" t="str">
        <f ca="1">IFERROR(__xludf.DUMMYFUNCTION("""COMPUTED_VALUE"""),"T")</f>
        <v>T</v>
      </c>
      <c r="D64" s="1" t="str">
        <f ca="1">IFERROR(__xludf.DUMMYFUNCTION("""COMPUTED_VALUE"""),"DAL DAL")</f>
        <v>DAL DAL</v>
      </c>
      <c r="E64" s="1">
        <f ca="1">IFERROR(__xludf.DUMMYFUNCTION("""COMPUTED_VALUE"""),26)</f>
        <v>26</v>
      </c>
      <c r="F64" s="1">
        <f ca="1">IFERROR(__xludf.DUMMYFUNCTION("""COMPUTED_VALUE"""),2023)</f>
        <v>2023</v>
      </c>
      <c r="G64" s="1">
        <f ca="1">IFERROR(__xludf.DUMMYFUNCTION("""COMPUTED_VALUE"""),2028)</f>
        <v>2028</v>
      </c>
      <c r="H64" s="1">
        <f ca="1">IFERROR(__xludf.DUMMYFUNCTION("""COMPUTED_VALUE"""),5)</f>
        <v>5</v>
      </c>
      <c r="I64" s="2">
        <f ca="1">IFERROR(__xludf.DUMMYFUNCTION("""COMPUTED_VALUE"""),82500000)</f>
        <v>82500000</v>
      </c>
      <c r="J64" s="2">
        <f ca="1">IFERROR(__xludf.DUMMYFUNCTION("""COMPUTED_VALUE"""),16500000)</f>
        <v>16500000</v>
      </c>
      <c r="K64" s="3">
        <f ca="1">IFERROR(__xludf.DUMMYFUNCTION("""COMPUTED_VALUE"""),0.0734)</f>
        <v>7.3400000000000007E-2</v>
      </c>
      <c r="L64" s="2">
        <f ca="1">IFERROR(__xludf.DUMMYFUNCTION("""COMPUTED_VALUE"""),23554000)</f>
        <v>23554000</v>
      </c>
      <c r="M64" s="2">
        <f ca="1">IFERROR(__xludf.DUMMYFUNCTION("""COMPUTED_VALUE"""),50000000)</f>
        <v>50000000</v>
      </c>
      <c r="N64" s="1" t="str">
        <f t="shared" ca="1" si="0"/>
        <v>DAL</v>
      </c>
    </row>
    <row r="65" spans="1:14" x14ac:dyDescent="0.25">
      <c r="A65" s="1">
        <f ca="1">IFERROR(__xludf.DUMMYFUNCTION("""COMPUTED_VALUE"""),64)</f>
        <v>64</v>
      </c>
      <c r="B65" s="1" t="str">
        <f ca="1">IFERROR(__xludf.DUMMYFUNCTION("""COMPUTED_VALUE"""),"Lane Johnson")</f>
        <v>Lane Johnson</v>
      </c>
      <c r="C65" s="1" t="str">
        <f ca="1">IFERROR(__xludf.DUMMYFUNCTION("""COMPUTED_VALUE"""),"RT")</f>
        <v>RT</v>
      </c>
      <c r="D65" s="1" t="str">
        <f ca="1">IFERROR(__xludf.DUMMYFUNCTION("""COMPUTED_VALUE"""),"PHI PHI")</f>
        <v>PHI PHI</v>
      </c>
      <c r="E65" s="1">
        <f ca="1">IFERROR(__xludf.DUMMYFUNCTION("""COMPUTED_VALUE"""),32)</f>
        <v>32</v>
      </c>
      <c r="F65" s="1">
        <f ca="1">IFERROR(__xludf.DUMMYFUNCTION("""COMPUTED_VALUE"""),2023)</f>
        <v>2023</v>
      </c>
      <c r="G65" s="1">
        <f ca="1">IFERROR(__xludf.DUMMYFUNCTION("""COMPUTED_VALUE"""),2026)</f>
        <v>2026</v>
      </c>
      <c r="H65" s="1">
        <f ca="1">IFERROR(__xludf.DUMMYFUNCTION("""COMPUTED_VALUE"""),4)</f>
        <v>4</v>
      </c>
      <c r="I65" s="2">
        <f ca="1">IFERROR(__xludf.DUMMYFUNCTION("""COMPUTED_VALUE"""),80750000)</f>
        <v>80750000</v>
      </c>
      <c r="J65" s="2">
        <f ca="1">IFERROR(__xludf.DUMMYFUNCTION("""COMPUTED_VALUE"""),20187500)</f>
        <v>20187500</v>
      </c>
      <c r="K65" s="3">
        <f ca="1">IFERROR(__xludf.DUMMYFUNCTION("""COMPUTED_VALUE"""),0.0898)</f>
        <v>8.9800000000000005E-2</v>
      </c>
      <c r="L65" s="2">
        <f ca="1">IFERROR(__xludf.DUMMYFUNCTION("""COMPUTED_VALUE"""),30000000)</f>
        <v>30000000</v>
      </c>
      <c r="M65" s="2">
        <f ca="1">IFERROR(__xludf.DUMMYFUNCTION("""COMPUTED_VALUE"""),30000000)</f>
        <v>30000000</v>
      </c>
      <c r="N65" s="1" t="str">
        <f t="shared" ca="1" si="0"/>
        <v>PHI</v>
      </c>
    </row>
    <row r="66" spans="1:14" x14ac:dyDescent="0.25">
      <c r="A66" s="1" t="str">
        <f ca="1">IFERROR(__xludf.DUMMYFUNCTION("""COMPUTED_VALUE"""),"T65")</f>
        <v>T65</v>
      </c>
      <c r="B66" s="1" t="str">
        <f ca="1">IFERROR(__xludf.DUMMYFUNCTION("""COMPUTED_VALUE"""),"Keenan Allen")</f>
        <v>Keenan Allen</v>
      </c>
      <c r="C66" s="1" t="str">
        <f ca="1">IFERROR(__xludf.DUMMYFUNCTION("""COMPUTED_VALUE"""),"WR")</f>
        <v>WR</v>
      </c>
      <c r="D66" s="1" t="str">
        <f ca="1">IFERROR(__xludf.DUMMYFUNCTION("""COMPUTED_VALUE"""),"CHI CHI")</f>
        <v>CHI CHI</v>
      </c>
      <c r="E66" s="1">
        <f ca="1">IFERROR(__xludf.DUMMYFUNCTION("""COMPUTED_VALUE"""),27)</f>
        <v>27</v>
      </c>
      <c r="F66" s="1">
        <f ca="1">IFERROR(__xludf.DUMMYFUNCTION("""COMPUTED_VALUE"""),2020)</f>
        <v>2020</v>
      </c>
      <c r="G66" s="1">
        <f ca="1">IFERROR(__xludf.DUMMYFUNCTION("""COMPUTED_VALUE"""),2024)</f>
        <v>2024</v>
      </c>
      <c r="H66" s="1">
        <f ca="1">IFERROR(__xludf.DUMMYFUNCTION("""COMPUTED_VALUE"""),4)</f>
        <v>4</v>
      </c>
      <c r="I66" s="2">
        <f ca="1">IFERROR(__xludf.DUMMYFUNCTION("""COMPUTED_VALUE"""),80100000)</f>
        <v>80100000</v>
      </c>
      <c r="J66" s="2">
        <f ca="1">IFERROR(__xludf.DUMMYFUNCTION("""COMPUTED_VALUE"""),20025000)</f>
        <v>20025000</v>
      </c>
      <c r="K66" s="3">
        <f ca="1">IFERROR(__xludf.DUMMYFUNCTION("""COMPUTED_VALUE"""),0.101)</f>
        <v>0.10100000000000001</v>
      </c>
      <c r="L66" s="2">
        <f ca="1">IFERROR(__xludf.DUMMYFUNCTION("""COMPUTED_VALUE"""),26500000)</f>
        <v>26500000</v>
      </c>
      <c r="M66" s="2">
        <f ca="1">IFERROR(__xludf.DUMMYFUNCTION("""COMPUTED_VALUE"""),43000000)</f>
        <v>43000000</v>
      </c>
      <c r="N66" s="1" t="str">
        <f t="shared" ca="1" si="0"/>
        <v>CHI</v>
      </c>
    </row>
    <row r="67" spans="1:14" x14ac:dyDescent="0.25">
      <c r="A67" s="1" t="str">
        <f ca="1">IFERROR(__xludf.DUMMYFUNCTION("""COMPUTED_VALUE"""),"T65")</f>
        <v>T65</v>
      </c>
      <c r="B67" s="1" t="str">
        <f ca="1">IFERROR(__xludf.DUMMYFUNCTION("""COMPUTED_VALUE"""),"Cooper Kupp")</f>
        <v>Cooper Kupp</v>
      </c>
      <c r="C67" s="1" t="str">
        <f ca="1">IFERROR(__xludf.DUMMYFUNCTION("""COMPUTED_VALUE"""),"WR")</f>
        <v>WR</v>
      </c>
      <c r="D67" s="1" t="str">
        <f ca="1">IFERROR(__xludf.DUMMYFUNCTION("""COMPUTED_VALUE"""),"LAR LAR")</f>
        <v>LAR LAR</v>
      </c>
      <c r="E67" s="1">
        <f ca="1">IFERROR(__xludf.DUMMYFUNCTION("""COMPUTED_VALUE"""),28)</f>
        <v>28</v>
      </c>
      <c r="F67" s="1">
        <f ca="1">IFERROR(__xludf.DUMMYFUNCTION("""COMPUTED_VALUE"""),2022)</f>
        <v>2022</v>
      </c>
      <c r="G67" s="1">
        <f ca="1">IFERROR(__xludf.DUMMYFUNCTION("""COMPUTED_VALUE"""),2026)</f>
        <v>2026</v>
      </c>
      <c r="H67" s="1">
        <f ca="1">IFERROR(__xludf.DUMMYFUNCTION("""COMPUTED_VALUE"""),3)</f>
        <v>3</v>
      </c>
      <c r="I67" s="2">
        <f ca="1">IFERROR(__xludf.DUMMYFUNCTION("""COMPUTED_VALUE"""),80100000)</f>
        <v>80100000</v>
      </c>
      <c r="J67" s="2">
        <f ca="1">IFERROR(__xludf.DUMMYFUNCTION("""COMPUTED_VALUE"""),26700000)</f>
        <v>26700000</v>
      </c>
      <c r="K67" s="3">
        <f ca="1">IFERROR(__xludf.DUMMYFUNCTION("""COMPUTED_VALUE"""),0.1282)</f>
        <v>0.12820000000000001</v>
      </c>
      <c r="L67" s="2">
        <f ca="1">IFERROR(__xludf.DUMMYFUNCTION("""COMPUTED_VALUE"""),35000000)</f>
        <v>35000000</v>
      </c>
      <c r="M67" s="2">
        <f ca="1">IFERROR(__xludf.DUMMYFUNCTION("""COMPUTED_VALUE"""),75000000)</f>
        <v>75000000</v>
      </c>
      <c r="N67" s="1" t="str">
        <f t="shared" ca="1" si="0"/>
        <v>LAR</v>
      </c>
    </row>
    <row r="68" spans="1:14" x14ac:dyDescent="0.25">
      <c r="A68" s="1" t="str">
        <f ca="1">IFERROR(__xludf.DUMMYFUNCTION("""COMPUTED_VALUE"""),"T67")</f>
        <v>T67</v>
      </c>
      <c r="B68" s="1" t="str">
        <f ca="1">IFERROR(__xludf.DUMMYFUNCTION("""COMPUTED_VALUE"""),"Quenton Nelson")</f>
        <v>Quenton Nelson</v>
      </c>
      <c r="C68" s="1" t="str">
        <f ca="1">IFERROR(__xludf.DUMMYFUNCTION("""COMPUTED_VALUE"""),"G")</f>
        <v>G</v>
      </c>
      <c r="D68" s="1" t="str">
        <f ca="1">IFERROR(__xludf.DUMMYFUNCTION("""COMPUTED_VALUE"""),"IND IND")</f>
        <v>IND IND</v>
      </c>
      <c r="E68" s="1">
        <f ca="1">IFERROR(__xludf.DUMMYFUNCTION("""COMPUTED_VALUE"""),25)</f>
        <v>25</v>
      </c>
      <c r="F68" s="1">
        <f ca="1">IFERROR(__xludf.DUMMYFUNCTION("""COMPUTED_VALUE"""),2022)</f>
        <v>2022</v>
      </c>
      <c r="G68" s="1">
        <f ca="1">IFERROR(__xludf.DUMMYFUNCTION("""COMPUTED_VALUE"""),2026)</f>
        <v>2026</v>
      </c>
      <c r="H68" s="1">
        <f ca="1">IFERROR(__xludf.DUMMYFUNCTION("""COMPUTED_VALUE"""),4)</f>
        <v>4</v>
      </c>
      <c r="I68" s="2">
        <f ca="1">IFERROR(__xludf.DUMMYFUNCTION("""COMPUTED_VALUE"""),80000000)</f>
        <v>80000000</v>
      </c>
      <c r="J68" s="2">
        <f ca="1">IFERROR(__xludf.DUMMYFUNCTION("""COMPUTED_VALUE"""),20000000)</f>
        <v>20000000</v>
      </c>
      <c r="K68" s="3">
        <f ca="1">IFERROR(__xludf.DUMMYFUNCTION("""COMPUTED_VALUE"""),0.0961)</f>
        <v>9.6100000000000005E-2</v>
      </c>
      <c r="L68" s="2">
        <f ca="1">IFERROR(__xludf.DUMMYFUNCTION("""COMPUTED_VALUE"""),41000000)</f>
        <v>41000000</v>
      </c>
      <c r="M68" s="2">
        <f ca="1">IFERROR(__xludf.DUMMYFUNCTION("""COMPUTED_VALUE"""),60000000)</f>
        <v>60000000</v>
      </c>
      <c r="N68" s="1" t="str">
        <f t="shared" ca="1" si="0"/>
        <v>IND</v>
      </c>
    </row>
    <row r="69" spans="1:14" x14ac:dyDescent="0.25">
      <c r="A69" s="1" t="str">
        <f ca="1">IFERROR(__xludf.DUMMYFUNCTION("""COMPUTED_VALUE"""),"T67")</f>
        <v>T67</v>
      </c>
      <c r="B69" s="1" t="str">
        <f ca="1">IFERROR(__xludf.DUMMYFUNCTION("""COMPUTED_VALUE"""),"Joe Thuney")</f>
        <v>Joe Thuney</v>
      </c>
      <c r="C69" s="1" t="str">
        <f ca="1">IFERROR(__xludf.DUMMYFUNCTION("""COMPUTED_VALUE"""),"G")</f>
        <v>G</v>
      </c>
      <c r="D69" s="1" t="str">
        <f ca="1">IFERROR(__xludf.DUMMYFUNCTION("""COMPUTED_VALUE"""),"KC KC")</f>
        <v>KC KC</v>
      </c>
      <c r="E69" s="1">
        <f ca="1">IFERROR(__xludf.DUMMYFUNCTION("""COMPUTED_VALUE"""),28)</f>
        <v>28</v>
      </c>
      <c r="F69" s="1">
        <f ca="1">IFERROR(__xludf.DUMMYFUNCTION("""COMPUTED_VALUE"""),2021)</f>
        <v>2021</v>
      </c>
      <c r="G69" s="1">
        <f ca="1">IFERROR(__xludf.DUMMYFUNCTION("""COMPUTED_VALUE"""),2025)</f>
        <v>2025</v>
      </c>
      <c r="H69" s="1">
        <f ca="1">IFERROR(__xludf.DUMMYFUNCTION("""COMPUTED_VALUE"""),5)</f>
        <v>5</v>
      </c>
      <c r="I69" s="2">
        <f ca="1">IFERROR(__xludf.DUMMYFUNCTION("""COMPUTED_VALUE"""),80000000)</f>
        <v>80000000</v>
      </c>
      <c r="J69" s="2">
        <f ca="1">IFERROR(__xludf.DUMMYFUNCTION("""COMPUTED_VALUE"""),16000000)</f>
        <v>16000000</v>
      </c>
      <c r="K69" s="3">
        <f ca="1">IFERROR(__xludf.DUMMYFUNCTION("""COMPUTED_VALUE"""),0.0877)</f>
        <v>8.77E-2</v>
      </c>
      <c r="L69" s="2">
        <f ca="1">IFERROR(__xludf.DUMMYFUNCTION("""COMPUTED_VALUE"""),31890000)</f>
        <v>31890000</v>
      </c>
      <c r="M69" s="2">
        <f ca="1">IFERROR(__xludf.DUMMYFUNCTION("""COMPUTED_VALUE"""),46890000)</f>
        <v>46890000</v>
      </c>
      <c r="N69" s="1" t="str">
        <f t="shared" ca="1" si="0"/>
        <v>KC</v>
      </c>
    </row>
    <row r="70" spans="1:14" x14ac:dyDescent="0.25">
      <c r="A70" s="1" t="str">
        <f ca="1">IFERROR(__xludf.DUMMYFUNCTION("""COMPUTED_VALUE"""),"T67")</f>
        <v>T67</v>
      </c>
      <c r="B70" s="1" t="str">
        <f ca="1">IFERROR(__xludf.DUMMYFUNCTION("""COMPUTED_VALUE"""),"Jawaan Taylor")</f>
        <v>Jawaan Taylor</v>
      </c>
      <c r="C70" s="1" t="str">
        <f ca="1">IFERROR(__xludf.DUMMYFUNCTION("""COMPUTED_VALUE"""),"RT")</f>
        <v>RT</v>
      </c>
      <c r="D70" s="1" t="str">
        <f ca="1">IFERROR(__xludf.DUMMYFUNCTION("""COMPUTED_VALUE"""),"KC KC")</f>
        <v>KC KC</v>
      </c>
      <c r="E70" s="1">
        <f ca="1">IFERROR(__xludf.DUMMYFUNCTION("""COMPUTED_VALUE"""),25)</f>
        <v>25</v>
      </c>
      <c r="F70" s="1">
        <f ca="1">IFERROR(__xludf.DUMMYFUNCTION("""COMPUTED_VALUE"""),2023)</f>
        <v>2023</v>
      </c>
      <c r="G70" s="1">
        <f ca="1">IFERROR(__xludf.DUMMYFUNCTION("""COMPUTED_VALUE"""),2026)</f>
        <v>2026</v>
      </c>
      <c r="H70" s="1">
        <f ca="1">IFERROR(__xludf.DUMMYFUNCTION("""COMPUTED_VALUE"""),4)</f>
        <v>4</v>
      </c>
      <c r="I70" s="2">
        <f ca="1">IFERROR(__xludf.DUMMYFUNCTION("""COMPUTED_VALUE"""),80000000)</f>
        <v>80000000</v>
      </c>
      <c r="J70" s="2">
        <f ca="1">IFERROR(__xludf.DUMMYFUNCTION("""COMPUTED_VALUE"""),20000000)</f>
        <v>20000000</v>
      </c>
      <c r="K70" s="3">
        <f ca="1">IFERROR(__xludf.DUMMYFUNCTION("""COMPUTED_VALUE"""),0.089)</f>
        <v>8.8999999999999996E-2</v>
      </c>
      <c r="L70" s="2">
        <f ca="1">IFERROR(__xludf.DUMMYFUNCTION("""COMPUTED_VALUE"""),40000000)</f>
        <v>40000000</v>
      </c>
      <c r="M70" s="2">
        <f ca="1">IFERROR(__xludf.DUMMYFUNCTION("""COMPUTED_VALUE"""),60000000)</f>
        <v>60000000</v>
      </c>
      <c r="N70" s="1" t="str">
        <f t="shared" ca="1" si="0"/>
        <v>KC</v>
      </c>
    </row>
    <row r="71" spans="1:14" x14ac:dyDescent="0.25">
      <c r="A71" s="1">
        <f ca="1">IFERROR(__xludf.DUMMYFUNCTION("""COMPUTED_VALUE"""),70)</f>
        <v>70</v>
      </c>
      <c r="B71" s="1" t="str">
        <f ca="1">IFERROR(__xludf.DUMMYFUNCTION("""COMPUTED_VALUE"""),"Derwin James")</f>
        <v>Derwin James</v>
      </c>
      <c r="C71" s="1" t="str">
        <f ca="1">IFERROR(__xludf.DUMMYFUNCTION("""COMPUTED_VALUE"""),"SS")</f>
        <v>SS</v>
      </c>
      <c r="D71" s="1" t="str">
        <f ca="1">IFERROR(__xludf.DUMMYFUNCTION("""COMPUTED_VALUE"""),"LAC LAC")</f>
        <v>LAC LAC</v>
      </c>
      <c r="E71" s="1">
        <f ca="1">IFERROR(__xludf.DUMMYFUNCTION("""COMPUTED_VALUE"""),25)</f>
        <v>25</v>
      </c>
      <c r="F71" s="1">
        <f ca="1">IFERROR(__xludf.DUMMYFUNCTION("""COMPUTED_VALUE"""),2022)</f>
        <v>2022</v>
      </c>
      <c r="G71" s="1">
        <f ca="1">IFERROR(__xludf.DUMMYFUNCTION("""COMPUTED_VALUE"""),2026)</f>
        <v>2026</v>
      </c>
      <c r="H71" s="1">
        <f ca="1">IFERROR(__xludf.DUMMYFUNCTION("""COMPUTED_VALUE"""),4)</f>
        <v>4</v>
      </c>
      <c r="I71" s="2">
        <f ca="1">IFERROR(__xludf.DUMMYFUNCTION("""COMPUTED_VALUE"""),76532000)</f>
        <v>76532000</v>
      </c>
      <c r="J71" s="2">
        <f ca="1">IFERROR(__xludf.DUMMYFUNCTION("""COMPUTED_VALUE"""),19133000)</f>
        <v>19133000</v>
      </c>
      <c r="K71" s="3">
        <f ca="1">IFERROR(__xludf.DUMMYFUNCTION("""COMPUTED_VALUE"""),0.0919)</f>
        <v>9.1899999999999996E-2</v>
      </c>
      <c r="L71" s="2">
        <f ca="1">IFERROR(__xludf.DUMMYFUNCTION("""COMPUTED_VALUE"""),38584000)</f>
        <v>38584000</v>
      </c>
      <c r="M71" s="2">
        <f ca="1">IFERROR(__xludf.DUMMYFUNCTION("""COMPUTED_VALUE"""),42000000)</f>
        <v>42000000</v>
      </c>
      <c r="N71" s="1" t="str">
        <f t="shared" ca="1" si="0"/>
        <v>LAC</v>
      </c>
    </row>
    <row r="72" spans="1:14" x14ac:dyDescent="0.25">
      <c r="A72" s="1">
        <f ca="1">IFERROR(__xludf.DUMMYFUNCTION("""COMPUTED_VALUE"""),71)</f>
        <v>71</v>
      </c>
      <c r="B72" s="1" t="str">
        <f ca="1">IFERROR(__xludf.DUMMYFUNCTION("""COMPUTED_VALUE"""),"L'Jarius Sneed")</f>
        <v>L'Jarius Sneed</v>
      </c>
      <c r="C72" s="1" t="str">
        <f ca="1">IFERROR(__xludf.DUMMYFUNCTION("""COMPUTED_VALUE"""),"CB")</f>
        <v>CB</v>
      </c>
      <c r="D72" s="1" t="str">
        <f ca="1">IFERROR(__xludf.DUMMYFUNCTION("""COMPUTED_VALUE"""),"TEN TEN")</f>
        <v>TEN TEN</v>
      </c>
      <c r="E72" s="1">
        <f ca="1">IFERROR(__xludf.DUMMYFUNCTION("""COMPUTED_VALUE"""),27)</f>
        <v>27</v>
      </c>
      <c r="F72" s="1">
        <f ca="1">IFERROR(__xludf.DUMMYFUNCTION("""COMPUTED_VALUE"""),2024)</f>
        <v>2024</v>
      </c>
      <c r="G72" s="1">
        <f ca="1">IFERROR(__xludf.DUMMYFUNCTION("""COMPUTED_VALUE"""),2028)</f>
        <v>2028</v>
      </c>
      <c r="H72" s="1">
        <f ca="1">IFERROR(__xludf.DUMMYFUNCTION("""COMPUTED_VALUE"""),4)</f>
        <v>4</v>
      </c>
      <c r="I72" s="2">
        <f ca="1">IFERROR(__xludf.DUMMYFUNCTION("""COMPUTED_VALUE"""),76400000)</f>
        <v>76400000</v>
      </c>
      <c r="J72" s="2">
        <f ca="1">IFERROR(__xludf.DUMMYFUNCTION("""COMPUTED_VALUE"""),19100000)</f>
        <v>19100000</v>
      </c>
      <c r="K72" s="3">
        <f ca="1">IFERROR(__xludf.DUMMYFUNCTION("""COMPUTED_VALUE"""),0.0748)</f>
        <v>7.4800000000000005E-2</v>
      </c>
      <c r="L72" s="2">
        <f ca="1">IFERROR(__xludf.DUMMYFUNCTION("""COMPUTED_VALUE"""),44000000)</f>
        <v>44000000</v>
      </c>
      <c r="M72" s="2">
        <f ca="1">IFERROR(__xludf.DUMMYFUNCTION("""COMPUTED_VALUE"""),51500000)</f>
        <v>51500000</v>
      </c>
      <c r="N72" s="1" t="str">
        <f t="shared" ca="1" si="0"/>
        <v>TEN</v>
      </c>
    </row>
    <row r="73" spans="1:14" x14ac:dyDescent="0.25">
      <c r="A73" s="1" t="str">
        <f ca="1">IFERROR(__xludf.DUMMYFUNCTION("""COMPUTED_VALUE"""),"T72")</f>
        <v>T72</v>
      </c>
      <c r="B73" s="1" t="str">
        <f ca="1">IFERROR(__xludf.DUMMYFUNCTION("""COMPUTED_VALUE"""),"Jaylon Johnson")</f>
        <v>Jaylon Johnson</v>
      </c>
      <c r="C73" s="1" t="str">
        <f ca="1">IFERROR(__xludf.DUMMYFUNCTION("""COMPUTED_VALUE"""),"CB")</f>
        <v>CB</v>
      </c>
      <c r="D73" s="1" t="str">
        <f ca="1">IFERROR(__xludf.DUMMYFUNCTION("""COMPUTED_VALUE"""),"CHI CHI")</f>
        <v>CHI CHI</v>
      </c>
      <c r="E73" s="1">
        <f ca="1">IFERROR(__xludf.DUMMYFUNCTION("""COMPUTED_VALUE"""),24)</f>
        <v>24</v>
      </c>
      <c r="F73" s="1">
        <f ca="1">IFERROR(__xludf.DUMMYFUNCTION("""COMPUTED_VALUE"""),2024)</f>
        <v>2024</v>
      </c>
      <c r="G73" s="1">
        <f ca="1">IFERROR(__xludf.DUMMYFUNCTION("""COMPUTED_VALUE"""),2027)</f>
        <v>2027</v>
      </c>
      <c r="H73" s="1">
        <f ca="1">IFERROR(__xludf.DUMMYFUNCTION("""COMPUTED_VALUE"""),4)</f>
        <v>4</v>
      </c>
      <c r="I73" s="2">
        <f ca="1">IFERROR(__xludf.DUMMYFUNCTION("""COMPUTED_VALUE"""),76000000)</f>
        <v>76000000</v>
      </c>
      <c r="J73" s="2">
        <f ca="1">IFERROR(__xludf.DUMMYFUNCTION("""COMPUTED_VALUE"""),19000000)</f>
        <v>19000000</v>
      </c>
      <c r="K73" s="3">
        <f ca="1">IFERROR(__xludf.DUMMYFUNCTION("""COMPUTED_VALUE"""),0.0744)</f>
        <v>7.4399999999999994E-2</v>
      </c>
      <c r="L73" s="2">
        <f ca="1">IFERROR(__xludf.DUMMYFUNCTION("""COMPUTED_VALUE"""),43800000)</f>
        <v>43800000</v>
      </c>
      <c r="M73" s="2">
        <f ca="1">IFERROR(__xludf.DUMMYFUNCTION("""COMPUTED_VALUE"""),51400000)</f>
        <v>51400000</v>
      </c>
      <c r="N73" s="1" t="str">
        <f t="shared" ca="1" si="0"/>
        <v>CHI</v>
      </c>
    </row>
    <row r="74" spans="1:14" x14ac:dyDescent="0.25">
      <c r="A74" s="1" t="str">
        <f ca="1">IFERROR(__xludf.DUMMYFUNCTION("""COMPUTED_VALUE"""),"T72")</f>
        <v>T72</v>
      </c>
      <c r="B74" s="1" t="str">
        <f ca="1">IFERROR(__xludf.DUMMYFUNCTION("""COMPUTED_VALUE"""),"Jonathan Greenard")</f>
        <v>Jonathan Greenard</v>
      </c>
      <c r="C74" s="1" t="str">
        <f ca="1">IFERROR(__xludf.DUMMYFUNCTION("""COMPUTED_VALUE"""),"DE")</f>
        <v>DE</v>
      </c>
      <c r="D74" s="1" t="str">
        <f ca="1">IFERROR(__xludf.DUMMYFUNCTION("""COMPUTED_VALUE"""),"MIN MIN")</f>
        <v>MIN MIN</v>
      </c>
      <c r="E74" s="1">
        <f ca="1">IFERROR(__xludf.DUMMYFUNCTION("""COMPUTED_VALUE"""),26)</f>
        <v>26</v>
      </c>
      <c r="F74" s="1">
        <f ca="1">IFERROR(__xludf.DUMMYFUNCTION("""COMPUTED_VALUE"""),2024)</f>
        <v>2024</v>
      </c>
      <c r="G74" s="1">
        <f ca="1">IFERROR(__xludf.DUMMYFUNCTION("""COMPUTED_VALUE"""),2027)</f>
        <v>2027</v>
      </c>
      <c r="H74" s="1">
        <f ca="1">IFERROR(__xludf.DUMMYFUNCTION("""COMPUTED_VALUE"""),4)</f>
        <v>4</v>
      </c>
      <c r="I74" s="2">
        <f ca="1">IFERROR(__xludf.DUMMYFUNCTION("""COMPUTED_VALUE"""),76000000)</f>
        <v>76000000</v>
      </c>
      <c r="J74" s="2">
        <f ca="1">IFERROR(__xludf.DUMMYFUNCTION("""COMPUTED_VALUE"""),19000000)</f>
        <v>19000000</v>
      </c>
      <c r="K74" s="3">
        <f ca="1">IFERROR(__xludf.DUMMYFUNCTION("""COMPUTED_VALUE"""),0.0744)</f>
        <v>7.4399999999999994E-2</v>
      </c>
      <c r="L74" s="2">
        <f ca="1">IFERROR(__xludf.DUMMYFUNCTION("""COMPUTED_VALUE"""),38000000)</f>
        <v>38000000</v>
      </c>
      <c r="M74" s="2">
        <f ca="1">IFERROR(__xludf.DUMMYFUNCTION("""COMPUTED_VALUE"""),38000000)</f>
        <v>38000000</v>
      </c>
      <c r="N74" s="1" t="str">
        <f t="shared" ca="1" si="0"/>
        <v>MIN</v>
      </c>
    </row>
    <row r="75" spans="1:14" x14ac:dyDescent="0.25">
      <c r="A75" s="1" t="str">
        <f ca="1">IFERROR(__xludf.DUMMYFUNCTION("""COMPUTED_VALUE"""),"T74")</f>
        <v>T74</v>
      </c>
      <c r="B75" s="1" t="str">
        <f ca="1">IFERROR(__xludf.DUMMYFUNCTION("""COMPUTED_VALUE"""),"George Kittle")</f>
        <v>George Kittle</v>
      </c>
      <c r="C75" s="1" t="str">
        <f ca="1">IFERROR(__xludf.DUMMYFUNCTION("""COMPUTED_VALUE"""),"TE")</f>
        <v>TE</v>
      </c>
      <c r="D75" s="1" t="str">
        <f ca="1">IFERROR(__xludf.DUMMYFUNCTION("""COMPUTED_VALUE"""),"SF SF")</f>
        <v>SF SF</v>
      </c>
      <c r="E75" s="1">
        <f ca="1">IFERROR(__xludf.DUMMYFUNCTION("""COMPUTED_VALUE"""),26)</f>
        <v>26</v>
      </c>
      <c r="F75" s="1">
        <f ca="1">IFERROR(__xludf.DUMMYFUNCTION("""COMPUTED_VALUE"""),2020)</f>
        <v>2020</v>
      </c>
      <c r="G75" s="1">
        <f ca="1">IFERROR(__xludf.DUMMYFUNCTION("""COMPUTED_VALUE"""),2025)</f>
        <v>2025</v>
      </c>
      <c r="H75" s="1">
        <f ca="1">IFERROR(__xludf.DUMMYFUNCTION("""COMPUTED_VALUE"""),5)</f>
        <v>5</v>
      </c>
      <c r="I75" s="2">
        <f ca="1">IFERROR(__xludf.DUMMYFUNCTION("""COMPUTED_VALUE"""),75000000)</f>
        <v>75000000</v>
      </c>
      <c r="J75" s="2">
        <f ca="1">IFERROR(__xludf.DUMMYFUNCTION("""COMPUTED_VALUE"""),15000000)</f>
        <v>15000000</v>
      </c>
      <c r="K75" s="3">
        <f ca="1">IFERROR(__xludf.DUMMYFUNCTION("""COMPUTED_VALUE"""),0.0757)</f>
        <v>7.5700000000000003E-2</v>
      </c>
      <c r="L75" s="2">
        <f ca="1">IFERROR(__xludf.DUMMYFUNCTION("""COMPUTED_VALUE"""),30000000)</f>
        <v>30000000</v>
      </c>
      <c r="M75" s="2">
        <f ca="1">IFERROR(__xludf.DUMMYFUNCTION("""COMPUTED_VALUE"""),40000000)</f>
        <v>40000000</v>
      </c>
      <c r="N75" s="1" t="str">
        <f t="shared" ca="1" si="0"/>
        <v>SF</v>
      </c>
    </row>
    <row r="76" spans="1:14" x14ac:dyDescent="0.25">
      <c r="A76" s="1" t="str">
        <f ca="1">IFERROR(__xludf.DUMMYFUNCTION("""COMPUTED_VALUE"""),"T74")</f>
        <v>T74</v>
      </c>
      <c r="B76" s="1" t="str">
        <f ca="1">IFERROR(__xludf.DUMMYFUNCTION("""COMPUTED_VALUE"""),"DeVonta Smith")</f>
        <v>DeVonta Smith</v>
      </c>
      <c r="C76" s="1" t="str">
        <f ca="1">IFERROR(__xludf.DUMMYFUNCTION("""COMPUTED_VALUE"""),"WR")</f>
        <v>WR</v>
      </c>
      <c r="D76" s="1" t="str">
        <f ca="1">IFERROR(__xludf.DUMMYFUNCTION("""COMPUTED_VALUE"""),"PHI PHI")</f>
        <v>PHI PHI</v>
      </c>
      <c r="E76" s="1">
        <f ca="1">IFERROR(__xludf.DUMMYFUNCTION("""COMPUTED_VALUE"""),25)</f>
        <v>25</v>
      </c>
      <c r="F76" s="1">
        <f ca="1">IFERROR(__xludf.DUMMYFUNCTION("""COMPUTED_VALUE"""),2024)</f>
        <v>2024</v>
      </c>
      <c r="G76" s="1">
        <f ca="1">IFERROR(__xludf.DUMMYFUNCTION("""COMPUTED_VALUE"""),2028)</f>
        <v>2028</v>
      </c>
      <c r="H76" s="1">
        <f ca="1">IFERROR(__xludf.DUMMYFUNCTION("""COMPUTED_VALUE"""),3)</f>
        <v>3</v>
      </c>
      <c r="I76" s="2">
        <f ca="1">IFERROR(__xludf.DUMMYFUNCTION("""COMPUTED_VALUE"""),75000000)</f>
        <v>75000000</v>
      </c>
      <c r="J76" s="2">
        <f ca="1">IFERROR(__xludf.DUMMYFUNCTION("""COMPUTED_VALUE"""),25000000)</f>
        <v>25000000</v>
      </c>
      <c r="K76" s="3">
        <f ca="1">IFERROR(__xludf.DUMMYFUNCTION("""COMPUTED_VALUE"""),0.0979)</f>
        <v>9.7900000000000001E-2</v>
      </c>
      <c r="L76" s="2">
        <f ca="1">IFERROR(__xludf.DUMMYFUNCTION("""COMPUTED_VALUE"""),33997554)</f>
        <v>33997554</v>
      </c>
      <c r="M76" s="2">
        <f ca="1">IFERROR(__xludf.DUMMYFUNCTION("""COMPUTED_VALUE"""),51000000)</f>
        <v>51000000</v>
      </c>
      <c r="N76" s="1" t="str">
        <f t="shared" ca="1" si="0"/>
        <v>PHI</v>
      </c>
    </row>
    <row r="77" spans="1:14" x14ac:dyDescent="0.25">
      <c r="A77" s="1" t="str">
        <f ca="1">IFERROR(__xludf.DUMMYFUNCTION("""COMPUTED_VALUE"""),"T74")</f>
        <v>T74</v>
      </c>
      <c r="B77" s="1" t="str">
        <f ca="1">IFERROR(__xludf.DUMMYFUNCTION("""COMPUTED_VALUE"""),"Alvin Kamara")</f>
        <v>Alvin Kamara</v>
      </c>
      <c r="C77" s="1" t="str">
        <f ca="1">IFERROR(__xludf.DUMMYFUNCTION("""COMPUTED_VALUE"""),"RB")</f>
        <v>RB</v>
      </c>
      <c r="D77" s="1" t="str">
        <f ca="1">IFERROR(__xludf.DUMMYFUNCTION("""COMPUTED_VALUE"""),"NO NO")</f>
        <v>NO NO</v>
      </c>
      <c r="E77" s="1">
        <f ca="1">IFERROR(__xludf.DUMMYFUNCTION("""COMPUTED_VALUE"""),24)</f>
        <v>24</v>
      </c>
      <c r="F77" s="1">
        <f ca="1">IFERROR(__xludf.DUMMYFUNCTION("""COMPUTED_VALUE"""),2020)</f>
        <v>2020</v>
      </c>
      <c r="G77" s="1">
        <f ca="1">IFERROR(__xludf.DUMMYFUNCTION("""COMPUTED_VALUE"""),2025)</f>
        <v>2025</v>
      </c>
      <c r="H77" s="1">
        <f ca="1">IFERROR(__xludf.DUMMYFUNCTION("""COMPUTED_VALUE"""),5)</f>
        <v>5</v>
      </c>
      <c r="I77" s="2">
        <f ca="1">IFERROR(__xludf.DUMMYFUNCTION("""COMPUTED_VALUE"""),75000000)</f>
        <v>75000000</v>
      </c>
      <c r="J77" s="2">
        <f ca="1">IFERROR(__xludf.DUMMYFUNCTION("""COMPUTED_VALUE"""),15000000)</f>
        <v>15000000</v>
      </c>
      <c r="K77" s="3">
        <f ca="1">IFERROR(__xludf.DUMMYFUNCTION("""COMPUTED_VALUE"""),0.0757)</f>
        <v>7.5700000000000003E-2</v>
      </c>
      <c r="L77" s="2">
        <f ca="1">IFERROR(__xludf.DUMMYFUNCTION("""COMPUTED_VALUE"""),22833000)</f>
        <v>22833000</v>
      </c>
      <c r="M77" s="2">
        <f ca="1">IFERROR(__xludf.DUMMYFUNCTION("""COMPUTED_VALUE"""),33833000)</f>
        <v>33833000</v>
      </c>
      <c r="N77" s="1" t="str">
        <f t="shared" ca="1" si="0"/>
        <v>NO</v>
      </c>
    </row>
    <row r="78" spans="1:14" x14ac:dyDescent="0.25">
      <c r="A78" s="1" t="str">
        <f ca="1">IFERROR(__xludf.DUMMYFUNCTION("""COMPUTED_VALUE"""),"T74")</f>
        <v>T74</v>
      </c>
      <c r="B78" s="1" t="str">
        <f ca="1">IFERROR(__xludf.DUMMYFUNCTION("""COMPUTED_VALUE"""),"Laremy Tunsil")</f>
        <v>Laremy Tunsil</v>
      </c>
      <c r="C78" s="1" t="str">
        <f ca="1">IFERROR(__xludf.DUMMYFUNCTION("""COMPUTED_VALUE"""),"LT")</f>
        <v>LT</v>
      </c>
      <c r="D78" s="1" t="str">
        <f ca="1">IFERROR(__xludf.DUMMYFUNCTION("""COMPUTED_VALUE"""),"HOU HOU")</f>
        <v>HOU HOU</v>
      </c>
      <c r="E78" s="1">
        <f ca="1">IFERROR(__xludf.DUMMYFUNCTION("""COMPUTED_VALUE"""),28)</f>
        <v>28</v>
      </c>
      <c r="F78" s="1">
        <f ca="1">IFERROR(__xludf.DUMMYFUNCTION("""COMPUTED_VALUE"""),2023)</f>
        <v>2023</v>
      </c>
      <c r="G78" s="1">
        <f ca="1">IFERROR(__xludf.DUMMYFUNCTION("""COMPUTED_VALUE"""),2026)</f>
        <v>2026</v>
      </c>
      <c r="H78" s="1">
        <f ca="1">IFERROR(__xludf.DUMMYFUNCTION("""COMPUTED_VALUE"""),3)</f>
        <v>3</v>
      </c>
      <c r="I78" s="2">
        <f ca="1">IFERROR(__xludf.DUMMYFUNCTION("""COMPUTED_VALUE"""),75000000)</f>
        <v>75000000</v>
      </c>
      <c r="J78" s="2">
        <f ca="1">IFERROR(__xludf.DUMMYFUNCTION("""COMPUTED_VALUE"""),25000000)</f>
        <v>25000000</v>
      </c>
      <c r="K78" s="3">
        <f ca="1">IFERROR(__xludf.DUMMYFUNCTION("""COMPUTED_VALUE"""),0.1112)</f>
        <v>0.11119999999999999</v>
      </c>
      <c r="L78" s="2">
        <f ca="1">IFERROR(__xludf.DUMMYFUNCTION("""COMPUTED_VALUE"""),50000000)</f>
        <v>50000000</v>
      </c>
      <c r="M78" s="2">
        <f ca="1">IFERROR(__xludf.DUMMYFUNCTION("""COMPUTED_VALUE"""),60000000)</f>
        <v>60000000</v>
      </c>
      <c r="N78" s="1" t="str">
        <f t="shared" ca="1" si="0"/>
        <v>HOU</v>
      </c>
    </row>
    <row r="79" spans="1:14" x14ac:dyDescent="0.25">
      <c r="A79" s="1" t="str">
        <f ca="1">IFERROR(__xludf.DUMMYFUNCTION("""COMPUTED_VALUE"""),"T74")</f>
        <v>T74</v>
      </c>
      <c r="B79" s="1" t="str">
        <f ca="1">IFERROR(__xludf.DUMMYFUNCTION("""COMPUTED_VALUE"""),"Geno Smith")</f>
        <v>Geno Smith</v>
      </c>
      <c r="C79" s="1" t="str">
        <f ca="1">IFERROR(__xludf.DUMMYFUNCTION("""COMPUTED_VALUE"""),"QB")</f>
        <v>QB</v>
      </c>
      <c r="D79" s="1" t="str">
        <f ca="1">IFERROR(__xludf.DUMMYFUNCTION("""COMPUTED_VALUE"""),"SEA SEA")</f>
        <v>SEA SEA</v>
      </c>
      <c r="E79" s="1">
        <f ca="1">IFERROR(__xludf.DUMMYFUNCTION("""COMPUTED_VALUE"""),32)</f>
        <v>32</v>
      </c>
      <c r="F79" s="1">
        <f ca="1">IFERROR(__xludf.DUMMYFUNCTION("""COMPUTED_VALUE"""),2023)</f>
        <v>2023</v>
      </c>
      <c r="G79" s="1">
        <f ca="1">IFERROR(__xludf.DUMMYFUNCTION("""COMPUTED_VALUE"""),2025)</f>
        <v>2025</v>
      </c>
      <c r="H79" s="1">
        <f ca="1">IFERROR(__xludf.DUMMYFUNCTION("""COMPUTED_VALUE"""),3)</f>
        <v>3</v>
      </c>
      <c r="I79" s="2">
        <f ca="1">IFERROR(__xludf.DUMMYFUNCTION("""COMPUTED_VALUE"""),75000000)</f>
        <v>75000000</v>
      </c>
      <c r="J79" s="2">
        <f ca="1">IFERROR(__xludf.DUMMYFUNCTION("""COMPUTED_VALUE"""),25000000)</f>
        <v>25000000</v>
      </c>
      <c r="K79" s="3">
        <f ca="1">IFERROR(__xludf.DUMMYFUNCTION("""COMPUTED_VALUE"""),0.1112)</f>
        <v>0.11119999999999999</v>
      </c>
      <c r="L79" s="2">
        <f ca="1">IFERROR(__xludf.DUMMYFUNCTION("""COMPUTED_VALUE"""),27300000)</f>
        <v>27300000</v>
      </c>
      <c r="M79" s="2">
        <f ca="1">IFERROR(__xludf.DUMMYFUNCTION("""COMPUTED_VALUE"""),40000000)</f>
        <v>40000000</v>
      </c>
      <c r="N79" s="1" t="str">
        <f t="shared" ca="1" si="0"/>
        <v>SEA</v>
      </c>
    </row>
    <row r="80" spans="1:14" x14ac:dyDescent="0.25">
      <c r="A80" s="1">
        <f ca="1">IFERROR(__xludf.DUMMYFUNCTION("""COMPUTED_VALUE"""),79)</f>
        <v>79</v>
      </c>
      <c r="B80" s="1" t="str">
        <f ca="1">IFERROR(__xludf.DUMMYFUNCTION("""COMPUTED_VALUE"""),"Minkah Fitzpatrick")</f>
        <v>Minkah Fitzpatrick</v>
      </c>
      <c r="C80" s="1" t="str">
        <f ca="1">IFERROR(__xludf.DUMMYFUNCTION("""COMPUTED_VALUE"""),"SS")</f>
        <v>SS</v>
      </c>
      <c r="D80" s="1" t="str">
        <f ca="1">IFERROR(__xludf.DUMMYFUNCTION("""COMPUTED_VALUE"""),"PIT PIT")</f>
        <v>PIT PIT</v>
      </c>
      <c r="E80" s="1">
        <f ca="1">IFERROR(__xludf.DUMMYFUNCTION("""COMPUTED_VALUE"""),25)</f>
        <v>25</v>
      </c>
      <c r="F80" s="1">
        <f ca="1">IFERROR(__xludf.DUMMYFUNCTION("""COMPUTED_VALUE"""),2022)</f>
        <v>2022</v>
      </c>
      <c r="G80" s="1">
        <f ca="1">IFERROR(__xludf.DUMMYFUNCTION("""COMPUTED_VALUE"""),2026)</f>
        <v>2026</v>
      </c>
      <c r="H80" s="1">
        <f ca="1">IFERROR(__xludf.DUMMYFUNCTION("""COMPUTED_VALUE"""),4)</f>
        <v>4</v>
      </c>
      <c r="I80" s="2">
        <f ca="1">IFERROR(__xludf.DUMMYFUNCTION("""COMPUTED_VALUE"""),73612235)</f>
        <v>73612235</v>
      </c>
      <c r="J80" s="2">
        <f ca="1">IFERROR(__xludf.DUMMYFUNCTION("""COMPUTED_VALUE"""),18403059)</f>
        <v>18403059</v>
      </c>
      <c r="K80" s="3">
        <f ca="1">IFERROR(__xludf.DUMMYFUNCTION("""COMPUTED_VALUE"""),0.0884)</f>
        <v>8.8400000000000006E-2</v>
      </c>
      <c r="L80" s="2">
        <f ca="1">IFERROR(__xludf.DUMMYFUNCTION("""COMPUTED_VALUE"""),36000000)</f>
        <v>36000000</v>
      </c>
      <c r="M80" s="2">
        <f ca="1">IFERROR(__xludf.DUMMYFUNCTION("""COMPUTED_VALUE"""),36000000)</f>
        <v>36000000</v>
      </c>
      <c r="N80" s="1" t="str">
        <f t="shared" ca="1" si="0"/>
        <v>PIT</v>
      </c>
    </row>
    <row r="81" spans="1:14" x14ac:dyDescent="0.25">
      <c r="A81" s="1">
        <f ca="1">IFERROR(__xludf.DUMMYFUNCTION("""COMPUTED_VALUE"""),80)</f>
        <v>80</v>
      </c>
      <c r="B81" s="1" t="str">
        <f ca="1">IFERROR(__xludf.DUMMYFUNCTION("""COMPUTED_VALUE"""),"Nico Collins")</f>
        <v>Nico Collins</v>
      </c>
      <c r="C81" s="1" t="str">
        <f ca="1">IFERROR(__xludf.DUMMYFUNCTION("""COMPUTED_VALUE"""),"WR")</f>
        <v>WR</v>
      </c>
      <c r="D81" s="1" t="str">
        <f ca="1">IFERROR(__xludf.DUMMYFUNCTION("""COMPUTED_VALUE"""),"HOU HOU")</f>
        <v>HOU HOU</v>
      </c>
      <c r="E81" s="1">
        <f ca="1">IFERROR(__xludf.DUMMYFUNCTION("""COMPUTED_VALUE"""),25)</f>
        <v>25</v>
      </c>
      <c r="F81" s="1">
        <f ca="1">IFERROR(__xludf.DUMMYFUNCTION("""COMPUTED_VALUE"""),2024)</f>
        <v>2024</v>
      </c>
      <c r="G81" s="1">
        <f ca="1">IFERROR(__xludf.DUMMYFUNCTION("""COMPUTED_VALUE"""),2027)</f>
        <v>2027</v>
      </c>
      <c r="H81" s="1">
        <f ca="1">IFERROR(__xludf.DUMMYFUNCTION("""COMPUTED_VALUE"""),3)</f>
        <v>3</v>
      </c>
      <c r="I81" s="2">
        <f ca="1">IFERROR(__xludf.DUMMYFUNCTION("""COMPUTED_VALUE"""),72750000)</f>
        <v>72750000</v>
      </c>
      <c r="J81" s="2">
        <f ca="1">IFERROR(__xludf.DUMMYFUNCTION("""COMPUTED_VALUE"""),24250000)</f>
        <v>24250000</v>
      </c>
      <c r="K81" s="3">
        <f ca="1">IFERROR(__xludf.DUMMYFUNCTION("""COMPUTED_VALUE"""),0.0949)</f>
        <v>9.4899999999999998E-2</v>
      </c>
      <c r="L81" s="2">
        <f ca="1">IFERROR(__xludf.DUMMYFUNCTION("""COMPUTED_VALUE"""),32116000)</f>
        <v>32116000</v>
      </c>
      <c r="M81" s="2">
        <f ca="1">IFERROR(__xludf.DUMMYFUNCTION("""COMPUTED_VALUE"""),52116000)</f>
        <v>52116000</v>
      </c>
      <c r="N81" s="1" t="str">
        <f t="shared" ca="1" si="0"/>
        <v>HOU</v>
      </c>
    </row>
    <row r="82" spans="1:14" x14ac:dyDescent="0.25">
      <c r="A82" s="1" t="str">
        <f ca="1">IFERROR(__xludf.DUMMYFUNCTION("""COMPUTED_VALUE"""),"T81")</f>
        <v>T81</v>
      </c>
      <c r="B82" s="1" t="str">
        <f ca="1">IFERROR(__xludf.DUMMYFUNCTION("""COMPUTED_VALUE"""),"Tremaine Edmunds")</f>
        <v>Tremaine Edmunds</v>
      </c>
      <c r="C82" s="1" t="str">
        <f ca="1">IFERROR(__xludf.DUMMYFUNCTION("""COMPUTED_VALUE"""),"ILB")</f>
        <v>ILB</v>
      </c>
      <c r="D82" s="1" t="str">
        <f ca="1">IFERROR(__xludf.DUMMYFUNCTION("""COMPUTED_VALUE"""),"CHI CHI")</f>
        <v>CHI CHI</v>
      </c>
      <c r="E82" s="1">
        <f ca="1">IFERROR(__xludf.DUMMYFUNCTION("""COMPUTED_VALUE"""),24)</f>
        <v>24</v>
      </c>
      <c r="F82" s="1">
        <f ca="1">IFERROR(__xludf.DUMMYFUNCTION("""COMPUTED_VALUE"""),2023)</f>
        <v>2023</v>
      </c>
      <c r="G82" s="1">
        <f ca="1">IFERROR(__xludf.DUMMYFUNCTION("""COMPUTED_VALUE"""),2026)</f>
        <v>2026</v>
      </c>
      <c r="H82" s="1">
        <f ca="1">IFERROR(__xludf.DUMMYFUNCTION("""COMPUTED_VALUE"""),4)</f>
        <v>4</v>
      </c>
      <c r="I82" s="2">
        <f ca="1">IFERROR(__xludf.DUMMYFUNCTION("""COMPUTED_VALUE"""),72000000)</f>
        <v>72000000</v>
      </c>
      <c r="J82" s="2">
        <f ca="1">IFERROR(__xludf.DUMMYFUNCTION("""COMPUTED_VALUE"""),18000000)</f>
        <v>18000000</v>
      </c>
      <c r="K82" s="3">
        <f ca="1">IFERROR(__xludf.DUMMYFUNCTION("""COMPUTED_VALUE"""),0.0801)</f>
        <v>8.0100000000000005E-2</v>
      </c>
      <c r="L82" s="2">
        <f ca="1">IFERROR(__xludf.DUMMYFUNCTION("""COMPUTED_VALUE"""),36800000)</f>
        <v>36800000</v>
      </c>
      <c r="M82" s="2">
        <f ca="1">IFERROR(__xludf.DUMMYFUNCTION("""COMPUTED_VALUE"""),50000000)</f>
        <v>50000000</v>
      </c>
      <c r="N82" s="1" t="str">
        <f t="shared" ca="1" si="0"/>
        <v>CHI</v>
      </c>
    </row>
    <row r="83" spans="1:14" x14ac:dyDescent="0.25">
      <c r="A83" s="1" t="str">
        <f ca="1">IFERROR(__xludf.DUMMYFUNCTION("""COMPUTED_VALUE"""),"T81")</f>
        <v>T81</v>
      </c>
      <c r="B83" s="1" t="str">
        <f ca="1">IFERROR(__xludf.DUMMYFUNCTION("""COMPUTED_VALUE"""),"Christian Kirk")</f>
        <v>Christian Kirk</v>
      </c>
      <c r="C83" s="1" t="str">
        <f ca="1">IFERROR(__xludf.DUMMYFUNCTION("""COMPUTED_VALUE"""),"WR")</f>
        <v>WR</v>
      </c>
      <c r="D83" s="1" t="str">
        <f ca="1">IFERROR(__xludf.DUMMYFUNCTION("""COMPUTED_VALUE"""),"JAC JAC")</f>
        <v>JAC JAC</v>
      </c>
      <c r="E83" s="1">
        <f ca="1">IFERROR(__xludf.DUMMYFUNCTION("""COMPUTED_VALUE"""),25)</f>
        <v>25</v>
      </c>
      <c r="F83" s="1">
        <f ca="1">IFERROR(__xludf.DUMMYFUNCTION("""COMPUTED_VALUE"""),2022)</f>
        <v>2022</v>
      </c>
      <c r="G83" s="1">
        <f ca="1">IFERROR(__xludf.DUMMYFUNCTION("""COMPUTED_VALUE"""),2025)</f>
        <v>2025</v>
      </c>
      <c r="H83" s="1">
        <f ca="1">IFERROR(__xludf.DUMMYFUNCTION("""COMPUTED_VALUE"""),4)</f>
        <v>4</v>
      </c>
      <c r="I83" s="2">
        <f ca="1">IFERROR(__xludf.DUMMYFUNCTION("""COMPUTED_VALUE"""),72000000)</f>
        <v>72000000</v>
      </c>
      <c r="J83" s="2">
        <f ca="1">IFERROR(__xludf.DUMMYFUNCTION("""COMPUTED_VALUE"""),18000000)</f>
        <v>18000000</v>
      </c>
      <c r="K83" s="3">
        <f ca="1">IFERROR(__xludf.DUMMYFUNCTION("""COMPUTED_VALUE"""),0.0865)</f>
        <v>8.6499999999999994E-2</v>
      </c>
      <c r="L83" s="2">
        <f ca="1">IFERROR(__xludf.DUMMYFUNCTION("""COMPUTED_VALUE"""),37000000)</f>
        <v>37000000</v>
      </c>
      <c r="M83" s="2">
        <f ca="1">IFERROR(__xludf.DUMMYFUNCTION("""COMPUTED_VALUE"""),37000000)</f>
        <v>37000000</v>
      </c>
      <c r="N83" s="1" t="str">
        <f t="shared" ca="1" si="0"/>
        <v>JAC</v>
      </c>
    </row>
    <row r="84" spans="1:14" x14ac:dyDescent="0.25">
      <c r="A84" s="1" t="str">
        <f ca="1">IFERROR(__xludf.DUMMYFUNCTION("""COMPUTED_VALUE"""),"T81")</f>
        <v>T81</v>
      </c>
      <c r="B84" s="1" t="str">
        <f ca="1">IFERROR(__xludf.DUMMYFUNCTION("""COMPUTED_VALUE"""),"D.K. Metcalf")</f>
        <v>D.K. Metcalf</v>
      </c>
      <c r="C84" s="1" t="str">
        <f ca="1">IFERROR(__xludf.DUMMYFUNCTION("""COMPUTED_VALUE"""),"WR")</f>
        <v>WR</v>
      </c>
      <c r="D84" s="1" t="str">
        <f ca="1">IFERROR(__xludf.DUMMYFUNCTION("""COMPUTED_VALUE"""),"SEA SEA")</f>
        <v>SEA SEA</v>
      </c>
      <c r="E84" s="1">
        <f ca="1">IFERROR(__xludf.DUMMYFUNCTION("""COMPUTED_VALUE"""),24)</f>
        <v>24</v>
      </c>
      <c r="F84" s="1">
        <f ca="1">IFERROR(__xludf.DUMMYFUNCTION("""COMPUTED_VALUE"""),2022)</f>
        <v>2022</v>
      </c>
      <c r="G84" s="1">
        <f ca="1">IFERROR(__xludf.DUMMYFUNCTION("""COMPUTED_VALUE"""),2025)</f>
        <v>2025</v>
      </c>
      <c r="H84" s="1">
        <f ca="1">IFERROR(__xludf.DUMMYFUNCTION("""COMPUTED_VALUE"""),3)</f>
        <v>3</v>
      </c>
      <c r="I84" s="2">
        <f ca="1">IFERROR(__xludf.DUMMYFUNCTION("""COMPUTED_VALUE"""),72000000)</f>
        <v>72000000</v>
      </c>
      <c r="J84" s="2">
        <f ca="1">IFERROR(__xludf.DUMMYFUNCTION("""COMPUTED_VALUE"""),24000000)</f>
        <v>24000000</v>
      </c>
      <c r="K84" s="3">
        <f ca="1">IFERROR(__xludf.DUMMYFUNCTION("""COMPUTED_VALUE"""),0.1153)</f>
        <v>0.1153</v>
      </c>
      <c r="L84" s="2">
        <f ca="1">IFERROR(__xludf.DUMMYFUNCTION("""COMPUTED_VALUE"""),31000000)</f>
        <v>31000000</v>
      </c>
      <c r="M84" s="2">
        <f ca="1">IFERROR(__xludf.DUMMYFUNCTION("""COMPUTED_VALUE"""),58200000)</f>
        <v>58200000</v>
      </c>
      <c r="N84" s="1" t="str">
        <f t="shared" ca="1" si="0"/>
        <v>SEA</v>
      </c>
    </row>
    <row r="85" spans="1:14" x14ac:dyDescent="0.25">
      <c r="A85" s="1" t="str">
        <f ca="1">IFERROR(__xludf.DUMMYFUNCTION("""COMPUTED_VALUE"""),"T81")</f>
        <v>T81</v>
      </c>
      <c r="B85" s="1" t="str">
        <f ca="1">IFERROR(__xludf.DUMMYFUNCTION("""COMPUTED_VALUE"""),"Jonathan Allen")</f>
        <v>Jonathan Allen</v>
      </c>
      <c r="C85" s="1" t="str">
        <f ca="1">IFERROR(__xludf.DUMMYFUNCTION("""COMPUTED_VALUE"""),"DT")</f>
        <v>DT</v>
      </c>
      <c r="D85" s="1" t="str">
        <f ca="1">IFERROR(__xludf.DUMMYFUNCTION("""COMPUTED_VALUE"""),"WAS WAS")</f>
        <v>WAS WAS</v>
      </c>
      <c r="E85" s="1">
        <f ca="1">IFERROR(__xludf.DUMMYFUNCTION("""COMPUTED_VALUE"""),25)</f>
        <v>25</v>
      </c>
      <c r="F85" s="1">
        <f ca="1">IFERROR(__xludf.DUMMYFUNCTION("""COMPUTED_VALUE"""),2021)</f>
        <v>2021</v>
      </c>
      <c r="G85" s="1">
        <f ca="1">IFERROR(__xludf.DUMMYFUNCTION("""COMPUTED_VALUE"""),2025)</f>
        <v>2025</v>
      </c>
      <c r="H85" s="1">
        <f ca="1">IFERROR(__xludf.DUMMYFUNCTION("""COMPUTED_VALUE"""),4)</f>
        <v>4</v>
      </c>
      <c r="I85" s="2">
        <f ca="1">IFERROR(__xludf.DUMMYFUNCTION("""COMPUTED_VALUE"""),72000000)</f>
        <v>72000000</v>
      </c>
      <c r="J85" s="2">
        <f ca="1">IFERROR(__xludf.DUMMYFUNCTION("""COMPUTED_VALUE"""),18000000)</f>
        <v>18000000</v>
      </c>
      <c r="K85" s="3">
        <f ca="1">IFERROR(__xludf.DUMMYFUNCTION("""COMPUTED_VALUE"""),0.0986)</f>
        <v>9.8599999999999993E-2</v>
      </c>
      <c r="L85" s="2">
        <f ca="1">IFERROR(__xludf.DUMMYFUNCTION("""COMPUTED_VALUE"""),31142235)</f>
        <v>31142235</v>
      </c>
      <c r="M85" s="2">
        <f ca="1">IFERROR(__xludf.DUMMYFUNCTION("""COMPUTED_VALUE"""),35642235)</f>
        <v>35642235</v>
      </c>
      <c r="N85" s="1" t="str">
        <f t="shared" ca="1" si="0"/>
        <v>WAS</v>
      </c>
    </row>
    <row r="86" spans="1:14" x14ac:dyDescent="0.25">
      <c r="A86" s="1">
        <f ca="1">IFERROR(__xludf.DUMMYFUNCTION("""COMPUTED_VALUE"""),85)</f>
        <v>85</v>
      </c>
      <c r="B86" s="1" t="str">
        <f ca="1">IFERROR(__xludf.DUMMYFUNCTION("""COMPUTED_VALUE"""),"Deebo Samuel")</f>
        <v>Deebo Samuel</v>
      </c>
      <c r="C86" s="1" t="str">
        <f ca="1">IFERROR(__xludf.DUMMYFUNCTION("""COMPUTED_VALUE"""),"WR")</f>
        <v>WR</v>
      </c>
      <c r="D86" s="1" t="str">
        <f ca="1">IFERROR(__xludf.DUMMYFUNCTION("""COMPUTED_VALUE"""),"SF SF")</f>
        <v>SF SF</v>
      </c>
      <c r="E86" s="1">
        <f ca="1">IFERROR(__xludf.DUMMYFUNCTION("""COMPUTED_VALUE"""),25)</f>
        <v>25</v>
      </c>
      <c r="F86" s="1">
        <f ca="1">IFERROR(__xludf.DUMMYFUNCTION("""COMPUTED_VALUE"""),2022)</f>
        <v>2022</v>
      </c>
      <c r="G86" s="1">
        <f ca="1">IFERROR(__xludf.DUMMYFUNCTION("""COMPUTED_VALUE"""),2025)</f>
        <v>2025</v>
      </c>
      <c r="H86" s="1">
        <f ca="1">IFERROR(__xludf.DUMMYFUNCTION("""COMPUTED_VALUE"""),3)</f>
        <v>3</v>
      </c>
      <c r="I86" s="2">
        <f ca="1">IFERROR(__xludf.DUMMYFUNCTION("""COMPUTED_VALUE"""),71550000)</f>
        <v>71550000</v>
      </c>
      <c r="J86" s="2">
        <f ca="1">IFERROR(__xludf.DUMMYFUNCTION("""COMPUTED_VALUE"""),23850000)</f>
        <v>23850000</v>
      </c>
      <c r="K86" s="3">
        <f ca="1">IFERROR(__xludf.DUMMYFUNCTION("""COMPUTED_VALUE"""),0.1146)</f>
        <v>0.11459999999999999</v>
      </c>
      <c r="L86" s="2">
        <f ca="1">IFERROR(__xludf.DUMMYFUNCTION("""COMPUTED_VALUE"""),41000000)</f>
        <v>41000000</v>
      </c>
      <c r="M86" s="2">
        <f ca="1">IFERROR(__xludf.DUMMYFUNCTION("""COMPUTED_VALUE"""),58100000)</f>
        <v>58100000</v>
      </c>
      <c r="N86" s="1" t="str">
        <f t="shared" ca="1" si="0"/>
        <v>SF</v>
      </c>
    </row>
    <row r="87" spans="1:14" x14ac:dyDescent="0.25">
      <c r="A87" s="1">
        <f ca="1">IFERROR(__xludf.DUMMYFUNCTION("""COMPUTED_VALUE"""),86)</f>
        <v>86</v>
      </c>
      <c r="B87" s="1" t="str">
        <f ca="1">IFERROR(__xludf.DUMMYFUNCTION("""COMPUTED_VALUE"""),"Taylor Moton")</f>
        <v>Taylor Moton</v>
      </c>
      <c r="C87" s="1" t="str">
        <f ca="1">IFERROR(__xludf.DUMMYFUNCTION("""COMPUTED_VALUE"""),"RT")</f>
        <v>RT</v>
      </c>
      <c r="D87" s="1" t="str">
        <f ca="1">IFERROR(__xludf.DUMMYFUNCTION("""COMPUTED_VALUE"""),"CAR CAR")</f>
        <v>CAR CAR</v>
      </c>
      <c r="E87" s="1">
        <f ca="1">IFERROR(__xludf.DUMMYFUNCTION("""COMPUTED_VALUE"""),26)</f>
        <v>26</v>
      </c>
      <c r="F87" s="1">
        <f ca="1">IFERROR(__xludf.DUMMYFUNCTION("""COMPUTED_VALUE"""),2021)</f>
        <v>2021</v>
      </c>
      <c r="G87" s="1">
        <f ca="1">IFERROR(__xludf.DUMMYFUNCTION("""COMPUTED_VALUE"""),2025)</f>
        <v>2025</v>
      </c>
      <c r="H87" s="1">
        <f ca="1">IFERROR(__xludf.DUMMYFUNCTION("""COMPUTED_VALUE"""),4)</f>
        <v>4</v>
      </c>
      <c r="I87" s="2">
        <f ca="1">IFERROR(__xludf.DUMMYFUNCTION("""COMPUTED_VALUE"""),71246000)</f>
        <v>71246000</v>
      </c>
      <c r="J87" s="2">
        <f ca="1">IFERROR(__xludf.DUMMYFUNCTION("""COMPUTED_VALUE"""),17811500)</f>
        <v>17811500</v>
      </c>
      <c r="K87" s="3">
        <f ca="1">IFERROR(__xludf.DUMMYFUNCTION("""COMPUTED_VALUE"""),0.0976)</f>
        <v>9.7600000000000006E-2</v>
      </c>
      <c r="L87" s="2">
        <f ca="1">IFERROR(__xludf.DUMMYFUNCTION("""COMPUTED_VALUE"""),43000000)</f>
        <v>43000000</v>
      </c>
      <c r="M87" s="2">
        <f ca="1">IFERROR(__xludf.DUMMYFUNCTION("""COMPUTED_VALUE"""),49600000)</f>
        <v>49600000</v>
      </c>
      <c r="N87" s="1" t="str">
        <f t="shared" ca="1" si="0"/>
        <v>CAR</v>
      </c>
    </row>
    <row r="88" spans="1:14" x14ac:dyDescent="0.25">
      <c r="A88" s="1">
        <f ca="1">IFERROR(__xludf.DUMMYFUNCTION("""COMPUTED_VALUE"""),87)</f>
        <v>87</v>
      </c>
      <c r="B88" s="1" t="str">
        <f ca="1">IFERROR(__xludf.DUMMYFUNCTION("""COMPUTED_VALUE"""),"Vita Vea")</f>
        <v>Vita Vea</v>
      </c>
      <c r="C88" s="1" t="str">
        <f ca="1">IFERROR(__xludf.DUMMYFUNCTION("""COMPUTED_VALUE"""),"DT")</f>
        <v>DT</v>
      </c>
      <c r="D88" s="1" t="str">
        <f ca="1">IFERROR(__xludf.DUMMYFUNCTION("""COMPUTED_VALUE"""),"TB TB")</f>
        <v>TB TB</v>
      </c>
      <c r="E88" s="1">
        <f ca="1">IFERROR(__xludf.DUMMYFUNCTION("""COMPUTED_VALUE"""),25)</f>
        <v>25</v>
      </c>
      <c r="F88" s="1">
        <f ca="1">IFERROR(__xludf.DUMMYFUNCTION("""COMPUTED_VALUE"""),2021)</f>
        <v>2021</v>
      </c>
      <c r="G88" s="1">
        <f ca="1">IFERROR(__xludf.DUMMYFUNCTION("""COMPUTED_VALUE"""),2026)</f>
        <v>2026</v>
      </c>
      <c r="H88" s="1">
        <f ca="1">IFERROR(__xludf.DUMMYFUNCTION("""COMPUTED_VALUE"""),4)</f>
        <v>4</v>
      </c>
      <c r="I88" s="2">
        <f ca="1">IFERROR(__xludf.DUMMYFUNCTION("""COMPUTED_VALUE"""),71000000)</f>
        <v>71000000</v>
      </c>
      <c r="J88" s="2">
        <f ca="1">IFERROR(__xludf.DUMMYFUNCTION("""COMPUTED_VALUE"""),17750000)</f>
        <v>17750000</v>
      </c>
      <c r="K88" s="3">
        <f ca="1">IFERROR(__xludf.DUMMYFUNCTION("""COMPUTED_VALUE"""),0.0973)</f>
        <v>9.7299999999999998E-2</v>
      </c>
      <c r="L88" s="2">
        <f ca="1">IFERROR(__xludf.DUMMYFUNCTION("""COMPUTED_VALUE"""),14734439)</f>
        <v>14734439</v>
      </c>
      <c r="M88" s="2">
        <f ca="1">IFERROR(__xludf.DUMMYFUNCTION("""COMPUTED_VALUE"""),33915439)</f>
        <v>33915439</v>
      </c>
      <c r="N88" s="1" t="str">
        <f t="shared" ca="1" si="0"/>
        <v>TB</v>
      </c>
    </row>
    <row r="89" spans="1:14" x14ac:dyDescent="0.25">
      <c r="A89" s="1" t="str">
        <f ca="1">IFERROR(__xludf.DUMMYFUNCTION("""COMPUTED_VALUE"""),"T88")</f>
        <v>T88</v>
      </c>
      <c r="B89" s="1" t="str">
        <f ca="1">IFERROR(__xludf.DUMMYFUNCTION("""COMPUTED_VALUE"""),"Kenny Clark")</f>
        <v>Kenny Clark</v>
      </c>
      <c r="C89" s="1" t="str">
        <f ca="1">IFERROR(__xludf.DUMMYFUNCTION("""COMPUTED_VALUE"""),"DT")</f>
        <v>DT</v>
      </c>
      <c r="D89" s="1" t="str">
        <f ca="1">IFERROR(__xludf.DUMMYFUNCTION("""COMPUTED_VALUE"""),"GB GB")</f>
        <v>GB GB</v>
      </c>
      <c r="E89" s="1">
        <f ca="1">IFERROR(__xludf.DUMMYFUNCTION("""COMPUTED_VALUE"""),24)</f>
        <v>24</v>
      </c>
      <c r="F89" s="1">
        <f ca="1">IFERROR(__xludf.DUMMYFUNCTION("""COMPUTED_VALUE"""),2020)</f>
        <v>2020</v>
      </c>
      <c r="G89" s="1">
        <f ca="1">IFERROR(__xludf.DUMMYFUNCTION("""COMPUTED_VALUE"""),2024)</f>
        <v>2024</v>
      </c>
      <c r="H89" s="1">
        <f ca="1">IFERROR(__xludf.DUMMYFUNCTION("""COMPUTED_VALUE"""),4)</f>
        <v>4</v>
      </c>
      <c r="I89" s="2">
        <f ca="1">IFERROR(__xludf.DUMMYFUNCTION("""COMPUTED_VALUE"""),70000000)</f>
        <v>70000000</v>
      </c>
      <c r="J89" s="2">
        <f ca="1">IFERROR(__xludf.DUMMYFUNCTION("""COMPUTED_VALUE"""),17500000)</f>
        <v>17500000</v>
      </c>
      <c r="K89" s="3">
        <f ca="1">IFERROR(__xludf.DUMMYFUNCTION("""COMPUTED_VALUE"""),0.0883)</f>
        <v>8.8300000000000003E-2</v>
      </c>
      <c r="L89" s="2">
        <f ca="1">IFERROR(__xludf.DUMMYFUNCTION("""COMPUTED_VALUE"""),27690000)</f>
        <v>27690000</v>
      </c>
      <c r="M89" s="2">
        <f ca="1">IFERROR(__xludf.DUMMYFUNCTION("""COMPUTED_VALUE"""),34090000)</f>
        <v>34090000</v>
      </c>
      <c r="N89" s="1" t="str">
        <f t="shared" ca="1" si="0"/>
        <v>GB</v>
      </c>
    </row>
    <row r="90" spans="1:14" x14ac:dyDescent="0.25">
      <c r="A90" s="1" t="str">
        <f ca="1">IFERROR(__xludf.DUMMYFUNCTION("""COMPUTED_VALUE"""),"T88")</f>
        <v>T88</v>
      </c>
      <c r="B90" s="1" t="str">
        <f ca="1">IFERROR(__xludf.DUMMYFUNCTION("""COMPUTED_VALUE"""),"Marcus Williams")</f>
        <v>Marcus Williams</v>
      </c>
      <c r="C90" s="1" t="str">
        <f ca="1">IFERROR(__xludf.DUMMYFUNCTION("""COMPUTED_VALUE"""),"FS")</f>
        <v>FS</v>
      </c>
      <c r="D90" s="1" t="str">
        <f ca="1">IFERROR(__xludf.DUMMYFUNCTION("""COMPUTED_VALUE"""),"BAL BAL")</f>
        <v>BAL BAL</v>
      </c>
      <c r="E90" s="1">
        <f ca="1">IFERROR(__xludf.DUMMYFUNCTION("""COMPUTED_VALUE"""),25)</f>
        <v>25</v>
      </c>
      <c r="F90" s="1">
        <f ca="1">IFERROR(__xludf.DUMMYFUNCTION("""COMPUTED_VALUE"""),2022)</f>
        <v>2022</v>
      </c>
      <c r="G90" s="1">
        <f ca="1">IFERROR(__xludf.DUMMYFUNCTION("""COMPUTED_VALUE"""),2026)</f>
        <v>2026</v>
      </c>
      <c r="H90" s="1">
        <f ca="1">IFERROR(__xludf.DUMMYFUNCTION("""COMPUTED_VALUE"""),5)</f>
        <v>5</v>
      </c>
      <c r="I90" s="2">
        <f ca="1">IFERROR(__xludf.DUMMYFUNCTION("""COMPUTED_VALUE"""),70000000)</f>
        <v>70000000</v>
      </c>
      <c r="J90" s="2">
        <f ca="1">IFERROR(__xludf.DUMMYFUNCTION("""COMPUTED_VALUE"""),14000000)</f>
        <v>14000000</v>
      </c>
      <c r="K90" s="3">
        <f ca="1">IFERROR(__xludf.DUMMYFUNCTION("""COMPUTED_VALUE"""),0.0672)</f>
        <v>6.7199999999999996E-2</v>
      </c>
      <c r="L90" s="2">
        <f ca="1">IFERROR(__xludf.DUMMYFUNCTION("""COMPUTED_VALUE"""),32000000)</f>
        <v>32000000</v>
      </c>
      <c r="M90" s="2">
        <f ca="1">IFERROR(__xludf.DUMMYFUNCTION("""COMPUTED_VALUE"""),37000000)</f>
        <v>37000000</v>
      </c>
      <c r="N90" s="1" t="str">
        <f t="shared" ca="1" si="0"/>
        <v>BAL</v>
      </c>
    </row>
    <row r="91" spans="1:14" x14ac:dyDescent="0.25">
      <c r="A91" s="1" t="str">
        <f ca="1">IFERROR(__xludf.DUMMYFUNCTION("""COMPUTED_VALUE"""),"T88")</f>
        <v>T88</v>
      </c>
      <c r="B91" s="1" t="str">
        <f ca="1">IFERROR(__xludf.DUMMYFUNCTION("""COMPUTED_VALUE"""),"Michael Pittman Jr.")</f>
        <v>Michael Pittman Jr.</v>
      </c>
      <c r="C91" s="1" t="str">
        <f ca="1">IFERROR(__xludf.DUMMYFUNCTION("""COMPUTED_VALUE"""),"WR")</f>
        <v>WR</v>
      </c>
      <c r="D91" s="1" t="str">
        <f ca="1">IFERROR(__xludf.DUMMYFUNCTION("""COMPUTED_VALUE"""),"IND IND")</f>
        <v>IND IND</v>
      </c>
      <c r="E91" s="1">
        <f ca="1">IFERROR(__xludf.DUMMYFUNCTION("""COMPUTED_VALUE"""),26)</f>
        <v>26</v>
      </c>
      <c r="F91" s="1">
        <f ca="1">IFERROR(__xludf.DUMMYFUNCTION("""COMPUTED_VALUE"""),2024)</f>
        <v>2024</v>
      </c>
      <c r="G91" s="1">
        <f ca="1">IFERROR(__xludf.DUMMYFUNCTION("""COMPUTED_VALUE"""),2026)</f>
        <v>2026</v>
      </c>
      <c r="H91" s="1">
        <f ca="1">IFERROR(__xludf.DUMMYFUNCTION("""COMPUTED_VALUE"""),3)</f>
        <v>3</v>
      </c>
      <c r="I91" s="2">
        <f ca="1">IFERROR(__xludf.DUMMYFUNCTION("""COMPUTED_VALUE"""),70000000)</f>
        <v>70000000</v>
      </c>
      <c r="J91" s="2">
        <f ca="1">IFERROR(__xludf.DUMMYFUNCTION("""COMPUTED_VALUE"""),23333333)</f>
        <v>23333333</v>
      </c>
      <c r="K91" s="3">
        <f ca="1">IFERROR(__xludf.DUMMYFUNCTION("""COMPUTED_VALUE"""),0.0914)</f>
        <v>9.1399999999999995E-2</v>
      </c>
      <c r="L91" s="2">
        <f ca="1">IFERROR(__xludf.DUMMYFUNCTION("""COMPUTED_VALUE"""),41000000)</f>
        <v>41000000</v>
      </c>
      <c r="M91" s="2">
        <f ca="1">IFERROR(__xludf.DUMMYFUNCTION("""COMPUTED_VALUE"""),46000000)</f>
        <v>46000000</v>
      </c>
      <c r="N91" s="1" t="str">
        <f t="shared" ca="1" si="0"/>
        <v>IND</v>
      </c>
    </row>
    <row r="92" spans="1:14" x14ac:dyDescent="0.25">
      <c r="A92" s="1" t="str">
        <f ca="1">IFERROR(__xludf.DUMMYFUNCTION("""COMPUTED_VALUE"""),"T88")</f>
        <v>T88</v>
      </c>
      <c r="B92" s="1" t="str">
        <f ca="1">IFERROR(__xludf.DUMMYFUNCTION("""COMPUTED_VALUE"""),"Braden Smith")</f>
        <v>Braden Smith</v>
      </c>
      <c r="C92" s="1" t="str">
        <f ca="1">IFERROR(__xludf.DUMMYFUNCTION("""COMPUTED_VALUE"""),"RT")</f>
        <v>RT</v>
      </c>
      <c r="D92" s="1" t="str">
        <f ca="1">IFERROR(__xludf.DUMMYFUNCTION("""COMPUTED_VALUE"""),"IND IND")</f>
        <v>IND IND</v>
      </c>
      <c r="E92" s="1">
        <f ca="1">IFERROR(__xludf.DUMMYFUNCTION("""COMPUTED_VALUE"""),24)</f>
        <v>24</v>
      </c>
      <c r="F92" s="1">
        <f ca="1">IFERROR(__xludf.DUMMYFUNCTION("""COMPUTED_VALUE"""),2021)</f>
        <v>2021</v>
      </c>
      <c r="G92" s="1">
        <f ca="1">IFERROR(__xludf.DUMMYFUNCTION("""COMPUTED_VALUE"""),2025)</f>
        <v>2025</v>
      </c>
      <c r="H92" s="1">
        <f ca="1">IFERROR(__xludf.DUMMYFUNCTION("""COMPUTED_VALUE"""),4)</f>
        <v>4</v>
      </c>
      <c r="I92" s="2">
        <f ca="1">IFERROR(__xludf.DUMMYFUNCTION("""COMPUTED_VALUE"""),70000000)</f>
        <v>70000000</v>
      </c>
      <c r="J92" s="2">
        <f ca="1">IFERROR(__xludf.DUMMYFUNCTION("""COMPUTED_VALUE"""),17500000)</f>
        <v>17500000</v>
      </c>
      <c r="K92" s="3">
        <f ca="1">IFERROR(__xludf.DUMMYFUNCTION("""COMPUTED_VALUE"""),0.0959)</f>
        <v>9.5899999999999999E-2</v>
      </c>
      <c r="L92" s="2">
        <f ca="1">IFERROR(__xludf.DUMMYFUNCTION("""COMPUTED_VALUE"""),32000000)</f>
        <v>32000000</v>
      </c>
      <c r="M92" s="2">
        <f ca="1">IFERROR(__xludf.DUMMYFUNCTION("""COMPUTED_VALUE"""),42000000)</f>
        <v>42000000</v>
      </c>
      <c r="N92" s="1" t="str">
        <f t="shared" ca="1" si="0"/>
        <v>IND</v>
      </c>
    </row>
    <row r="93" spans="1:14" x14ac:dyDescent="0.25">
      <c r="A93" s="1">
        <f ca="1">IFERROR(__xludf.DUMMYFUNCTION("""COMPUTED_VALUE"""),92)</f>
        <v>92</v>
      </c>
      <c r="B93" s="1" t="str">
        <f ca="1">IFERROR(__xludf.DUMMYFUNCTION("""COMPUTED_VALUE"""),"Tre'Davious White")</f>
        <v>Tre'Davious White</v>
      </c>
      <c r="C93" s="1" t="str">
        <f ca="1">IFERROR(__xludf.DUMMYFUNCTION("""COMPUTED_VALUE"""),"CB")</f>
        <v>CB</v>
      </c>
      <c r="D93" s="1" t="str">
        <f ca="1">IFERROR(__xludf.DUMMYFUNCTION("""COMPUTED_VALUE"""),"LAR LAR")</f>
        <v>LAR LAR</v>
      </c>
      <c r="E93" s="1">
        <f ca="1">IFERROR(__xludf.DUMMYFUNCTION("""COMPUTED_VALUE"""),24)</f>
        <v>24</v>
      </c>
      <c r="F93" s="1">
        <f ca="1">IFERROR(__xludf.DUMMYFUNCTION("""COMPUTED_VALUE"""),2020)</f>
        <v>2020</v>
      </c>
      <c r="G93" s="1">
        <f ca="1">IFERROR(__xludf.DUMMYFUNCTION("""COMPUTED_VALUE"""),2025)</f>
        <v>2025</v>
      </c>
      <c r="H93" s="1">
        <f ca="1">IFERROR(__xludf.DUMMYFUNCTION("""COMPUTED_VALUE"""),4)</f>
        <v>4</v>
      </c>
      <c r="I93" s="2">
        <f ca="1">IFERROR(__xludf.DUMMYFUNCTION("""COMPUTED_VALUE"""),69000000)</f>
        <v>69000000</v>
      </c>
      <c r="J93" s="2">
        <f ca="1">IFERROR(__xludf.DUMMYFUNCTION("""COMPUTED_VALUE"""),17250000)</f>
        <v>17250000</v>
      </c>
      <c r="K93" s="3">
        <f ca="1">IFERROR(__xludf.DUMMYFUNCTION("""COMPUTED_VALUE"""),0.087)</f>
        <v>8.6999999999999994E-2</v>
      </c>
      <c r="L93" s="2">
        <f ca="1">IFERROR(__xludf.DUMMYFUNCTION("""COMPUTED_VALUE"""),36700000)</f>
        <v>36700000</v>
      </c>
      <c r="M93" s="2">
        <f ca="1">IFERROR(__xludf.DUMMYFUNCTION("""COMPUTED_VALUE"""),55250000)</f>
        <v>55250000</v>
      </c>
      <c r="N93" s="1" t="str">
        <f t="shared" ca="1" si="0"/>
        <v>LAR</v>
      </c>
    </row>
    <row r="94" spans="1:14" x14ac:dyDescent="0.25">
      <c r="A94" s="1">
        <f ca="1">IFERROR(__xludf.DUMMYFUNCTION("""COMPUTED_VALUE"""),93)</f>
        <v>93</v>
      </c>
      <c r="B94" s="1" t="str">
        <f ca="1">IFERROR(__xludf.DUMMYFUNCTION("""COMPUTED_VALUE"""),"Terry McLaurin")</f>
        <v>Terry McLaurin</v>
      </c>
      <c r="C94" s="1" t="str">
        <f ca="1">IFERROR(__xludf.DUMMYFUNCTION("""COMPUTED_VALUE"""),"WR")</f>
        <v>WR</v>
      </c>
      <c r="D94" s="1" t="str">
        <f ca="1">IFERROR(__xludf.DUMMYFUNCTION("""COMPUTED_VALUE"""),"WAS WAS")</f>
        <v>WAS WAS</v>
      </c>
      <c r="E94" s="1">
        <f ca="1">IFERROR(__xludf.DUMMYFUNCTION("""COMPUTED_VALUE"""),26)</f>
        <v>26</v>
      </c>
      <c r="F94" s="1">
        <f ca="1">IFERROR(__xludf.DUMMYFUNCTION("""COMPUTED_VALUE"""),2022)</f>
        <v>2022</v>
      </c>
      <c r="G94" s="1">
        <f ca="1">IFERROR(__xludf.DUMMYFUNCTION("""COMPUTED_VALUE"""),2025)</f>
        <v>2025</v>
      </c>
      <c r="H94" s="1">
        <f ca="1">IFERROR(__xludf.DUMMYFUNCTION("""COMPUTED_VALUE"""),3)</f>
        <v>3</v>
      </c>
      <c r="I94" s="2">
        <f ca="1">IFERROR(__xludf.DUMMYFUNCTION("""COMPUTED_VALUE"""),68364000)</f>
        <v>68364000</v>
      </c>
      <c r="J94" s="2">
        <f ca="1">IFERROR(__xludf.DUMMYFUNCTION("""COMPUTED_VALUE"""),22788000)</f>
        <v>22788000</v>
      </c>
      <c r="K94" s="3">
        <f ca="1">IFERROR(__xludf.DUMMYFUNCTION("""COMPUTED_VALUE"""),0.1095)</f>
        <v>0.1095</v>
      </c>
      <c r="L94" s="2">
        <f ca="1">IFERROR(__xludf.DUMMYFUNCTION("""COMPUTED_VALUE"""),34654000)</f>
        <v>34654000</v>
      </c>
      <c r="M94" s="2">
        <f ca="1">IFERROR(__xludf.DUMMYFUNCTION("""COMPUTED_VALUE"""),53154000)</f>
        <v>53154000</v>
      </c>
      <c r="N94" s="1" t="str">
        <f t="shared" ca="1" si="0"/>
        <v>WAS</v>
      </c>
    </row>
    <row r="95" spans="1:14" x14ac:dyDescent="0.25">
      <c r="A95" s="1" t="str">
        <f ca="1">IFERROR(__xludf.DUMMYFUNCTION("""COMPUTED_VALUE"""),"T94")</f>
        <v>T94</v>
      </c>
      <c r="B95" s="1" t="str">
        <f ca="1">IFERROR(__xludf.DUMMYFUNCTION("""COMPUTED_VALUE"""),"Elgton Jenkins")</f>
        <v>Elgton Jenkins</v>
      </c>
      <c r="C95" s="1" t="str">
        <f ca="1">IFERROR(__xludf.DUMMYFUNCTION("""COMPUTED_VALUE"""),"G")</f>
        <v>G</v>
      </c>
      <c r="D95" s="1" t="str">
        <f ca="1">IFERROR(__xludf.DUMMYFUNCTION("""COMPUTED_VALUE"""),"GB GB")</f>
        <v>GB GB</v>
      </c>
      <c r="E95" s="1">
        <f ca="1">IFERROR(__xludf.DUMMYFUNCTION("""COMPUTED_VALUE"""),26)</f>
        <v>26</v>
      </c>
      <c r="F95" s="1">
        <f ca="1">IFERROR(__xludf.DUMMYFUNCTION("""COMPUTED_VALUE"""),2022)</f>
        <v>2022</v>
      </c>
      <c r="G95" s="1">
        <f ca="1">IFERROR(__xludf.DUMMYFUNCTION("""COMPUTED_VALUE"""),2026)</f>
        <v>2026</v>
      </c>
      <c r="H95" s="1">
        <f ca="1">IFERROR(__xludf.DUMMYFUNCTION("""COMPUTED_VALUE"""),4)</f>
        <v>4</v>
      </c>
      <c r="I95" s="2">
        <f ca="1">IFERROR(__xludf.DUMMYFUNCTION("""COMPUTED_VALUE"""),68000000)</f>
        <v>68000000</v>
      </c>
      <c r="J95" s="2">
        <f ca="1">IFERROR(__xludf.DUMMYFUNCTION("""COMPUTED_VALUE"""),17000000)</f>
        <v>17000000</v>
      </c>
      <c r="K95" s="3">
        <f ca="1">IFERROR(__xludf.DUMMYFUNCTION("""COMPUTED_VALUE"""),0.0817)</f>
        <v>8.1699999999999995E-2</v>
      </c>
      <c r="L95" s="2">
        <f ca="1">IFERROR(__xludf.DUMMYFUNCTION("""COMPUTED_VALUE"""),24000000)</f>
        <v>24000000</v>
      </c>
      <c r="M95" s="2">
        <f ca="1">IFERROR(__xludf.DUMMYFUNCTION("""COMPUTED_VALUE"""),24000000)</f>
        <v>24000000</v>
      </c>
      <c r="N95" s="1" t="str">
        <f t="shared" ca="1" si="0"/>
        <v>GB</v>
      </c>
    </row>
    <row r="96" spans="1:14" x14ac:dyDescent="0.25">
      <c r="A96" s="1" t="str">
        <f ca="1">IFERROR(__xludf.DUMMYFUNCTION("""COMPUTED_VALUE"""),"T94")</f>
        <v>T94</v>
      </c>
      <c r="B96" s="1" t="str">
        <f ca="1">IFERROR(__xludf.DUMMYFUNCTION("""COMPUTED_VALUE"""),"Garett Bolles")</f>
        <v>Garett Bolles</v>
      </c>
      <c r="C96" s="1" t="str">
        <f ca="1">IFERROR(__xludf.DUMMYFUNCTION("""COMPUTED_VALUE"""),"LT")</f>
        <v>LT</v>
      </c>
      <c r="D96" s="1" t="str">
        <f ca="1">IFERROR(__xludf.DUMMYFUNCTION("""COMPUTED_VALUE"""),"DEN DEN")</f>
        <v>DEN DEN</v>
      </c>
      <c r="E96" s="1">
        <f ca="1">IFERROR(__xludf.DUMMYFUNCTION("""COMPUTED_VALUE"""),27)</f>
        <v>27</v>
      </c>
      <c r="F96" s="1">
        <f ca="1">IFERROR(__xludf.DUMMYFUNCTION("""COMPUTED_VALUE"""),2020)</f>
        <v>2020</v>
      </c>
      <c r="G96" s="1">
        <f ca="1">IFERROR(__xludf.DUMMYFUNCTION("""COMPUTED_VALUE"""),2024)</f>
        <v>2024</v>
      </c>
      <c r="H96" s="1">
        <f ca="1">IFERROR(__xludf.DUMMYFUNCTION("""COMPUTED_VALUE"""),4)</f>
        <v>4</v>
      </c>
      <c r="I96" s="2">
        <f ca="1">IFERROR(__xludf.DUMMYFUNCTION("""COMPUTED_VALUE"""),68000000)</f>
        <v>68000000</v>
      </c>
      <c r="J96" s="2">
        <f ca="1">IFERROR(__xludf.DUMMYFUNCTION("""COMPUTED_VALUE"""),17000000)</f>
        <v>17000000</v>
      </c>
      <c r="K96" s="3">
        <f ca="1">IFERROR(__xludf.DUMMYFUNCTION("""COMPUTED_VALUE"""),0.0858)</f>
        <v>8.5800000000000001E-2</v>
      </c>
      <c r="L96" s="2">
        <f ca="1">IFERROR(__xludf.DUMMYFUNCTION("""COMPUTED_VALUE"""),21000000)</f>
        <v>21000000</v>
      </c>
      <c r="M96" s="2">
        <f ca="1">IFERROR(__xludf.DUMMYFUNCTION("""COMPUTED_VALUE"""),38000000)</f>
        <v>38000000</v>
      </c>
      <c r="N96" s="1" t="str">
        <f t="shared" ca="1" si="0"/>
        <v>DEN</v>
      </c>
    </row>
    <row r="97" spans="1:14" x14ac:dyDescent="0.25">
      <c r="A97" s="1" t="str">
        <f ca="1">IFERROR(__xludf.DUMMYFUNCTION("""COMPUTED_VALUE"""),"T94")</f>
        <v>T94</v>
      </c>
      <c r="B97" s="1" t="str">
        <f ca="1">IFERROR(__xludf.DUMMYFUNCTION("""COMPUTED_VALUE"""),"Ed Oliver")</f>
        <v>Ed Oliver</v>
      </c>
      <c r="C97" s="1" t="str">
        <f ca="1">IFERROR(__xludf.DUMMYFUNCTION("""COMPUTED_VALUE"""),"DT")</f>
        <v>DT</v>
      </c>
      <c r="D97" s="1" t="str">
        <f ca="1">IFERROR(__xludf.DUMMYFUNCTION("""COMPUTED_VALUE"""),"BUF BUF")</f>
        <v>BUF BUF</v>
      </c>
      <c r="E97" s="1">
        <f ca="1">IFERROR(__xludf.DUMMYFUNCTION("""COMPUTED_VALUE"""),25)</f>
        <v>25</v>
      </c>
      <c r="F97" s="1">
        <f ca="1">IFERROR(__xludf.DUMMYFUNCTION("""COMPUTED_VALUE"""),2023)</f>
        <v>2023</v>
      </c>
      <c r="G97" s="1">
        <f ca="1">IFERROR(__xludf.DUMMYFUNCTION("""COMPUTED_VALUE"""),2027)</f>
        <v>2027</v>
      </c>
      <c r="H97" s="1">
        <f ca="1">IFERROR(__xludf.DUMMYFUNCTION("""COMPUTED_VALUE"""),4)</f>
        <v>4</v>
      </c>
      <c r="I97" s="2">
        <f ca="1">IFERROR(__xludf.DUMMYFUNCTION("""COMPUTED_VALUE"""),68000000)</f>
        <v>68000000</v>
      </c>
      <c r="J97" s="2">
        <f ca="1">IFERROR(__xludf.DUMMYFUNCTION("""COMPUTED_VALUE"""),17000000)</f>
        <v>17000000</v>
      </c>
      <c r="K97" s="3">
        <f ca="1">IFERROR(__xludf.DUMMYFUNCTION("""COMPUTED_VALUE"""),0.0756)</f>
        <v>7.5600000000000001E-2</v>
      </c>
      <c r="L97" s="2">
        <f ca="1">IFERROR(__xludf.DUMMYFUNCTION("""COMPUTED_VALUE"""),24528000)</f>
        <v>24528000</v>
      </c>
      <c r="M97" s="2">
        <f ca="1">IFERROR(__xludf.DUMMYFUNCTION("""COMPUTED_VALUE"""),45278000)</f>
        <v>45278000</v>
      </c>
      <c r="N97" s="1" t="str">
        <f t="shared" ca="1" si="0"/>
        <v>BUF</v>
      </c>
    </row>
    <row r="98" spans="1:14" x14ac:dyDescent="0.25">
      <c r="A98" s="1" t="str">
        <f ca="1">IFERROR(__xludf.DUMMYFUNCTION("""COMPUTED_VALUE"""),"T94")</f>
        <v>T94</v>
      </c>
      <c r="B98" s="1" t="str">
        <f ca="1">IFERROR(__xludf.DUMMYFUNCTION("""COMPUTED_VALUE"""),"Alex Highsmith")</f>
        <v>Alex Highsmith</v>
      </c>
      <c r="C98" s="1" t="str">
        <f ca="1">IFERROR(__xludf.DUMMYFUNCTION("""COMPUTED_VALUE"""),"OLB")</f>
        <v>OLB</v>
      </c>
      <c r="D98" s="1" t="str">
        <f ca="1">IFERROR(__xludf.DUMMYFUNCTION("""COMPUTED_VALUE"""),"PIT PIT")</f>
        <v>PIT PIT</v>
      </c>
      <c r="E98" s="1">
        <f ca="1">IFERROR(__xludf.DUMMYFUNCTION("""COMPUTED_VALUE"""),25)</f>
        <v>25</v>
      </c>
      <c r="F98" s="1">
        <f ca="1">IFERROR(__xludf.DUMMYFUNCTION("""COMPUTED_VALUE"""),2023)</f>
        <v>2023</v>
      </c>
      <c r="G98" s="1">
        <f ca="1">IFERROR(__xludf.DUMMYFUNCTION("""COMPUTED_VALUE"""),2027)</f>
        <v>2027</v>
      </c>
      <c r="H98" s="1">
        <f ca="1">IFERROR(__xludf.DUMMYFUNCTION("""COMPUTED_VALUE"""),4)</f>
        <v>4</v>
      </c>
      <c r="I98" s="2">
        <f ca="1">IFERROR(__xludf.DUMMYFUNCTION("""COMPUTED_VALUE"""),68000000)</f>
        <v>68000000</v>
      </c>
      <c r="J98" s="2">
        <f ca="1">IFERROR(__xludf.DUMMYFUNCTION("""COMPUTED_VALUE"""),17000000)</f>
        <v>17000000</v>
      </c>
      <c r="K98" s="3">
        <f ca="1">IFERROR(__xludf.DUMMYFUNCTION("""COMPUTED_VALUE"""),0.0756)</f>
        <v>7.5600000000000001E-2</v>
      </c>
      <c r="L98" s="2">
        <f ca="1">IFERROR(__xludf.DUMMYFUNCTION("""COMPUTED_VALUE"""),17010000)</f>
        <v>17010000</v>
      </c>
      <c r="M98" s="2">
        <f ca="1">IFERROR(__xludf.DUMMYFUNCTION("""COMPUTED_VALUE"""),27743000)</f>
        <v>27743000</v>
      </c>
      <c r="N98" s="1" t="str">
        <f t="shared" ca="1" si="0"/>
        <v>PIT</v>
      </c>
    </row>
    <row r="99" spans="1:14" x14ac:dyDescent="0.25">
      <c r="A99" s="1">
        <f ca="1">IFERROR(__xludf.DUMMYFUNCTION("""COMPUTED_VALUE"""),98)</f>
        <v>98</v>
      </c>
      <c r="B99" s="1" t="str">
        <f ca="1">IFERROR(__xludf.DUMMYFUNCTION("""COMPUTED_VALUE"""),"Xavier McKinney")</f>
        <v>Xavier McKinney</v>
      </c>
      <c r="C99" s="1" t="str">
        <f ca="1">IFERROR(__xludf.DUMMYFUNCTION("""COMPUTED_VALUE"""),"S")</f>
        <v>S</v>
      </c>
      <c r="D99" s="1" t="str">
        <f ca="1">IFERROR(__xludf.DUMMYFUNCTION("""COMPUTED_VALUE"""),"GB GB")</f>
        <v>GB GB</v>
      </c>
      <c r="E99" s="1">
        <f ca="1">IFERROR(__xludf.DUMMYFUNCTION("""COMPUTED_VALUE"""),24)</f>
        <v>24</v>
      </c>
      <c r="F99" s="1">
        <f ca="1">IFERROR(__xludf.DUMMYFUNCTION("""COMPUTED_VALUE"""),2024)</f>
        <v>2024</v>
      </c>
      <c r="G99" s="1">
        <f ca="1">IFERROR(__xludf.DUMMYFUNCTION("""COMPUTED_VALUE"""),2027)</f>
        <v>2027</v>
      </c>
      <c r="H99" s="1">
        <f ca="1">IFERROR(__xludf.DUMMYFUNCTION("""COMPUTED_VALUE"""),4)</f>
        <v>4</v>
      </c>
      <c r="I99" s="2">
        <f ca="1">IFERROR(__xludf.DUMMYFUNCTION("""COMPUTED_VALUE"""),67000000)</f>
        <v>67000000</v>
      </c>
      <c r="J99" s="2">
        <f ca="1">IFERROR(__xludf.DUMMYFUNCTION("""COMPUTED_VALUE"""),16750000)</f>
        <v>16750000</v>
      </c>
      <c r="K99" s="3">
        <f ca="1">IFERROR(__xludf.DUMMYFUNCTION("""COMPUTED_VALUE"""),0.0656)</f>
        <v>6.5600000000000006E-2</v>
      </c>
      <c r="L99" s="2">
        <f ca="1">IFERROR(__xludf.DUMMYFUNCTION("""COMPUTED_VALUE"""),23000000)</f>
        <v>23000000</v>
      </c>
      <c r="M99" s="2">
        <f ca="1">IFERROR(__xludf.DUMMYFUNCTION("""COMPUTED_VALUE"""),23000000)</f>
        <v>23000000</v>
      </c>
      <c r="N99" s="1" t="str">
        <f t="shared" ca="1" si="0"/>
        <v>GB</v>
      </c>
    </row>
    <row r="100" spans="1:14" x14ac:dyDescent="0.25">
      <c r="A100" s="1" t="str">
        <f ca="1">IFERROR(__xludf.DUMMYFUNCTION("""COMPUTED_VALUE"""),"T99")</f>
        <v>T99</v>
      </c>
      <c r="B100" s="1" t="str">
        <f ca="1">IFERROR(__xludf.DUMMYFUNCTION("""COMPUTED_VALUE"""),"T.J. Hockenson")</f>
        <v>T.J. Hockenson</v>
      </c>
      <c r="C100" s="1" t="str">
        <f ca="1">IFERROR(__xludf.DUMMYFUNCTION("""COMPUTED_VALUE"""),"TE")</f>
        <v>TE</v>
      </c>
      <c r="D100" s="1" t="str">
        <f ca="1">IFERROR(__xludf.DUMMYFUNCTION("""COMPUTED_VALUE"""),"MIN MIN")</f>
        <v>MIN MIN</v>
      </c>
      <c r="E100" s="1">
        <f ca="1">IFERROR(__xludf.DUMMYFUNCTION("""COMPUTED_VALUE"""),26)</f>
        <v>26</v>
      </c>
      <c r="F100" s="1">
        <f ca="1">IFERROR(__xludf.DUMMYFUNCTION("""COMPUTED_VALUE"""),2023)</f>
        <v>2023</v>
      </c>
      <c r="G100" s="1">
        <f ca="1">IFERROR(__xludf.DUMMYFUNCTION("""COMPUTED_VALUE"""),2027)</f>
        <v>2027</v>
      </c>
      <c r="H100" s="1">
        <f ca="1">IFERROR(__xludf.DUMMYFUNCTION("""COMPUTED_VALUE"""),4)</f>
        <v>4</v>
      </c>
      <c r="I100" s="2">
        <f ca="1">IFERROR(__xludf.DUMMYFUNCTION("""COMPUTED_VALUE"""),66000000)</f>
        <v>66000000</v>
      </c>
      <c r="J100" s="2">
        <f ca="1">IFERROR(__xludf.DUMMYFUNCTION("""COMPUTED_VALUE"""),16500000)</f>
        <v>16500000</v>
      </c>
      <c r="K100" s="3">
        <f ca="1">IFERROR(__xludf.DUMMYFUNCTION("""COMPUTED_VALUE"""),0.0734)</f>
        <v>7.3400000000000007E-2</v>
      </c>
      <c r="L100" s="2">
        <f ca="1">IFERROR(__xludf.DUMMYFUNCTION("""COMPUTED_VALUE"""),29292000)</f>
        <v>29292000</v>
      </c>
      <c r="M100" s="2">
        <f ca="1">IFERROR(__xludf.DUMMYFUNCTION("""COMPUTED_VALUE"""),40192000)</f>
        <v>40192000</v>
      </c>
      <c r="N100" s="1" t="str">
        <f t="shared" ca="1" si="0"/>
        <v>MIN</v>
      </c>
    </row>
    <row r="101" spans="1:14" x14ac:dyDescent="0.25">
      <c r="A101" s="1" t="str">
        <f ca="1">IFERROR(__xludf.DUMMYFUNCTION("""COMPUTED_VALUE"""),"T99")</f>
        <v>T99</v>
      </c>
      <c r="B101" s="1" t="str">
        <f ca="1">IFERROR(__xludf.DUMMYFUNCTION("""COMPUTED_VALUE"""),"Jordan Mailata")</f>
        <v>Jordan Mailata</v>
      </c>
      <c r="C101" s="1" t="str">
        <f ca="1">IFERROR(__xludf.DUMMYFUNCTION("""COMPUTED_VALUE"""),"T")</f>
        <v>T</v>
      </c>
      <c r="D101" s="1" t="str">
        <f ca="1">IFERROR(__xludf.DUMMYFUNCTION("""COMPUTED_VALUE"""),"PHI PHI")</f>
        <v>PHI PHI</v>
      </c>
      <c r="E101" s="1">
        <f ca="1">IFERROR(__xludf.DUMMYFUNCTION("""COMPUTED_VALUE"""),27)</f>
        <v>27</v>
      </c>
      <c r="F101" s="1">
        <f ca="1">IFERROR(__xludf.DUMMYFUNCTION("""COMPUTED_VALUE"""),2024)</f>
        <v>2024</v>
      </c>
      <c r="G101" s="1">
        <f ca="1">IFERROR(__xludf.DUMMYFUNCTION("""COMPUTED_VALUE"""),2028)</f>
        <v>2028</v>
      </c>
      <c r="H101" s="1">
        <f ca="1">IFERROR(__xludf.DUMMYFUNCTION("""COMPUTED_VALUE"""),3)</f>
        <v>3</v>
      </c>
      <c r="I101" s="2">
        <f ca="1">IFERROR(__xludf.DUMMYFUNCTION("""COMPUTED_VALUE"""),66000000)</f>
        <v>66000000</v>
      </c>
      <c r="J101" s="2">
        <f ca="1">IFERROR(__xludf.DUMMYFUNCTION("""COMPUTED_VALUE"""),22000000)</f>
        <v>22000000</v>
      </c>
      <c r="K101" s="3">
        <f ca="1">IFERROR(__xludf.DUMMYFUNCTION("""COMPUTED_VALUE"""),0.0861)</f>
        <v>8.6099999999999996E-2</v>
      </c>
      <c r="L101" s="2">
        <f ca="1">IFERROR(__xludf.DUMMYFUNCTION("""COMPUTED_VALUE"""),22840000)</f>
        <v>22840000</v>
      </c>
      <c r="M101" s="2">
        <f ca="1">IFERROR(__xludf.DUMMYFUNCTION("""COMPUTED_VALUE"""),48000000)</f>
        <v>48000000</v>
      </c>
      <c r="N101" s="1" t="str">
        <f t="shared" ca="1" si="0"/>
        <v>PHI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Savannah</dc:creator>
  <cp:lastModifiedBy>Savannah Williams</cp:lastModifiedBy>
  <dcterms:created xsi:type="dcterms:W3CDTF">2024-06-19T01:16:01Z</dcterms:created>
  <dcterms:modified xsi:type="dcterms:W3CDTF">2024-06-19T01:16:01Z</dcterms:modified>
</cp:coreProperties>
</file>