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ry\Desktop\WSP Models\"/>
    </mc:Choice>
  </mc:AlternateContent>
  <bookViews>
    <workbookView xWindow="480" yWindow="252" windowWidth="15600" windowHeight="6852" activeTab="2"/>
  </bookViews>
  <sheets>
    <sheet name="Model" sheetId="60" r:id="rId1"/>
    <sheet name="Shares" sheetId="61" r:id="rId2"/>
    <sheet name="Contribution" sheetId="68" r:id="rId3"/>
    <sheet name="Calendarization" sheetId="16" r:id="rId4"/>
    <sheet name="_CIQHiddenCacheSheet" sheetId="63" state="veryHidden" r:id="rId5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 calcMode="autoNoTable" iterate="1"/>
</workbook>
</file>

<file path=xl/calcChain.xml><?xml version="1.0" encoding="utf-8"?>
<calcChain xmlns="http://schemas.openxmlformats.org/spreadsheetml/2006/main">
  <c r="E43" i="68" l="1"/>
  <c r="E42" i="68"/>
  <c r="E41" i="68"/>
  <c r="E40" i="68"/>
  <c r="E39" i="68"/>
  <c r="E38" i="68"/>
  <c r="E35" i="68"/>
  <c r="D35" i="68"/>
  <c r="E34" i="68"/>
  <c r="D34" i="68"/>
  <c r="E33" i="68"/>
  <c r="D33" i="68"/>
  <c r="E32" i="68"/>
  <c r="D32" i="68"/>
  <c r="E31" i="68"/>
  <c r="D31" i="68"/>
  <c r="E30" i="68"/>
  <c r="D30" i="68"/>
  <c r="E29" i="68"/>
  <c r="D29" i="68"/>
  <c r="E28" i="68"/>
  <c r="D28" i="68"/>
  <c r="E23" i="68"/>
  <c r="E22" i="68"/>
  <c r="E21" i="68"/>
  <c r="D21" i="68"/>
  <c r="D22" i="68"/>
  <c r="D23" i="68"/>
  <c r="C23" i="68"/>
  <c r="C22" i="68"/>
  <c r="C21" i="68"/>
  <c r="E17" i="68"/>
  <c r="E18" i="68"/>
  <c r="E19" i="68"/>
  <c r="E16" i="68"/>
  <c r="D18" i="68"/>
  <c r="D19" i="68"/>
  <c r="C19" i="68"/>
  <c r="C18" i="68"/>
  <c r="D17" i="68"/>
  <c r="C17" i="68"/>
  <c r="D16" i="68"/>
  <c r="C16" i="68"/>
  <c r="D14" i="68"/>
  <c r="D13" i="68"/>
  <c r="D12" i="68"/>
  <c r="C14" i="68"/>
  <c r="C13" i="68"/>
  <c r="C12" i="68"/>
  <c r="D9" i="68"/>
  <c r="C9" i="68"/>
  <c r="D7" i="68"/>
  <c r="D6" i="68"/>
  <c r="C7" i="68"/>
  <c r="C6" i="68"/>
  <c r="M57" i="60" l="1"/>
  <c r="M56" i="60"/>
  <c r="L57" i="60"/>
  <c r="L56" i="60"/>
  <c r="K57" i="60"/>
  <c r="K56" i="60"/>
  <c r="C24" i="60"/>
  <c r="C23" i="60"/>
  <c r="M42" i="60"/>
  <c r="M36" i="60"/>
  <c r="M35" i="60"/>
  <c r="K83" i="60"/>
  <c r="L63" i="60"/>
  <c r="M63" i="60"/>
  <c r="L64" i="60"/>
  <c r="M64" i="60"/>
  <c r="L65" i="60"/>
  <c r="M65" i="60"/>
  <c r="K65" i="60"/>
  <c r="K64" i="60"/>
  <c r="K63" i="60"/>
  <c r="C65" i="60"/>
  <c r="M53" i="60"/>
  <c r="M54" i="60" s="1"/>
  <c r="L53" i="60"/>
  <c r="L54" i="60" s="1"/>
  <c r="K53" i="60"/>
  <c r="K54" i="60" s="1"/>
  <c r="J43" i="60"/>
  <c r="I43" i="60"/>
  <c r="J42" i="60"/>
  <c r="I42" i="60"/>
  <c r="J38" i="60"/>
  <c r="I38" i="60"/>
  <c r="J37" i="60"/>
  <c r="I37" i="60"/>
  <c r="J36" i="60"/>
  <c r="I36" i="60"/>
  <c r="J35" i="60"/>
  <c r="I35" i="60"/>
  <c r="J34" i="60"/>
  <c r="I34" i="60"/>
  <c r="M21" i="60"/>
  <c r="M25" i="60"/>
  <c r="M26" i="60"/>
  <c r="M27" i="60"/>
  <c r="M28" i="60"/>
  <c r="M20" i="60"/>
  <c r="M11" i="60"/>
  <c r="M12" i="60"/>
  <c r="M13" i="60"/>
  <c r="M14" i="60"/>
  <c r="M15" i="60"/>
  <c r="M18" i="60"/>
  <c r="L25" i="60"/>
  <c r="K25" i="60"/>
  <c r="L24" i="60"/>
  <c r="M24" i="60" s="1"/>
  <c r="L23" i="60"/>
  <c r="L22" i="60"/>
  <c r="M22" i="60" s="1"/>
  <c r="L17" i="60"/>
  <c r="K15" i="60"/>
  <c r="L13" i="60"/>
  <c r="F52" i="60"/>
  <c r="F51" i="60"/>
  <c r="F49" i="60"/>
  <c r="F44" i="60"/>
  <c r="F48" i="60"/>
  <c r="F47" i="60"/>
  <c r="F46" i="60"/>
  <c r="F45" i="60"/>
  <c r="F41" i="60"/>
  <c r="F40" i="60"/>
  <c r="F38" i="60"/>
  <c r="F30" i="60"/>
  <c r="F33" i="60" s="1"/>
  <c r="F36" i="60"/>
  <c r="F32" i="60"/>
  <c r="F28" i="60"/>
  <c r="J29" i="60"/>
  <c r="J21" i="60"/>
  <c r="J30" i="60" s="1"/>
  <c r="J18" i="60"/>
  <c r="J14" i="60"/>
  <c r="J10" i="60"/>
  <c r="J19" i="60"/>
  <c r="I29" i="60"/>
  <c r="I19" i="60"/>
  <c r="I30" i="60"/>
  <c r="I21" i="60"/>
  <c r="I18" i="60"/>
  <c r="I10" i="60"/>
  <c r="I14" i="60"/>
  <c r="C53" i="60"/>
  <c r="F18" i="60" s="1"/>
  <c r="C57" i="60"/>
  <c r="C56" i="60"/>
  <c r="C47" i="60"/>
  <c r="K8" i="61"/>
  <c r="F8" i="61"/>
  <c r="K73" i="60" l="1"/>
  <c r="M73" i="60"/>
  <c r="L73" i="60"/>
  <c r="K58" i="60"/>
  <c r="M58" i="60"/>
  <c r="L58" i="60"/>
  <c r="C33" i="60"/>
  <c r="C34" i="60" s="1"/>
  <c r="F9" i="60"/>
  <c r="F53" i="60"/>
  <c r="F54" i="60" s="1"/>
  <c r="F56" i="60" s="1"/>
  <c r="I31" i="60"/>
  <c r="J31" i="60"/>
  <c r="B3" i="16"/>
  <c r="B7" i="16"/>
  <c r="B6" i="16"/>
  <c r="C30" i="60" l="1"/>
  <c r="E13" i="68"/>
  <c r="E14" i="68"/>
  <c r="C8" i="68"/>
  <c r="B3" i="68"/>
  <c r="E50" i="68"/>
  <c r="E12" i="68"/>
  <c r="D5" i="68"/>
  <c r="B46" i="68" s="1"/>
  <c r="C5" i="68"/>
  <c r="B38" i="68" s="1"/>
  <c r="C10" i="68" l="1"/>
  <c r="D8" i="68"/>
  <c r="B30" i="68"/>
  <c r="B41" i="68"/>
  <c r="B33" i="68"/>
  <c r="B32" i="68"/>
  <c r="B40" i="68"/>
  <c r="B28" i="68"/>
  <c r="B31" i="68"/>
  <c r="E49" i="68" l="1"/>
  <c r="D10" i="68"/>
  <c r="E48" i="68" l="1"/>
  <c r="E47" i="68"/>
  <c r="E10" i="16" l="1"/>
  <c r="B10" i="16"/>
  <c r="B3" i="61"/>
  <c r="I125" i="60"/>
  <c r="I126" i="60" s="1"/>
  <c r="I127" i="60" s="1"/>
  <c r="I128" i="60" s="1"/>
  <c r="I115" i="60"/>
  <c r="I116" i="60" s="1"/>
  <c r="I117" i="60" s="1"/>
  <c r="I118" i="60" s="1"/>
  <c r="I105" i="60"/>
  <c r="I106" i="60" s="1"/>
  <c r="I107" i="60" s="1"/>
  <c r="I108" i="60" s="1"/>
  <c r="I95" i="60"/>
  <c r="I96" i="60" s="1"/>
  <c r="I97" i="60" s="1"/>
  <c r="I98" i="60" s="1"/>
  <c r="K123" i="60"/>
  <c r="L123" i="60" s="1"/>
  <c r="M123" i="60" s="1"/>
  <c r="K103" i="60"/>
  <c r="L103" i="60" s="1"/>
  <c r="M103" i="60" s="1"/>
  <c r="K93" i="60"/>
  <c r="L93" i="60" s="1"/>
  <c r="M93" i="60" s="1"/>
  <c r="I85" i="60"/>
  <c r="I86" i="60" s="1"/>
  <c r="I87" i="60" s="1"/>
  <c r="I88" i="60" s="1"/>
  <c r="L83" i="60"/>
  <c r="M83" i="60" s="1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H72" i="60"/>
  <c r="H69" i="60"/>
  <c r="H57" i="60"/>
  <c r="H53" i="60"/>
  <c r="L50" i="60"/>
  <c r="M50" i="60" s="1"/>
  <c r="K7" i="61"/>
  <c r="H6" i="61"/>
  <c r="C6" i="61"/>
  <c r="K49" i="60"/>
  <c r="L49" i="60" s="1"/>
  <c r="M49" i="60" s="1"/>
  <c r="H42" i="60"/>
  <c r="B40" i="60"/>
  <c r="B19" i="16" l="1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H10" i="16"/>
  <c r="H14" i="16"/>
  <c r="H13" i="16"/>
  <c r="H15" i="16"/>
  <c r="B41" i="60" l="1"/>
  <c r="F7" i="61" l="1"/>
  <c r="H128" i="60" l="1"/>
  <c r="H126" i="60"/>
  <c r="H124" i="60"/>
  <c r="H118" i="60"/>
  <c r="H116" i="60"/>
  <c r="H114" i="60"/>
  <c r="E28" i="61" l="1"/>
  <c r="F28" i="61" s="1"/>
  <c r="H98" i="60"/>
  <c r="H29" i="61"/>
  <c r="J28" i="61"/>
  <c r="K28" i="61" s="1"/>
  <c r="C29" i="61"/>
  <c r="F9" i="61" s="1"/>
  <c r="H108" i="60"/>
  <c r="H106" i="60"/>
  <c r="H88" i="60"/>
  <c r="H86" i="60"/>
  <c r="H96" i="60"/>
  <c r="J17" i="61" l="1"/>
  <c r="J19" i="61"/>
  <c r="K19" i="61" s="1"/>
  <c r="J21" i="61"/>
  <c r="K21" i="61" s="1"/>
  <c r="J23" i="61"/>
  <c r="K23" i="61" s="1"/>
  <c r="J25" i="61"/>
  <c r="K25" i="61" s="1"/>
  <c r="J27" i="61"/>
  <c r="K27" i="61" s="1"/>
  <c r="J18" i="61"/>
  <c r="K18" i="61" s="1"/>
  <c r="J20" i="61"/>
  <c r="K20" i="61" s="1"/>
  <c r="J22" i="61"/>
  <c r="K22" i="61" s="1"/>
  <c r="J24" i="61"/>
  <c r="K24" i="61" s="1"/>
  <c r="J26" i="61"/>
  <c r="K26" i="61" s="1"/>
  <c r="E17" i="61"/>
  <c r="E19" i="61"/>
  <c r="F19" i="61" s="1"/>
  <c r="E21" i="61"/>
  <c r="F21" i="61" s="1"/>
  <c r="E23" i="61"/>
  <c r="F23" i="61" s="1"/>
  <c r="E25" i="61"/>
  <c r="F25" i="61" s="1"/>
  <c r="E27" i="61"/>
  <c r="F27" i="61" s="1"/>
  <c r="E18" i="61"/>
  <c r="F18" i="61" s="1"/>
  <c r="E20" i="61"/>
  <c r="F20" i="61" s="1"/>
  <c r="E22" i="61"/>
  <c r="F22" i="61" s="1"/>
  <c r="E24" i="61"/>
  <c r="F24" i="61" s="1"/>
  <c r="E26" i="61"/>
  <c r="F26" i="61" s="1"/>
  <c r="H84" i="60"/>
  <c r="H94" i="60"/>
  <c r="H104" i="60"/>
  <c r="J29" i="61" l="1"/>
  <c r="K9" i="61" s="1"/>
  <c r="K17" i="61"/>
  <c r="K29" i="61" s="1"/>
  <c r="K10" i="61" s="1"/>
  <c r="E29" i="61"/>
  <c r="F17" i="61"/>
  <c r="F29" i="61" s="1"/>
  <c r="F10" i="61" s="1"/>
  <c r="F14" i="61" s="1"/>
  <c r="C25" i="60" s="1"/>
  <c r="K14" i="61" l="1"/>
  <c r="I40" i="60" s="1"/>
  <c r="I41" i="60" s="1"/>
  <c r="I44" i="60" s="1"/>
  <c r="C26" i="60"/>
  <c r="C38" i="60" s="1"/>
  <c r="F19" i="60" s="1"/>
  <c r="L29" i="60" s="1"/>
  <c r="J40" i="60"/>
  <c r="I45" i="60"/>
  <c r="J45" i="60" l="1"/>
  <c r="J41" i="60"/>
  <c r="J44" i="60" s="1"/>
  <c r="C32" i="60"/>
  <c r="M40" i="60" s="1"/>
  <c r="F11" i="60"/>
  <c r="K29" i="60" s="1"/>
  <c r="M29" i="60" s="1"/>
  <c r="F57" i="60"/>
  <c r="F58" i="60" s="1"/>
  <c r="K17" i="60" s="1"/>
  <c r="M17" i="60" s="1"/>
  <c r="F17" i="60"/>
  <c r="C48" i="60"/>
  <c r="C49" i="60"/>
  <c r="F10" i="60" s="1"/>
  <c r="H8" i="16"/>
  <c r="F8" i="60" l="1"/>
  <c r="C54" i="60"/>
  <c r="F16" i="60"/>
  <c r="K70" i="60"/>
  <c r="L70" i="60"/>
  <c r="M70" i="60"/>
  <c r="I26" i="16"/>
  <c r="I33" i="16"/>
  <c r="I25" i="16"/>
  <c r="I27" i="16"/>
  <c r="I31" i="16"/>
  <c r="I32" i="16"/>
  <c r="I21" i="16"/>
  <c r="I20" i="16"/>
  <c r="I19" i="16"/>
  <c r="I13" i="16"/>
  <c r="I14" i="16"/>
  <c r="I15" i="16"/>
  <c r="K23" i="60" l="1"/>
  <c r="C61" i="60"/>
  <c r="M23" i="60" l="1"/>
  <c r="K61" i="60"/>
  <c r="L61" i="60"/>
  <c r="M61" i="60"/>
  <c r="C62" i="60"/>
  <c r="F20" i="60"/>
  <c r="F12" i="60"/>
  <c r="F13" i="60" s="1"/>
  <c r="M30" i="60" l="1"/>
  <c r="M34" i="60"/>
  <c r="K16" i="60"/>
  <c r="M16" i="60" s="1"/>
  <c r="L10" i="60"/>
  <c r="F21" i="60"/>
  <c r="F22" i="60" s="1"/>
  <c r="M45" i="60" l="1"/>
  <c r="M43" i="60"/>
  <c r="I123" i="60" s="1"/>
  <c r="M10" i="60"/>
  <c r="L62" i="60"/>
  <c r="L66" i="60" s="1"/>
  <c r="L67" i="60" s="1"/>
  <c r="L69" i="60" s="1"/>
  <c r="L72" i="60" s="1"/>
  <c r="M62" i="60"/>
  <c r="M66" i="60" s="1"/>
  <c r="M67" i="60" s="1"/>
  <c r="M69" i="60" s="1"/>
  <c r="M72" i="60" s="1"/>
  <c r="K62" i="60"/>
  <c r="K66" i="60" s="1"/>
  <c r="K67" i="60" s="1"/>
  <c r="K69" i="60" s="1"/>
  <c r="K72" i="60" s="1"/>
  <c r="M19" i="60" l="1"/>
  <c r="M31" i="60" s="1"/>
  <c r="M37" i="60"/>
  <c r="M38" i="60" s="1"/>
  <c r="M41" i="60" s="1"/>
  <c r="M44" i="60" s="1"/>
  <c r="M75" i="60"/>
  <c r="M74" i="60"/>
  <c r="L75" i="60"/>
  <c r="L74" i="60"/>
  <c r="K74" i="60"/>
  <c r="K75" i="60"/>
  <c r="L76" i="60" l="1"/>
  <c r="I93" i="60"/>
  <c r="M76" i="60"/>
  <c r="I103" i="60"/>
  <c r="K76" i="60"/>
  <c r="I83" i="60"/>
  <c r="I113" i="60"/>
</calcChain>
</file>

<file path=xl/comments1.xml><?xml version="1.0" encoding="utf-8"?>
<comments xmlns="http://schemas.openxmlformats.org/spreadsheetml/2006/main">
  <authors>
    <author>Wall Street Prep</author>
    <author>Mary Roberts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Cash used to acquire target + deal &amp; financing fees</t>
        </r>
      </text>
    </comment>
    <comment ref="I14" authorId="1" shapeId="0">
      <text>
        <r>
          <rPr>
            <b/>
            <sz val="9"/>
            <color indexed="81"/>
            <rFont val="Tahoma"/>
            <family val="2"/>
          </rPr>
          <t>Content rights, prepaid expenses, other CA</t>
        </r>
      </text>
    </comment>
    <comment ref="I18" authorId="1" shapeId="0">
      <text>
        <r>
          <rPr>
            <b/>
            <sz val="9"/>
            <color indexed="81"/>
            <rFont val="Tahoma"/>
            <family val="2"/>
          </rPr>
          <t>Noncurrent content rights and other noncurrent assets</t>
        </r>
      </text>
    </comment>
    <comment ref="J18" authorId="1" shapeId="0">
      <text>
        <r>
          <rPr>
            <b/>
            <sz val="9"/>
            <color indexed="81"/>
            <rFont val="Tahoma"/>
            <family val="2"/>
          </rPr>
          <t>Programs and other noncurrent assets.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Accrued liabilities, employee comp and benefits, program rights payable, deferred revenue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I29" authorId="1" shapeId="0">
      <text>
        <r>
          <rPr>
            <b/>
            <sz val="9"/>
            <color indexed="81"/>
            <rFont val="Tahoma"/>
            <family val="2"/>
          </rPr>
          <t>Common stock and APIC, (Treasury repurchases), RE, (OCI)</t>
        </r>
      </text>
    </comment>
    <comment ref="J29" authorId="1" shapeId="0">
      <text>
        <r>
          <rPr>
            <b/>
            <sz val="9"/>
            <color indexed="81"/>
            <rFont val="Tahoma"/>
            <family val="2"/>
          </rPr>
          <t>Common stock, APIC, RE, (OCI)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Assumed as most PPE from target is software</t>
        </r>
      </text>
    </comment>
    <comment ref="F36" authorId="1" shapeId="0">
      <text/>
    </comment>
    <comment ref="F37" authorId="1" shapeId="0">
      <text>
        <r>
          <rPr>
            <b/>
            <sz val="9"/>
            <color indexed="81"/>
            <rFont val="Tahoma"/>
            <family val="2"/>
          </rPr>
          <t>Includes network distribution rights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Reuters reported analyst estimates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2016 10-K p. 57</t>
        </r>
      </text>
    </comment>
    <comment ref="C42" authorId="1" shapeId="0">
      <text>
        <r>
          <rPr>
            <b/>
            <sz val="9"/>
            <color indexed="81"/>
            <rFont val="Tahoma"/>
            <family val="2"/>
          </rPr>
          <t>2017 rate included a 9% tax credit for renewable energy investments, not likely to continue at that rate</t>
        </r>
      </text>
    </comment>
    <comment ref="F48" authorId="0" shapeId="0">
      <text>
        <r>
          <rPr>
            <b/>
            <sz val="12"/>
            <color indexed="81"/>
            <rFont val="Tahoma"/>
            <family val="2"/>
          </rPr>
          <t>Assumed written off</t>
        </r>
      </text>
    </comment>
    <comment ref="C59" authorId="1" shapeId="0">
      <text>
        <r>
          <rPr>
            <b/>
            <sz val="9"/>
            <color indexed="81"/>
            <rFont val="Tahoma"/>
            <family val="2"/>
          </rPr>
          <t>Assumed from previous deals</t>
        </r>
      </text>
    </comment>
    <comment ref="H7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>
  <authors>
    <author>Wall Street Prep, LLC</author>
  </authors>
  <commentList>
    <comment ref="C16" authorId="0" shapeId="0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</commentList>
</comments>
</file>

<file path=xl/comments3.xml><?xml version="1.0" encoding="utf-8"?>
<comments xmlns="http://schemas.openxmlformats.org/spreadsheetml/2006/main">
  <authors>
    <author>Wall Street Prep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</commentList>
</comments>
</file>

<file path=xl/sharedStrings.xml><?xml version="1.0" encoding="utf-8"?>
<sst xmlns="http://schemas.openxmlformats.org/spreadsheetml/2006/main" count="315" uniqueCount="240">
  <si>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</si>
  <si>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</si>
  <si>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</si>
  <si>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</si>
  <si>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</si>
  <si>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</si>
  <si>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</si>
  <si>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</si>
  <si>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</si>
  <si>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</si>
  <si>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</si>
  <si>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</si>
  <si>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</si>
  <si>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</si>
  <si>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</si>
  <si>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</si>
  <si>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</si>
  <si>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</si>
  <si>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</si>
  <si>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</si>
  <si>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</si>
  <si>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</si>
  <si>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</si>
  <si>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</si>
  <si>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</si>
  <si>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</si>
  <si>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</si>
  <si>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</si>
  <si>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</si>
  <si>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</si>
  <si>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</si>
  <si>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</si>
  <si>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</si>
  <si>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</si>
  <si>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</si>
  <si>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</si>
  <si>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</si>
  <si>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</si>
  <si>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</si>
  <si>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</si>
  <si>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</si>
  <si>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</si>
  <si>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</si>
  <si>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</si>
  <si>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</si>
  <si>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</si>
  <si>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</si>
  <si>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</si>
  <si>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</si>
  <si>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</si>
  <si>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</si>
  <si>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</si>
  <si>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</si>
  <si>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</si>
  <si>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</si>
  <si>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</si>
  <si>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</si>
  <si>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</si>
  <si>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</si>
  <si>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</si>
  <si>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</si>
  <si>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</si>
  <si>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</si>
  <si>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</si>
  <si>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</si>
  <si>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</si>
  <si>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</si>
  <si>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</si>
  <si>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</si>
  <si>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</si>
  <si>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</si>
  <si>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</si>
  <si>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</si>
  <si>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</si>
  <si>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</si>
  <si>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</si>
  <si>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</si>
  <si>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</si>
  <si>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</si>
  <si>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</si>
  <si>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</si>
  <si>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</si>
  <si>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</si>
  <si>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</si>
  <si>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</si>
  <si>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</si>
  <si>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</si>
  <si>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</si>
  <si>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</si>
  <si>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</si>
  <si>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</si>
  <si>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</si>
  <si>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</si>
  <si>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</si>
  <si>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</si>
  <si>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</si>
  <si>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</si>
  <si>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</si>
  <si>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</si>
  <si>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</si>
  <si>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</si>
  <si>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</si>
  <si>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</si>
  <si>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</si>
  <si>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</si>
  <si>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</si>
  <si>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</si>
  <si>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</si>
  <si>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</si>
  <si>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</si>
  <si>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</si>
  <si>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</si>
  <si>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</si>
  <si>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</si>
  <si>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</si>
  <si>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</si>
  <si>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</si>
  <si>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</si>
  <si>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</si>
  <si>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</si>
  <si>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</si>
  <si>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</si>
  <si>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</si>
  <si>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</si>
  <si>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</si>
  <si>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</si>
  <si>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</si>
  <si>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</si>
  <si>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</si>
  <si>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</si>
  <si>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</si>
  <si>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</si>
  <si>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</si>
  <si>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</si>
  <si>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</si>
  <si>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</si>
  <si>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</si>
  <si>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</si>
  <si>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</si>
  <si>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</si>
  <si>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</si>
  <si>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</si>
  <si>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</si>
  <si>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</si>
  <si>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</si>
  <si>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</si>
  <si>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</si>
  <si>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</si>
  <si>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</si>
  <si>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</si>
  <si>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</si>
  <si>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</si>
  <si>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</si>
  <si>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</si>
  <si>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</si>
  <si>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</si>
  <si>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</si>
  <si>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</si>
  <si>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</si>
  <si>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</si>
  <si>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</si>
  <si>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</si>
  <si>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</si>
  <si>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</si>
  <si>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</si>
  <si>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</si>
  <si>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</si>
  <si>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</si>
  <si>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</si>
  <si>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</si>
  <si>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</si>
  <si>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</si>
  <si>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</si>
  <si>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</si>
  <si>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</si>
  <si>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</si>
  <si>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</si>
  <si>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</si>
  <si>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</si>
  <si>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</si>
  <si>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</si>
  <si>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</si>
  <si>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</si>
  <si>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</si>
  <si>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</si>
  <si>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</si>
  <si>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</si>
  <si>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</si>
  <si>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</si>
  <si>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</si>
  <si>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</si>
  <si>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</si>
  <si>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</si>
  <si>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</si>
  <si>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</si>
  <si>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</si>
  <si>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</si>
  <si>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</si>
  <si>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</si>
  <si>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</si>
  <si>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</si>
  <si>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</si>
  <si>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</si>
  <si>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</si>
  <si>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</si>
  <si>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</si>
  <si>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</si>
  <si>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</si>
  <si>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</si>
  <si>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</si>
  <si>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</si>
  <si>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</si>
  <si>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</si>
  <si>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</si>
  <si>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</si>
  <si>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</si>
  <si>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</si>
  <si>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</si>
  <si>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</si>
  <si>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</si>
  <si>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</si>
  <si>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</si>
  <si>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</si>
  <si>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</si>
  <si>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</si>
  <si>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</si>
  <si>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</si>
  <si>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</si>
  <si>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</si>
  <si>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</si>
  <si>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</si>
  <si>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Discovery</t>
  </si>
  <si>
    <t>Scripps</t>
  </si>
  <si>
    <t>SNI</t>
  </si>
  <si>
    <t>10Q</t>
  </si>
  <si>
    <t>Stock</t>
  </si>
  <si>
    <t>DISCA</t>
  </si>
  <si>
    <t>Assumed</t>
  </si>
  <si>
    <t>Cash EPS</t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</si>
  <si>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 (PE)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</si>
</sst>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m/d/yy;@"/>
    <numFmt numFmtId="177" formatCode="#,##0.00_);\(#,##0.00\);@_)"/>
    <numFmt numFmtId="178" formatCode="0.000\x_);\(0.000\x\);@_)"/>
    <numFmt numFmtId="179" formatCode="0.0\x_);\(0.0\x\);@_)"/>
    <numFmt numFmtId="180" formatCode="#,##0.000_);\(#,##0.000\);\-_);@_)"/>
    <numFmt numFmtId="181" formatCode="#,##0.000_);\(#,##0.000\);@_)"/>
    <numFmt numFmtId="182" formatCode="General\ &quot;years&quot;"/>
    <numFmt numFmtId="183" formatCode="&quot;FY&quot;\ 0"/>
    <numFmt numFmtId="184" formatCode="&quot;FYE&quot;\ mmm\-yy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302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5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5" fillId="0" borderId="0" xfId="0" applyFont="1" applyFill="1" applyBorder="1" applyAlignment="1">
      <alignment horizontal="left" indent="1"/>
    </xf>
    <xf numFmtId="0" fontId="15" fillId="0" borderId="0" xfId="0" applyFont="1" applyFill="1" applyBorder="1"/>
    <xf numFmtId="0" fontId="17" fillId="0" borderId="0" xfId="0" applyFont="1" applyFill="1" applyBorder="1"/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171" fontId="15" fillId="0" borderId="0" xfId="0" applyNumberFormat="1" applyFont="1" applyFill="1" applyBorder="1" applyAlignment="1">
      <alignment horizontal="right"/>
    </xf>
    <xf numFmtId="0" fontId="21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5" fillId="0" borderId="11" xfId="0" applyFont="1" applyFill="1" applyBorder="1"/>
    <xf numFmtId="0" fontId="17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7" fillId="0" borderId="13" xfId="0" applyFont="1" applyFill="1" applyBorder="1"/>
    <xf numFmtId="0" fontId="17" fillId="0" borderId="13" xfId="0" applyFont="1" applyFill="1" applyBorder="1" applyAlignment="1">
      <alignment horizontal="centerContinuous"/>
    </xf>
    <xf numFmtId="0" fontId="15" fillId="0" borderId="13" xfId="0" applyFont="1" applyFill="1" applyBorder="1" applyAlignment="1">
      <alignment horizontal="centerContinuous"/>
    </xf>
    <xf numFmtId="0" fontId="0" fillId="0" borderId="13" xfId="0" applyFont="1" applyBorder="1" applyAlignment="1">
      <alignment horizontal="centerContinuous"/>
    </xf>
    <xf numFmtId="0" fontId="17" fillId="0" borderId="13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 indent="1"/>
    </xf>
    <xf numFmtId="171" fontId="15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indent="1"/>
    </xf>
    <xf numFmtId="0" fontId="17" fillId="0" borderId="12" xfId="0" applyFont="1" applyFill="1" applyBorder="1" applyAlignment="1">
      <alignment horizontal="left" indent="1"/>
    </xf>
    <xf numFmtId="171" fontId="15" fillId="0" borderId="12" xfId="0" applyNumberFormat="1" applyFont="1" applyFill="1" applyBorder="1" applyAlignment="1">
      <alignment horizontal="center"/>
    </xf>
    <xf numFmtId="0" fontId="22" fillId="0" borderId="0" xfId="0" applyFont="1" applyBorder="1"/>
    <xf numFmtId="167" fontId="0" fillId="0" borderId="0" xfId="0" applyNumberFormat="1" applyFont="1"/>
    <xf numFmtId="0" fontId="15" fillId="0" borderId="0" xfId="0" applyFont="1" applyBorder="1" applyAlignment="1">
      <alignment horizontal="left" indent="1"/>
    </xf>
    <xf numFmtId="0" fontId="17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0" borderId="0" xfId="0" applyFont="1" applyFill="1"/>
    <xf numFmtId="171" fontId="23" fillId="0" borderId="0" xfId="0" applyNumberFormat="1" applyFont="1" applyFill="1"/>
    <xf numFmtId="0" fontId="23" fillId="0" borderId="0" xfId="0" applyFont="1" applyFill="1" applyBorder="1" applyAlignment="1">
      <alignment horizontal="left" indent="1"/>
    </xf>
    <xf numFmtId="0" fontId="15" fillId="0" borderId="0" xfId="0" applyFont="1" applyBorder="1"/>
    <xf numFmtId="0" fontId="17" fillId="0" borderId="0" xfId="0" applyFont="1" applyBorder="1"/>
    <xf numFmtId="0" fontId="24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75" fontId="0" fillId="0" borderId="0" xfId="0" applyNumberFormat="1" applyFont="1"/>
    <xf numFmtId="0" fontId="24" fillId="0" borderId="0" xfId="0" applyFont="1" applyAlignment="1">
      <alignment horizontal="left"/>
    </xf>
    <xf numFmtId="0" fontId="27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7" fillId="2" borderId="0" xfId="0" applyFont="1" applyFill="1" applyBorder="1"/>
    <xf numFmtId="0" fontId="0" fillId="2" borderId="0" xfId="0" applyFont="1" applyFill="1" applyBorder="1"/>
    <xf numFmtId="0" fontId="10" fillId="0" borderId="0" xfId="0" applyNumberFormat="1" applyFont="1" applyFill="1" applyBorder="1" applyAlignme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6" fontId="0" fillId="0" borderId="0" xfId="0" applyNumberFormat="1" applyFont="1" applyBorder="1"/>
    <xf numFmtId="0" fontId="21" fillId="0" borderId="0" xfId="0" applyFont="1" applyAlignment="1">
      <alignment horizontal="left"/>
    </xf>
    <xf numFmtId="0" fontId="28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1" fillId="0" borderId="0" xfId="0" applyFont="1"/>
    <xf numFmtId="169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indent="2"/>
    </xf>
    <xf numFmtId="179" fontId="0" fillId="0" borderId="0" xfId="0" applyNumberFormat="1" applyFont="1"/>
    <xf numFmtId="171" fontId="0" fillId="0" borderId="0" xfId="0" applyNumberFormat="1"/>
    <xf numFmtId="0" fontId="24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8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0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171" fontId="5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1" fillId="0" borderId="0" xfId="0" applyFont="1" applyBorder="1" applyAlignment="1">
      <alignment horizontal="center"/>
    </xf>
    <xf numFmtId="7" fontId="29" fillId="0" borderId="0" xfId="0" applyNumberFormat="1" applyFont="1" applyFill="1" applyBorder="1"/>
    <xf numFmtId="171" fontId="5" fillId="0" borderId="0" xfId="0" applyNumberFormat="1" applyFont="1" applyFill="1" applyBorder="1" applyAlignment="1"/>
    <xf numFmtId="171" fontId="11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1" fillId="0" borderId="0" xfId="0" applyNumberFormat="1" applyFont="1" applyFill="1" applyBorder="1"/>
    <xf numFmtId="169" fontId="4" fillId="0" borderId="0" xfId="0" applyNumberFormat="1" applyFont="1"/>
    <xf numFmtId="14" fontId="4" fillId="0" borderId="0" xfId="0" applyNumberFormat="1" applyFont="1"/>
    <xf numFmtId="172" fontId="15" fillId="0" borderId="0" xfId="0" applyNumberFormat="1" applyFont="1" applyFill="1" applyBorder="1" applyAlignment="1">
      <alignment horizontal="center"/>
    </xf>
    <xf numFmtId="0" fontId="17" fillId="0" borderId="1" xfId="0" applyFont="1" applyFill="1" applyBorder="1"/>
    <xf numFmtId="0" fontId="15" fillId="0" borderId="1" xfId="0" applyFont="1" applyFill="1" applyBorder="1" applyAlignment="1">
      <alignment horizontal="center"/>
    </xf>
    <xf numFmtId="176" fontId="31" fillId="0" borderId="1" xfId="0" applyNumberFormat="1" applyFont="1" applyFill="1" applyBorder="1" applyAlignment="1">
      <alignment horizontal="center"/>
    </xf>
    <xf numFmtId="176" fontId="32" fillId="0" borderId="1" xfId="0" applyNumberFormat="1" applyFont="1" applyBorder="1"/>
    <xf numFmtId="167" fontId="11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0" fontId="11" fillId="0" borderId="0" xfId="0" applyNumberFormat="1" applyFont="1" applyFill="1" applyBorder="1"/>
    <xf numFmtId="181" fontId="11" fillId="0" borderId="0" xfId="0" applyNumberFormat="1" applyFont="1" applyFill="1" applyBorder="1"/>
    <xf numFmtId="173" fontId="11" fillId="0" borderId="12" xfId="0" applyNumberFormat="1" applyFont="1" applyFill="1" applyBorder="1" applyAlignment="1"/>
    <xf numFmtId="174" fontId="17" fillId="0" borderId="10" xfId="0" applyNumberFormat="1" applyFont="1" applyFill="1" applyBorder="1" applyAlignment="1">
      <alignment horizontal="right"/>
    </xf>
    <xf numFmtId="0" fontId="10" fillId="0" borderId="0" xfId="0" quotePrefix="1" applyNumberFormat="1" applyFont="1" applyFill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181" fontId="0" fillId="0" borderId="0" xfId="0" applyNumberFormat="1" applyFont="1"/>
    <xf numFmtId="171" fontId="10" fillId="0" borderId="0" xfId="0" quotePrefix="1" applyNumberFormat="1" applyFont="1" applyFill="1" applyBorder="1" applyAlignment="1">
      <alignment horizontal="left" indent="1"/>
    </xf>
    <xf numFmtId="171" fontId="20" fillId="0" borderId="0" xfId="0" applyNumberFormat="1" applyFont="1" applyFill="1" applyBorder="1" applyAlignment="1"/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7" fontId="0" fillId="0" borderId="0" xfId="0" applyNumberFormat="1" applyFont="1" applyFill="1" applyBorder="1"/>
    <xf numFmtId="177" fontId="0" fillId="0" borderId="0" xfId="0" applyNumberFormat="1" applyFont="1" applyFill="1"/>
    <xf numFmtId="0" fontId="28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79" fontId="0" fillId="0" borderId="2" xfId="0" applyNumberFormat="1" applyFont="1" applyFill="1" applyBorder="1"/>
    <xf numFmtId="178" fontId="0" fillId="0" borderId="0" xfId="0" applyNumberFormat="1" applyFont="1" applyFill="1"/>
    <xf numFmtId="164" fontId="4" fillId="0" borderId="0" xfId="0" applyNumberFormat="1" applyFont="1" applyFill="1"/>
    <xf numFmtId="0" fontId="15" fillId="0" borderId="0" xfId="0" applyFont="1" applyAlignment="1">
      <alignment horizontal="left" indent="1"/>
    </xf>
    <xf numFmtId="178" fontId="10" fillId="0" borderId="0" xfId="0" applyNumberFormat="1" applyFont="1" applyFill="1" applyBorder="1" applyAlignment="1"/>
    <xf numFmtId="177" fontId="10" fillId="0" borderId="0" xfId="0" applyNumberFormat="1" applyFont="1" applyFill="1" applyBorder="1" applyAlignment="1"/>
    <xf numFmtId="7" fontId="16" fillId="0" borderId="0" xfId="0" applyNumberFormat="1" applyFont="1" applyFill="1" applyBorder="1"/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9" fontId="4" fillId="0" borderId="0" xfId="0" applyNumberFormat="1" applyFont="1" applyAlignment="1">
      <alignment horizontal="right"/>
    </xf>
    <xf numFmtId="167" fontId="0" fillId="0" borderId="0" xfId="0" applyNumberFormat="1"/>
    <xf numFmtId="9" fontId="5" fillId="0" borderId="0" xfId="0" applyNumberFormat="1" applyFont="1"/>
    <xf numFmtId="171" fontId="0" fillId="0" borderId="1" xfId="0" applyNumberFormat="1" applyBorder="1"/>
    <xf numFmtId="167" fontId="0" fillId="0" borderId="0" xfId="0" applyNumberFormat="1" applyBorder="1"/>
    <xf numFmtId="0" fontId="0" fillId="0" borderId="10" xfId="0" applyBorder="1"/>
    <xf numFmtId="0" fontId="15" fillId="0" borderId="16" xfId="0" applyFont="1" applyFill="1" applyBorder="1"/>
    <xf numFmtId="171" fontId="6" fillId="0" borderId="0" xfId="0" applyNumberFormat="1" applyFont="1" applyFill="1" applyAlignment="1"/>
    <xf numFmtId="167" fontId="11" fillId="0" borderId="12" xfId="0" applyNumberFormat="1" applyFont="1" applyFill="1" applyBorder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Alignment="1"/>
    <xf numFmtId="167" fontId="4" fillId="0" borderId="0" xfId="0" applyNumberFormat="1" applyFont="1" applyFill="1" applyBorder="1" applyAlignment="1"/>
    <xf numFmtId="182" fontId="4" fillId="0" borderId="0" xfId="0" applyNumberFormat="1" applyFont="1"/>
    <xf numFmtId="166" fontId="4" fillId="0" borderId="0" xfId="0" applyNumberFormat="1" applyFont="1"/>
    <xf numFmtId="167" fontId="0" fillId="0" borderId="1" xfId="0" applyNumberFormat="1" applyBorder="1"/>
    <xf numFmtId="171" fontId="1" fillId="0" borderId="0" xfId="0" applyNumberFormat="1" applyFont="1" applyBorder="1"/>
    <xf numFmtId="37" fontId="15" fillId="0" borderId="0" xfId="0" applyNumberFormat="1" applyFont="1" applyFill="1" applyBorder="1" applyAlignment="1">
      <alignment horizontal="center"/>
    </xf>
    <xf numFmtId="183" fontId="26" fillId="0" borderId="0" xfId="0" applyNumberFormat="1" applyFont="1" applyFill="1" applyBorder="1" applyAlignment="1"/>
    <xf numFmtId="183" fontId="11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18" xfId="0" applyNumberFormat="1" applyFont="1" applyBorder="1" applyAlignment="1">
      <alignment horizontal="center"/>
    </xf>
    <xf numFmtId="171" fontId="5" fillId="0" borderId="19" xfId="0" applyNumberFormat="1" applyFont="1" applyBorder="1"/>
    <xf numFmtId="167" fontId="5" fillId="0" borderId="19" xfId="0" applyNumberFormat="1" applyFont="1" applyBorder="1"/>
    <xf numFmtId="167" fontId="30" fillId="0" borderId="19" xfId="0" applyNumberFormat="1" applyFont="1" applyBorder="1"/>
    <xf numFmtId="0" fontId="0" fillId="0" borderId="19" xfId="0" applyFont="1" applyBorder="1"/>
    <xf numFmtId="171" fontId="0" fillId="0" borderId="19" xfId="0" applyNumberFormat="1" applyFont="1" applyBorder="1"/>
    <xf numFmtId="167" fontId="5" fillId="0" borderId="19" xfId="0" applyNumberFormat="1" applyFont="1" applyBorder="1" applyAlignment="1">
      <alignment horizontal="right"/>
    </xf>
    <xf numFmtId="179" fontId="0" fillId="0" borderId="19" xfId="0" applyNumberFormat="1" applyFont="1" applyBorder="1"/>
    <xf numFmtId="165" fontId="0" fillId="0" borderId="20" xfId="0" applyNumberFormat="1" applyFont="1" applyBorder="1"/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84" fontId="7" fillId="0" borderId="0" xfId="0" applyNumberFormat="1" applyFont="1" applyBorder="1" applyAlignment="1">
      <alignment horizontal="left" indent="1"/>
    </xf>
    <xf numFmtId="168" fontId="38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5" fillId="0" borderId="21" xfId="0" applyNumberFormat="1" applyFont="1" applyFill="1" applyBorder="1" applyAlignment="1">
      <alignment horizontal="center"/>
    </xf>
    <xf numFmtId="39" fontId="15" fillId="0" borderId="19" xfId="0" applyNumberFormat="1" applyFont="1" applyFill="1" applyBorder="1" applyAlignment="1">
      <alignment horizontal="center"/>
    </xf>
    <xf numFmtId="39" fontId="15" fillId="0" borderId="20" xfId="0" applyNumberFormat="1" applyFont="1" applyFill="1" applyBorder="1" applyAlignment="1">
      <alignment horizontal="center"/>
    </xf>
    <xf numFmtId="14" fontId="30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6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4" fillId="0" borderId="0" xfId="0" applyFont="1" applyFill="1" applyBorder="1"/>
    <xf numFmtId="0" fontId="0" fillId="0" borderId="2" xfId="0" applyFont="1" applyBorder="1" applyAlignment="1">
      <alignment horizontal="centerContinuous"/>
    </xf>
    <xf numFmtId="176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5" fillId="0" borderId="21" xfId="0" applyNumberFormat="1" applyFont="1" applyFill="1" applyBorder="1" applyAlignment="1">
      <alignment horizontal="center"/>
    </xf>
    <xf numFmtId="171" fontId="15" fillId="0" borderId="19" xfId="0" applyNumberFormat="1" applyFont="1" applyFill="1" applyBorder="1" applyAlignment="1">
      <alignment horizontal="center"/>
    </xf>
    <xf numFmtId="171" fontId="15" fillId="0" borderId="20" xfId="0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5" fillId="0" borderId="9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17" fontId="5" fillId="0" borderId="0" xfId="0" applyNumberFormat="1" applyFont="1" applyBorder="1" applyAlignment="1">
      <alignment horizontal="left" indent="1"/>
    </xf>
    <xf numFmtId="184" fontId="4" fillId="0" borderId="17" xfId="0" applyNumberFormat="1" applyFont="1" applyFill="1" applyBorder="1" applyAlignment="1">
      <alignment horizontal="left" indent="1"/>
    </xf>
    <xf numFmtId="39" fontId="4" fillId="0" borderId="21" xfId="0" applyNumberFormat="1" applyFont="1" applyFill="1" applyBorder="1" applyAlignment="1">
      <alignment horizontal="right"/>
    </xf>
    <xf numFmtId="39" fontId="4" fillId="0" borderId="19" xfId="0" applyNumberFormat="1" applyFont="1" applyFill="1" applyBorder="1" applyAlignment="1">
      <alignment horizontal="right"/>
    </xf>
    <xf numFmtId="39" fontId="4" fillId="0" borderId="20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centerContinuous"/>
    </xf>
    <xf numFmtId="171" fontId="4" fillId="0" borderId="21" xfId="0" applyNumberFormat="1" applyFont="1" applyFill="1" applyBorder="1" applyAlignment="1">
      <alignment horizontal="right"/>
    </xf>
    <xf numFmtId="171" fontId="4" fillId="0" borderId="19" xfId="0" applyNumberFormat="1" applyFont="1" applyFill="1" applyBorder="1" applyAlignment="1">
      <alignment horizontal="right"/>
    </xf>
    <xf numFmtId="171" fontId="4" fillId="0" borderId="20" xfId="0" applyNumberFormat="1" applyFont="1" applyFill="1" applyBorder="1" applyAlignment="1">
      <alignment horizontal="right"/>
    </xf>
    <xf numFmtId="0" fontId="0" fillId="0" borderId="10" xfId="0" applyFont="1" applyBorder="1"/>
    <xf numFmtId="0" fontId="40" fillId="0" borderId="0" xfId="0" applyFont="1" applyBorder="1" applyAlignment="1"/>
    <xf numFmtId="171" fontId="16" fillId="0" borderId="0" xfId="0" applyNumberFormat="1" applyFont="1"/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7" fontId="0" fillId="0" borderId="7" xfId="0" applyNumberFormat="1" applyFont="1" applyFill="1" applyBorder="1"/>
    <xf numFmtId="177" fontId="0" fillId="0" borderId="6" xfId="0" applyNumberFormat="1" applyFont="1" applyFill="1" applyBorder="1"/>
    <xf numFmtId="177" fontId="0" fillId="0" borderId="3" xfId="0" applyNumberFormat="1" applyFont="1" applyFill="1" applyBorder="1"/>
    <xf numFmtId="177" fontId="0" fillId="0" borderId="8" xfId="0" applyNumberFormat="1" applyFont="1" applyFill="1" applyBorder="1"/>
    <xf numFmtId="177" fontId="0" fillId="0" borderId="1" xfId="0" applyNumberFormat="1" applyFont="1" applyFill="1" applyBorder="1"/>
    <xf numFmtId="177" fontId="0" fillId="0" borderId="5" xfId="0" applyNumberFormat="1" applyFont="1" applyFill="1" applyBorder="1"/>
    <xf numFmtId="177" fontId="0" fillId="0" borderId="4" xfId="0" applyNumberFormat="1" applyFont="1" applyFill="1" applyBorder="1"/>
    <xf numFmtId="177" fontId="0" fillId="0" borderId="9" xfId="0" applyNumberFormat="1" applyFont="1" applyFill="1" applyBorder="1"/>
    <xf numFmtId="175" fontId="37" fillId="0" borderId="0" xfId="0" applyNumberFormat="1" applyFont="1" applyBorder="1"/>
    <xf numFmtId="171" fontId="16" fillId="0" borderId="0" xfId="0" applyNumberFormat="1" applyFont="1" applyFill="1" applyAlignment="1">
      <alignment horizontal="right"/>
    </xf>
    <xf numFmtId="167" fontId="41" fillId="0" borderId="0" xfId="0" applyNumberFormat="1" applyFont="1" applyBorder="1"/>
    <xf numFmtId="0" fontId="16" fillId="0" borderId="0" xfId="0" applyFont="1"/>
    <xf numFmtId="0" fontId="2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40" fillId="0" borderId="0" xfId="0" applyFont="1" applyBorder="1" applyAlignment="1">
      <alignment horizontal="justify"/>
    </xf>
    <xf numFmtId="175" fontId="16" fillId="3" borderId="0" xfId="0" applyNumberFormat="1" applyFont="1" applyFill="1"/>
    <xf numFmtId="175" fontId="16" fillId="3" borderId="0" xfId="0" applyNumberFormat="1" applyFont="1" applyFill="1" applyBorder="1"/>
    <xf numFmtId="168" fontId="16" fillId="3" borderId="0" xfId="0" applyNumberFormat="1" applyFont="1" applyFill="1" applyBorder="1"/>
    <xf numFmtId="167" fontId="16" fillId="3" borderId="0" xfId="0" applyNumberFormat="1" applyFont="1" applyFill="1" applyBorder="1"/>
    <xf numFmtId="167" fontId="41" fillId="3" borderId="0" xfId="0" applyNumberFormat="1" applyFont="1" applyFill="1"/>
    <xf numFmtId="165" fontId="6" fillId="3" borderId="0" xfId="0" applyNumberFormat="1" applyFont="1" applyFill="1"/>
    <xf numFmtId="164" fontId="6" fillId="3" borderId="0" xfId="0" applyNumberFormat="1" applyFont="1" applyFill="1" applyBorder="1" applyAlignment="1"/>
    <xf numFmtId="165" fontId="6" fillId="3" borderId="0" xfId="0" applyNumberFormat="1" applyFont="1" applyFill="1" applyBorder="1"/>
    <xf numFmtId="179" fontId="5" fillId="3" borderId="0" xfId="0" applyNumberFormat="1" applyFont="1" applyFill="1" applyBorder="1"/>
    <xf numFmtId="179" fontId="5" fillId="3" borderId="0" xfId="0" applyNumberFormat="1" applyFont="1" applyFill="1"/>
    <xf numFmtId="167" fontId="0" fillId="3" borderId="0" xfId="0" applyNumberFormat="1" applyFont="1" applyFill="1"/>
    <xf numFmtId="167" fontId="5" fillId="3" borderId="0" xfId="0" applyNumberFormat="1" applyFont="1" applyFill="1" applyBorder="1"/>
    <xf numFmtId="171" fontId="0" fillId="3" borderId="0" xfId="0" applyNumberFormat="1" applyFont="1" applyFill="1"/>
    <xf numFmtId="167" fontId="5" fillId="3" borderId="0" xfId="0" applyNumberFormat="1" applyFont="1" applyFill="1"/>
    <xf numFmtId="168" fontId="1" fillId="3" borderId="3" xfId="0" applyNumberFormat="1" applyFont="1" applyFill="1" applyBorder="1"/>
    <xf numFmtId="168" fontId="1" fillId="3" borderId="5" xfId="0" applyNumberFormat="1" applyFont="1" applyFill="1" applyBorder="1"/>
    <xf numFmtId="168" fontId="2" fillId="3" borderId="0" xfId="0" applyNumberFormat="1" applyFont="1" applyFill="1" applyBorder="1"/>
    <xf numFmtId="168" fontId="2" fillId="3" borderId="4" xfId="0" applyNumberFormat="1" applyFont="1" applyFill="1" applyBorder="1"/>
    <xf numFmtId="165" fontId="2" fillId="3" borderId="1" xfId="0" applyNumberFormat="1" applyFont="1" applyFill="1" applyBorder="1"/>
    <xf numFmtId="165" fontId="2" fillId="3" borderId="9" xfId="0" applyNumberFormat="1" applyFont="1" applyFill="1" applyBorder="1"/>
    <xf numFmtId="172" fontId="2" fillId="0" borderId="0" xfId="0" applyNumberFormat="1" applyFont="1" applyBorder="1" applyAlignment="1">
      <alignment horizontal="center"/>
    </xf>
    <xf numFmtId="165" fontId="2" fillId="0" borderId="0" xfId="0" applyNumberFormat="1" applyFont="1"/>
    <xf numFmtId="14" fontId="0" fillId="0" borderId="0" xfId="0" applyNumberFormat="1" applyAlignment="1">
      <alignment horizontal="right"/>
    </xf>
    <xf numFmtId="0" fontId="0" fillId="4" borderId="0" xfId="0" applyFill="1"/>
    <xf numFmtId="165" fontId="2" fillId="5" borderId="0" xfId="0" applyNumberFormat="1" applyFont="1" applyFill="1"/>
    <xf numFmtId="164" fontId="4" fillId="4" borderId="0" xfId="0" applyNumberFormat="1" applyFont="1" applyFill="1" applyBorder="1" applyAlignment="1">
      <alignment horizontal="right"/>
    </xf>
    <xf numFmtId="164" fontId="0" fillId="4" borderId="0" xfId="0" applyNumberFormat="1" applyFill="1"/>
    <xf numFmtId="10" fontId="4" fillId="4" borderId="0" xfId="0" applyNumberFormat="1" applyFont="1" applyFill="1"/>
    <xf numFmtId="7" fontId="0" fillId="0" borderId="0" xfId="0" applyNumberFormat="1" applyFont="1"/>
    <xf numFmtId="171" fontId="5" fillId="0" borderId="22" xfId="0" applyNumberFormat="1" applyFont="1" applyBorder="1"/>
    <xf numFmtId="167" fontId="5" fillId="0" borderId="22" xfId="0" applyNumberFormat="1" applyFont="1" applyBorder="1"/>
    <xf numFmtId="167" fontId="30" fillId="0" borderId="22" xfId="0" applyNumberFormat="1" applyFont="1" applyBorder="1"/>
    <xf numFmtId="171" fontId="0" fillId="0" borderId="22" xfId="0" applyNumberFormat="1" applyFont="1" applyBorder="1"/>
    <xf numFmtId="167" fontId="5" fillId="0" borderId="22" xfId="0" applyNumberFormat="1" applyFont="1" applyBorder="1" applyAlignment="1">
      <alignment horizontal="right"/>
    </xf>
    <xf numFmtId="179" fontId="0" fillId="0" borderId="22" xfId="0" applyNumberFormat="1" applyFont="1" applyBorder="1"/>
    <xf numFmtId="165" fontId="0" fillId="0" borderId="22" xfId="0" applyNumberFormat="1" applyFont="1" applyBorder="1"/>
    <xf numFmtId="0" fontId="1" fillId="2" borderId="0" xfId="0" applyFont="1" applyFill="1"/>
    <xf numFmtId="165" fontId="2" fillId="0" borderId="0" xfId="0" applyNumberFormat="1" applyFont="1" applyFill="1"/>
    <xf numFmtId="167" fontId="11" fillId="0" borderId="0" xfId="0" applyNumberFormat="1" applyFont="1"/>
    <xf numFmtId="168" fontId="5" fillId="0" borderId="3" xfId="0" applyNumberFormat="1" applyFont="1" applyBorder="1"/>
    <xf numFmtId="168" fontId="5" fillId="0" borderId="0" xfId="0" applyNumberFormat="1" applyFont="1" applyBorder="1"/>
    <xf numFmtId="7" fontId="5" fillId="0" borderId="0" xfId="0" applyNumberFormat="1" applyFont="1" applyBorder="1"/>
    <xf numFmtId="165" fontId="6" fillId="0" borderId="0" xfId="0" applyNumberFormat="1" applyFont="1" applyBorder="1"/>
    <xf numFmtId="167" fontId="5" fillId="0" borderId="1" xfId="0" applyNumberFormat="1" applyFont="1" applyBorder="1"/>
    <xf numFmtId="171" fontId="16" fillId="0" borderId="19" xfId="0" applyNumberFormat="1" applyFont="1" applyBorder="1"/>
    <xf numFmtId="167" fontId="5" fillId="0" borderId="19" xfId="0" applyNumberFormat="1" applyFont="1" applyFill="1" applyBorder="1" applyAlignment="1">
      <alignment horizontal="right"/>
    </xf>
    <xf numFmtId="179" fontId="5" fillId="0" borderId="19" xfId="0" applyNumberFormat="1" applyFont="1" applyFill="1" applyBorder="1" applyAlignment="1"/>
    <xf numFmtId="165" fontId="5" fillId="0" borderId="20" xfId="0" applyNumberFormat="1" applyFont="1" applyFill="1" applyBorder="1" applyAlignment="1"/>
    <xf numFmtId="168" fontId="5" fillId="0" borderId="0" xfId="0" applyNumberFormat="1" applyFont="1"/>
    <xf numFmtId="167" fontId="16" fillId="0" borderId="0" xfId="0" applyNumberFormat="1" applyFont="1"/>
    <xf numFmtId="168" fontId="16" fillId="0" borderId="0" xfId="0" applyNumberFormat="1" applyFont="1"/>
    <xf numFmtId="171" fontId="5" fillId="0" borderId="23" xfId="0" applyNumberFormat="1" applyFont="1" applyBorder="1"/>
    <xf numFmtId="168" fontId="5" fillId="0" borderId="5" xfId="0" applyNumberFormat="1" applyFont="1" applyBorder="1"/>
    <xf numFmtId="168" fontId="5" fillId="0" borderId="4" xfId="0" applyNumberFormat="1" applyFont="1" applyBorder="1"/>
    <xf numFmtId="7" fontId="5" fillId="0" borderId="4" xfId="0" applyNumberFormat="1" applyFont="1" applyBorder="1"/>
    <xf numFmtId="165" fontId="6" fillId="0" borderId="4" xfId="0" applyNumberFormat="1" applyFont="1" applyBorder="1"/>
    <xf numFmtId="167" fontId="5" fillId="0" borderId="9" xfId="0" applyNumberFormat="1" applyFont="1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Discovery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0.65520873228648024</c:v>
                </c:pt>
                <c:pt idx="1">
                  <c:v>0.6328320802005013</c:v>
                </c:pt>
                <c:pt idx="2">
                  <c:v>0.62525562372188137</c:v>
                </c:pt>
                <c:pt idx="3">
                  <c:v>0.61427285981155866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5-4097-9558-3F51F7C7A924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Scripps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0.3447912677135197</c:v>
                </c:pt>
                <c:pt idx="1">
                  <c:v>0.36716791979949875</c:v>
                </c:pt>
                <c:pt idx="2">
                  <c:v>0.37474437627811863</c:v>
                </c:pt>
                <c:pt idx="3">
                  <c:v>0.38572714018844129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5-4097-9558-3F51F7C7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90718176"/>
        <c:axId val="290716608"/>
      </c:barChart>
      <c:catAx>
        <c:axId val="29071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90716608"/>
        <c:crosses val="autoZero"/>
        <c:auto val="1"/>
        <c:lblAlgn val="ctr"/>
        <c:lblOffset val="100"/>
        <c:noMultiLvlLbl val="0"/>
      </c:catAx>
      <c:valAx>
        <c:axId val="290716608"/>
        <c:scaling>
          <c:orientation val="minMax"/>
          <c:min val="0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290718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Discovery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 (PE)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3.3205085671196843</c:v>
                </c:pt>
                <c:pt idx="1">
                  <c:v>8.9989069801188108</c:v>
                </c:pt>
                <c:pt idx="2">
                  <c:v>12.531676308094848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E-4925-BD1B-F7FBB72E1FEB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Scripps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 (PE)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3.9622957956123304</c:v>
                </c:pt>
                <c:pt idx="1">
                  <c:v>9.7394042047781593</c:v>
                </c:pt>
                <c:pt idx="2">
                  <c:v>16.0842512414734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E-4925-BD1B-F7FBB72E1FEB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 (PE)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3.5417911992340105</c:v>
                </c:pt>
                <c:pt idx="1">
                  <c:v>9.2707938057142876</c:v>
                </c:pt>
                <c:pt idx="2">
                  <c:v>13.862983785685071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9E-4925-BD1B-F7FBB72E1F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0717000"/>
        <c:axId val="290718960"/>
      </c:barChart>
      <c:catAx>
        <c:axId val="290717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8960"/>
        <c:crosses val="autoZero"/>
        <c:auto val="1"/>
        <c:lblAlgn val="ctr"/>
        <c:lblOffset val="100"/>
        <c:noMultiLvlLbl val="0"/>
      </c:catAx>
      <c:valAx>
        <c:axId val="290718960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2907170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72.357835051087108</c:v>
                </c:pt>
                <c:pt idx="1">
                  <c:v>81.718695641680242</c:v>
                </c:pt>
                <c:pt idx="2">
                  <c:v>70.121440581602073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6-4165-859C-B62AA52F4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714256"/>
        <c:axId val="290717784"/>
      </c:barChart>
      <c:catAx>
        <c:axId val="290714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7784"/>
        <c:crosses val="autoZero"/>
        <c:auto val="1"/>
        <c:lblAlgn val="ctr"/>
        <c:lblOffset val="100"/>
        <c:noMultiLvlLbl val="0"/>
      </c:catAx>
      <c:valAx>
        <c:axId val="290717784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290714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191" name="Chart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192" name="Chart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84" name="Chart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189"/>
  <sheetViews>
    <sheetView topLeftCell="D1" zoomScaleNormal="100" workbookViewId="0">
      <selection activeCell="I49" sqref="I49"/>
    </sheetView>
  </sheetViews>
  <sheetFormatPr defaultColWidth="9.109375" defaultRowHeight="14.4" x14ac:dyDescent="0.3"/>
  <cols>
    <col min="1" max="1" width="1.6640625" style="11" customWidth="1"/>
    <col min="2" max="2" width="56.44140625" style="11" bestFit="1" customWidth="1"/>
    <col min="3" max="3" width="21.44140625" style="11" bestFit="1" customWidth="1"/>
    <col min="4" max="4" width="2.44140625" style="11" customWidth="1"/>
    <col min="5" max="5" width="54.33203125" style="11" customWidth="1"/>
    <col min="6" max="6" width="11.33203125" style="11" customWidth="1"/>
    <col min="7" max="7" width="2.44140625" style="11" customWidth="1"/>
    <col min="8" max="8" width="51.44140625" style="11" bestFit="1" customWidth="1"/>
    <col min="9" max="12" width="11.5546875" style="11" customWidth="1"/>
    <col min="13" max="13" width="11.44140625" style="11" bestFit="1" customWidth="1"/>
    <col min="14" max="14" width="10.44140625" style="11" customWidth="1"/>
    <col min="15" max="16384" width="9.109375" style="11"/>
  </cols>
  <sheetData>
    <row r="1" spans="2:16" ht="8.25" customHeight="1" x14ac:dyDescent="0.3"/>
    <row r="2" spans="2:16" ht="25.8" x14ac:dyDescent="0.5">
      <c r="B2" s="67" t="s">
        <v>133</v>
      </c>
      <c r="C2" s="13"/>
      <c r="D2" s="13"/>
      <c r="E2" s="73"/>
      <c r="F2" s="73"/>
      <c r="G2" s="73"/>
      <c r="H2" s="73"/>
      <c r="I2" s="73"/>
      <c r="J2" s="73"/>
      <c r="K2" s="73"/>
      <c r="L2" s="73"/>
      <c r="M2" s="73"/>
    </row>
    <row r="3" spans="2:16" x14ac:dyDescent="0.3">
      <c r="B3" s="14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3">
      <c r="B4" s="14"/>
      <c r="C4" s="6"/>
      <c r="D4" s="6"/>
      <c r="E4" s="6"/>
      <c r="F4" s="6"/>
      <c r="P4" s="11" t="s">
        <v>183</v>
      </c>
    </row>
    <row r="5" spans="2:16" ht="15" thickBot="1" x14ac:dyDescent="0.35">
      <c r="B5" s="68" t="s">
        <v>27</v>
      </c>
      <c r="C5" s="69"/>
      <c r="D5" s="6"/>
      <c r="E5" s="68" t="s">
        <v>26</v>
      </c>
      <c r="F5" s="70"/>
      <c r="H5" s="71" t="s">
        <v>135</v>
      </c>
      <c r="I5" s="72"/>
      <c r="J5" s="72"/>
      <c r="K5" s="72"/>
      <c r="L5" s="72"/>
      <c r="M5" s="72"/>
      <c r="P5" s="147" t="s">
        <v>181</v>
      </c>
    </row>
    <row r="6" spans="2:16" x14ac:dyDescent="0.3">
      <c r="B6" s="12"/>
      <c r="C6" s="13"/>
      <c r="D6" s="6"/>
      <c r="E6" s="12"/>
      <c r="F6" s="43"/>
      <c r="H6" s="33"/>
      <c r="I6" s="34" t="s">
        <v>75</v>
      </c>
      <c r="J6" s="35"/>
      <c r="K6" s="36" t="s">
        <v>48</v>
      </c>
      <c r="L6" s="36"/>
      <c r="M6" s="37" t="s">
        <v>49</v>
      </c>
      <c r="P6" s="147" t="s">
        <v>182</v>
      </c>
    </row>
    <row r="7" spans="2:16" x14ac:dyDescent="0.3">
      <c r="B7" s="5" t="s">
        <v>156</v>
      </c>
      <c r="C7"/>
      <c r="D7" s="6"/>
      <c r="E7" s="44" t="s">
        <v>28</v>
      </c>
      <c r="F7"/>
      <c r="H7" s="18"/>
      <c r="I7" s="38" t="s">
        <v>0</v>
      </c>
      <c r="J7" s="38" t="s">
        <v>1</v>
      </c>
      <c r="M7" s="39"/>
    </row>
    <row r="8" spans="2:16" x14ac:dyDescent="0.3">
      <c r="B8" s="9" t="s">
        <v>157</v>
      </c>
      <c r="C8" s="107">
        <v>42947</v>
      </c>
      <c r="D8" s="6"/>
      <c r="E8" s="45" t="s">
        <v>45</v>
      </c>
      <c r="F8" s="153">
        <f>C48</f>
        <v>8252.8293119999998</v>
      </c>
      <c r="H8" s="19"/>
      <c r="I8" s="108"/>
      <c r="J8" s="108"/>
      <c r="K8" s="6"/>
      <c r="L8" s="6"/>
      <c r="M8" s="6"/>
    </row>
    <row r="9" spans="2:16" x14ac:dyDescent="0.3">
      <c r="B9" s="9"/>
      <c r="C9"/>
      <c r="E9" s="45" t="s">
        <v>44</v>
      </c>
      <c r="F9" s="153">
        <f>C53</f>
        <v>0</v>
      </c>
      <c r="H9" s="109"/>
      <c r="I9" s="111"/>
      <c r="J9" s="111"/>
      <c r="K9" s="110" t="s">
        <v>102</v>
      </c>
      <c r="L9" s="110" t="s">
        <v>103</v>
      </c>
      <c r="M9" s="112"/>
    </row>
    <row r="10" spans="2:16" x14ac:dyDescent="0.3">
      <c r="B10" s="2" t="s">
        <v>0</v>
      </c>
      <c r="C10"/>
      <c r="E10" s="45" t="s">
        <v>117</v>
      </c>
      <c r="F10" s="153">
        <f>C49</f>
        <v>0</v>
      </c>
      <c r="H10" s="18" t="s">
        <v>50</v>
      </c>
      <c r="I10" s="95">
        <f>267+690</f>
        <v>957</v>
      </c>
      <c r="J10" s="163">
        <f>(((107673+734482)/10)/10)/10</f>
        <v>842.15499999999997</v>
      </c>
      <c r="K10" s="41"/>
      <c r="L10" s="169">
        <f>-(F10+F19+F20)</f>
        <v>-100.21292736000001</v>
      </c>
      <c r="M10" s="26">
        <f>SUM(I10:L10)</f>
        <v>1698.9420726399999</v>
      </c>
    </row>
    <row r="11" spans="2:16" x14ac:dyDescent="0.3">
      <c r="B11" s="7" t="s">
        <v>23</v>
      </c>
      <c r="C11" s="151" t="s">
        <v>231</v>
      </c>
      <c r="E11" s="45" t="s">
        <v>46</v>
      </c>
      <c r="F11" s="153">
        <f>C29*C26</f>
        <v>3536.9268480000001</v>
      </c>
      <c r="H11" s="10" t="s">
        <v>51</v>
      </c>
      <c r="I11" s="88">
        <v>1560</v>
      </c>
      <c r="J11" s="164">
        <v>784.5139999999999</v>
      </c>
      <c r="K11" s="38"/>
      <c r="L11" s="38"/>
      <c r="M11" s="26">
        <f t="shared" ref="M11:M18" si="0">SUM(I11:L11)</f>
        <v>2344.5140000000001</v>
      </c>
    </row>
    <row r="12" spans="2:16" x14ac:dyDescent="0.3">
      <c r="B12" s="7" t="s">
        <v>24</v>
      </c>
      <c r="C12" s="151" t="s">
        <v>236</v>
      </c>
      <c r="E12" s="45" t="s">
        <v>42</v>
      </c>
      <c r="F12" s="153">
        <f>C61+C38</f>
        <v>100.21292736000001</v>
      </c>
      <c r="H12" s="10" t="s">
        <v>187</v>
      </c>
      <c r="I12" s="88">
        <v>0</v>
      </c>
      <c r="J12" s="164">
        <v>0</v>
      </c>
      <c r="K12" s="38"/>
      <c r="L12" s="41"/>
      <c r="M12" s="26">
        <f t="shared" si="0"/>
        <v>0</v>
      </c>
    </row>
    <row r="13" spans="2:16" x14ac:dyDescent="0.3">
      <c r="B13" s="7" t="s">
        <v>144</v>
      </c>
      <c r="C13" s="267">
        <v>42825</v>
      </c>
      <c r="E13" s="31" t="s">
        <v>31</v>
      </c>
      <c r="F13" s="153">
        <f>SUM(F8:F12)</f>
        <v>11889.969087360001</v>
      </c>
      <c r="H13" s="10" t="s">
        <v>108</v>
      </c>
      <c r="I13" s="88">
        <v>0</v>
      </c>
      <c r="J13" s="164">
        <v>176.44599999999997</v>
      </c>
      <c r="K13"/>
      <c r="L13" s="153">
        <f>-(J13)</f>
        <v>-176.44599999999997</v>
      </c>
      <c r="M13" s="26">
        <f t="shared" si="0"/>
        <v>0</v>
      </c>
    </row>
    <row r="14" spans="2:16" x14ac:dyDescent="0.3">
      <c r="B14" s="7" t="s">
        <v>155</v>
      </c>
      <c r="C14" s="151" t="s">
        <v>234</v>
      </c>
      <c r="E14" s="17"/>
      <c r="F14"/>
      <c r="H14" s="10" t="s">
        <v>52</v>
      </c>
      <c r="I14" s="95">
        <f>395+369</f>
        <v>764</v>
      </c>
      <c r="J14" s="164">
        <f>(((617982+65677)/10)/10)/10</f>
        <v>683.65899999999988</v>
      </c>
      <c r="K14"/>
      <c r="L14"/>
      <c r="M14" s="26">
        <f t="shared" si="0"/>
        <v>1447.6589999999999</v>
      </c>
    </row>
    <row r="15" spans="2:16" x14ac:dyDescent="0.3">
      <c r="B15" s="7" t="s">
        <v>4</v>
      </c>
      <c r="C15" s="24">
        <v>26.4</v>
      </c>
      <c r="E15" s="44" t="s">
        <v>29</v>
      </c>
      <c r="F15"/>
      <c r="H15" s="10" t="s">
        <v>21</v>
      </c>
      <c r="I15" s="88">
        <v>504</v>
      </c>
      <c r="J15" s="164">
        <v>302.04200000000003</v>
      </c>
      <c r="K15" s="85">
        <f>F45</f>
        <v>60.408400000000007</v>
      </c>
      <c r="L15"/>
      <c r="M15" s="26">
        <f t="shared" si="0"/>
        <v>866.45040000000006</v>
      </c>
    </row>
    <row r="16" spans="2:16" x14ac:dyDescent="0.3">
      <c r="B16" s="7"/>
      <c r="C16" s="151"/>
      <c r="D16" s="20"/>
      <c r="E16" s="45" t="s">
        <v>33</v>
      </c>
      <c r="F16" s="49">
        <f>C32*C15</f>
        <v>3536.9268480000001</v>
      </c>
      <c r="H16" s="10" t="s">
        <v>53</v>
      </c>
      <c r="I16" s="88">
        <v>1489</v>
      </c>
      <c r="J16" s="164">
        <v>1101.45</v>
      </c>
      <c r="K16" s="49">
        <f>F38+F20</f>
        <v>591.98914655999999</v>
      </c>
      <c r="L16"/>
      <c r="M16" s="26">
        <f t="shared" si="0"/>
        <v>3182.4391465599997</v>
      </c>
    </row>
    <row r="17" spans="1:17" x14ac:dyDescent="0.3">
      <c r="B17" s="5" t="s">
        <v>1</v>
      </c>
      <c r="C17" s="151"/>
      <c r="E17" s="45" t="s">
        <v>32</v>
      </c>
      <c r="F17" s="49">
        <f>C30*C26</f>
        <v>8252.8293119999998</v>
      </c>
      <c r="H17" s="10" t="s">
        <v>22</v>
      </c>
      <c r="I17" s="88">
        <v>8077</v>
      </c>
      <c r="J17" s="164">
        <v>1666.1310000000001</v>
      </c>
      <c r="K17" s="85">
        <f>F58</f>
        <v>11040.333446000001</v>
      </c>
      <c r="L17" s="153">
        <f>-(J17)</f>
        <v>-1666.1310000000001</v>
      </c>
      <c r="M17" s="26">
        <f t="shared" si="0"/>
        <v>19117.333445999997</v>
      </c>
    </row>
    <row r="18" spans="1:17" x14ac:dyDescent="0.3">
      <c r="B18" s="7" t="s">
        <v>23</v>
      </c>
      <c r="C18" s="151" t="s">
        <v>232</v>
      </c>
      <c r="E18" s="45" t="s">
        <v>43</v>
      </c>
      <c r="F18" s="49">
        <f>C53</f>
        <v>0</v>
      </c>
      <c r="H18" s="10" t="s">
        <v>54</v>
      </c>
      <c r="I18" s="95">
        <f>2038+473</f>
        <v>2511</v>
      </c>
      <c r="J18" s="164">
        <f>(((499147+147048)/10)/10)/10</f>
        <v>646.19499999999994</v>
      </c>
      <c r="K18"/>
      <c r="L18"/>
      <c r="M18" s="26">
        <f t="shared" si="0"/>
        <v>3157.1949999999997</v>
      </c>
    </row>
    <row r="19" spans="1:17" x14ac:dyDescent="0.3">
      <c r="B19" s="7" t="s">
        <v>24</v>
      </c>
      <c r="C19" s="151" t="s">
        <v>233</v>
      </c>
      <c r="E19" s="45" t="s">
        <v>34</v>
      </c>
      <c r="F19" s="49">
        <f>C38</f>
        <v>58.948780800000009</v>
      </c>
      <c r="H19" s="46" t="s">
        <v>55</v>
      </c>
      <c r="I19" s="160">
        <f>SUM(I10:I18)</f>
        <v>15862</v>
      </c>
      <c r="J19" s="160">
        <f>SUM(J10:J18)</f>
        <v>6202.5919999999996</v>
      </c>
      <c r="K19" s="157"/>
      <c r="L19" s="157"/>
      <c r="M19" s="121">
        <f>SUM(M10:M18)</f>
        <v>31814.533065199998</v>
      </c>
    </row>
    <row r="20" spans="1:17" x14ac:dyDescent="0.3">
      <c r="B20" s="7" t="s">
        <v>144</v>
      </c>
      <c r="C20" s="267">
        <v>42825</v>
      </c>
      <c r="E20" s="45" t="s">
        <v>35</v>
      </c>
      <c r="F20" s="49">
        <f>C61</f>
        <v>41.26414656</v>
      </c>
      <c r="H20" s="18" t="s">
        <v>56</v>
      </c>
      <c r="I20" s="161">
        <v>200</v>
      </c>
      <c r="J20" s="164">
        <v>30.315999999999995</v>
      </c>
      <c r="K20"/>
      <c r="L20"/>
      <c r="M20" s="26">
        <f>SUM(I20:L20)</f>
        <v>230.316</v>
      </c>
    </row>
    <row r="21" spans="1:17" x14ac:dyDescent="0.3">
      <c r="B21" s="7" t="s">
        <v>155</v>
      </c>
      <c r="C21" s="151" t="s">
        <v>234</v>
      </c>
      <c r="E21" s="31" t="s">
        <v>30</v>
      </c>
      <c r="F21" s="49">
        <f>SUM(F16:F20)</f>
        <v>11889.969087360001</v>
      </c>
      <c r="H21" s="98" t="s">
        <v>188</v>
      </c>
      <c r="I21" s="88">
        <f>1008+194</f>
        <v>1202</v>
      </c>
      <c r="J21" s="164">
        <f>(((191518+52708+67011+68731)/10)/10)/10</f>
        <v>379.96800000000002</v>
      </c>
      <c r="K21"/>
      <c r="L21"/>
      <c r="M21" s="26">
        <f t="shared" ref="M21:M29" si="1">SUM(I21:L21)</f>
        <v>1581.9680000000001</v>
      </c>
    </row>
    <row r="22" spans="1:17" x14ac:dyDescent="0.3">
      <c r="B22" s="7" t="s">
        <v>4</v>
      </c>
      <c r="C22" s="24">
        <v>67.02</v>
      </c>
      <c r="E22" s="55" t="s">
        <v>47</v>
      </c>
      <c r="F22" t="str">
        <f>IF(F21=F13, "Yes","No")</f>
        <v>Yes</v>
      </c>
      <c r="H22" s="10" t="s">
        <v>189</v>
      </c>
      <c r="I22" s="88">
        <v>132</v>
      </c>
      <c r="J22" s="164">
        <v>249.96700000000001</v>
      </c>
      <c r="K22" s="153"/>
      <c r="L22" s="49">
        <f>IF($C$52="Refinanced", -J22,0)</f>
        <v>0</v>
      </c>
      <c r="M22" s="26">
        <f t="shared" si="1"/>
        <v>381.96699999999998</v>
      </c>
    </row>
    <row r="23" spans="1:17" x14ac:dyDescent="0.3">
      <c r="B23" s="25" t="s">
        <v>25</v>
      </c>
      <c r="C23" s="152">
        <f>-(1-C24/C22)</f>
        <v>0.34288272157564914</v>
      </c>
      <c r="F23"/>
      <c r="H23" s="10" t="s">
        <v>190</v>
      </c>
      <c r="I23" s="88">
        <v>7970</v>
      </c>
      <c r="J23" s="164">
        <v>2803.5920000000001</v>
      </c>
      <c r="K23" s="153">
        <f>C54</f>
        <v>8252.8293119999998</v>
      </c>
      <c r="L23" s="49">
        <f>IF($C$52="Refinanced", -J23,0)</f>
        <v>0</v>
      </c>
      <c r="M23" s="26">
        <f t="shared" si="1"/>
        <v>19026.421311999999</v>
      </c>
    </row>
    <row r="24" spans="1:17" ht="15" thickBot="1" x14ac:dyDescent="0.35">
      <c r="B24" s="7" t="s">
        <v>2</v>
      </c>
      <c r="C24" s="128">
        <f>90</f>
        <v>90</v>
      </c>
      <c r="E24" s="68" t="s">
        <v>94</v>
      </c>
      <c r="F24" s="68"/>
      <c r="H24" s="10" t="s">
        <v>57</v>
      </c>
      <c r="I24" s="88">
        <v>0</v>
      </c>
      <c r="J24" s="164">
        <v>0</v>
      </c>
      <c r="K24"/>
      <c r="L24" s="49">
        <f>IF($C$52="Refinanced", -J24,0)</f>
        <v>0</v>
      </c>
      <c r="M24" s="26">
        <f t="shared" si="1"/>
        <v>0</v>
      </c>
    </row>
    <row r="25" spans="1:17" x14ac:dyDescent="0.3">
      <c r="B25" s="7" t="s">
        <v>63</v>
      </c>
      <c r="C25" s="130">
        <f>Shares!F14</f>
        <v>130.99729066666669</v>
      </c>
      <c r="F25"/>
      <c r="H25" s="10" t="s">
        <v>192</v>
      </c>
      <c r="I25" s="88">
        <v>429</v>
      </c>
      <c r="J25" s="164">
        <v>0</v>
      </c>
      <c r="K25" s="85">
        <f>F53</f>
        <v>177.22868600000001</v>
      </c>
      <c r="L25" s="85">
        <f>F52</f>
        <v>0</v>
      </c>
      <c r="M25" s="26">
        <f t="shared" si="1"/>
        <v>606.22868600000004</v>
      </c>
    </row>
    <row r="26" spans="1:17" x14ac:dyDescent="0.3">
      <c r="B26" s="7" t="s">
        <v>3</v>
      </c>
      <c r="C26" s="130">
        <f>C25*C24</f>
        <v>11789.756160000001</v>
      </c>
      <c r="E26" s="5" t="s">
        <v>77</v>
      </c>
      <c r="F26"/>
      <c r="H26" s="10" t="s">
        <v>58</v>
      </c>
      <c r="I26" s="88">
        <v>345</v>
      </c>
      <c r="J26" s="164">
        <v>313.58699999999999</v>
      </c>
      <c r="K26"/>
      <c r="L26"/>
      <c r="M26" s="26">
        <f t="shared" si="1"/>
        <v>658.58699999999999</v>
      </c>
    </row>
    <row r="27" spans="1:17" x14ac:dyDescent="0.3">
      <c r="B27" s="7"/>
      <c r="C27"/>
      <c r="D27" s="6"/>
      <c r="E27" s="27" t="s">
        <v>73</v>
      </c>
      <c r="F27"/>
      <c r="H27" s="10" t="s">
        <v>60</v>
      </c>
      <c r="I27" s="88">
        <v>2</v>
      </c>
      <c r="J27" s="88">
        <v>0</v>
      </c>
      <c r="K27"/>
      <c r="L27"/>
      <c r="M27" s="26">
        <f t="shared" si="1"/>
        <v>2</v>
      </c>
    </row>
    <row r="28" spans="1:17" x14ac:dyDescent="0.3">
      <c r="A28" s="6"/>
      <c r="B28" s="5" t="s">
        <v>36</v>
      </c>
      <c r="C28"/>
      <c r="D28" s="6"/>
      <c r="E28" s="9" t="s">
        <v>153</v>
      </c>
      <c r="F28" s="153">
        <f>J15</f>
        <v>302.04200000000003</v>
      </c>
      <c r="H28" s="10" t="s">
        <v>106</v>
      </c>
      <c r="I28" s="88">
        <v>249</v>
      </c>
      <c r="J28" s="164">
        <v>267.06700000000001</v>
      </c>
      <c r="K28"/>
      <c r="L28"/>
      <c r="M28" s="26">
        <f t="shared" si="1"/>
        <v>516.06700000000001</v>
      </c>
      <c r="Q28" s="162"/>
    </row>
    <row r="29" spans="1:17" x14ac:dyDescent="0.3">
      <c r="A29" s="6"/>
      <c r="B29" s="9" t="s">
        <v>5</v>
      </c>
      <c r="C29" s="150">
        <v>0.3</v>
      </c>
      <c r="D29" s="6"/>
      <c r="E29" s="9" t="s">
        <v>96</v>
      </c>
      <c r="F29" s="150">
        <v>0.2</v>
      </c>
      <c r="H29" s="30" t="s">
        <v>191</v>
      </c>
      <c r="I29" s="88">
        <f>7151-6496+5382-704</f>
        <v>5333</v>
      </c>
      <c r="J29" s="88">
        <f>(((959+339+1417404+1035764-296371)/10)/10)/10</f>
        <v>2158.0950000000003</v>
      </c>
      <c r="K29" s="148">
        <f>F11</f>
        <v>3536.9268480000001</v>
      </c>
      <c r="L29" s="153">
        <f>-(J29+F19)</f>
        <v>-2217.0437808000001</v>
      </c>
      <c r="M29" s="26">
        <f t="shared" si="1"/>
        <v>8810.9780671999997</v>
      </c>
      <c r="Q29" s="162"/>
    </row>
    <row r="30" spans="1:17" x14ac:dyDescent="0.3">
      <c r="A30" s="6"/>
      <c r="B30" s="9" t="s">
        <v>6</v>
      </c>
      <c r="C30" s="154">
        <f>1-C29</f>
        <v>0.7</v>
      </c>
      <c r="E30" s="9" t="s">
        <v>9</v>
      </c>
      <c r="F30" s="130">
        <f>F28*(F29)</f>
        <v>60.408400000000007</v>
      </c>
      <c r="H30" s="46" t="s">
        <v>74</v>
      </c>
      <c r="I30" s="160">
        <f>SUM(I20:I29)</f>
        <v>15862</v>
      </c>
      <c r="J30" s="120">
        <f>SUM(J20:J29)</f>
        <v>6202.5920000000006</v>
      </c>
      <c r="K30" s="47"/>
      <c r="L30" s="158"/>
      <c r="M30" s="121">
        <f>SUM(M20:M29)</f>
        <v>31814.533065199998</v>
      </c>
      <c r="N30" s="273"/>
      <c r="Q30" s="162"/>
    </row>
    <row r="31" spans="1:17" x14ac:dyDescent="0.3">
      <c r="B31" s="9" t="s">
        <v>37</v>
      </c>
      <c r="C31" t="s">
        <v>235</v>
      </c>
      <c r="E31" s="9" t="s">
        <v>10</v>
      </c>
      <c r="F31" s="165">
        <v>10</v>
      </c>
      <c r="H31" s="53" t="s">
        <v>59</v>
      </c>
      <c r="I31" s="159" t="str">
        <f>IF(I30=I19,"Yes", "No")</f>
        <v>Yes</v>
      </c>
      <c r="J31" s="159" t="str">
        <f>IF(J30=J19,"Yes", "No")</f>
        <v>Yes</v>
      </c>
      <c r="K31" s="54"/>
      <c r="L31" s="54"/>
      <c r="M31" s="159" t="str">
        <f>IF(M30=M19,"Yes", "No")</f>
        <v>Yes</v>
      </c>
      <c r="Q31" s="162"/>
    </row>
    <row r="32" spans="1:17" ht="15" thickBot="1" x14ac:dyDescent="0.35">
      <c r="B32" s="7" t="s">
        <v>7</v>
      </c>
      <c r="C32" s="49">
        <f>(C29*C26)/C15</f>
        <v>133.97450181818184</v>
      </c>
      <c r="E32" s="9" t="s">
        <v>40</v>
      </c>
      <c r="F32" s="130">
        <f>F30/F31</f>
        <v>6.0408400000000011</v>
      </c>
      <c r="H32" s="53"/>
      <c r="I32"/>
      <c r="J32" s="93"/>
      <c r="K32"/>
      <c r="L32"/>
      <c r="M32"/>
    </row>
    <row r="33" spans="2:18" x14ac:dyDescent="0.3">
      <c r="B33" s="4" t="s">
        <v>107</v>
      </c>
      <c r="C33" s="84">
        <f>C24/C15</f>
        <v>3.4090909090909092</v>
      </c>
      <c r="E33" s="21" t="s">
        <v>67</v>
      </c>
      <c r="F33" s="130">
        <f>IF(C31="Stock", F30*C42,0)</f>
        <v>17.518436000000001</v>
      </c>
      <c r="H33" s="86" t="s">
        <v>124</v>
      </c>
      <c r="I33" s="175"/>
      <c r="J33" s="265"/>
      <c r="K33"/>
      <c r="L33"/>
      <c r="M33" s="175"/>
    </row>
    <row r="34" spans="2:18" x14ac:dyDescent="0.3">
      <c r="B34" s="4" t="s">
        <v>160</v>
      </c>
      <c r="C34" s="84">
        <f>C33*C29</f>
        <v>1.0227272727272727</v>
      </c>
      <c r="F34"/>
      <c r="H34" s="143" t="s">
        <v>121</v>
      </c>
      <c r="I34" s="176">
        <f>I22+I23+I24</f>
        <v>8102</v>
      </c>
      <c r="J34" s="274">
        <f>J22+J23+J24</f>
        <v>3053.5590000000002</v>
      </c>
      <c r="K34"/>
      <c r="L34"/>
      <c r="M34" s="296">
        <f>M22+M23+M24</f>
        <v>19408.388311999999</v>
      </c>
    </row>
    <row r="35" spans="2:18" x14ac:dyDescent="0.3">
      <c r="C35"/>
      <c r="E35" s="40" t="s">
        <v>53</v>
      </c>
      <c r="F35"/>
      <c r="H35" s="87" t="s">
        <v>118</v>
      </c>
      <c r="I35" s="177">
        <f>I28</f>
        <v>249</v>
      </c>
      <c r="J35" s="275">
        <f>J28</f>
        <v>267.06700000000001</v>
      </c>
      <c r="K35"/>
      <c r="L35"/>
      <c r="M35" s="177">
        <f>M28</f>
        <v>516.06700000000001</v>
      </c>
    </row>
    <row r="36" spans="2:18" x14ac:dyDescent="0.3">
      <c r="B36" s="42" t="s">
        <v>79</v>
      </c>
      <c r="C36"/>
      <c r="E36" s="9" t="s">
        <v>41</v>
      </c>
      <c r="F36" s="95">
        <f>J16</f>
        <v>1101.45</v>
      </c>
      <c r="H36" s="87" t="s">
        <v>119</v>
      </c>
      <c r="I36" s="177">
        <f>I27</f>
        <v>2</v>
      </c>
      <c r="J36" s="275">
        <f>J27</f>
        <v>0</v>
      </c>
      <c r="K36"/>
      <c r="L36"/>
      <c r="M36" s="177">
        <f>M27</f>
        <v>2</v>
      </c>
    </row>
    <row r="37" spans="2:18" x14ac:dyDescent="0.3">
      <c r="B37" s="9" t="s">
        <v>142</v>
      </c>
      <c r="C37" s="272">
        <v>5.0000000000000001E-3</v>
      </c>
      <c r="E37" s="9" t="s">
        <v>96</v>
      </c>
      <c r="F37" s="106">
        <v>0.5</v>
      </c>
      <c r="H37" s="87" t="s">
        <v>120</v>
      </c>
      <c r="I37" s="178">
        <f>-(I10)</f>
        <v>-957</v>
      </c>
      <c r="J37" s="276">
        <f>-(J10)</f>
        <v>-842.15499999999997</v>
      </c>
      <c r="K37"/>
      <c r="L37"/>
      <c r="M37" s="178">
        <f>-(M10)</f>
        <v>-1698.9420726399999</v>
      </c>
    </row>
    <row r="38" spans="2:18" x14ac:dyDescent="0.3">
      <c r="B38" s="9" t="s">
        <v>78</v>
      </c>
      <c r="C38" s="130">
        <f>C37*C26</f>
        <v>58.948780800000009</v>
      </c>
      <c r="E38" s="9" t="s">
        <v>9</v>
      </c>
      <c r="F38" s="95">
        <f>F36*F37</f>
        <v>550.72500000000002</v>
      </c>
      <c r="H38" s="7" t="s">
        <v>132</v>
      </c>
      <c r="I38" s="176">
        <f>SUM(I34:I37)</f>
        <v>7396</v>
      </c>
      <c r="J38" s="274">
        <f>SUM(J34:J37)</f>
        <v>2478.4710000000005</v>
      </c>
      <c r="K38"/>
      <c r="L38"/>
      <c r="M38" s="176">
        <f>SUM(M34:M37)</f>
        <v>18227.51323936</v>
      </c>
    </row>
    <row r="39" spans="2:18" x14ac:dyDescent="0.3">
      <c r="B39" s="9" t="s">
        <v>141</v>
      </c>
      <c r="C39" s="88">
        <v>350</v>
      </c>
      <c r="E39" s="9" t="s">
        <v>10</v>
      </c>
      <c r="F39" s="166">
        <v>25</v>
      </c>
      <c r="I39" s="179"/>
      <c r="M39" s="179"/>
    </row>
    <row r="40" spans="2:18" x14ac:dyDescent="0.3">
      <c r="B40" s="9" t="str">
        <f>C11&amp;" calendar year ending "&amp;YEAR(C8)&amp;" EBITDA"</f>
        <v>Discovery calendar year ending 2017 EBITDA</v>
      </c>
      <c r="C40">
        <v>2525</v>
      </c>
      <c r="E40" s="9" t="s">
        <v>39</v>
      </c>
      <c r="F40" s="49">
        <f>F38/F39</f>
        <v>22.029</v>
      </c>
      <c r="H40" s="143" t="s">
        <v>195</v>
      </c>
      <c r="I40" s="180">
        <f>Shares!K14*C15</f>
        <v>15326.240124799999</v>
      </c>
      <c r="J40" s="130">
        <f>C24*C25</f>
        <v>11789.756160000001</v>
      </c>
      <c r="K40"/>
      <c r="L40"/>
      <c r="M40" s="289">
        <f>C15*(C32+Shares!K14)</f>
        <v>18863.166972799998</v>
      </c>
    </row>
    <row r="41" spans="2:18" s="6" customFormat="1" x14ac:dyDescent="0.3">
      <c r="B41" s="9" t="str">
        <f>C18&amp;" calendar year ending "&amp;YEAR(C8)&amp;" EBITDA"</f>
        <v>Scripps calendar year ending 2017 EBITDA</v>
      </c>
      <c r="C41">
        <v>1465</v>
      </c>
      <c r="D41" s="11"/>
      <c r="E41" s="21" t="s">
        <v>67</v>
      </c>
      <c r="F41" s="130">
        <f>IF(C31="Stock", F38*C42,0)</f>
        <v>159.71025</v>
      </c>
      <c r="H41" s="143" t="s">
        <v>158</v>
      </c>
      <c r="I41" s="180">
        <f>I40+I38</f>
        <v>22722.240124799999</v>
      </c>
      <c r="J41" s="277">
        <f>J40+J38</f>
        <v>14268.227160000002</v>
      </c>
      <c r="K41"/>
      <c r="L41"/>
      <c r="M41" s="176">
        <f>M40+M38</f>
        <v>37090.680212159998</v>
      </c>
      <c r="N41" s="11"/>
      <c r="O41" s="11"/>
      <c r="P41" s="11"/>
      <c r="Q41" s="11"/>
      <c r="R41" s="11"/>
    </row>
    <row r="42" spans="2:18" x14ac:dyDescent="0.3">
      <c r="B42" s="9" t="s">
        <v>80</v>
      </c>
      <c r="C42" s="266">
        <v>0.28999999999999998</v>
      </c>
      <c r="F42"/>
      <c r="H42" s="7" t="str">
        <f>"EBITDA for the calendar year ending "&amp;YEAR(C8)</f>
        <v>EBITDA for the calendar year ending 2017</v>
      </c>
      <c r="I42" s="181">
        <f>C40</f>
        <v>2525</v>
      </c>
      <c r="J42" s="278">
        <f>C41</f>
        <v>1465</v>
      </c>
      <c r="K42"/>
      <c r="L42"/>
      <c r="M42" s="290">
        <f>SUM(I42:J42)</f>
        <v>3990</v>
      </c>
    </row>
    <row r="43" spans="2:18" x14ac:dyDescent="0.3">
      <c r="B43" s="9" t="s">
        <v>81</v>
      </c>
      <c r="C43" s="266">
        <v>0.28799999999999998</v>
      </c>
      <c r="E43" s="5" t="s">
        <v>20</v>
      </c>
      <c r="F43"/>
      <c r="H43" s="7" t="s">
        <v>196</v>
      </c>
      <c r="I43" s="182">
        <f>I34/I42</f>
        <v>3.2087128712871289</v>
      </c>
      <c r="J43" s="279">
        <f>J34/J42</f>
        <v>2.0843406143344709</v>
      </c>
      <c r="K43"/>
      <c r="L43"/>
      <c r="M43" s="291">
        <f t="shared" ref="M43" si="2">SUM(M34:M36)/M42</f>
        <v>4.9940990756892223</v>
      </c>
    </row>
    <row r="44" spans="2:18" x14ac:dyDescent="0.3">
      <c r="B44" s="7"/>
      <c r="C44"/>
      <c r="E44" s="48" t="s">
        <v>65</v>
      </c>
      <c r="F44" s="153">
        <f>J19</f>
        <v>6202.5919999999996</v>
      </c>
      <c r="H44" s="7" t="s">
        <v>193</v>
      </c>
      <c r="I44" s="182">
        <f>I41/I42</f>
        <v>8.9989069801188108</v>
      </c>
      <c r="J44" s="279">
        <f>J41/J42</f>
        <v>9.7394042047781593</v>
      </c>
      <c r="K44" s="84"/>
      <c r="L44" s="84"/>
      <c r="M44" s="291">
        <f t="shared" ref="M44" si="3">M41/M42</f>
        <v>9.2959098276090213</v>
      </c>
    </row>
    <row r="45" spans="2:18" ht="15" thickBot="1" x14ac:dyDescent="0.35">
      <c r="B45" s="5" t="s">
        <v>97</v>
      </c>
      <c r="C45" s="149"/>
      <c r="E45" s="50" t="s">
        <v>154</v>
      </c>
      <c r="F45" s="85">
        <f>F30</f>
        <v>60.408400000000007</v>
      </c>
      <c r="H45" s="7" t="s">
        <v>194</v>
      </c>
      <c r="I45" s="183">
        <f>SUM(I34:I36)/I40</f>
        <v>0.54501299287903482</v>
      </c>
      <c r="J45" s="280">
        <f>SUM(J34:J36)/J40</f>
        <v>0.28165349265374456</v>
      </c>
      <c r="M45" s="292">
        <f t="shared" ref="M45" si="4">SUM(M36,M35,M34)/M40</f>
        <v>1.056368495318587</v>
      </c>
    </row>
    <row r="46" spans="2:18" x14ac:dyDescent="0.3">
      <c r="B46" s="9" t="s">
        <v>111</v>
      </c>
      <c r="C46" s="270">
        <v>1</v>
      </c>
      <c r="E46" s="50" t="s">
        <v>64</v>
      </c>
      <c r="F46" s="49">
        <f>F38</f>
        <v>550.72500000000002</v>
      </c>
    </row>
    <row r="47" spans="2:18" ht="15" thickBot="1" x14ac:dyDescent="0.35">
      <c r="B47" s="9" t="s">
        <v>112</v>
      </c>
      <c r="C47" s="271">
        <f>1-C46</f>
        <v>0</v>
      </c>
      <c r="E47" s="17" t="s">
        <v>69</v>
      </c>
      <c r="F47" s="153">
        <f>-(J17)</f>
        <v>-1666.1310000000001</v>
      </c>
      <c r="H47" s="68" t="s">
        <v>136</v>
      </c>
      <c r="I47" s="70"/>
      <c r="J47" s="70"/>
      <c r="K47" s="70"/>
      <c r="L47" s="70"/>
      <c r="M47" s="70"/>
    </row>
    <row r="48" spans="2:18" x14ac:dyDescent="0.3">
      <c r="B48" s="9" t="s">
        <v>14</v>
      </c>
      <c r="C48" s="49">
        <f>C46*C30*C26</f>
        <v>8252.8293119999998</v>
      </c>
      <c r="E48" s="17" t="s">
        <v>109</v>
      </c>
      <c r="F48" s="167">
        <f>-(J13)</f>
        <v>-176.44599999999997</v>
      </c>
    </row>
    <row r="49" spans="2:18" x14ac:dyDescent="0.3">
      <c r="B49" s="9" t="s">
        <v>113</v>
      </c>
      <c r="C49" s="49">
        <f>C47*C30*C26</f>
        <v>0</v>
      </c>
      <c r="E49" s="51" t="s">
        <v>66</v>
      </c>
      <c r="F49" s="156">
        <f>SUM(F44:F48)</f>
        <v>4971.1484</v>
      </c>
      <c r="H49" s="185" t="s">
        <v>201</v>
      </c>
      <c r="I49" s="281" t="s">
        <v>238</v>
      </c>
      <c r="K49" s="171">
        <f>YEAR(K50)</f>
        <v>2017</v>
      </c>
      <c r="L49" s="170">
        <f>K49+1</f>
        <v>2018</v>
      </c>
      <c r="M49" s="170">
        <f>L49+1</f>
        <v>2019</v>
      </c>
    </row>
    <row r="50" spans="2:18" x14ac:dyDescent="0.3">
      <c r="B50" s="83" t="s">
        <v>116</v>
      </c>
      <c r="C50"/>
      <c r="F50"/>
      <c r="H50" s="21"/>
      <c r="K50" s="59">
        <v>43100</v>
      </c>
      <c r="L50" s="60">
        <f>EOMONTH(K50,12)</f>
        <v>43465</v>
      </c>
      <c r="M50" s="60">
        <f>EOMONTH(L50,12)</f>
        <v>43830</v>
      </c>
    </row>
    <row r="51" spans="2:18" x14ac:dyDescent="0.3">
      <c r="C51"/>
      <c r="E51" s="52" t="s">
        <v>68</v>
      </c>
      <c r="F51" s="153">
        <f>SUM(J20:J28)</f>
        <v>4044.4969999999998</v>
      </c>
      <c r="H51" s="58" t="s">
        <v>0</v>
      </c>
    </row>
    <row r="52" spans="2:18" x14ac:dyDescent="0.3">
      <c r="B52" s="21" t="s">
        <v>61</v>
      </c>
      <c r="C52" t="s">
        <v>237</v>
      </c>
      <c r="E52" s="17" t="s">
        <v>110</v>
      </c>
      <c r="F52" s="130">
        <f>IF(C31="Stock Sale", 0,-J25)</f>
        <v>0</v>
      </c>
      <c r="H52" s="9" t="s">
        <v>198</v>
      </c>
      <c r="K52" s="88">
        <v>1223</v>
      </c>
      <c r="L52" s="88">
        <v>1360</v>
      </c>
      <c r="M52" s="88">
        <v>1400</v>
      </c>
    </row>
    <row r="53" spans="2:18" x14ac:dyDescent="0.3">
      <c r="B53" s="21" t="s">
        <v>62</v>
      </c>
      <c r="C53" s="49">
        <f>IF(C52="Assumed", 0, C57)</f>
        <v>0</v>
      </c>
      <c r="E53" s="17" t="s">
        <v>76</v>
      </c>
      <c r="F53" s="155">
        <f>F41+F33</f>
        <v>177.22868600000001</v>
      </c>
      <c r="H53" s="9" t="str">
        <f>$I$49</f>
        <v>Cash EPS</v>
      </c>
      <c r="K53" s="293">
        <f>IF(I49="Cash EPS", 2.11, 2)</f>
        <v>2.11</v>
      </c>
      <c r="L53" s="293">
        <f>IF(I49="Cash EPS", 2.42, 2.4)</f>
        <v>2.42</v>
      </c>
      <c r="M53" s="293">
        <f>IF(I49="Cash EPS", 2.64, 2)</f>
        <v>2.64</v>
      </c>
    </row>
    <row r="54" spans="2:18" x14ac:dyDescent="0.3">
      <c r="B54" s="21" t="s">
        <v>38</v>
      </c>
      <c r="C54" s="49">
        <f>C53+C48</f>
        <v>8252.8293119999998</v>
      </c>
      <c r="E54" s="51" t="s">
        <v>70</v>
      </c>
      <c r="F54" s="156">
        <f>SUM(F51:F53)</f>
        <v>4221.7256859999998</v>
      </c>
      <c r="H54" s="7" t="s">
        <v>197</v>
      </c>
      <c r="K54" s="95">
        <f>K52/K53</f>
        <v>579.62085308056874</v>
      </c>
      <c r="L54" s="95">
        <f t="shared" ref="L54:M54" si="5">L52/L53</f>
        <v>561.98347107438019</v>
      </c>
      <c r="M54" s="95">
        <f t="shared" si="5"/>
        <v>530.30303030303025</v>
      </c>
    </row>
    <row r="55" spans="2:18" x14ac:dyDescent="0.3">
      <c r="C55"/>
      <c r="F55"/>
      <c r="H55" s="66" t="s">
        <v>1</v>
      </c>
      <c r="K55"/>
      <c r="L55"/>
      <c r="M55"/>
    </row>
    <row r="56" spans="2:18" x14ac:dyDescent="0.3">
      <c r="B56" s="21" t="s">
        <v>186</v>
      </c>
      <c r="C56" s="49">
        <f>267+690</f>
        <v>957</v>
      </c>
      <c r="D56" s="3"/>
      <c r="E56" s="11" t="s">
        <v>71</v>
      </c>
      <c r="F56" s="49">
        <f>F49-F54</f>
        <v>749.42271400000027</v>
      </c>
      <c r="H56" s="9" t="s">
        <v>198</v>
      </c>
      <c r="K56" s="294">
        <f>Calendarization!I19</f>
        <v>733</v>
      </c>
      <c r="L56" s="294">
        <f>Calendarization!I20</f>
        <v>754</v>
      </c>
      <c r="M56" s="294">
        <f>Calendarization!I21</f>
        <v>768</v>
      </c>
    </row>
    <row r="57" spans="2:18" x14ac:dyDescent="0.3">
      <c r="B57" s="21" t="s">
        <v>185</v>
      </c>
      <c r="C57" s="49">
        <f>(((249967+2803592)/10)/10)/10</f>
        <v>3053.5590000000002</v>
      </c>
      <c r="E57" s="56" t="s">
        <v>3</v>
      </c>
      <c r="F57" s="155">
        <f>C26</f>
        <v>11789.756160000001</v>
      </c>
      <c r="H57" s="9" t="str">
        <f>$I$49</f>
        <v>Cash EPS</v>
      </c>
      <c r="K57" s="295">
        <f>Calendarization!I13</f>
        <v>5.48</v>
      </c>
      <c r="L57" s="295">
        <f>Calendarization!I14</f>
        <v>5.75</v>
      </c>
      <c r="M57" s="295">
        <f>Calendarization!I15</f>
        <v>6.16</v>
      </c>
    </row>
    <row r="58" spans="2:18" x14ac:dyDescent="0.3">
      <c r="C58"/>
      <c r="E58" s="57" t="s">
        <v>72</v>
      </c>
      <c r="F58" s="168">
        <f>F57-F56</f>
        <v>11040.333446000001</v>
      </c>
      <c r="H58" s="7" t="s">
        <v>197</v>
      </c>
      <c r="K58" s="95">
        <f>K56/K57</f>
        <v>133.75912408759123</v>
      </c>
      <c r="L58" s="95">
        <f t="shared" ref="L58:M58" si="6">L56/L57</f>
        <v>131.13043478260869</v>
      </c>
      <c r="M58" s="95">
        <f t="shared" si="6"/>
        <v>124.67532467532467</v>
      </c>
      <c r="N58" s="6"/>
    </row>
    <row r="59" spans="2:18" x14ac:dyDescent="0.3">
      <c r="B59" s="9" t="s">
        <v>114</v>
      </c>
      <c r="C59" s="268">
        <v>5</v>
      </c>
      <c r="K59"/>
      <c r="L59"/>
      <c r="M59"/>
      <c r="O59" s="6"/>
      <c r="P59" s="6"/>
      <c r="Q59" s="6"/>
      <c r="R59" s="6"/>
    </row>
    <row r="60" spans="2:18" ht="16.2" x14ac:dyDescent="0.3">
      <c r="B60" s="9" t="s">
        <v>143</v>
      </c>
      <c r="C60" s="282">
        <v>5.0000000000000001E-3</v>
      </c>
      <c r="H60" s="78" t="s">
        <v>199</v>
      </c>
      <c r="K60"/>
      <c r="L60"/>
      <c r="M60"/>
      <c r="N60" s="65"/>
    </row>
    <row r="61" spans="2:18" x14ac:dyDescent="0.3">
      <c r="B61" s="9" t="s">
        <v>11</v>
      </c>
      <c r="C61" s="49">
        <f>C60*C54</f>
        <v>41.26414656</v>
      </c>
      <c r="H61" s="7" t="s">
        <v>12</v>
      </c>
      <c r="K61" s="95">
        <f>-($C$64*SUM($K$22:$K$24,$L$22:$L$24))</f>
        <v>-247.58487935999997</v>
      </c>
      <c r="L61" s="95">
        <f t="shared" ref="L61:M61" si="7">-($C$64*SUM($K$22:$K$24,$L$22:$L$24))</f>
        <v>-247.58487935999997</v>
      </c>
      <c r="M61" s="95">
        <f t="shared" si="7"/>
        <v>-247.58487935999997</v>
      </c>
    </row>
    <row r="62" spans="2:18" x14ac:dyDescent="0.3">
      <c r="B62" s="9" t="s">
        <v>15</v>
      </c>
      <c r="C62" s="49">
        <f>C61/C59</f>
        <v>8.2528293119999994</v>
      </c>
      <c r="H62" s="7" t="s">
        <v>99</v>
      </c>
      <c r="K62" s="95">
        <f>$L$10*$C$65</f>
        <v>-0.41886281028213174</v>
      </c>
      <c r="L62" s="95">
        <f t="shared" ref="L62:M62" si="8">$L$10*$C$65</f>
        <v>-0.41886281028213174</v>
      </c>
      <c r="M62" s="95">
        <f t="shared" si="8"/>
        <v>-0.41886281028213174</v>
      </c>
    </row>
    <row r="63" spans="2:18" x14ac:dyDescent="0.3">
      <c r="C63"/>
      <c r="H63" s="9" t="s">
        <v>16</v>
      </c>
      <c r="K63" s="95">
        <f>$C$39</f>
        <v>350</v>
      </c>
      <c r="L63" s="95">
        <f t="shared" ref="L63:M63" si="9">$C$39</f>
        <v>350</v>
      </c>
      <c r="M63" s="95">
        <f t="shared" si="9"/>
        <v>350</v>
      </c>
    </row>
    <row r="64" spans="2:18" x14ac:dyDescent="0.3">
      <c r="B64" s="9" t="s">
        <v>8</v>
      </c>
      <c r="C64" s="269">
        <v>0.03</v>
      </c>
      <c r="H64" s="74" t="s">
        <v>13</v>
      </c>
      <c r="K64" s="97">
        <f>IF($I$49="GAAP EPS", -($F$32+$F$40),0)</f>
        <v>0</v>
      </c>
      <c r="L64" s="97">
        <f t="shared" ref="L64:M64" si="10">IF($I$49="GAAP EPS", -($F$32+$F$40),0)</f>
        <v>0</v>
      </c>
      <c r="M64" s="97">
        <f t="shared" si="10"/>
        <v>0</v>
      </c>
    </row>
    <row r="65" spans="2:14" x14ac:dyDescent="0.3">
      <c r="B65" s="21" t="s">
        <v>115</v>
      </c>
      <c r="C65" s="266">
        <f>4/(267+690)</f>
        <v>4.1797283176593526E-3</v>
      </c>
      <c r="H65" s="75" t="s">
        <v>98</v>
      </c>
      <c r="K65" s="95">
        <f>IF($I$49="GAAP EPS", -($C$62),0)</f>
        <v>0</v>
      </c>
      <c r="L65" s="95">
        <f t="shared" ref="L65:M65" si="11">IF($I$49="GAAP EPS", -($C$62),0)</f>
        <v>0</v>
      </c>
      <c r="M65" s="95">
        <f t="shared" si="11"/>
        <v>0</v>
      </c>
    </row>
    <row r="66" spans="2:14" x14ac:dyDescent="0.3">
      <c r="C66"/>
      <c r="D66" s="6"/>
      <c r="H66" s="7" t="s">
        <v>101</v>
      </c>
      <c r="I66" s="1"/>
      <c r="J66" s="1"/>
      <c r="K66" s="95">
        <f>-(SUM(K61:K65)*$C$42)</f>
        <v>-29.578914770618191</v>
      </c>
      <c r="L66" s="95">
        <f t="shared" ref="L66:M66" si="12">-(SUM(L61:L65)*$C$42)</f>
        <v>-29.578914770618191</v>
      </c>
      <c r="M66" s="95">
        <f t="shared" si="12"/>
        <v>-29.578914770618191</v>
      </c>
    </row>
    <row r="67" spans="2:14" x14ac:dyDescent="0.3">
      <c r="C67"/>
      <c r="D67" s="6"/>
      <c r="H67" s="8" t="s">
        <v>100</v>
      </c>
      <c r="I67" s="1"/>
      <c r="J67" s="1"/>
      <c r="K67" s="283">
        <f>SUM(K61:K66)</f>
        <v>72.417343059099721</v>
      </c>
      <c r="L67" s="283">
        <f t="shared" ref="L67:M67" si="13">SUM(L61:L66)</f>
        <v>72.417343059099721</v>
      </c>
      <c r="M67" s="283">
        <f t="shared" si="13"/>
        <v>72.417343059099721</v>
      </c>
      <c r="N67" s="6"/>
    </row>
    <row r="68" spans="2:14" x14ac:dyDescent="0.3">
      <c r="C68"/>
      <c r="D68" s="6"/>
      <c r="H68" s="7"/>
      <c r="K68"/>
      <c r="L68"/>
      <c r="M68"/>
      <c r="N68" s="6"/>
    </row>
    <row r="69" spans="2:14" x14ac:dyDescent="0.3">
      <c r="C69"/>
      <c r="D69" s="6"/>
      <c r="H69" s="8" t="str">
        <f>"Pro Forma "&amp;I49</f>
        <v>Pro Forma Cash EPS</v>
      </c>
      <c r="K69" s="283">
        <f>SUM(K67,K56,K52)</f>
        <v>2028.4173430590997</v>
      </c>
      <c r="L69" s="283">
        <f t="shared" ref="L69:M69" si="14">SUM(L67,L56,L52)</f>
        <v>2186.4173430590999</v>
      </c>
      <c r="M69" s="283">
        <f t="shared" si="14"/>
        <v>2240.4173430590999</v>
      </c>
      <c r="N69" s="6"/>
    </row>
    <row r="70" spans="2:14" x14ac:dyDescent="0.3">
      <c r="D70" s="6"/>
      <c r="H70" s="7" t="s">
        <v>17</v>
      </c>
      <c r="K70" s="95">
        <f>K54+$C$32</f>
        <v>713.59535489875054</v>
      </c>
      <c r="L70" s="95">
        <f t="shared" ref="L70:M70" si="15">L54+$C$32</f>
        <v>695.957972892562</v>
      </c>
      <c r="M70" s="95">
        <f t="shared" si="15"/>
        <v>664.27753212121206</v>
      </c>
      <c r="N70" s="6"/>
    </row>
    <row r="71" spans="2:14" x14ac:dyDescent="0.3">
      <c r="D71" s="6"/>
      <c r="K71"/>
      <c r="L71"/>
      <c r="M71"/>
      <c r="N71" s="6"/>
    </row>
    <row r="72" spans="2:14" x14ac:dyDescent="0.3">
      <c r="D72" s="6"/>
      <c r="H72" s="62" t="str">
        <f>"Pro forma "&amp;I49</f>
        <v>Pro forma Cash EPS</v>
      </c>
      <c r="I72" s="64"/>
      <c r="J72" s="64"/>
      <c r="K72" s="284">
        <f>K69/K70</f>
        <v>2.842531596000796</v>
      </c>
      <c r="L72" s="284">
        <f t="shared" ref="L72:M72" si="16">L69/L70</f>
        <v>3.1415939298343618</v>
      </c>
      <c r="M72" s="297">
        <f t="shared" si="16"/>
        <v>3.3727128116238716</v>
      </c>
    </row>
    <row r="73" spans="2:14" x14ac:dyDescent="0.3">
      <c r="D73" s="6"/>
      <c r="H73" s="32" t="s">
        <v>202</v>
      </c>
      <c r="K73" s="285">
        <f>K53</f>
        <v>2.11</v>
      </c>
      <c r="L73" s="285">
        <f t="shared" ref="L73:M73" si="17">L53</f>
        <v>2.42</v>
      </c>
      <c r="M73" s="298">
        <f t="shared" si="17"/>
        <v>2.64</v>
      </c>
    </row>
    <row r="74" spans="2:14" x14ac:dyDescent="0.3">
      <c r="D74" s="6"/>
      <c r="H74" s="184" t="s">
        <v>18</v>
      </c>
      <c r="J74" s="1"/>
      <c r="K74" s="286">
        <f>K72-K73</f>
        <v>0.73253159600079609</v>
      </c>
      <c r="L74" s="286">
        <f t="shared" ref="L74:M74" si="18">L72-L73</f>
        <v>0.72159392983436188</v>
      </c>
      <c r="M74" s="299">
        <f t="shared" si="18"/>
        <v>0.73271281162387147</v>
      </c>
    </row>
    <row r="75" spans="2:14" x14ac:dyDescent="0.3">
      <c r="H75" s="32" t="s">
        <v>19</v>
      </c>
      <c r="K75" s="287">
        <f>1-K73/K72</f>
        <v>0.25770394145535858</v>
      </c>
      <c r="L75" s="287">
        <f t="shared" ref="L75:M75" si="19">1-L73/L72</f>
        <v>0.22969038836677635</v>
      </c>
      <c r="M75" s="300">
        <f t="shared" si="19"/>
        <v>0.21724731767810668</v>
      </c>
    </row>
    <row r="76" spans="2:14" x14ac:dyDescent="0.3">
      <c r="H76" s="63" t="s">
        <v>82</v>
      </c>
      <c r="I76" s="29"/>
      <c r="J76" s="29"/>
      <c r="K76" s="288">
        <f>MAX(0,-((K74*K70)/(1-$C$42)))</f>
        <v>0</v>
      </c>
      <c r="L76" s="288">
        <f t="shared" ref="L76:M76" si="20">MAX(0,-((L74*L70)/(1-$C$42)))</f>
        <v>0</v>
      </c>
      <c r="M76" s="301">
        <f t="shared" si="20"/>
        <v>0</v>
      </c>
    </row>
    <row r="77" spans="2:14" ht="16.2" x14ac:dyDescent="0.3">
      <c r="H77" s="76" t="s">
        <v>200</v>
      </c>
      <c r="I77" s="6"/>
      <c r="J77" s="6"/>
    </row>
    <row r="78" spans="2:14" x14ac:dyDescent="0.3">
      <c r="J78" s="28"/>
      <c r="K78" s="28"/>
      <c r="L78" s="28"/>
    </row>
    <row r="79" spans="2:14" ht="15" thickBot="1" x14ac:dyDescent="0.35">
      <c r="H79" s="68" t="s">
        <v>137</v>
      </c>
      <c r="I79" s="70"/>
      <c r="J79" s="70"/>
      <c r="K79" s="70"/>
      <c r="L79" s="70"/>
      <c r="M79" s="70"/>
    </row>
    <row r="80" spans="2:14" x14ac:dyDescent="0.3">
      <c r="I80" s="6"/>
      <c r="J80" s="6"/>
      <c r="K80" s="6"/>
      <c r="L80" s="6"/>
      <c r="M80" s="6"/>
    </row>
    <row r="81" spans="8:13" ht="15" thickBot="1" x14ac:dyDescent="0.35">
      <c r="H81" s="15" t="s">
        <v>125</v>
      </c>
      <c r="I81" s="92"/>
      <c r="J81" s="16"/>
      <c r="K81" s="16"/>
      <c r="L81" s="16"/>
      <c r="M81" s="92"/>
    </row>
    <row r="82" spans="8:13" ht="16.2" x14ac:dyDescent="0.45">
      <c r="H82" s="79" t="s">
        <v>128</v>
      </c>
      <c r="I82" s="79" t="s">
        <v>5</v>
      </c>
      <c r="J82" s="79" t="s">
        <v>95</v>
      </c>
      <c r="K82" s="79"/>
      <c r="L82" s="79"/>
      <c r="M82" s="79"/>
    </row>
    <row r="83" spans="8:13" x14ac:dyDescent="0.3">
      <c r="H83" s="81" t="s">
        <v>104</v>
      </c>
      <c r="I83" s="132">
        <f>K74</f>
        <v>0.73253159600079609</v>
      </c>
      <c r="J83" s="133">
        <v>80</v>
      </c>
      <c r="K83" s="222">
        <f>J83+5</f>
        <v>85</v>
      </c>
      <c r="L83" s="222">
        <f>K83+10</f>
        <v>95</v>
      </c>
      <c r="M83" s="222">
        <f>L83+10</f>
        <v>105</v>
      </c>
    </row>
    <row r="84" spans="8:13" x14ac:dyDescent="0.3">
      <c r="H84" s="80">
        <f>C24</f>
        <v>90</v>
      </c>
      <c r="I84" s="134">
        <v>1</v>
      </c>
      <c r="J84" s="225">
        <f t="dataTable" ref="J84:M88" dt2D="1" dtr="1" r1="C24" r2="C29" ca="1"/>
        <v>0.14871455866048366</v>
      </c>
      <c r="K84" s="226">
        <v>9.1988250890976175E-2</v>
      </c>
      <c r="L84" s="226">
        <v>-1.3326634548905147E-2</v>
      </c>
      <c r="M84" s="229">
        <v>-0.10902913553951699</v>
      </c>
    </row>
    <row r="85" spans="8:13" x14ac:dyDescent="0.3">
      <c r="H85" s="81" t="s">
        <v>105</v>
      </c>
      <c r="I85" s="223">
        <f>I84-0.25</f>
        <v>0.75</v>
      </c>
      <c r="J85" s="224">
        <v>0.34034884464719317</v>
      </c>
      <c r="K85" s="135">
        <v>0.28481542044765407</v>
      </c>
      <c r="L85" s="135">
        <v>0.18047841731789749</v>
      </c>
      <c r="M85" s="230">
        <v>8.4243547799599305E-2</v>
      </c>
    </row>
    <row r="86" spans="8:13" x14ac:dyDescent="0.3">
      <c r="H86" s="82">
        <f>C29</f>
        <v>0.3</v>
      </c>
      <c r="I86" s="223">
        <f>I85-0.25</f>
        <v>0.5</v>
      </c>
      <c r="J86" s="224">
        <v>0.58080587370624137</v>
      </c>
      <c r="K86" s="135">
        <v>0.52905443810568498</v>
      </c>
      <c r="L86" s="135">
        <v>0.43033721458263274</v>
      </c>
      <c r="M86" s="230">
        <v>0.33752383992124146</v>
      </c>
    </row>
    <row r="87" spans="8:13" x14ac:dyDescent="0.3">
      <c r="H87" s="81" t="s">
        <v>111</v>
      </c>
      <c r="I87" s="223">
        <f>I86-0.25</f>
        <v>0.25</v>
      </c>
      <c r="J87" s="224">
        <v>0.89146722726389171</v>
      </c>
      <c r="K87" s="135">
        <v>0.84842920070290351</v>
      </c>
      <c r="L87" s="135">
        <v>0.76467951551241775</v>
      </c>
      <c r="M87" s="230">
        <v>0.68389440607369689</v>
      </c>
    </row>
    <row r="88" spans="8:13" x14ac:dyDescent="0.3">
      <c r="H88" s="82">
        <f>C46</f>
        <v>1</v>
      </c>
      <c r="I88" s="223">
        <f>I87-0.25</f>
        <v>0</v>
      </c>
      <c r="J88" s="227">
        <v>1.3083338576341048</v>
      </c>
      <c r="K88" s="228">
        <v>1.2839133538037624</v>
      </c>
      <c r="L88" s="228">
        <v>1.2350723461430775</v>
      </c>
      <c r="M88" s="231">
        <v>1.1862313384823922</v>
      </c>
    </row>
    <row r="89" spans="8:13" x14ac:dyDescent="0.3">
      <c r="I89" s="134"/>
      <c r="J89" s="136"/>
      <c r="K89" s="136"/>
      <c r="L89" s="136"/>
      <c r="M89" s="136"/>
    </row>
    <row r="90" spans="8:13" x14ac:dyDescent="0.3">
      <c r="I90" s="13"/>
      <c r="J90" s="13"/>
      <c r="K90" s="13"/>
      <c r="L90" s="13"/>
      <c r="M90" s="13"/>
    </row>
    <row r="91" spans="8:13" ht="15" thickBot="1" x14ac:dyDescent="0.35">
      <c r="H91" s="15" t="s">
        <v>126</v>
      </c>
      <c r="I91" s="16"/>
      <c r="J91" s="16"/>
      <c r="K91" s="16"/>
      <c r="L91" s="16"/>
      <c r="M91" s="16"/>
    </row>
    <row r="92" spans="8:13" ht="16.2" x14ac:dyDescent="0.45">
      <c r="H92" s="79" t="s">
        <v>128</v>
      </c>
      <c r="I92" s="137" t="s">
        <v>5</v>
      </c>
      <c r="J92" s="137" t="s">
        <v>95</v>
      </c>
      <c r="K92" s="137"/>
      <c r="L92" s="137"/>
      <c r="M92" s="137"/>
    </row>
    <row r="93" spans="8:13" x14ac:dyDescent="0.3">
      <c r="H93" s="81" t="s">
        <v>104</v>
      </c>
      <c r="I93" s="132">
        <f>L74</f>
        <v>0.72159392983436188</v>
      </c>
      <c r="J93" s="133">
        <v>80</v>
      </c>
      <c r="K93" s="222">
        <f>J93+10</f>
        <v>90</v>
      </c>
      <c r="L93" s="222">
        <f>K93+10</f>
        <v>100</v>
      </c>
      <c r="M93" s="222">
        <f>L93+10</f>
        <v>110</v>
      </c>
    </row>
    <row r="94" spans="8:13" x14ac:dyDescent="0.3">
      <c r="H94" s="80">
        <f>C24</f>
        <v>90</v>
      </c>
      <c r="I94" s="134">
        <v>1</v>
      </c>
      <c r="J94" s="135">
        <f t="dataTable" ref="J94:M98" dt2D="1" dtr="1" r1="C24" r2="C29" ca="1"/>
        <v>4.5163027739542283E-2</v>
      </c>
      <c r="K94" s="135">
        <v>-7.7736758307189291E-2</v>
      </c>
      <c r="L94" s="135">
        <v>-0.18896598403382736</v>
      </c>
      <c r="M94" s="136">
        <v>-0.29011165268119132</v>
      </c>
    </row>
    <row r="95" spans="8:13" x14ac:dyDescent="0.3">
      <c r="H95" s="81" t="s">
        <v>105</v>
      </c>
      <c r="I95" s="223">
        <f>I94-0.25</f>
        <v>0.75</v>
      </c>
      <c r="J95" s="135">
        <v>0.26453686366896312</v>
      </c>
      <c r="K95" s="135">
        <v>0.14377556623913801</v>
      </c>
      <c r="L95" s="135">
        <v>3.2757927949109256E-2</v>
      </c>
      <c r="M95" s="136">
        <v>-6.964957659804405E-2</v>
      </c>
    </row>
    <row r="96" spans="8:13" x14ac:dyDescent="0.3">
      <c r="H96" s="82">
        <f>C30</f>
        <v>0.7</v>
      </c>
      <c r="I96" s="223">
        <f>I95-0.25</f>
        <v>0.5</v>
      </c>
      <c r="J96" s="135">
        <v>0.54109746707017292</v>
      </c>
      <c r="K96" s="135">
        <v>0.42827438065824941</v>
      </c>
      <c r="L96" s="135">
        <v>0.32245024613235396</v>
      </c>
      <c r="M96" s="136">
        <v>0.22299338903684385</v>
      </c>
    </row>
    <row r="97" spans="8:13" x14ac:dyDescent="0.3">
      <c r="H97" s="81" t="s">
        <v>111</v>
      </c>
      <c r="I97" s="223">
        <f>I96-0.25</f>
        <v>0.25</v>
      </c>
      <c r="J97" s="136">
        <v>0.90055758526296925</v>
      </c>
      <c r="K97" s="136">
        <v>0.80707731301127383</v>
      </c>
      <c r="L97" s="136">
        <v>0.71702141638456274</v>
      </c>
      <c r="M97" s="136">
        <v>0.6302051168550058</v>
      </c>
    </row>
    <row r="98" spans="8:13" x14ac:dyDescent="0.3">
      <c r="H98" s="82">
        <f>C47</f>
        <v>0</v>
      </c>
      <c r="I98" s="223">
        <f>I97-0.25</f>
        <v>0</v>
      </c>
      <c r="J98" s="136">
        <v>1.3867624704088914</v>
      </c>
      <c r="K98" s="136">
        <v>1.3363886285030429</v>
      </c>
      <c r="L98" s="136">
        <v>1.2860147865971943</v>
      </c>
      <c r="M98" s="136">
        <v>1.2356409446913457</v>
      </c>
    </row>
    <row r="99" spans="8:13" x14ac:dyDescent="0.3">
      <c r="I99" s="134"/>
      <c r="J99" s="136"/>
      <c r="K99" s="136"/>
      <c r="L99" s="136"/>
      <c r="M99" s="136"/>
    </row>
    <row r="100" spans="8:13" x14ac:dyDescent="0.3">
      <c r="I100" s="138"/>
      <c r="J100" s="138"/>
      <c r="K100" s="138"/>
      <c r="L100" s="138"/>
      <c r="M100" s="138"/>
    </row>
    <row r="101" spans="8:13" ht="15" thickBot="1" x14ac:dyDescent="0.35">
      <c r="H101" s="15" t="s">
        <v>127</v>
      </c>
      <c r="I101" s="16"/>
      <c r="J101" s="16"/>
      <c r="K101" s="16"/>
      <c r="L101" s="16"/>
      <c r="M101" s="16"/>
    </row>
    <row r="102" spans="8:13" ht="16.2" x14ac:dyDescent="0.45">
      <c r="H102" s="79" t="s">
        <v>128</v>
      </c>
      <c r="I102" s="137" t="s">
        <v>5</v>
      </c>
      <c r="J102" s="137" t="s">
        <v>95</v>
      </c>
      <c r="K102" s="137"/>
      <c r="L102" s="137"/>
      <c r="M102" s="137"/>
    </row>
    <row r="103" spans="8:13" x14ac:dyDescent="0.3">
      <c r="H103" s="81" t="s">
        <v>104</v>
      </c>
      <c r="I103" s="132">
        <f>M74</f>
        <v>0.73271281162387147</v>
      </c>
      <c r="J103" s="133">
        <v>80</v>
      </c>
      <c r="K103" s="222">
        <f>J103+10</f>
        <v>90</v>
      </c>
      <c r="L103" s="222">
        <f>K103+10</f>
        <v>100</v>
      </c>
      <c r="M103" s="222">
        <f>L103+10</f>
        <v>110</v>
      </c>
    </row>
    <row r="104" spans="8:13" x14ac:dyDescent="0.3">
      <c r="H104" s="80">
        <f>C24</f>
        <v>90</v>
      </c>
      <c r="I104" s="134">
        <v>1</v>
      </c>
      <c r="J104" s="135">
        <f t="dataTable" ref="J104:M108" dt2D="1" dtr="1" r1="C24" r2="C29" ca="1"/>
        <v>-3.2277209913544436E-2</v>
      </c>
      <c r="K104" s="135">
        <v>-0.16649923201399508</v>
      </c>
      <c r="L104" s="135">
        <v>-0.28758242087636532</v>
      </c>
      <c r="M104" s="136">
        <v>-0.3973659750388765</v>
      </c>
    </row>
    <row r="105" spans="8:13" x14ac:dyDescent="0.3">
      <c r="H105" s="81" t="s">
        <v>105</v>
      </c>
      <c r="I105" s="223">
        <f>I104-0.25</f>
        <v>0.75</v>
      </c>
      <c r="J105" s="135">
        <v>0.21256295485449472</v>
      </c>
      <c r="K105" s="135">
        <v>8.0057813641892128E-2</v>
      </c>
      <c r="L105" s="135">
        <v>-4.1381004358108875E-2</v>
      </c>
      <c r="M105" s="136">
        <v>-0.15308425488806021</v>
      </c>
    </row>
    <row r="106" spans="8:13" x14ac:dyDescent="0.3">
      <c r="H106" s="82">
        <f>C29</f>
        <v>0.3</v>
      </c>
      <c r="I106" s="223">
        <f>I105-0.25</f>
        <v>0.5</v>
      </c>
      <c r="J106" s="135">
        <v>0.52400424759802711</v>
      </c>
      <c r="K106" s="135">
        <v>0.39967003048616379</v>
      </c>
      <c r="L106" s="135">
        <v>0.28336263851847487</v>
      </c>
      <c r="M106" s="136">
        <v>0.17432907856933122</v>
      </c>
    </row>
    <row r="107" spans="8:13" x14ac:dyDescent="0.3">
      <c r="H107" s="81" t="s">
        <v>111</v>
      </c>
      <c r="I107" s="223">
        <f>I106-0.25</f>
        <v>0.25</v>
      </c>
      <c r="J107" s="136">
        <v>0.93349971704584656</v>
      </c>
      <c r="K107" s="136">
        <v>0.83045391443179772</v>
      </c>
      <c r="L107" s="136">
        <v>0.73136560250784699</v>
      </c>
      <c r="M107" s="136">
        <v>0.63601109453313409</v>
      </c>
    </row>
    <row r="108" spans="8:13" x14ac:dyDescent="0.3">
      <c r="H108" s="82">
        <f>C46</f>
        <v>1</v>
      </c>
      <c r="I108" s="223">
        <f>I107-0.25</f>
        <v>0</v>
      </c>
      <c r="J108" s="136">
        <v>1.4960080205891626</v>
      </c>
      <c r="K108" s="136">
        <v>1.4426248322837441</v>
      </c>
      <c r="L108" s="136">
        <v>1.3892416439783255</v>
      </c>
      <c r="M108" s="136">
        <v>1.335858455672907</v>
      </c>
    </row>
    <row r="109" spans="8:13" x14ac:dyDescent="0.3">
      <c r="I109" s="134"/>
      <c r="J109" s="136"/>
      <c r="K109" s="136"/>
      <c r="L109" s="136"/>
      <c r="M109" s="136"/>
    </row>
    <row r="110" spans="8:13" x14ac:dyDescent="0.3">
      <c r="I110" s="138"/>
      <c r="J110" s="138"/>
      <c r="K110" s="138"/>
      <c r="L110" s="138"/>
      <c r="M110" s="138"/>
    </row>
    <row r="111" spans="8:13" ht="15" thickBot="1" x14ac:dyDescent="0.35">
      <c r="H111" s="15" t="s">
        <v>125</v>
      </c>
      <c r="I111" s="16"/>
      <c r="J111" s="16"/>
      <c r="K111" s="16"/>
      <c r="L111" s="16"/>
      <c r="M111" s="16"/>
    </row>
    <row r="112" spans="8:13" ht="16.2" x14ac:dyDescent="0.45">
      <c r="H112" s="79" t="s">
        <v>128</v>
      </c>
      <c r="I112" s="137" t="s">
        <v>5</v>
      </c>
      <c r="J112" s="137" t="s">
        <v>111</v>
      </c>
      <c r="K112" s="137"/>
      <c r="L112" s="137"/>
      <c r="M112" s="137"/>
    </row>
    <row r="113" spans="5:13" x14ac:dyDescent="0.3">
      <c r="H113" s="81" t="s">
        <v>104</v>
      </c>
      <c r="I113" s="132">
        <f>K74</f>
        <v>0.73253159600079609</v>
      </c>
      <c r="J113" s="134">
        <v>0</v>
      </c>
      <c r="K113" s="134">
        <v>0.25</v>
      </c>
      <c r="L113" s="134">
        <v>0.5</v>
      </c>
      <c r="M113" s="134">
        <v>1</v>
      </c>
    </row>
    <row r="114" spans="5:13" x14ac:dyDescent="0.3">
      <c r="H114" s="80">
        <f>C24</f>
        <v>90</v>
      </c>
      <c r="I114" s="134">
        <v>1</v>
      </c>
      <c r="J114" s="145">
        <f t="dataTable" ref="J114:M118" dt2D="1" dtr="1" r1="C46" r2="C29" ca="1"/>
        <v>3.8040964373926567E-2</v>
      </c>
      <c r="K114" s="145">
        <v>3.8040964373926567E-2</v>
      </c>
      <c r="L114" s="145">
        <v>3.8040964373926567E-2</v>
      </c>
      <c r="M114" s="145">
        <v>3.8040964373926567E-2</v>
      </c>
    </row>
    <row r="115" spans="5:13" x14ac:dyDescent="0.3">
      <c r="H115" s="81" t="s">
        <v>105</v>
      </c>
      <c r="I115" s="223">
        <f>I114-0.25</f>
        <v>0.75</v>
      </c>
      <c r="J115" s="145">
        <v>0.29070106484678648</v>
      </c>
      <c r="K115" s="145">
        <v>0.2759186788514163</v>
      </c>
      <c r="L115" s="145">
        <v>0.26113629285604656</v>
      </c>
      <c r="M115" s="145">
        <v>0.23157152086530797</v>
      </c>
    </row>
    <row r="116" spans="5:13" x14ac:dyDescent="0.3">
      <c r="H116" s="82">
        <f>C29</f>
        <v>0.3</v>
      </c>
      <c r="I116" s="223">
        <f>I115-0.25</f>
        <v>0.5</v>
      </c>
      <c r="J116" s="145">
        <v>0.61362628400207164</v>
      </c>
      <c r="K116" s="145">
        <v>0.57995051029626099</v>
      </c>
      <c r="L116" s="145">
        <v>0.54627473659044989</v>
      </c>
      <c r="M116" s="145">
        <v>0.47892318917882815</v>
      </c>
    </row>
    <row r="117" spans="5:13" x14ac:dyDescent="0.3">
      <c r="H117" s="81" t="s">
        <v>111</v>
      </c>
      <c r="I117" s="223">
        <f>I116-0.25</f>
        <v>0.25</v>
      </c>
      <c r="J117" s="145">
        <v>1.0408618756805463</v>
      </c>
      <c r="K117" s="145">
        <v>0.98218982668104449</v>
      </c>
      <c r="L117" s="145">
        <v>0.92351777768154175</v>
      </c>
      <c r="M117" s="145">
        <v>0.80617367968253673</v>
      </c>
    </row>
    <row r="118" spans="5:13" x14ac:dyDescent="0.3">
      <c r="H118" s="82">
        <f>C46</f>
        <v>1</v>
      </c>
      <c r="I118" s="223">
        <f>I117-0.25</f>
        <v>0</v>
      </c>
      <c r="J118" s="145">
        <v>1.6326840105849567</v>
      </c>
      <c r="K118" s="145">
        <v>1.5393862204320721</v>
      </c>
      <c r="L118" s="145">
        <v>1.4460884302791888</v>
      </c>
      <c r="M118" s="145">
        <v>1.2594928499734199</v>
      </c>
    </row>
    <row r="119" spans="5:13" x14ac:dyDescent="0.3">
      <c r="I119" s="134"/>
      <c r="J119" s="145"/>
      <c r="K119" s="145"/>
      <c r="L119" s="145"/>
      <c r="M119" s="145"/>
    </row>
    <row r="120" spans="5:13" x14ac:dyDescent="0.3">
      <c r="I120" s="138"/>
      <c r="J120" s="138"/>
      <c r="K120" s="139"/>
      <c r="L120" s="138"/>
      <c r="M120" s="138"/>
    </row>
    <row r="121" spans="5:13" ht="15" thickBot="1" x14ac:dyDescent="0.35">
      <c r="H121" s="91" t="s">
        <v>129</v>
      </c>
      <c r="I121" s="16"/>
      <c r="J121" s="16"/>
      <c r="K121" s="140"/>
      <c r="L121" s="140"/>
      <c r="M121" s="140"/>
    </row>
    <row r="122" spans="5:13" ht="16.2" x14ac:dyDescent="0.45">
      <c r="H122" s="79" t="s">
        <v>128</v>
      </c>
      <c r="I122" s="137" t="s">
        <v>5</v>
      </c>
      <c r="J122" s="137" t="s">
        <v>95</v>
      </c>
      <c r="K122" s="137"/>
      <c r="L122" s="137"/>
      <c r="M122" s="137"/>
    </row>
    <row r="123" spans="5:13" x14ac:dyDescent="0.3">
      <c r="H123" s="81" t="s">
        <v>104</v>
      </c>
      <c r="I123" s="141">
        <f>M43</f>
        <v>4.9940990756892223</v>
      </c>
      <c r="J123" s="133">
        <v>80</v>
      </c>
      <c r="K123" s="222">
        <f>J123+10</f>
        <v>90</v>
      </c>
      <c r="L123" s="222">
        <f>K123+10</f>
        <v>100</v>
      </c>
      <c r="M123" s="222">
        <f>L123+10</f>
        <v>110</v>
      </c>
    </row>
    <row r="124" spans="5:13" x14ac:dyDescent="0.3">
      <c r="H124" s="80">
        <f>C24</f>
        <v>90</v>
      </c>
      <c r="I124" s="134">
        <v>1</v>
      </c>
      <c r="J124" s="144">
        <f t="dataTable" ref="J124:M128" dt2D="1" dtr="1" r1="C24" r2="C29" ca="1"/>
        <v>2.9257208020050127</v>
      </c>
      <c r="K124" s="144">
        <v>2.9257208020050127</v>
      </c>
      <c r="L124" s="144">
        <v>2.9257208020050127</v>
      </c>
      <c r="M124" s="144">
        <v>2.9257208020050127</v>
      </c>
    </row>
    <row r="125" spans="5:13" x14ac:dyDescent="0.3">
      <c r="G125" s="9"/>
      <c r="H125" s="81" t="s">
        <v>105</v>
      </c>
      <c r="I125" s="223">
        <f>I124-0.25</f>
        <v>0.75</v>
      </c>
      <c r="J125" s="144">
        <v>3.5812679047619045</v>
      </c>
      <c r="K125" s="144">
        <v>3.6644273283208024</v>
      </c>
      <c r="L125" s="144">
        <v>3.7475867518796999</v>
      </c>
      <c r="M125" s="144">
        <v>3.8307461754385965</v>
      </c>
    </row>
    <row r="126" spans="5:13" x14ac:dyDescent="0.3">
      <c r="H126" s="82">
        <f>C29</f>
        <v>0.3</v>
      </c>
      <c r="I126" s="223">
        <f>I125-0.25</f>
        <v>0.5</v>
      </c>
      <c r="J126" s="144">
        <v>4.2368150075187971</v>
      </c>
      <c r="K126" s="144">
        <v>4.4031338546365912</v>
      </c>
      <c r="L126" s="144">
        <v>4.5694527017543862</v>
      </c>
      <c r="M126" s="144">
        <v>4.7357715488721803</v>
      </c>
    </row>
    <row r="127" spans="5:13" x14ac:dyDescent="0.3">
      <c r="H127" s="81" t="s">
        <v>111</v>
      </c>
      <c r="I127" s="223">
        <f>I126-0.25</f>
        <v>0.25</v>
      </c>
      <c r="J127" s="144">
        <v>4.8923621102756893</v>
      </c>
      <c r="K127" s="144">
        <v>5.1418403809523809</v>
      </c>
      <c r="L127" s="144">
        <v>5.3913186516290725</v>
      </c>
      <c r="M127" s="144">
        <v>5.6407969223057641</v>
      </c>
    </row>
    <row r="128" spans="5:13" x14ac:dyDescent="0.3">
      <c r="E128" s="7"/>
      <c r="F128" s="9"/>
      <c r="H128" s="82">
        <f>C46</f>
        <v>1</v>
      </c>
      <c r="I128" s="223">
        <f>I127-0.25</f>
        <v>0</v>
      </c>
      <c r="J128" s="144">
        <v>5.5479092130325816</v>
      </c>
      <c r="K128" s="144">
        <v>5.8805469072681706</v>
      </c>
      <c r="L128" s="144">
        <v>6.2131846015037597</v>
      </c>
      <c r="M128" s="144">
        <v>6.5458222957393479</v>
      </c>
    </row>
    <row r="129" spans="4:13" x14ac:dyDescent="0.3">
      <c r="I129" s="142"/>
      <c r="J129" s="144"/>
      <c r="K129" s="144"/>
      <c r="L129" s="144"/>
      <c r="M129" s="144"/>
    </row>
    <row r="132" spans="4:13" x14ac:dyDescent="0.3">
      <c r="I132" s="138"/>
      <c r="J132" s="138"/>
      <c r="K132" s="138"/>
      <c r="L132" s="138"/>
      <c r="M132" s="138"/>
    </row>
    <row r="133" spans="4:13" x14ac:dyDescent="0.3">
      <c r="D133" s="6"/>
      <c r="I133" s="138"/>
      <c r="J133" s="138"/>
      <c r="K133" s="138"/>
      <c r="L133" s="138"/>
      <c r="M133" s="138"/>
    </row>
    <row r="134" spans="4:13" x14ac:dyDescent="0.3">
      <c r="D134" s="6"/>
    </row>
    <row r="135" spans="4:13" x14ac:dyDescent="0.3">
      <c r="D135" s="6"/>
    </row>
    <row r="136" spans="4:13" x14ac:dyDescent="0.3">
      <c r="I136" s="138"/>
      <c r="J136" s="138"/>
      <c r="K136" s="138"/>
      <c r="L136" s="138"/>
      <c r="M136" s="138"/>
    </row>
    <row r="137" spans="4:13" x14ac:dyDescent="0.3">
      <c r="I137" s="138"/>
      <c r="J137" s="138"/>
      <c r="K137" s="138"/>
      <c r="L137" s="138"/>
      <c r="M137" s="138"/>
    </row>
    <row r="138" spans="4:13" x14ac:dyDescent="0.3">
      <c r="I138" s="138"/>
      <c r="J138" s="138"/>
      <c r="K138" s="138"/>
      <c r="L138" s="138"/>
      <c r="M138" s="138"/>
    </row>
    <row r="139" spans="4:13" x14ac:dyDescent="0.3">
      <c r="I139" s="138"/>
      <c r="J139" s="138"/>
      <c r="K139" s="138"/>
      <c r="L139" s="138"/>
      <c r="M139" s="138"/>
    </row>
    <row r="140" spans="4:13" x14ac:dyDescent="0.3">
      <c r="D140" s="6"/>
      <c r="I140" s="138"/>
      <c r="J140" s="138"/>
      <c r="K140" s="138"/>
      <c r="L140" s="138"/>
      <c r="M140" s="138"/>
    </row>
    <row r="141" spans="4:13" x14ac:dyDescent="0.3">
      <c r="D141" s="6"/>
      <c r="I141" s="138"/>
      <c r="J141" s="138"/>
      <c r="K141" s="138"/>
      <c r="L141" s="138"/>
      <c r="M141" s="138"/>
    </row>
    <row r="142" spans="4:13" x14ac:dyDescent="0.3">
      <c r="D142" s="6"/>
    </row>
    <row r="157" spans="2:3" x14ac:dyDescent="0.3">
      <c r="B157" s="6"/>
      <c r="C157" s="6"/>
    </row>
    <row r="177" spans="8:13" x14ac:dyDescent="0.3">
      <c r="H177" s="7"/>
      <c r="K177" s="90"/>
      <c r="L177" s="90"/>
      <c r="M177" s="90"/>
    </row>
    <row r="178" spans="8:13" x14ac:dyDescent="0.3">
      <c r="H178" s="7"/>
    </row>
    <row r="179" spans="8:13" x14ac:dyDescent="0.3">
      <c r="H179" s="7"/>
    </row>
    <row r="180" spans="8:13" x14ac:dyDescent="0.3">
      <c r="H180" s="7"/>
    </row>
    <row r="181" spans="8:13" x14ac:dyDescent="0.3">
      <c r="H181" s="7"/>
    </row>
    <row r="182" spans="8:13" x14ac:dyDescent="0.3">
      <c r="H182" s="7"/>
    </row>
    <row r="183" spans="8:13" x14ac:dyDescent="0.3">
      <c r="H183" s="7"/>
    </row>
    <row r="184" spans="8:13" x14ac:dyDescent="0.3">
      <c r="H184" s="7"/>
    </row>
    <row r="185" spans="8:13" x14ac:dyDescent="0.3">
      <c r="H185" s="7"/>
    </row>
    <row r="186" spans="8:13" x14ac:dyDescent="0.3">
      <c r="H186" s="7"/>
    </row>
    <row r="187" spans="8:13" x14ac:dyDescent="0.3">
      <c r="H187" s="7"/>
    </row>
    <row r="188" spans="8:13" x14ac:dyDescent="0.3">
      <c r="K188" s="84"/>
      <c r="L188" s="84"/>
      <c r="M188" s="84"/>
    </row>
    <row r="189" spans="8:13" x14ac:dyDescent="0.3">
      <c r="K189" s="84"/>
      <c r="L189" s="84"/>
      <c r="M189" s="84"/>
    </row>
  </sheetData>
  <conditionalFormatting sqref="J84:M88">
    <cfRule type="cellIs" dxfId="4" priority="5" operator="lessThan">
      <formula>0</formula>
    </cfRule>
  </conditionalFormatting>
  <conditionalFormatting sqref="J93:M98">
    <cfRule type="cellIs" dxfId="3" priority="4" operator="lessThan">
      <formula>0</formula>
    </cfRule>
  </conditionalFormatting>
  <conditionalFormatting sqref="J104:M108">
    <cfRule type="cellIs" dxfId="2" priority="3" operator="lessThan">
      <formula>0</formula>
    </cfRule>
  </conditionalFormatting>
  <conditionalFormatting sqref="J114:M118">
    <cfRule type="cellIs" dxfId="1" priority="2" operator="lessThan">
      <formula>0</formula>
    </cfRule>
  </conditionalFormatting>
  <conditionalFormatting sqref="J124:M128">
    <cfRule type="cellIs" dxfId="0" priority="1" operator="greaterThan">
      <formula>5</formula>
    </cfRule>
  </conditionalFormatting>
  <dataValidations count="3">
    <dataValidation type="list" allowBlank="1" showInputMessage="1" showErrorMessage="1" sqref="C31">
      <formula1>"Stock, Asset"</formula1>
    </dataValidation>
    <dataValidation type="list" allowBlank="1" showInputMessage="1" showErrorMessage="1" sqref="C52">
      <formula1>"Refinanced, Assumed"</formula1>
    </dataValidation>
    <dataValidation type="list" allowBlank="1" showInputMessage="1" showErrorMessage="1" sqref="I49">
      <formula1>"Cash EPS, GAAP EPS"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B2:K46"/>
  <sheetViews>
    <sheetView zoomScaleNormal="100" workbookViewId="0">
      <selection activeCell="F15" sqref="F15"/>
    </sheetView>
  </sheetViews>
  <sheetFormatPr defaultColWidth="9.109375" defaultRowHeight="14.4" x14ac:dyDescent="0.3"/>
  <cols>
    <col min="1" max="1" width="2.109375" style="11" customWidth="1"/>
    <col min="2" max="2" width="54.5546875" style="11" bestFit="1" customWidth="1"/>
    <col min="3" max="3" width="13.109375" style="11" bestFit="1" customWidth="1"/>
    <col min="4" max="4" width="10.88671875" style="11" bestFit="1" customWidth="1"/>
    <col min="5" max="5" width="8.5546875" style="11" bestFit="1" customWidth="1"/>
    <col min="6" max="6" width="17.33203125" style="11" bestFit="1" customWidth="1"/>
    <col min="7" max="7" width="9.109375" style="11"/>
    <col min="8" max="8" width="12.5546875" style="11" bestFit="1" customWidth="1"/>
    <col min="9" max="9" width="10.88671875" style="11" bestFit="1" customWidth="1"/>
    <col min="10" max="10" width="11.109375" style="11" bestFit="1" customWidth="1"/>
    <col min="11" max="11" width="9.88671875" style="11" bestFit="1" customWidth="1"/>
    <col min="12" max="16384" width="9.109375" style="11"/>
  </cols>
  <sheetData>
    <row r="2" spans="2:11" ht="25.8" x14ac:dyDescent="0.5">
      <c r="B2" s="67" t="s">
        <v>134</v>
      </c>
    </row>
    <row r="3" spans="2:11" x14ac:dyDescent="0.3">
      <c r="B3" s="14" t="str">
        <f>Model!B3</f>
        <v>In millions, except per share data</v>
      </c>
    </row>
    <row r="4" spans="2:11" x14ac:dyDescent="0.3">
      <c r="B4" s="14"/>
    </row>
    <row r="5" spans="2:11" x14ac:dyDescent="0.3">
      <c r="B5" s="14"/>
      <c r="C5" s="114" t="s">
        <v>1</v>
      </c>
      <c r="D5" s="115"/>
      <c r="E5" s="115"/>
      <c r="F5" s="115"/>
      <c r="H5" s="114" t="s">
        <v>0</v>
      </c>
      <c r="I5" s="115"/>
      <c r="J5" s="115"/>
      <c r="K5" s="115"/>
    </row>
    <row r="6" spans="2:11" x14ac:dyDescent="0.3">
      <c r="C6" s="114" t="str">
        <f>Model!C18</f>
        <v>Scripps</v>
      </c>
      <c r="D6" s="115"/>
      <c r="E6" s="115"/>
      <c r="F6" s="115"/>
      <c r="G6" s="101"/>
      <c r="H6" s="114" t="str">
        <f>Model!C11</f>
        <v>Discovery</v>
      </c>
      <c r="I6" s="115"/>
      <c r="J6" s="115"/>
      <c r="K6" s="115"/>
    </row>
    <row r="7" spans="2:11" x14ac:dyDescent="0.3">
      <c r="B7" s="17" t="s">
        <v>4</v>
      </c>
      <c r="C7" s="18"/>
      <c r="D7" s="18"/>
      <c r="E7" s="6"/>
      <c r="F7" s="146">
        <f>Model!C24</f>
        <v>90</v>
      </c>
      <c r="G7" s="101"/>
      <c r="H7" s="18"/>
      <c r="I7" s="18"/>
      <c r="J7" s="6"/>
      <c r="K7" s="146">
        <f>Model!C15</f>
        <v>26.4</v>
      </c>
    </row>
    <row r="8" spans="2:11" x14ac:dyDescent="0.3">
      <c r="B8" s="17" t="s">
        <v>184</v>
      </c>
      <c r="C8"/>
      <c r="D8"/>
      <c r="E8"/>
      <c r="F8" s="88">
        <f>95.905959+33.850481</f>
        <v>129.75644</v>
      </c>
      <c r="G8"/>
      <c r="H8"/>
      <c r="I8"/>
      <c r="J8"/>
      <c r="K8" s="49">
        <f>((((((153770826+6512379+224289527)/10)/10)/10)/10)/10)/10</f>
        <v>384.57273200000003</v>
      </c>
    </row>
    <row r="9" spans="2:11" x14ac:dyDescent="0.3">
      <c r="B9" s="125" t="s">
        <v>162</v>
      </c>
      <c r="C9"/>
      <c r="D9"/>
      <c r="E9"/>
      <c r="F9" s="49">
        <f>C29</f>
        <v>2.5860000000000003</v>
      </c>
      <c r="G9"/>
      <c r="H9"/>
      <c r="I9"/>
      <c r="J9"/>
      <c r="K9" s="49">
        <f>J29</f>
        <v>8</v>
      </c>
    </row>
    <row r="10" spans="2:11" x14ac:dyDescent="0.3">
      <c r="B10" s="125" t="s">
        <v>161</v>
      </c>
      <c r="C10"/>
      <c r="D10"/>
      <c r="E10"/>
      <c r="F10" s="49">
        <f>F29/F7</f>
        <v>1.7251493333333334</v>
      </c>
      <c r="G10"/>
      <c r="H10"/>
      <c r="I10"/>
      <c r="J10"/>
      <c r="K10" s="49">
        <f>K29/K7</f>
        <v>7.0333333333333341</v>
      </c>
    </row>
    <row r="11" spans="2:11" x14ac:dyDescent="0.3">
      <c r="B11" s="87" t="s">
        <v>180</v>
      </c>
      <c r="C11" s="126"/>
      <c r="D11" s="126"/>
      <c r="E11" s="6"/>
      <c r="F11" s="49">
        <v>0.38</v>
      </c>
      <c r="G11"/>
      <c r="H11"/>
      <c r="I11"/>
      <c r="J11"/>
      <c r="K11" s="49">
        <v>0</v>
      </c>
    </row>
    <row r="12" spans="2:11" x14ac:dyDescent="0.3">
      <c r="B12" s="125" t="s">
        <v>178</v>
      </c>
      <c r="C12" s="126"/>
      <c r="D12" s="126"/>
      <c r="E12" s="6"/>
      <c r="F12" s="49">
        <v>0</v>
      </c>
      <c r="G12"/>
      <c r="H12"/>
      <c r="I12"/>
      <c r="J12"/>
      <c r="K12" s="49">
        <v>0</v>
      </c>
    </row>
    <row r="13" spans="2:11" x14ac:dyDescent="0.3">
      <c r="B13" s="125" t="s">
        <v>179</v>
      </c>
      <c r="C13" s="126"/>
      <c r="D13" s="126"/>
      <c r="E13" s="6"/>
      <c r="F13" s="49">
        <v>0</v>
      </c>
      <c r="G13"/>
      <c r="H13"/>
      <c r="I13"/>
      <c r="J13"/>
      <c r="K13" s="49">
        <v>195</v>
      </c>
    </row>
    <row r="14" spans="2:11" x14ac:dyDescent="0.3">
      <c r="B14" s="31" t="s">
        <v>123</v>
      </c>
      <c r="C14" s="18"/>
      <c r="D14" s="18"/>
      <c r="E14" s="6"/>
      <c r="F14" s="49">
        <f>F8+F9-F10+F11</f>
        <v>130.99729066666669</v>
      </c>
      <c r="G14" s="127"/>
      <c r="H14" s="126"/>
      <c r="I14" s="126"/>
      <c r="J14" s="126"/>
      <c r="K14" s="49">
        <f>K8+K9-K10+K13+K12</f>
        <v>580.53939866666667</v>
      </c>
    </row>
    <row r="16" spans="2:11" x14ac:dyDescent="0.3">
      <c r="B16" s="22" t="s">
        <v>86</v>
      </c>
      <c r="C16" s="23" t="s">
        <v>151</v>
      </c>
      <c r="D16" s="23" t="s">
        <v>83</v>
      </c>
      <c r="E16" s="23" t="s">
        <v>84</v>
      </c>
      <c r="F16" s="23" t="s">
        <v>85</v>
      </c>
      <c r="G16" s="23"/>
      <c r="H16" s="23" t="s">
        <v>152</v>
      </c>
      <c r="I16" s="23" t="s">
        <v>83</v>
      </c>
      <c r="J16" s="23" t="s">
        <v>84</v>
      </c>
      <c r="K16" s="23" t="s">
        <v>85</v>
      </c>
    </row>
    <row r="17" spans="2:11" x14ac:dyDescent="0.3">
      <c r="B17" s="17" t="s">
        <v>87</v>
      </c>
      <c r="C17">
        <v>2.5860000000000003</v>
      </c>
      <c r="D17">
        <v>60.04</v>
      </c>
      <c r="E17" s="102">
        <f t="shared" ref="E17:E28" si="0">IF(D17&lt;$F$7,C17,0)</f>
        <v>2.5860000000000003</v>
      </c>
      <c r="F17" s="104">
        <f t="shared" ref="F17:F28" si="1">E17*D17</f>
        <v>155.26344</v>
      </c>
      <c r="G17" s="104"/>
      <c r="H17">
        <v>8</v>
      </c>
      <c r="I17">
        <v>23.21</v>
      </c>
      <c r="J17" s="102">
        <f t="shared" ref="J17:J28" si="2">IF(I17&lt;$K$7,H17,0)</f>
        <v>8</v>
      </c>
      <c r="K17" s="104">
        <f t="shared" ref="K17:K28" si="3">J17*I17</f>
        <v>185.68</v>
      </c>
    </row>
    <row r="18" spans="2:11" x14ac:dyDescent="0.3">
      <c r="B18" s="17" t="s">
        <v>88</v>
      </c>
      <c r="C18"/>
      <c r="D18"/>
      <c r="E18" s="102">
        <f t="shared" si="0"/>
        <v>0</v>
      </c>
      <c r="F18" s="104">
        <f t="shared" si="1"/>
        <v>0</v>
      </c>
      <c r="G18" s="104"/>
      <c r="H18"/>
      <c r="I18"/>
      <c r="J18" s="102">
        <f t="shared" si="2"/>
        <v>0</v>
      </c>
      <c r="K18" s="104">
        <f t="shared" si="3"/>
        <v>0</v>
      </c>
    </row>
    <row r="19" spans="2:11" x14ac:dyDescent="0.3">
      <c r="B19" s="17" t="s">
        <v>89</v>
      </c>
      <c r="C19"/>
      <c r="D19"/>
      <c r="E19" s="102">
        <f t="shared" si="0"/>
        <v>0</v>
      </c>
      <c r="F19" s="104">
        <f t="shared" si="1"/>
        <v>0</v>
      </c>
      <c r="G19" s="104"/>
      <c r="H19"/>
      <c r="I19"/>
      <c r="J19" s="102">
        <f t="shared" si="2"/>
        <v>0</v>
      </c>
      <c r="K19" s="104">
        <f t="shared" si="3"/>
        <v>0</v>
      </c>
    </row>
    <row r="20" spans="2:11" x14ac:dyDescent="0.3">
      <c r="B20" s="17" t="s">
        <v>90</v>
      </c>
      <c r="C20"/>
      <c r="D20"/>
      <c r="E20" s="102">
        <f t="shared" si="0"/>
        <v>0</v>
      </c>
      <c r="F20" s="104">
        <f t="shared" si="1"/>
        <v>0</v>
      </c>
      <c r="G20" s="104"/>
      <c r="H20"/>
      <c r="I20"/>
      <c r="J20" s="102">
        <f t="shared" si="2"/>
        <v>0</v>
      </c>
      <c r="K20" s="104">
        <f t="shared" si="3"/>
        <v>0</v>
      </c>
    </row>
    <row r="21" spans="2:11" x14ac:dyDescent="0.3">
      <c r="B21" s="17" t="s">
        <v>91</v>
      </c>
      <c r="C21"/>
      <c r="D21"/>
      <c r="E21" s="102">
        <f t="shared" si="0"/>
        <v>0</v>
      </c>
      <c r="F21" s="104">
        <f t="shared" si="1"/>
        <v>0</v>
      </c>
      <c r="G21" s="104"/>
      <c r="H21"/>
      <c r="I21"/>
      <c r="J21" s="102">
        <f t="shared" si="2"/>
        <v>0</v>
      </c>
      <c r="K21" s="104">
        <f t="shared" si="3"/>
        <v>0</v>
      </c>
    </row>
    <row r="22" spans="2:11" x14ac:dyDescent="0.3">
      <c r="B22" s="17" t="s">
        <v>92</v>
      </c>
      <c r="C22"/>
      <c r="D22"/>
      <c r="E22" s="102">
        <f t="shared" si="0"/>
        <v>0</v>
      </c>
      <c r="F22" s="104">
        <f t="shared" si="1"/>
        <v>0</v>
      </c>
      <c r="G22" s="104"/>
      <c r="H22"/>
      <c r="I22"/>
      <c r="J22" s="102">
        <f t="shared" si="2"/>
        <v>0</v>
      </c>
      <c r="K22" s="104">
        <f t="shared" si="3"/>
        <v>0</v>
      </c>
    </row>
    <row r="23" spans="2:11" x14ac:dyDescent="0.3">
      <c r="B23" s="17" t="s">
        <v>145</v>
      </c>
      <c r="C23"/>
      <c r="D23"/>
      <c r="E23" s="102">
        <f t="shared" si="0"/>
        <v>0</v>
      </c>
      <c r="F23" s="104">
        <f t="shared" si="1"/>
        <v>0</v>
      </c>
      <c r="G23" s="105"/>
      <c r="H23"/>
      <c r="I23"/>
      <c r="J23" s="102">
        <f t="shared" si="2"/>
        <v>0</v>
      </c>
      <c r="K23" s="104">
        <f t="shared" si="3"/>
        <v>0</v>
      </c>
    </row>
    <row r="24" spans="2:11" x14ac:dyDescent="0.3">
      <c r="B24" s="17" t="s">
        <v>146</v>
      </c>
      <c r="C24"/>
      <c r="D24"/>
      <c r="E24" s="102">
        <f t="shared" si="0"/>
        <v>0</v>
      </c>
      <c r="F24" s="104">
        <f t="shared" si="1"/>
        <v>0</v>
      </c>
      <c r="H24"/>
      <c r="I24"/>
      <c r="J24" s="102">
        <f t="shared" si="2"/>
        <v>0</v>
      </c>
      <c r="K24" s="104">
        <f t="shared" si="3"/>
        <v>0</v>
      </c>
    </row>
    <row r="25" spans="2:11" x14ac:dyDescent="0.3">
      <c r="B25" s="17" t="s">
        <v>147</v>
      </c>
      <c r="C25"/>
      <c r="D25"/>
      <c r="E25" s="102">
        <f t="shared" si="0"/>
        <v>0</v>
      </c>
      <c r="F25" s="104">
        <f t="shared" si="1"/>
        <v>0</v>
      </c>
      <c r="H25"/>
      <c r="I25"/>
      <c r="J25" s="102">
        <f t="shared" si="2"/>
        <v>0</v>
      </c>
      <c r="K25" s="104">
        <f t="shared" si="3"/>
        <v>0</v>
      </c>
    </row>
    <row r="26" spans="2:11" x14ac:dyDescent="0.3">
      <c r="B26" s="17" t="s">
        <v>148</v>
      </c>
      <c r="C26"/>
      <c r="D26"/>
      <c r="E26" s="102">
        <f t="shared" si="0"/>
        <v>0</v>
      </c>
      <c r="F26" s="104">
        <f t="shared" si="1"/>
        <v>0</v>
      </c>
      <c r="H26"/>
      <c r="I26"/>
      <c r="J26" s="102">
        <f t="shared" si="2"/>
        <v>0</v>
      </c>
      <c r="K26" s="104">
        <f t="shared" si="3"/>
        <v>0</v>
      </c>
    </row>
    <row r="27" spans="2:11" x14ac:dyDescent="0.3">
      <c r="B27" s="17" t="s">
        <v>149</v>
      </c>
      <c r="C27"/>
      <c r="D27"/>
      <c r="E27" s="102">
        <f t="shared" si="0"/>
        <v>0</v>
      </c>
      <c r="F27" s="104">
        <f t="shared" si="1"/>
        <v>0</v>
      </c>
      <c r="H27"/>
      <c r="I27"/>
      <c r="J27" s="102">
        <f t="shared" si="2"/>
        <v>0</v>
      </c>
      <c r="K27" s="104">
        <f t="shared" si="3"/>
        <v>0</v>
      </c>
    </row>
    <row r="28" spans="2:11" x14ac:dyDescent="0.3">
      <c r="B28" s="17" t="s">
        <v>150</v>
      </c>
      <c r="C28" s="96"/>
      <c r="D28" s="93"/>
      <c r="E28" s="116">
        <f t="shared" si="0"/>
        <v>0</v>
      </c>
      <c r="F28" s="117">
        <f t="shared" si="1"/>
        <v>0</v>
      </c>
      <c r="H28"/>
      <c r="I28"/>
      <c r="J28" s="116">
        <f t="shared" si="2"/>
        <v>0</v>
      </c>
      <c r="K28" s="117">
        <f t="shared" si="3"/>
        <v>0</v>
      </c>
    </row>
    <row r="29" spans="2:11" x14ac:dyDescent="0.3">
      <c r="B29" s="31"/>
      <c r="C29" s="118">
        <f>SUM(C17:C28)</f>
        <v>2.5860000000000003</v>
      </c>
      <c r="D29" s="6"/>
      <c r="E29" s="113">
        <f>SUM(E17:E28)</f>
        <v>2.5860000000000003</v>
      </c>
      <c r="F29" s="105">
        <f>SUM(F17:F28)</f>
        <v>155.26344</v>
      </c>
      <c r="H29" s="119">
        <f>SUM(H17:H28)</f>
        <v>8</v>
      </c>
      <c r="J29" s="103">
        <f>SUM(J17:J28)</f>
        <v>8</v>
      </c>
      <c r="K29" s="105">
        <f>SUM(K17:K28)</f>
        <v>185.68</v>
      </c>
    </row>
    <row r="46" spans="2:2" x14ac:dyDescent="0.3">
      <c r="B46" s="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E50"/>
  <sheetViews>
    <sheetView tabSelected="1" zoomScaleNormal="100" workbookViewId="0">
      <selection activeCell="F7" sqref="F7"/>
    </sheetView>
  </sheetViews>
  <sheetFormatPr defaultColWidth="9.109375" defaultRowHeight="14.4" x14ac:dyDescent="0.3"/>
  <cols>
    <col min="1" max="1" width="3" style="11" customWidth="1"/>
    <col min="2" max="2" width="51.44140625" style="11" bestFit="1" customWidth="1"/>
    <col min="3" max="5" width="13.109375" style="11" customWidth="1"/>
    <col min="6" max="16384" width="9.109375" style="11"/>
  </cols>
  <sheetData>
    <row r="2" spans="2:5" ht="25.8" x14ac:dyDescent="0.5">
      <c r="B2" s="67" t="s">
        <v>139</v>
      </c>
    </row>
    <row r="3" spans="2:5" x14ac:dyDescent="0.3">
      <c r="B3" s="244" t="str">
        <f>Model!B3</f>
        <v>In millions, except per share data</v>
      </c>
    </row>
    <row r="5" spans="2:5" ht="16.2" x14ac:dyDescent="0.3">
      <c r="B5" s="236" t="s">
        <v>217</v>
      </c>
      <c r="C5" s="100" t="str">
        <f>Model!C11</f>
        <v>Discovery</v>
      </c>
      <c r="D5" s="100" t="str">
        <f>Model!C18</f>
        <v>Scripps</v>
      </c>
      <c r="E5" s="100" t="s">
        <v>159</v>
      </c>
    </row>
    <row r="6" spans="2:5" x14ac:dyDescent="0.3">
      <c r="B6" s="94" t="s">
        <v>122</v>
      </c>
      <c r="C6" s="247">
        <f>Model!C15</f>
        <v>26.4</v>
      </c>
      <c r="D6" s="247">
        <f>Shares!F7</f>
        <v>90</v>
      </c>
      <c r="E6" s="100"/>
    </row>
    <row r="7" spans="2:5" x14ac:dyDescent="0.3">
      <c r="B7" s="122" t="s">
        <v>123</v>
      </c>
      <c r="C7" s="248">
        <f>Shares!K14</f>
        <v>580.53939866666667</v>
      </c>
      <c r="D7" s="248">
        <f>Shares!F14</f>
        <v>130.99729066666669</v>
      </c>
      <c r="E7" s="100"/>
    </row>
    <row r="8" spans="2:5" x14ac:dyDescent="0.3">
      <c r="B8" s="99" t="s">
        <v>130</v>
      </c>
      <c r="C8" s="95">
        <f>C6*C7</f>
        <v>15326.240124799999</v>
      </c>
      <c r="D8" s="95">
        <f>D6*D7</f>
        <v>11789.756160000001</v>
      </c>
      <c r="E8" s="221"/>
    </row>
    <row r="9" spans="2:5" x14ac:dyDescent="0.3">
      <c r="B9" s="87" t="s">
        <v>132</v>
      </c>
      <c r="C9" s="249">
        <f>Model!I38</f>
        <v>7396</v>
      </c>
      <c r="D9" s="249">
        <f>Model!J38</f>
        <v>2478.4710000000005</v>
      </c>
      <c r="E9" s="234"/>
    </row>
    <row r="10" spans="2:5" x14ac:dyDescent="0.3">
      <c r="B10" s="7" t="s">
        <v>158</v>
      </c>
      <c r="C10" s="95">
        <f>C8+C9</f>
        <v>22722.240124799999</v>
      </c>
      <c r="D10" s="95">
        <f>D8+D9</f>
        <v>14268.227160000002</v>
      </c>
      <c r="E10" s="95"/>
    </row>
    <row r="11" spans="2:5" x14ac:dyDescent="0.3">
      <c r="B11" s="81" t="s">
        <v>131</v>
      </c>
    </row>
    <row r="12" spans="2:5" x14ac:dyDescent="0.3">
      <c r="B12" s="94" t="s">
        <v>212</v>
      </c>
      <c r="C12" s="245">
        <f>Calendarization!C31</f>
        <v>6843</v>
      </c>
      <c r="D12" s="245">
        <f>Calendarization!I31</f>
        <v>3601</v>
      </c>
      <c r="E12" s="129">
        <f>SUM(C12:D12)</f>
        <v>10444</v>
      </c>
    </row>
    <row r="13" spans="2:5" x14ac:dyDescent="0.3">
      <c r="B13" s="94" t="s">
        <v>213</v>
      </c>
      <c r="C13" s="245">
        <f>Calendarization!C25</f>
        <v>2525</v>
      </c>
      <c r="D13" s="245">
        <f>Calendarization!I25</f>
        <v>1465</v>
      </c>
      <c r="E13" s="129">
        <f>SUM(C13:D13)</f>
        <v>3990</v>
      </c>
    </row>
    <row r="14" spans="2:5" x14ac:dyDescent="0.3">
      <c r="B14" s="94" t="s">
        <v>214</v>
      </c>
      <c r="C14" s="246">
        <f>Calendarization!C19</f>
        <v>1223</v>
      </c>
      <c r="D14" s="246">
        <f>Calendarization!I19</f>
        <v>733</v>
      </c>
      <c r="E14" s="129">
        <f>SUM(C14:D14)</f>
        <v>1956</v>
      </c>
    </row>
    <row r="15" spans="2:5" x14ac:dyDescent="0.3">
      <c r="B15" s="81" t="s">
        <v>216</v>
      </c>
      <c r="C15" s="232"/>
      <c r="D15" s="232"/>
      <c r="E15" s="233"/>
    </row>
    <row r="16" spans="2:5" x14ac:dyDescent="0.3">
      <c r="B16" s="94" t="s">
        <v>212</v>
      </c>
      <c r="C16" s="250">
        <f>C12/$E$12</f>
        <v>0.65520873228648024</v>
      </c>
      <c r="D16" s="250">
        <f>D12/$E$12</f>
        <v>0.3447912677135197</v>
      </c>
      <c r="E16" s="251">
        <f>SUM(C16:D16)</f>
        <v>1</v>
      </c>
    </row>
    <row r="17" spans="2:5" s="1" customFormat="1" x14ac:dyDescent="0.3">
      <c r="B17" s="94" t="s">
        <v>213</v>
      </c>
      <c r="C17" s="250">
        <f>C13/$E$13</f>
        <v>0.6328320802005013</v>
      </c>
      <c r="D17" s="250">
        <f>D13/$E$13</f>
        <v>0.36716791979949875</v>
      </c>
      <c r="E17" s="251">
        <f t="shared" ref="E17:E19" si="0">SUM(C17:D17)</f>
        <v>1</v>
      </c>
    </row>
    <row r="18" spans="2:5" s="1" customFormat="1" x14ac:dyDescent="0.3">
      <c r="B18" s="94" t="s">
        <v>214</v>
      </c>
      <c r="C18" s="252">
        <f>C14/$E$14</f>
        <v>0.62525562372188137</v>
      </c>
      <c r="D18" s="252">
        <f>D14/$E$14</f>
        <v>0.37474437627811863</v>
      </c>
      <c r="E18" s="251">
        <f t="shared" si="0"/>
        <v>1</v>
      </c>
    </row>
    <row r="19" spans="2:5" s="1" customFormat="1" x14ac:dyDescent="0.3">
      <c r="B19" s="94" t="s">
        <v>158</v>
      </c>
      <c r="C19" s="252">
        <f>C10/SUM(C10:D10)</f>
        <v>0.61427285981155866</v>
      </c>
      <c r="D19" s="252">
        <f>D10/SUM(C10:D10)</f>
        <v>0.38572714018844129</v>
      </c>
      <c r="E19" s="251">
        <f t="shared" si="0"/>
        <v>1</v>
      </c>
    </row>
    <row r="20" spans="2:5" s="1" customFormat="1" x14ac:dyDescent="0.3">
      <c r="B20" s="81" t="s">
        <v>215</v>
      </c>
    </row>
    <row r="21" spans="2:5" s="1" customFormat="1" x14ac:dyDescent="0.3">
      <c r="B21" s="94" t="s">
        <v>212</v>
      </c>
      <c r="C21" s="253">
        <f>C10/C12</f>
        <v>3.3205085671196843</v>
      </c>
      <c r="D21" s="253">
        <f>D10/D12</f>
        <v>3.9622957956123304</v>
      </c>
      <c r="E21" s="253">
        <f>SUM(C10:D10)/E12</f>
        <v>3.5417911992340105</v>
      </c>
    </row>
    <row r="22" spans="2:5" s="1" customFormat="1" x14ac:dyDescent="0.3">
      <c r="B22" s="94" t="s">
        <v>213</v>
      </c>
      <c r="C22" s="253">
        <f>C10/C13</f>
        <v>8.9989069801188108</v>
      </c>
      <c r="D22" s="253">
        <f>D10/D13</f>
        <v>9.7394042047781593</v>
      </c>
      <c r="E22" s="253">
        <f>SUM(C10:D10)/E13</f>
        <v>9.2707938057142876</v>
      </c>
    </row>
    <row r="23" spans="2:5" s="1" customFormat="1" x14ac:dyDescent="0.3">
      <c r="B23" s="94" t="s">
        <v>239</v>
      </c>
      <c r="C23" s="254">
        <f>C8/C14</f>
        <v>12.531676308094848</v>
      </c>
      <c r="D23" s="254">
        <f>D8/D14</f>
        <v>16.0842512414734</v>
      </c>
      <c r="E23" s="253">
        <f>SUM(C8:D8)/E14</f>
        <v>13.862983785685071</v>
      </c>
    </row>
    <row r="24" spans="2:5" s="1" customFormat="1" ht="16.2" x14ac:dyDescent="0.3">
      <c r="B24" s="123" t="s">
        <v>226</v>
      </c>
    </row>
    <row r="25" spans="2:5" s="1" customFormat="1" x14ac:dyDescent="0.3"/>
    <row r="26" spans="2:5" s="1" customFormat="1" x14ac:dyDescent="0.3">
      <c r="B26" s="11"/>
      <c r="D26" s="115" t="s">
        <v>221</v>
      </c>
      <c r="E26" s="115"/>
    </row>
    <row r="27" spans="2:5" s="1" customFormat="1" x14ac:dyDescent="0.3">
      <c r="B27" s="1" t="s">
        <v>220</v>
      </c>
      <c r="D27" s="11" t="s">
        <v>222</v>
      </c>
      <c r="E27" s="11" t="s">
        <v>223</v>
      </c>
    </row>
    <row r="28" spans="2:5" x14ac:dyDescent="0.3">
      <c r="B28" s="11" t="str">
        <f>$C$5&amp;" enterprise value"</f>
        <v>Discovery enterprise value</v>
      </c>
      <c r="D28" s="255">
        <f>$C$10</f>
        <v>22722.240124799999</v>
      </c>
      <c r="E28" s="255">
        <f>$C$10</f>
        <v>22722.240124799999</v>
      </c>
    </row>
    <row r="29" spans="2:5" x14ac:dyDescent="0.3">
      <c r="B29" s="11" t="s">
        <v>219</v>
      </c>
      <c r="D29" s="256">
        <f>D28/C16</f>
        <v>34679.391474997981</v>
      </c>
      <c r="E29" s="257">
        <f>E28/C17</f>
        <v>35905.638850674055</v>
      </c>
    </row>
    <row r="30" spans="2:5" x14ac:dyDescent="0.3">
      <c r="B30" s="11" t="str">
        <f>"Implied "&amp;D5&amp;" enterprise value"</f>
        <v>Implied Scripps enterprise value</v>
      </c>
      <c r="D30" s="255">
        <f>D29-D28</f>
        <v>11957.151350197983</v>
      </c>
      <c r="E30" s="255">
        <f>E29-E28</f>
        <v>13183.398725874056</v>
      </c>
    </row>
    <row r="31" spans="2:5" x14ac:dyDescent="0.3">
      <c r="B31" s="7" t="str">
        <f>D5&amp;" Net debt"</f>
        <v>Scripps Net debt</v>
      </c>
      <c r="D31" s="257">
        <f>$D$9</f>
        <v>2478.4710000000005</v>
      </c>
      <c r="E31" s="257">
        <f>$D$9</f>
        <v>2478.4710000000005</v>
      </c>
    </row>
    <row r="32" spans="2:5" x14ac:dyDescent="0.3">
      <c r="B32" s="89" t="str">
        <f>"Implied "&amp;D5&amp;" Equity value"</f>
        <v>Implied Scripps Equity value</v>
      </c>
      <c r="D32" s="258">
        <f>D30-D31</f>
        <v>9478.6803501979812</v>
      </c>
      <c r="E32" s="258">
        <f>E30-E31</f>
        <v>10704.927725874055</v>
      </c>
    </row>
    <row r="33" spans="2:5" x14ac:dyDescent="0.3">
      <c r="B33" s="237" t="str">
        <f>"Implied "&amp;D5&amp;" share price"</f>
        <v>Implied Scripps share price</v>
      </c>
      <c r="C33" s="64"/>
      <c r="D33" s="259">
        <f>D32/$D$7</f>
        <v>72.357835051087108</v>
      </c>
      <c r="E33" s="259">
        <f>E32/$D$7</f>
        <v>81.718695641680242</v>
      </c>
    </row>
    <row r="34" spans="2:5" x14ac:dyDescent="0.3">
      <c r="B34" s="238" t="s">
        <v>95</v>
      </c>
      <c r="C34" s="6"/>
      <c r="D34" s="261">
        <f>$D$6</f>
        <v>90</v>
      </c>
      <c r="E34" s="261">
        <f>$D$6</f>
        <v>90</v>
      </c>
    </row>
    <row r="35" spans="2:5" x14ac:dyDescent="0.3">
      <c r="B35" s="239" t="s">
        <v>218</v>
      </c>
      <c r="C35" s="29"/>
      <c r="D35" s="263">
        <f>D34/D33-1</f>
        <v>0.24381830850048125</v>
      </c>
      <c r="E35" s="263">
        <f>E34/E33-1</f>
        <v>0.10133916471980386</v>
      </c>
    </row>
    <row r="37" spans="2:5" x14ac:dyDescent="0.3">
      <c r="B37" s="1" t="s">
        <v>220</v>
      </c>
      <c r="E37" s="11" t="s">
        <v>224</v>
      </c>
    </row>
    <row r="38" spans="2:5" x14ac:dyDescent="0.3">
      <c r="B38" s="11" t="str">
        <f>$C$5&amp;" equity value"</f>
        <v>Discovery equity value</v>
      </c>
      <c r="D38" s="131"/>
      <c r="E38" s="255">
        <f>C8</f>
        <v>15326.240124799999</v>
      </c>
    </row>
    <row r="39" spans="2:5" x14ac:dyDescent="0.3">
      <c r="B39" s="11" t="s">
        <v>225</v>
      </c>
      <c r="E39" s="255">
        <f>E38/C18</f>
        <v>24511.958858633523</v>
      </c>
    </row>
    <row r="40" spans="2:5" x14ac:dyDescent="0.3">
      <c r="B40" s="89" t="str">
        <f>"Implied "&amp;D5&amp;" equity value"</f>
        <v>Implied Scripps equity value</v>
      </c>
      <c r="E40" s="255">
        <f>E39-E38</f>
        <v>9185.7187338335243</v>
      </c>
    </row>
    <row r="41" spans="2:5" x14ac:dyDescent="0.3">
      <c r="B41" s="237" t="str">
        <f>"Implied "&amp;D5&amp;" share price"</f>
        <v>Implied Scripps share price</v>
      </c>
      <c r="C41" s="64"/>
      <c r="D41" s="64"/>
      <c r="E41" s="260">
        <f>E40/D7</f>
        <v>70.121440581602073</v>
      </c>
    </row>
    <row r="42" spans="2:5" x14ac:dyDescent="0.3">
      <c r="B42" s="240" t="s">
        <v>95</v>
      </c>
      <c r="C42" s="6"/>
      <c r="D42" s="6"/>
      <c r="E42" s="262">
        <f>D6</f>
        <v>90</v>
      </c>
    </row>
    <row r="43" spans="2:5" x14ac:dyDescent="0.3">
      <c r="B43" s="241" t="s">
        <v>218</v>
      </c>
      <c r="C43" s="29"/>
      <c r="D43" s="29"/>
      <c r="E43" s="264">
        <f>E42/E41-1</f>
        <v>0.28348760740682089</v>
      </c>
    </row>
    <row r="45" spans="2:5" x14ac:dyDescent="0.3">
      <c r="B45" s="242" t="s">
        <v>227</v>
      </c>
      <c r="C45" s="29"/>
      <c r="D45" s="29"/>
      <c r="E45" s="242"/>
    </row>
    <row r="46" spans="2:5" x14ac:dyDescent="0.3">
      <c r="B46" s="243" t="str">
        <f>"Implied "&amp;D5&amp;" share price based on:"</f>
        <v>Implied Scripps share price based on:</v>
      </c>
    </row>
    <row r="47" spans="2:5" x14ac:dyDescent="0.3">
      <c r="B47" s="11" t="s">
        <v>230</v>
      </c>
      <c r="E47" s="131">
        <f>D33</f>
        <v>72.357835051087108</v>
      </c>
    </row>
    <row r="48" spans="2:5" x14ac:dyDescent="0.3">
      <c r="B48" s="11" t="s">
        <v>228</v>
      </c>
      <c r="E48" s="131">
        <f>E33</f>
        <v>81.718695641680242</v>
      </c>
    </row>
    <row r="49" spans="2:5" x14ac:dyDescent="0.3">
      <c r="B49" s="11" t="s">
        <v>229</v>
      </c>
      <c r="E49" s="131">
        <f>E41</f>
        <v>70.121440581602073</v>
      </c>
    </row>
    <row r="50" spans="2:5" x14ac:dyDescent="0.3">
      <c r="B50" s="11" t="s">
        <v>95</v>
      </c>
      <c r="E50" s="131">
        <f>E42</f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B2:N34"/>
  <sheetViews>
    <sheetView topLeftCell="A7" zoomScaleNormal="100" workbookViewId="0">
      <selection activeCell="F15" sqref="F15"/>
    </sheetView>
  </sheetViews>
  <sheetFormatPr defaultColWidth="9.109375" defaultRowHeight="14.4" x14ac:dyDescent="0.3"/>
  <cols>
    <col min="1" max="1" width="2.33203125" style="11" customWidth="1"/>
    <col min="2" max="2" width="13.6640625" style="11" customWidth="1"/>
    <col min="3" max="3" width="20.109375" style="11" customWidth="1"/>
    <col min="4" max="4" width="2.33203125" style="11" customWidth="1"/>
    <col min="5" max="5" width="13.44140625" style="11" customWidth="1"/>
    <col min="6" max="6" width="20.109375" style="11" customWidth="1"/>
    <col min="7" max="7" width="1.6640625" style="11" customWidth="1"/>
    <col min="8" max="8" width="13.88671875" style="11" customWidth="1"/>
    <col min="9" max="9" width="21.44140625" style="11" customWidth="1"/>
    <col min="10" max="10" width="45.109375" style="11" bestFit="1" customWidth="1"/>
    <col min="11" max="14" width="9.109375" style="11"/>
    <col min="15" max="15" width="9.6640625" style="11" bestFit="1" customWidth="1"/>
    <col min="16" max="16" width="9.6640625" style="11" customWidth="1"/>
    <col min="17" max="56" width="9.6640625" style="11" bestFit="1" customWidth="1"/>
    <col min="57" max="16384" width="9.109375" style="11"/>
  </cols>
  <sheetData>
    <row r="2" spans="2:14" ht="25.8" x14ac:dyDescent="0.5">
      <c r="B2" s="67" t="s">
        <v>138</v>
      </c>
    </row>
    <row r="3" spans="2:14" x14ac:dyDescent="0.3">
      <c r="B3" s="220" t="str">
        <f>Model!B3</f>
        <v>In millions, except per share data</v>
      </c>
    </row>
    <row r="5" spans="2:14" ht="15" thickBot="1" x14ac:dyDescent="0.35">
      <c r="C5" s="188" t="s">
        <v>203</v>
      </c>
      <c r="E5" s="206" t="s">
        <v>138</v>
      </c>
      <c r="F5" s="219"/>
      <c r="G5" s="219"/>
      <c r="H5" s="207"/>
    </row>
    <row r="6" spans="2:14" ht="15" thickBot="1" x14ac:dyDescent="0.35">
      <c r="B6" s="235" t="str">
        <f>Model!C11</f>
        <v>Discovery</v>
      </c>
      <c r="C6" s="209">
        <v>42735</v>
      </c>
      <c r="E6" s="174" t="s">
        <v>204</v>
      </c>
      <c r="H6" s="203">
        <f>IF(C7&gt;C6,1-H7,0)</f>
        <v>0</v>
      </c>
    </row>
    <row r="7" spans="2:14" ht="15" thickBot="1" x14ac:dyDescent="0.35">
      <c r="B7" s="235" t="str">
        <f>Model!C18</f>
        <v>Scripps</v>
      </c>
      <c r="C7" s="209">
        <v>42735</v>
      </c>
      <c r="E7" s="174" t="s">
        <v>205</v>
      </c>
      <c r="H7" s="203">
        <f>1-YEARFRAC(C6,C7)</f>
        <v>1</v>
      </c>
    </row>
    <row r="8" spans="2:14" x14ac:dyDescent="0.3">
      <c r="E8" s="204" t="s">
        <v>206</v>
      </c>
      <c r="F8" s="29"/>
      <c r="G8" s="29"/>
      <c r="H8" s="205">
        <f>1-(H6+H7)</f>
        <v>0</v>
      </c>
    </row>
    <row r="9" spans="2:14" x14ac:dyDescent="0.3">
      <c r="H9" s="77"/>
    </row>
    <row r="10" spans="2:14" ht="15" thickBot="1" x14ac:dyDescent="0.35">
      <c r="B10" s="193" t="str">
        <f>B6</f>
        <v>Discovery</v>
      </c>
      <c r="C10" s="194"/>
      <c r="E10" s="198" t="str">
        <f>B7</f>
        <v>Scripps</v>
      </c>
      <c r="F10" s="198"/>
      <c r="H10" s="193" t="str">
        <f>E10&amp;" adjusted to "&amp;B6&amp;" FYE"</f>
        <v>Scripps adjusted to Discovery FYE</v>
      </c>
      <c r="I10" s="197"/>
    </row>
    <row r="11" spans="2:14" x14ac:dyDescent="0.3">
      <c r="B11" s="196" t="s">
        <v>93</v>
      </c>
      <c r="C11" s="192" t="s">
        <v>209</v>
      </c>
      <c r="E11" s="196" t="s">
        <v>93</v>
      </c>
      <c r="F11" s="192" t="s">
        <v>207</v>
      </c>
      <c r="H11" s="196" t="s">
        <v>93</v>
      </c>
      <c r="I11" s="100" t="s">
        <v>209</v>
      </c>
    </row>
    <row r="12" spans="2:14" ht="15" thickBot="1" x14ac:dyDescent="0.35">
      <c r="B12" s="195"/>
      <c r="C12" s="13"/>
      <c r="D12" s="138"/>
      <c r="E12" s="213">
        <f>C7</f>
        <v>42735</v>
      </c>
      <c r="F12" s="173"/>
      <c r="H12" s="208"/>
    </row>
    <row r="13" spans="2:14" x14ac:dyDescent="0.3">
      <c r="B13" s="208">
        <f>EOMONTH(C6,12)</f>
        <v>43100</v>
      </c>
      <c r="C13" s="210">
        <v>2.11</v>
      </c>
      <c r="D13" s="138"/>
      <c r="E13" s="213">
        <f>EOMONTH(E12,12)</f>
        <v>43100</v>
      </c>
      <c r="F13" s="173">
        <v>5.48</v>
      </c>
      <c r="H13" s="208">
        <f>B13</f>
        <v>43100</v>
      </c>
      <c r="I13" s="189">
        <f>F12*$H$6+F13*$H$7+F14*$H$8</f>
        <v>5.48</v>
      </c>
    </row>
    <row r="14" spans="2:14" x14ac:dyDescent="0.3">
      <c r="B14" s="208">
        <f>EOMONTH(B13,12)</f>
        <v>43465</v>
      </c>
      <c r="C14" s="211">
        <v>2.42</v>
      </c>
      <c r="D14" s="138"/>
      <c r="E14" s="213">
        <f>EOMONTH(E13,12)</f>
        <v>43465</v>
      </c>
      <c r="F14" s="173">
        <v>5.75</v>
      </c>
      <c r="H14" s="208">
        <f>B14</f>
        <v>43465</v>
      </c>
      <c r="I14" s="190">
        <f>F13*$H$6+F14*$H$7+F15*$H$8</f>
        <v>5.75</v>
      </c>
      <c r="M14" s="124"/>
      <c r="N14" s="124"/>
    </row>
    <row r="15" spans="2:14" ht="15" thickBot="1" x14ac:dyDescent="0.35">
      <c r="B15" s="208">
        <f>EOMONTH(B14,12)</f>
        <v>43830</v>
      </c>
      <c r="C15" s="212">
        <v>2.64</v>
      </c>
      <c r="D15" s="138"/>
      <c r="E15" s="213">
        <f>EOMONTH(E14,12)</f>
        <v>43830</v>
      </c>
      <c r="F15" s="173">
        <v>6.16</v>
      </c>
      <c r="H15" s="208">
        <f>B15</f>
        <v>43830</v>
      </c>
      <c r="I15" s="191">
        <f>F14*$H$6+F15*$H$7+F16*$H$8</f>
        <v>6.16</v>
      </c>
    </row>
    <row r="16" spans="2:14" x14ac:dyDescent="0.3">
      <c r="B16" s="186"/>
      <c r="C16" s="187"/>
      <c r="D16" s="138"/>
      <c r="E16" s="213">
        <f>EOMONTH(E15,12)</f>
        <v>44196</v>
      </c>
      <c r="F16" s="214">
        <f>F15*1.145</f>
        <v>7.0532000000000004</v>
      </c>
      <c r="H16" s="208"/>
    </row>
    <row r="17" spans="2:9" x14ac:dyDescent="0.3">
      <c r="B17" s="7"/>
      <c r="C17" s="215" t="s">
        <v>208</v>
      </c>
      <c r="D17" s="138"/>
      <c r="E17" s="61"/>
      <c r="F17" s="215" t="s">
        <v>208</v>
      </c>
      <c r="I17" s="192" t="s">
        <v>208</v>
      </c>
    </row>
    <row r="18" spans="2:9" ht="15" thickBot="1" x14ac:dyDescent="0.35">
      <c r="B18" s="7"/>
      <c r="C18" s="13"/>
      <c r="D18" s="138"/>
      <c r="E18" s="213">
        <f>$E$12</f>
        <v>42735</v>
      </c>
      <c r="F18" s="172"/>
      <c r="I18" s="6"/>
    </row>
    <row r="19" spans="2:9" x14ac:dyDescent="0.3">
      <c r="B19" s="199">
        <f>$B$13</f>
        <v>43100</v>
      </c>
      <c r="C19" s="216">
        <v>1223</v>
      </c>
      <c r="D19" s="138"/>
      <c r="E19" s="213">
        <f>$E$13</f>
        <v>43100</v>
      </c>
      <c r="F19" s="172">
        <v>733</v>
      </c>
      <c r="H19" s="208">
        <f>B19</f>
        <v>43100</v>
      </c>
      <c r="I19" s="200">
        <f>F18*$H$6+F19*$H$7+F20*$H$8</f>
        <v>733</v>
      </c>
    </row>
    <row r="20" spans="2:9" x14ac:dyDescent="0.3">
      <c r="B20" s="199">
        <f>$B$14</f>
        <v>43465</v>
      </c>
      <c r="C20" s="217">
        <v>1360</v>
      </c>
      <c r="D20" s="138"/>
      <c r="E20" s="213">
        <f>$E$14</f>
        <v>43465</v>
      </c>
      <c r="F20" s="172">
        <v>754</v>
      </c>
      <c r="H20" s="208">
        <f>B20</f>
        <v>43465</v>
      </c>
      <c r="I20" s="201">
        <f>F19*$H$6+F20*$H$7+F21*$H$8</f>
        <v>754</v>
      </c>
    </row>
    <row r="21" spans="2:9" ht="15" thickBot="1" x14ac:dyDescent="0.35">
      <c r="B21" s="199">
        <f>$B$15</f>
        <v>43830</v>
      </c>
      <c r="C21" s="218">
        <v>1400</v>
      </c>
      <c r="D21" s="138"/>
      <c r="E21" s="213">
        <f>$E$15</f>
        <v>43830</v>
      </c>
      <c r="F21" s="172">
        <v>768</v>
      </c>
      <c r="H21" s="208">
        <f>B21</f>
        <v>43830</v>
      </c>
      <c r="I21" s="202">
        <f>F20*$H$6+F21*$H$7+F22*$H$8</f>
        <v>768</v>
      </c>
    </row>
    <row r="22" spans="2:9" x14ac:dyDescent="0.3">
      <c r="B22" s="7"/>
      <c r="C22" s="61"/>
      <c r="D22" s="138"/>
      <c r="E22" s="213">
        <f>$E$16</f>
        <v>44196</v>
      </c>
      <c r="F22" s="127">
        <f>F21*1.145</f>
        <v>879.36</v>
      </c>
      <c r="I22" s="6"/>
    </row>
    <row r="23" spans="2:9" x14ac:dyDescent="0.3">
      <c r="B23" s="7"/>
      <c r="C23" s="215" t="s">
        <v>210</v>
      </c>
      <c r="D23" s="138"/>
      <c r="E23" s="61"/>
      <c r="F23" s="215" t="s">
        <v>210</v>
      </c>
      <c r="I23" s="215" t="s">
        <v>210</v>
      </c>
    </row>
    <row r="24" spans="2:9" ht="15" thickBot="1" x14ac:dyDescent="0.35">
      <c r="B24" s="7"/>
      <c r="C24" s="13"/>
      <c r="D24" s="138"/>
      <c r="E24" s="213">
        <f>$E$12</f>
        <v>42735</v>
      </c>
      <c r="F24" s="172">
        <v>2278</v>
      </c>
      <c r="I24" s="6"/>
    </row>
    <row r="25" spans="2:9" x14ac:dyDescent="0.3">
      <c r="B25" s="199">
        <f>$B$13</f>
        <v>43100</v>
      </c>
      <c r="C25" s="216">
        <v>2525</v>
      </c>
      <c r="D25" s="138"/>
      <c r="E25" s="213">
        <f>$E$13</f>
        <v>43100</v>
      </c>
      <c r="F25" s="172">
        <v>1465</v>
      </c>
      <c r="H25" s="208">
        <f>B25</f>
        <v>43100</v>
      </c>
      <c r="I25" s="200">
        <f>F24*$H$6+F25*$H$7+F26*$H$8</f>
        <v>1465</v>
      </c>
    </row>
    <row r="26" spans="2:9" x14ac:dyDescent="0.3">
      <c r="B26" s="199">
        <f>$B$14</f>
        <v>43465</v>
      </c>
      <c r="C26" s="217">
        <v>2617</v>
      </c>
      <c r="D26" s="138"/>
      <c r="E26" s="213">
        <f>$E$14</f>
        <v>43465</v>
      </c>
      <c r="F26" s="172">
        <v>1526</v>
      </c>
      <c r="H26" s="208">
        <f>B26</f>
        <v>43465</v>
      </c>
      <c r="I26" s="201">
        <f>F25*$H$6+F26*$H$7+F27*$H$8</f>
        <v>1526</v>
      </c>
    </row>
    <row r="27" spans="2:9" ht="15" thickBot="1" x14ac:dyDescent="0.35">
      <c r="B27" s="199">
        <f>$B$15</f>
        <v>43830</v>
      </c>
      <c r="C27" s="218">
        <v>2662</v>
      </c>
      <c r="D27" s="138"/>
      <c r="E27" s="213">
        <f>$E$15</f>
        <v>43830</v>
      </c>
      <c r="F27" s="172">
        <v>1556</v>
      </c>
      <c r="H27" s="208">
        <f>B27</f>
        <v>43830</v>
      </c>
      <c r="I27" s="202">
        <f>F26*$H$6+F27*$H$7+F28*$H$8</f>
        <v>1556</v>
      </c>
    </row>
    <row r="28" spans="2:9" x14ac:dyDescent="0.3">
      <c r="B28" s="7"/>
      <c r="C28" s="61"/>
      <c r="D28" s="138"/>
      <c r="E28" s="213">
        <f>$E$16</f>
        <v>44196</v>
      </c>
      <c r="F28" s="172">
        <v>1633</v>
      </c>
      <c r="I28" s="6"/>
    </row>
    <row r="29" spans="2:9" x14ac:dyDescent="0.3">
      <c r="B29" s="7"/>
      <c r="C29" s="215" t="s">
        <v>211</v>
      </c>
      <c r="D29" s="138"/>
      <c r="E29" s="61"/>
      <c r="F29" s="215" t="s">
        <v>211</v>
      </c>
      <c r="I29" s="215" t="s">
        <v>211</v>
      </c>
    </row>
    <row r="30" spans="2:9" ht="15" thickBot="1" x14ac:dyDescent="0.35">
      <c r="B30" s="7"/>
      <c r="C30" s="13"/>
      <c r="D30" s="138"/>
      <c r="E30" s="213">
        <f>$E$12</f>
        <v>42735</v>
      </c>
      <c r="F30" s="172">
        <v>3401</v>
      </c>
      <c r="I30" s="6"/>
    </row>
    <row r="31" spans="2:9" x14ac:dyDescent="0.3">
      <c r="B31" s="199">
        <f>$B$13</f>
        <v>43100</v>
      </c>
      <c r="C31" s="216">
        <v>6843</v>
      </c>
      <c r="D31" s="138"/>
      <c r="E31" s="213">
        <f>$E$13</f>
        <v>43100</v>
      </c>
      <c r="F31" s="172">
        <v>3601</v>
      </c>
      <c r="H31" s="208">
        <f>B31</f>
        <v>43100</v>
      </c>
      <c r="I31" s="200">
        <f>F30*$H$6+F31*$H$7+F32*$H$8</f>
        <v>3601</v>
      </c>
    </row>
    <row r="32" spans="2:9" x14ac:dyDescent="0.3">
      <c r="B32" s="199">
        <f>$B$14</f>
        <v>43465</v>
      </c>
      <c r="C32" s="217">
        <v>7297</v>
      </c>
      <c r="D32" s="138"/>
      <c r="E32" s="213">
        <f>$E$14</f>
        <v>43465</v>
      </c>
      <c r="F32" s="172">
        <v>3749</v>
      </c>
      <c r="H32" s="208">
        <f>B32</f>
        <v>43465</v>
      </c>
      <c r="I32" s="201">
        <f>F31*$H$6+F32*$H$7+F33*$H$8</f>
        <v>3749</v>
      </c>
    </row>
    <row r="33" spans="2:9" ht="15" thickBot="1" x14ac:dyDescent="0.35">
      <c r="B33" s="199">
        <f>$B$15</f>
        <v>43830</v>
      </c>
      <c r="C33" s="218">
        <v>7505</v>
      </c>
      <c r="D33" s="138"/>
      <c r="E33" s="213">
        <f>$E$15</f>
        <v>43830</v>
      </c>
      <c r="F33" s="172">
        <v>3907</v>
      </c>
      <c r="H33" s="208">
        <f>B33</f>
        <v>43830</v>
      </c>
      <c r="I33" s="202">
        <f>F32*$H$6+F33*$H$7+F34*$H$8</f>
        <v>3907</v>
      </c>
    </row>
    <row r="34" spans="2:9" x14ac:dyDescent="0.3">
      <c r="B34" s="7"/>
      <c r="C34" s="61"/>
      <c r="D34" s="138"/>
      <c r="E34" s="213">
        <f>$E$16</f>
        <v>44196</v>
      </c>
      <c r="F34" s="172">
        <v>4043</v>
      </c>
      <c r="I34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"/>
  <sheetViews>
    <sheetView workbookViewId="0"/>
  </sheetViews>
  <sheetFormatPr defaultRowHeight="14.4" x14ac:dyDescent="0.3"/>
  <sheetData>
    <row r="1" spans="1:16" x14ac:dyDescent="0.3">
      <c r="A1">
        <v>16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Shares</vt:lpstr>
      <vt:lpstr>Contribution</vt:lpstr>
      <vt:lpstr>Calendarization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Mary Roberts</cp:lastModifiedBy>
  <dcterms:created xsi:type="dcterms:W3CDTF">2013-04-15T21:20:22Z</dcterms:created>
  <dcterms:modified xsi:type="dcterms:W3CDTF">2017-08-04T15:37:05Z</dcterms:modified>
</cp:coreProperties>
</file>