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defaultThemeVersion="124226"/>
  <mc:AlternateContent xmlns:mc="http://schemas.openxmlformats.org/markup-compatibility/2006">
    <mc:Choice Requires="x15">
      <x15ac:absPath xmlns:x15ac="http://schemas.microsoft.com/office/spreadsheetml/2010/11/ac" url="C:\Users\Mary\Desktop\WSP Models\"/>
    </mc:Choice>
  </mc:AlternateContent>
  <bookViews>
    <workbookView xWindow="720" yWindow="708" windowWidth="15240" windowHeight="12000"/>
  </bookViews>
  <sheets>
    <sheet name="LBO" sheetId="1" r:id="rId1"/>
    <sheet name="Sheet1" sheetId="12" r:id="rId2"/>
    <sheet name="Shares" sheetId="11"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71027" calcMode="autoNoTable" iterate="1"/>
</workbook>
</file>

<file path=xl/calcChain.xml><?xml version="1.0" encoding="utf-8"?>
<calcChain xmlns="http://schemas.openxmlformats.org/spreadsheetml/2006/main">
  <c r="D92" i="1" l="1"/>
  <c r="D95" i="1" s="1"/>
  <c r="D91" i="1"/>
  <c r="D78" i="1"/>
  <c r="E82" i="1"/>
  <c r="E83" i="1"/>
  <c r="D82" i="1"/>
  <c r="E78" i="1"/>
  <c r="F55" i="1"/>
  <c r="G54" i="1"/>
  <c r="H54" i="1" s="1"/>
  <c r="I54" i="1" s="1"/>
  <c r="J54" i="1" s="1"/>
  <c r="F54" i="1"/>
  <c r="G68" i="1"/>
  <c r="H68" i="1" s="1"/>
  <c r="I68" i="1" s="1"/>
  <c r="J68" i="1" s="1"/>
  <c r="F68" i="1"/>
  <c r="E60" i="1"/>
  <c r="D60" i="1"/>
  <c r="C60" i="1"/>
  <c r="D55" i="1"/>
  <c r="E55" i="1"/>
  <c r="C55" i="1"/>
  <c r="E43" i="1"/>
  <c r="D43" i="1"/>
  <c r="C43" i="1"/>
  <c r="F40" i="1"/>
  <c r="E25" i="11"/>
  <c r="E19" i="11"/>
  <c r="D94" i="1" l="1"/>
  <c r="D15" i="1" l="1"/>
  <c r="D13" i="1"/>
  <c r="F2" i="12"/>
  <c r="D8" i="1"/>
  <c r="E142" i="1" l="1"/>
  <c r="E95" i="1" l="1"/>
  <c r="E94" i="1"/>
  <c r="F103" i="1"/>
  <c r="G103" i="1" s="1"/>
  <c r="H103" i="1" s="1"/>
  <c r="I103" i="1" s="1"/>
  <c r="J103" i="1" s="1"/>
  <c r="F61" i="1" l="1"/>
  <c r="G61" i="1" s="1"/>
  <c r="H61" i="1" s="1"/>
  <c r="I61" i="1" s="1"/>
  <c r="J61" i="1" s="1"/>
  <c r="F216" i="1" l="1"/>
  <c r="G216" i="1" l="1"/>
  <c r="H216" i="1" s="1"/>
  <c r="I216" i="1" s="1"/>
  <c r="J216" i="1" s="1"/>
  <c r="F300" i="1" l="1"/>
  <c r="C201" i="1"/>
  <c r="E201" i="1"/>
  <c r="D201" i="1"/>
  <c r="E89" i="1"/>
  <c r="D89" i="1"/>
  <c r="E74" i="1"/>
  <c r="D74" i="1"/>
  <c r="E39" i="1"/>
  <c r="E88" i="1" s="1"/>
  <c r="F32" i="1"/>
  <c r="F31" i="1"/>
  <c r="F30" i="1"/>
  <c r="F29" i="1"/>
  <c r="F28" i="1"/>
  <c r="H8" i="1"/>
  <c r="J21" i="1"/>
  <c r="H15" i="1"/>
  <c r="H14" i="1"/>
  <c r="B281" i="1"/>
  <c r="B282" i="1"/>
  <c r="B283" i="1"/>
  <c r="B3" i="11"/>
  <c r="B2" i="11"/>
  <c r="B2" i="1"/>
  <c r="B19" i="11"/>
  <c r="B20" i="11" s="1"/>
  <c r="B21" i="11" s="1"/>
  <c r="B22" i="11" s="1"/>
  <c r="B23" i="11" s="1"/>
  <c r="B24" i="11" s="1"/>
  <c r="B25" i="11" s="1"/>
  <c r="B26" i="11" s="1"/>
  <c r="B27" i="11" s="1"/>
  <c r="E73" i="1" l="1"/>
  <c r="E200" i="1"/>
  <c r="E303" i="1"/>
  <c r="E304" i="1" s="1"/>
  <c r="E305" i="1" s="1"/>
  <c r="E306" i="1" s="1"/>
  <c r="G301" i="1"/>
  <c r="H301" i="1" s="1"/>
  <c r="I301" i="1" s="1"/>
  <c r="J301" i="1" s="1"/>
  <c r="E320" i="1"/>
  <c r="F140" i="1"/>
  <c r="D27" i="1"/>
  <c r="B343" i="1"/>
  <c r="B342" i="1"/>
  <c r="E343" i="1"/>
  <c r="D343" i="1"/>
  <c r="E360" i="1"/>
  <c r="D360" i="1"/>
  <c r="E359" i="1"/>
  <c r="D359" i="1"/>
  <c r="E356" i="1"/>
  <c r="D356" i="1"/>
  <c r="B362" i="1"/>
  <c r="B361" i="1"/>
  <c r="B360" i="1"/>
  <c r="B359" i="1"/>
  <c r="B357" i="1"/>
  <c r="B356" i="1"/>
  <c r="B351" i="1"/>
  <c r="B344" i="1"/>
  <c r="F338" i="1"/>
  <c r="E338" i="1"/>
  <c r="E327" i="1"/>
  <c r="D350" i="1" s="1"/>
  <c r="F332" i="1"/>
  <c r="E355" i="1" s="1"/>
  <c r="E332" i="1"/>
  <c r="D355" i="1" s="1"/>
  <c r="F326" i="1"/>
  <c r="E349" i="1" s="1"/>
  <c r="E326" i="1"/>
  <c r="D349" i="1" s="1"/>
  <c r="F325" i="1"/>
  <c r="E348" i="1" s="1"/>
  <c r="E325" i="1"/>
  <c r="D348" i="1" s="1"/>
  <c r="F324" i="1"/>
  <c r="E347" i="1" s="1"/>
  <c r="E324" i="1"/>
  <c r="D347" i="1" s="1"/>
  <c r="F323" i="1"/>
  <c r="E323" i="1"/>
  <c r="D346" i="1" s="1"/>
  <c r="B332" i="1"/>
  <c r="B355" i="1" s="1"/>
  <c r="B331" i="1"/>
  <c r="B354" i="1" s="1"/>
  <c r="B330" i="1"/>
  <c r="B353" i="1" s="1"/>
  <c r="B327" i="1"/>
  <c r="B350" i="1" s="1"/>
  <c r="B326" i="1"/>
  <c r="B349" i="1" s="1"/>
  <c r="B325" i="1"/>
  <c r="B348" i="1" s="1"/>
  <c r="B324" i="1"/>
  <c r="B347" i="1" s="1"/>
  <c r="B323" i="1"/>
  <c r="B346" i="1" s="1"/>
  <c r="B322" i="1"/>
  <c r="B345" i="1" s="1"/>
  <c r="D21" i="1"/>
  <c r="G333" i="1" s="1"/>
  <c r="J14" i="1"/>
  <c r="I14" i="1"/>
  <c r="J15" i="1"/>
  <c r="I15" i="1"/>
  <c r="F124" i="1"/>
  <c r="F327" i="1"/>
  <c r="E350" i="1" s="1"/>
  <c r="F322" i="1"/>
  <c r="J323" i="1" l="1"/>
  <c r="F346" i="1" s="1"/>
  <c r="E346" i="1"/>
  <c r="J322" i="1"/>
  <c r="F345" i="1" s="1"/>
  <c r="E345" i="1"/>
  <c r="J332" i="1"/>
  <c r="F355" i="1" s="1"/>
  <c r="D361" i="1"/>
  <c r="E361" i="1"/>
  <c r="J325" i="1"/>
  <c r="F348" i="1" s="1"/>
  <c r="G124" i="1" l="1"/>
  <c r="H124" i="1" l="1"/>
  <c r="J124" i="1" l="1"/>
  <c r="I124" i="1"/>
  <c r="F331" i="1" l="1"/>
  <c r="E331" i="1"/>
  <c r="D354" i="1" s="1"/>
  <c r="F330" i="1"/>
  <c r="E330" i="1"/>
  <c r="D353" i="1" s="1"/>
  <c r="E79" i="1"/>
  <c r="F79" i="1" s="1"/>
  <c r="G79" i="1" s="1"/>
  <c r="H79" i="1" s="1"/>
  <c r="I79" i="1" s="1"/>
  <c r="J79" i="1" s="1"/>
  <c r="D79" i="1"/>
  <c r="E321" i="1"/>
  <c r="D344" i="1" s="1"/>
  <c r="F109" i="1"/>
  <c r="F319" i="1"/>
  <c r="E312" i="1"/>
  <c r="E313" i="1" s="1"/>
  <c r="E314" i="1" s="1"/>
  <c r="E315" i="1" s="1"/>
  <c r="G310" i="1"/>
  <c r="H310" i="1" s="1"/>
  <c r="I310" i="1" s="1"/>
  <c r="J310" i="1" s="1"/>
  <c r="F290" i="1"/>
  <c r="G291" i="1"/>
  <c r="H291" i="1" s="1"/>
  <c r="I291" i="1" s="1"/>
  <c r="J291" i="1" s="1"/>
  <c r="E293" i="1"/>
  <c r="E294" i="1" s="1"/>
  <c r="E295" i="1" s="1"/>
  <c r="E296" i="1" s="1"/>
  <c r="G109" i="1" l="1"/>
  <c r="H355" i="1" s="1"/>
  <c r="G355" i="1"/>
  <c r="J330" i="1"/>
  <c r="F353" i="1" s="1"/>
  <c r="E353" i="1"/>
  <c r="J331" i="1"/>
  <c r="F354" i="1" s="1"/>
  <c r="E354" i="1"/>
  <c r="F342" i="1"/>
  <c r="D357" i="1"/>
  <c r="F321" i="1"/>
  <c r="E344" i="1" s="1"/>
  <c r="F334" i="1"/>
  <c r="D77" i="1"/>
  <c r="E322" i="1"/>
  <c r="D345" i="1" s="1"/>
  <c r="E334" i="1"/>
  <c r="F253" i="1"/>
  <c r="F254" i="1" s="1"/>
  <c r="F255" i="1" s="1"/>
  <c r="F256" i="1" s="1"/>
  <c r="G253" i="1"/>
  <c r="G254" i="1" s="1"/>
  <c r="G255" i="1" s="1"/>
  <c r="G256" i="1" s="1"/>
  <c r="H253" i="1"/>
  <c r="H254" i="1" s="1"/>
  <c r="H255" i="1" s="1"/>
  <c r="H256" i="1" s="1"/>
  <c r="I253" i="1"/>
  <c r="I254" i="1" s="1"/>
  <c r="I255" i="1" s="1"/>
  <c r="I256" i="1" s="1"/>
  <c r="B273" i="1"/>
  <c r="B272" i="1"/>
  <c r="H271" i="1"/>
  <c r="H270" i="1"/>
  <c r="E328" i="1" l="1"/>
  <c r="D351" i="1" s="1"/>
  <c r="D362" i="1" s="1"/>
  <c r="E357" i="1"/>
  <c r="F328" i="1"/>
  <c r="E351" i="1" s="1"/>
  <c r="H109" i="1"/>
  <c r="I355" i="1" s="1"/>
  <c r="K95" i="1"/>
  <c r="F95" i="1" s="1"/>
  <c r="G95" i="1" s="1"/>
  <c r="H95" i="1" s="1"/>
  <c r="I95" i="1" s="1"/>
  <c r="J95" i="1" s="1"/>
  <c r="B240" i="1"/>
  <c r="E339" i="1" l="1"/>
  <c r="E362" i="1"/>
  <c r="F339" i="1"/>
  <c r="I109" i="1"/>
  <c r="J355" i="1" s="1"/>
  <c r="B252" i="1"/>
  <c r="J109" i="1" l="1"/>
  <c r="K355" i="1" s="1"/>
  <c r="B271" i="1"/>
  <c r="B270" i="1"/>
  <c r="B269" i="1"/>
  <c r="B268" i="1"/>
  <c r="B267" i="1"/>
  <c r="B266" i="1"/>
  <c r="I259" i="1"/>
  <c r="I260" i="1" s="1"/>
  <c r="I261" i="1" s="1"/>
  <c r="I262" i="1" s="1"/>
  <c r="H259" i="1"/>
  <c r="H260" i="1" s="1"/>
  <c r="H261" i="1" s="1"/>
  <c r="H262" i="1" s="1"/>
  <c r="G259" i="1"/>
  <c r="G260" i="1" s="1"/>
  <c r="G261" i="1" s="1"/>
  <c r="G262" i="1" s="1"/>
  <c r="F259" i="1"/>
  <c r="F260" i="1" s="1"/>
  <c r="F261" i="1" s="1"/>
  <c r="F262" i="1" s="1"/>
  <c r="B258" i="1"/>
  <c r="B246" i="1"/>
  <c r="B253" i="1"/>
  <c r="F148" i="1"/>
  <c r="G148" i="1" s="1"/>
  <c r="H148" i="1" s="1"/>
  <c r="I148" i="1" s="1"/>
  <c r="J148" i="1" s="1"/>
  <c r="C138" i="1"/>
  <c r="E85" i="1"/>
  <c r="D85" i="1"/>
  <c r="B241" i="1" l="1"/>
  <c r="B247" i="1"/>
  <c r="B259" i="1"/>
  <c r="F107" i="1"/>
  <c r="G107" i="1" s="1"/>
  <c r="B254" i="1" l="1"/>
  <c r="B264" i="1"/>
  <c r="B248" i="1"/>
  <c r="B261" i="1"/>
  <c r="B260" i="1"/>
  <c r="B242" i="1"/>
  <c r="G119" i="1"/>
  <c r="F119" i="1"/>
  <c r="H107" i="1"/>
  <c r="B250" i="1" l="1"/>
  <c r="B243" i="1"/>
  <c r="B249" i="1"/>
  <c r="B255" i="1"/>
  <c r="B244" i="1"/>
  <c r="B256" i="1"/>
  <c r="B262" i="1"/>
  <c r="H119" i="1"/>
  <c r="I107" i="1"/>
  <c r="I119" i="1" l="1"/>
  <c r="J107" i="1"/>
  <c r="J119" i="1" s="1"/>
  <c r="E144" i="1" l="1"/>
  <c r="D144" i="1"/>
  <c r="D143" i="1" s="1"/>
  <c r="D138" i="1"/>
  <c r="B138" i="1"/>
  <c r="B137" i="1"/>
  <c r="B113" i="1"/>
  <c r="B112" i="1"/>
  <c r="E70" i="1"/>
  <c r="D70" i="1"/>
  <c r="C70" i="1"/>
  <c r="D81" i="1"/>
  <c r="E77" i="1"/>
  <c r="F77" i="1" s="1"/>
  <c r="D83" i="1"/>
  <c r="E68" i="1"/>
  <c r="D68" i="1"/>
  <c r="C68" i="1"/>
  <c r="E67" i="1"/>
  <c r="D67" i="1"/>
  <c r="C67" i="1"/>
  <c r="E65" i="1"/>
  <c r="D65" i="1"/>
  <c r="E44" i="1"/>
  <c r="D44" i="1"/>
  <c r="C44" i="1"/>
  <c r="C47" i="1" s="1"/>
  <c r="C58" i="1" s="1"/>
  <c r="C62" i="1" s="1"/>
  <c r="F320" i="1"/>
  <c r="F70" i="1" l="1"/>
  <c r="G70" i="1" s="1"/>
  <c r="H70" i="1" s="1"/>
  <c r="I70" i="1" s="1"/>
  <c r="J70" i="1" s="1"/>
  <c r="E143" i="1"/>
  <c r="F143" i="1" s="1"/>
  <c r="G143" i="1" s="1"/>
  <c r="H143" i="1" s="1"/>
  <c r="I143" i="1" s="1"/>
  <c r="J143" i="1" s="1"/>
  <c r="F343" i="1"/>
  <c r="F67" i="1"/>
  <c r="G67" i="1" s="1"/>
  <c r="H67" i="1" s="1"/>
  <c r="I67" i="1" s="1"/>
  <c r="J67" i="1" s="1"/>
  <c r="G77" i="1"/>
  <c r="H77" i="1" s="1"/>
  <c r="I77" i="1" s="1"/>
  <c r="J77" i="1" s="1"/>
  <c r="D66" i="1"/>
  <c r="D47" i="1"/>
  <c r="D58" i="1" s="1"/>
  <c r="D62" i="1" s="1"/>
  <c r="E66" i="1"/>
  <c r="E47" i="1"/>
  <c r="E58" i="1" s="1"/>
  <c r="E62" i="1" s="1"/>
  <c r="F147" i="1"/>
  <c r="F149" i="1" s="1"/>
  <c r="E137" i="1"/>
  <c r="D39" i="1"/>
  <c r="D200" i="1" s="1"/>
  <c r="F39" i="1"/>
  <c r="F200" i="1" s="1"/>
  <c r="C66" i="1"/>
  <c r="E81" i="1"/>
  <c r="F81" i="1" s="1"/>
  <c r="G81" i="1" s="1"/>
  <c r="H81" i="1" s="1"/>
  <c r="I81" i="1" s="1"/>
  <c r="J81" i="1" s="1"/>
  <c r="E138" i="1"/>
  <c r="F201" i="1"/>
  <c r="F73" i="1" l="1"/>
  <c r="F88" i="1"/>
  <c r="F89" i="1"/>
  <c r="F74" i="1"/>
  <c r="D88" i="1"/>
  <c r="D73" i="1"/>
  <c r="H10" i="1"/>
  <c r="I10" i="1"/>
  <c r="I12" i="1" s="1"/>
  <c r="I17" i="1" s="1"/>
  <c r="J10" i="1"/>
  <c r="E342" i="1"/>
  <c r="E319" i="1"/>
  <c r="J320" i="1"/>
  <c r="G343" i="1"/>
  <c r="J319" i="1"/>
  <c r="G342" i="1"/>
  <c r="D34" i="1"/>
  <c r="F234" i="1"/>
  <c r="G39" i="1"/>
  <c r="G200" i="1" s="1"/>
  <c r="D51" i="1"/>
  <c r="D69" i="1" s="1"/>
  <c r="F83" i="1"/>
  <c r="G83" i="1" s="1"/>
  <c r="H83" i="1" s="1"/>
  <c r="I83" i="1" s="1"/>
  <c r="J83" i="1" s="1"/>
  <c r="E51" i="1"/>
  <c r="C39" i="1"/>
  <c r="C200" i="1" s="1"/>
  <c r="D137" i="1"/>
  <c r="F138" i="1"/>
  <c r="F113" i="1"/>
  <c r="G40" i="1"/>
  <c r="G201" i="1" s="1"/>
  <c r="C51" i="1"/>
  <c r="F137" i="1"/>
  <c r="F112" i="1"/>
  <c r="F272" i="1" l="1"/>
  <c r="H343" i="1"/>
  <c r="G74" i="1"/>
  <c r="G89" i="1"/>
  <c r="G73" i="1"/>
  <c r="G88" i="1"/>
  <c r="C137" i="1"/>
  <c r="D342" i="1"/>
  <c r="H39" i="1"/>
  <c r="H200" i="1" s="1"/>
  <c r="H342" i="1"/>
  <c r="G234" i="1"/>
  <c r="E252" i="1"/>
  <c r="E253" i="1" s="1"/>
  <c r="E254" i="1" s="1"/>
  <c r="E255" i="1" s="1"/>
  <c r="E256" i="1" s="1"/>
  <c r="C229" i="1"/>
  <c r="D28" i="1"/>
  <c r="H28" i="1" s="1"/>
  <c r="D53" i="1"/>
  <c r="D33" i="1"/>
  <c r="F189" i="1" s="1"/>
  <c r="D29" i="1"/>
  <c r="H29" i="1" s="1"/>
  <c r="D32" i="1"/>
  <c r="H32" i="1" s="1"/>
  <c r="D31" i="1"/>
  <c r="H31" i="1" s="1"/>
  <c r="D30" i="1"/>
  <c r="H30" i="1" s="1"/>
  <c r="C53" i="1"/>
  <c r="C69" i="1"/>
  <c r="E69" i="1"/>
  <c r="E53" i="1"/>
  <c r="G137" i="1"/>
  <c r="G112" i="1"/>
  <c r="G138" i="1"/>
  <c r="G113" i="1"/>
  <c r="H40" i="1"/>
  <c r="H201" i="1" s="1"/>
  <c r="F42" i="1"/>
  <c r="F46" i="1" s="1"/>
  <c r="F69" i="1" l="1"/>
  <c r="G69" i="1" s="1"/>
  <c r="I343" i="1"/>
  <c r="H74" i="1"/>
  <c r="H89" i="1"/>
  <c r="I342" i="1"/>
  <c r="H88" i="1"/>
  <c r="H73" i="1"/>
  <c r="H33" i="1"/>
  <c r="J29" i="1"/>
  <c r="J31" i="1"/>
  <c r="J32" i="1"/>
  <c r="J28" i="1"/>
  <c r="F268" i="1"/>
  <c r="J30" i="1"/>
  <c r="F269" i="1"/>
  <c r="H234" i="1"/>
  <c r="F266" i="1"/>
  <c r="H333" i="1"/>
  <c r="J333" i="1" s="1"/>
  <c r="F271" i="1"/>
  <c r="H336" i="1"/>
  <c r="J336" i="1" s="1"/>
  <c r="F359" i="1" s="1"/>
  <c r="F267" i="1"/>
  <c r="F94" i="1"/>
  <c r="F78" i="1"/>
  <c r="G346" i="1" s="1"/>
  <c r="F76" i="1"/>
  <c r="F270" i="1"/>
  <c r="E240" i="1"/>
  <c r="E241" i="1" s="1"/>
  <c r="E242" i="1" s="1"/>
  <c r="E243" i="1" s="1"/>
  <c r="E244" i="1" s="1"/>
  <c r="E235" i="1"/>
  <c r="F153" i="1"/>
  <c r="F168" i="1"/>
  <c r="F169" i="1" s="1"/>
  <c r="E237" i="1"/>
  <c r="F190" i="1"/>
  <c r="E246" i="1"/>
  <c r="E247" i="1" s="1"/>
  <c r="E248" i="1" s="1"/>
  <c r="E249" i="1" s="1"/>
  <c r="E250" i="1" s="1"/>
  <c r="F182" i="1"/>
  <c r="F160" i="1"/>
  <c r="F161" i="1" s="1"/>
  <c r="E236" i="1"/>
  <c r="F176" i="1"/>
  <c r="E238" i="1"/>
  <c r="H112" i="1"/>
  <c r="H137" i="1"/>
  <c r="I39" i="1"/>
  <c r="I200" i="1" s="1"/>
  <c r="H113" i="1"/>
  <c r="I40" i="1"/>
  <c r="I201" i="1" s="1"/>
  <c r="H138" i="1"/>
  <c r="F82" i="1"/>
  <c r="G354" i="1" s="1"/>
  <c r="F45" i="1"/>
  <c r="G42" i="1"/>
  <c r="G46" i="1" s="1"/>
  <c r="F44" i="1"/>
  <c r="G345" i="1" l="1"/>
  <c r="F156" i="1"/>
  <c r="F177" i="1"/>
  <c r="F178" i="1" s="1"/>
  <c r="F208" i="1" s="1"/>
  <c r="I88" i="1"/>
  <c r="I73" i="1"/>
  <c r="J343" i="1"/>
  <c r="I89" i="1"/>
  <c r="I74" i="1"/>
  <c r="F195" i="1"/>
  <c r="G326" i="1"/>
  <c r="J326" i="1" s="1"/>
  <c r="F349" i="1" s="1"/>
  <c r="J33" i="1"/>
  <c r="I196" i="1"/>
  <c r="H196" i="1"/>
  <c r="J196" i="1"/>
  <c r="G196" i="1"/>
  <c r="F196" i="1"/>
  <c r="I234" i="1"/>
  <c r="J342" i="1"/>
  <c r="J334" i="1"/>
  <c r="F356" i="1"/>
  <c r="F357" i="1" s="1"/>
  <c r="G94" i="1"/>
  <c r="G78" i="1"/>
  <c r="H346" i="1" s="1"/>
  <c r="H69" i="1"/>
  <c r="F43" i="1"/>
  <c r="F60" i="1" s="1"/>
  <c r="F117" i="1" s="1"/>
  <c r="F47" i="1"/>
  <c r="F58" i="1" s="1"/>
  <c r="F183" i="1"/>
  <c r="F209" i="1" s="1"/>
  <c r="F184" i="1"/>
  <c r="F210" i="1" s="1"/>
  <c r="F120" i="1" s="1"/>
  <c r="F191" i="1"/>
  <c r="I183" i="1"/>
  <c r="J183" i="1"/>
  <c r="H183" i="1"/>
  <c r="G183" i="1"/>
  <c r="G82" i="1"/>
  <c r="H354" i="1" s="1"/>
  <c r="I113" i="1"/>
  <c r="I138" i="1"/>
  <c r="J40" i="1"/>
  <c r="J201" i="1" s="1"/>
  <c r="F214" i="1" s="1"/>
  <c r="I112" i="1"/>
  <c r="I137" i="1"/>
  <c r="J39" i="1"/>
  <c r="J200" i="1" s="1"/>
  <c r="G44" i="1"/>
  <c r="G45" i="1"/>
  <c r="G76" i="1"/>
  <c r="H42" i="1"/>
  <c r="H46" i="1" s="1"/>
  <c r="H345" i="1" l="1"/>
  <c r="G156" i="1"/>
  <c r="F238" i="1"/>
  <c r="K343" i="1"/>
  <c r="J89" i="1"/>
  <c r="J74" i="1"/>
  <c r="J73" i="1"/>
  <c r="J88" i="1"/>
  <c r="F197" i="1"/>
  <c r="J234" i="1"/>
  <c r="K342" i="1"/>
  <c r="F192" i="1"/>
  <c r="F128" i="1" s="1"/>
  <c r="G359" i="1"/>
  <c r="H94" i="1"/>
  <c r="H78" i="1"/>
  <c r="I346" i="1" s="1"/>
  <c r="F80" i="1"/>
  <c r="I69" i="1"/>
  <c r="G43" i="1"/>
  <c r="G47" i="1"/>
  <c r="G58" i="1" s="1"/>
  <c r="F185" i="1"/>
  <c r="G182" i="1" s="1"/>
  <c r="F127" i="1"/>
  <c r="G189" i="1"/>
  <c r="G190" i="1" s="1"/>
  <c r="G176" i="1"/>
  <c r="G123" i="1"/>
  <c r="F123" i="1"/>
  <c r="J137" i="1"/>
  <c r="J112" i="1"/>
  <c r="J138" i="1"/>
  <c r="J113" i="1"/>
  <c r="H45" i="1"/>
  <c r="I42" i="1"/>
  <c r="I46" i="1" s="1"/>
  <c r="H82" i="1"/>
  <c r="I354" i="1" s="1"/>
  <c r="H44" i="1"/>
  <c r="H76" i="1"/>
  <c r="I345" i="1" l="1"/>
  <c r="H156" i="1"/>
  <c r="G177" i="1"/>
  <c r="G178" i="1" s="1"/>
  <c r="H176" i="1" s="1"/>
  <c r="G195" i="1"/>
  <c r="G197" i="1" s="1"/>
  <c r="H349" i="1" s="1"/>
  <c r="G349" i="1"/>
  <c r="G184" i="1"/>
  <c r="G210" i="1" s="1"/>
  <c r="G120" i="1" s="1"/>
  <c r="G209" i="1"/>
  <c r="F85" i="1"/>
  <c r="F118" i="1" s="1"/>
  <c r="G353" i="1"/>
  <c r="F246" i="1"/>
  <c r="F247" i="1" s="1"/>
  <c r="F248" i="1" s="1"/>
  <c r="F249" i="1" s="1"/>
  <c r="F250" i="1" s="1"/>
  <c r="I94" i="1"/>
  <c r="I78" i="1"/>
  <c r="J346" i="1" s="1"/>
  <c r="J69" i="1"/>
  <c r="G60" i="1"/>
  <c r="G117" i="1" s="1"/>
  <c r="G80" i="1"/>
  <c r="H353" i="1" s="1"/>
  <c r="H43" i="1"/>
  <c r="H47" i="1"/>
  <c r="H58" i="1" s="1"/>
  <c r="F240" i="1"/>
  <c r="F241" i="1" s="1"/>
  <c r="F242" i="1" s="1"/>
  <c r="F243" i="1" s="1"/>
  <c r="F244" i="1" s="1"/>
  <c r="G191" i="1"/>
  <c r="H359" i="1" s="1"/>
  <c r="I45" i="1"/>
  <c r="I82" i="1"/>
  <c r="J354" i="1" s="1"/>
  <c r="I76" i="1"/>
  <c r="I44" i="1"/>
  <c r="H123" i="1"/>
  <c r="J42" i="1"/>
  <c r="J46" i="1" s="1"/>
  <c r="J345" i="1" l="1"/>
  <c r="I156" i="1"/>
  <c r="G185" i="1"/>
  <c r="H182" i="1" s="1"/>
  <c r="H209" i="1" s="1"/>
  <c r="H177" i="1"/>
  <c r="H178" i="1" s="1"/>
  <c r="I176" i="1" s="1"/>
  <c r="G208" i="1"/>
  <c r="G238" i="1" s="1"/>
  <c r="H195" i="1"/>
  <c r="H197" i="1" s="1"/>
  <c r="I349" i="1" s="1"/>
  <c r="G192" i="1"/>
  <c r="G128" i="1" s="1"/>
  <c r="J94" i="1"/>
  <c r="J78" i="1"/>
  <c r="K346" i="1" s="1"/>
  <c r="H80" i="1"/>
  <c r="I353" i="1" s="1"/>
  <c r="H60" i="1"/>
  <c r="H117" i="1" s="1"/>
  <c r="G85" i="1"/>
  <c r="G118" i="1" s="1"/>
  <c r="I43" i="1"/>
  <c r="I80" i="1" s="1"/>
  <c r="J353" i="1" s="1"/>
  <c r="I47" i="1"/>
  <c r="I58" i="1" s="1"/>
  <c r="G240" i="1"/>
  <c r="G241" i="1" s="1"/>
  <c r="G242" i="1" s="1"/>
  <c r="G243" i="1" s="1"/>
  <c r="G244" i="1" s="1"/>
  <c r="H189" i="1"/>
  <c r="H190" i="1" s="1"/>
  <c r="J82" i="1"/>
  <c r="K354" i="1" s="1"/>
  <c r="I123" i="1"/>
  <c r="J76" i="1"/>
  <c r="J44" i="1"/>
  <c r="J45" i="1"/>
  <c r="H184" i="1" l="1"/>
  <c r="H210" i="1" s="1"/>
  <c r="H120" i="1" s="1"/>
  <c r="K345" i="1"/>
  <c r="J156" i="1"/>
  <c r="H208" i="1"/>
  <c r="H238" i="1" s="1"/>
  <c r="I177" i="1"/>
  <c r="I178" i="1" s="1"/>
  <c r="J176" i="1" s="1"/>
  <c r="I195" i="1"/>
  <c r="I197" i="1" s="1"/>
  <c r="J349" i="1" s="1"/>
  <c r="H240" i="1"/>
  <c r="H241" i="1" s="1"/>
  <c r="H242" i="1" s="1"/>
  <c r="H243" i="1" s="1"/>
  <c r="H244" i="1" s="1"/>
  <c r="H85" i="1"/>
  <c r="H118" i="1" s="1"/>
  <c r="I60" i="1"/>
  <c r="I117" i="1" s="1"/>
  <c r="J43" i="1"/>
  <c r="J60" i="1" s="1"/>
  <c r="J117" i="1" s="1"/>
  <c r="J47" i="1"/>
  <c r="J58" i="1" s="1"/>
  <c r="H191" i="1"/>
  <c r="I359" i="1" s="1"/>
  <c r="G246" i="1"/>
  <c r="G247" i="1" s="1"/>
  <c r="G248" i="1" s="1"/>
  <c r="G249" i="1" s="1"/>
  <c r="G250" i="1" s="1"/>
  <c r="J123" i="1"/>
  <c r="H185" i="1" l="1"/>
  <c r="I182" i="1" s="1"/>
  <c r="I184" i="1" s="1"/>
  <c r="I210" i="1" s="1"/>
  <c r="I120" i="1" s="1"/>
  <c r="I208" i="1"/>
  <c r="I238" i="1" s="1"/>
  <c r="J177" i="1"/>
  <c r="J178" i="1" s="1"/>
  <c r="J208" i="1" s="1"/>
  <c r="J195" i="1"/>
  <c r="J197" i="1" s="1"/>
  <c r="K349" i="1" s="1"/>
  <c r="I209" i="1"/>
  <c r="H192" i="1"/>
  <c r="H128" i="1" s="1"/>
  <c r="I85" i="1"/>
  <c r="I118" i="1" s="1"/>
  <c r="J80" i="1"/>
  <c r="K353" i="1" s="1"/>
  <c r="I189" i="1"/>
  <c r="I190" i="1" s="1"/>
  <c r="I185" i="1" l="1"/>
  <c r="F223" i="1"/>
  <c r="G223" i="1" s="1"/>
  <c r="H223" i="1" s="1"/>
  <c r="I223" i="1" s="1"/>
  <c r="J223" i="1" s="1"/>
  <c r="I240" i="1"/>
  <c r="I241" i="1" s="1"/>
  <c r="I242" i="1" s="1"/>
  <c r="I243" i="1" s="1"/>
  <c r="I244" i="1" s="1"/>
  <c r="J85" i="1"/>
  <c r="J118" i="1" s="1"/>
  <c r="J182" i="1"/>
  <c r="I191" i="1"/>
  <c r="J359" i="1" s="1"/>
  <c r="H246" i="1"/>
  <c r="H247" i="1" s="1"/>
  <c r="H248" i="1" s="1"/>
  <c r="H249" i="1" s="1"/>
  <c r="H250" i="1" s="1"/>
  <c r="J238" i="1" l="1"/>
  <c r="C238" i="1" s="1"/>
  <c r="I269" i="1" s="1"/>
  <c r="J184" i="1"/>
  <c r="J210" i="1" s="1"/>
  <c r="J120" i="1" s="1"/>
  <c r="J209" i="1"/>
  <c r="I192" i="1"/>
  <c r="I128" i="1" s="1"/>
  <c r="D238" i="1"/>
  <c r="J269" i="1" s="1"/>
  <c r="J185" i="1"/>
  <c r="F224" i="1" s="1"/>
  <c r="G224" i="1" s="1"/>
  <c r="H224" i="1" s="1"/>
  <c r="I224" i="1" s="1"/>
  <c r="J224" i="1" s="1"/>
  <c r="J189" i="1"/>
  <c r="J190" i="1" s="1"/>
  <c r="J191" i="1" l="1"/>
  <c r="K359" i="1" s="1"/>
  <c r="I246" i="1"/>
  <c r="I247" i="1" s="1"/>
  <c r="I248" i="1" s="1"/>
  <c r="I249" i="1" s="1"/>
  <c r="I250" i="1" s="1"/>
  <c r="F225" i="1" l="1"/>
  <c r="G225" i="1" s="1"/>
  <c r="H225" i="1" s="1"/>
  <c r="I225" i="1" s="1"/>
  <c r="J225" i="1" s="1"/>
  <c r="J192" i="1"/>
  <c r="J128" i="1" s="1"/>
  <c r="F93" i="1" l="1"/>
  <c r="F59" i="1" s="1"/>
  <c r="F116" i="1" s="1"/>
  <c r="G93" i="1" l="1"/>
  <c r="F91" i="1"/>
  <c r="J324" i="1" l="1"/>
  <c r="F347" i="1" s="1"/>
  <c r="G347" i="1"/>
  <c r="G91" i="1"/>
  <c r="H347" i="1" s="1"/>
  <c r="H93" i="1"/>
  <c r="J93" i="1" l="1"/>
  <c r="I93" i="1"/>
  <c r="H91" i="1"/>
  <c r="I347" i="1" s="1"/>
  <c r="I91" i="1" l="1"/>
  <c r="J347" i="1" s="1"/>
  <c r="F125" i="1"/>
  <c r="J91" i="1" l="1"/>
  <c r="K347" i="1" s="1"/>
  <c r="G125" i="1"/>
  <c r="H125" i="1"/>
  <c r="I125" i="1" l="1"/>
  <c r="J125" i="1"/>
  <c r="G348" i="1"/>
  <c r="F62" i="1" l="1"/>
  <c r="G59" i="1"/>
  <c r="G62" i="1" s="1"/>
  <c r="H348" i="1"/>
  <c r="G116" i="1" l="1"/>
  <c r="H59" i="1"/>
  <c r="I59" i="1"/>
  <c r="I62" i="1" s="1"/>
  <c r="J59" i="1"/>
  <c r="J62" i="1" s="1"/>
  <c r="I348" i="1"/>
  <c r="F217" i="1" l="1"/>
  <c r="G217" i="1" s="1"/>
  <c r="H217" i="1" s="1"/>
  <c r="I217" i="1" s="1"/>
  <c r="J217" i="1" s="1"/>
  <c r="J348" i="1"/>
  <c r="I116" i="1"/>
  <c r="J116" i="1"/>
  <c r="H116" i="1"/>
  <c r="H62" i="1"/>
  <c r="K348" i="1" l="1"/>
  <c r="F218" i="1"/>
  <c r="G218" i="1"/>
  <c r="H218" i="1" l="1"/>
  <c r="I218" i="1" l="1"/>
  <c r="J218" i="1"/>
  <c r="C27" i="1" l="1"/>
  <c r="E18" i="11" l="1"/>
  <c r="E20" i="11"/>
  <c r="E21" i="11"/>
  <c r="E22" i="11"/>
  <c r="E23" i="11"/>
  <c r="E24" i="11"/>
  <c r="E26" i="11"/>
  <c r="E27" i="11"/>
  <c r="E9" i="11" l="1"/>
  <c r="E10" i="11" s="1"/>
  <c r="E28" i="11"/>
  <c r="E8" i="11" s="1"/>
  <c r="E11" i="11" l="1"/>
  <c r="E14" i="11" s="1"/>
  <c r="J18" i="1" l="1"/>
  <c r="J17" i="1" s="1"/>
  <c r="J12" i="1" s="1"/>
  <c r="I18" i="1"/>
  <c r="H18" i="1"/>
  <c r="C281" i="1" l="1"/>
  <c r="J281" i="1" s="1"/>
  <c r="I20" i="1"/>
  <c r="J11" i="1"/>
  <c r="H11" i="1" s="1"/>
  <c r="H12" i="1" s="1"/>
  <c r="H17" i="1" s="1"/>
  <c r="H36" i="1" s="1"/>
  <c r="D22" i="1" s="1"/>
  <c r="F281" i="1" l="1"/>
  <c r="G281" i="1"/>
  <c r="I281" i="1"/>
  <c r="H281" i="1"/>
  <c r="H20" i="1"/>
  <c r="E281" i="1"/>
  <c r="D20" i="1"/>
  <c r="C280" i="1"/>
  <c r="C285" i="1" s="1"/>
  <c r="I21" i="1"/>
  <c r="I327" i="1"/>
  <c r="H21" i="1" l="1"/>
  <c r="E6" i="11"/>
  <c r="B6" i="11" s="1"/>
  <c r="D23" i="1"/>
  <c r="G337" i="1"/>
  <c r="J350" i="1"/>
  <c r="G350" i="1"/>
  <c r="K350" i="1"/>
  <c r="H350" i="1"/>
  <c r="I350" i="1"/>
  <c r="C286" i="1"/>
  <c r="C282" i="1"/>
  <c r="C283" i="1" s="1"/>
  <c r="I337" i="1"/>
  <c r="J327" i="1"/>
  <c r="F350" i="1" s="1"/>
  <c r="G321" i="1" l="1"/>
  <c r="D35" i="1" l="1"/>
  <c r="C35" i="1" s="1"/>
  <c r="C36" i="1" s="1"/>
  <c r="H337" i="1" l="1"/>
  <c r="H321" i="1" s="1"/>
  <c r="J321" i="1" s="1"/>
  <c r="E258" i="1"/>
  <c r="E259" i="1" s="1"/>
  <c r="E260" i="1" s="1"/>
  <c r="E261" i="1" s="1"/>
  <c r="E262" i="1" s="1"/>
  <c r="F273" i="1"/>
  <c r="G269" i="1" s="1"/>
  <c r="C228" i="1"/>
  <c r="D229" i="1" s="1"/>
  <c r="D36" i="1"/>
  <c r="F344" i="1" l="1"/>
  <c r="F351" i="1" s="1"/>
  <c r="J328" i="1"/>
  <c r="J337" i="1"/>
  <c r="F360" i="1" s="1"/>
  <c r="F361" i="1" s="1"/>
  <c r="D231" i="1"/>
  <c r="G271" i="1"/>
  <c r="D228" i="1"/>
  <c r="G266" i="1"/>
  <c r="F274" i="1"/>
  <c r="G274" i="1" s="1"/>
  <c r="G268" i="1"/>
  <c r="G272" i="1"/>
  <c r="G273" i="1"/>
  <c r="D230" i="1"/>
  <c r="G267" i="1"/>
  <c r="G270" i="1"/>
  <c r="F362" i="1" l="1"/>
  <c r="J338" i="1"/>
  <c r="J339" i="1" s="1"/>
  <c r="E228" i="1"/>
  <c r="H273" i="1" s="1"/>
  <c r="E229" i="1"/>
  <c r="H272" i="1" s="1"/>
  <c r="H274" i="1" l="1"/>
  <c r="F279" i="1" l="1"/>
  <c r="G279" i="1" s="1"/>
  <c r="H279" i="1" s="1"/>
  <c r="I279" i="1" l="1"/>
  <c r="J279" i="1" l="1"/>
  <c r="F51" i="1"/>
  <c r="G51" i="1"/>
  <c r="G52" i="1" s="1"/>
  <c r="G53" i="1" s="1"/>
  <c r="H51" i="1"/>
  <c r="H52" i="1" s="1"/>
  <c r="I51" i="1"/>
  <c r="I52" i="1" s="1"/>
  <c r="I53" i="1" s="1"/>
  <c r="J51" i="1"/>
  <c r="J52" i="1" s="1"/>
  <c r="J53" i="1" s="1"/>
  <c r="F52" i="1"/>
  <c r="J115" i="1" l="1"/>
  <c r="J121" i="1" s="1"/>
  <c r="J55" i="1"/>
  <c r="I115" i="1"/>
  <c r="I121" i="1" s="1"/>
  <c r="I55" i="1"/>
  <c r="G115" i="1"/>
  <c r="G121" i="1" s="1"/>
  <c r="G55" i="1"/>
  <c r="F53" i="1"/>
  <c r="F115" i="1" s="1"/>
  <c r="F121" i="1" s="1"/>
  <c r="F129" i="1" s="1"/>
  <c r="F150" i="1" s="1"/>
  <c r="F151" i="1" s="1"/>
  <c r="F154" i="1" s="1"/>
  <c r="H53" i="1"/>
  <c r="H115" i="1" l="1"/>
  <c r="H121" i="1" s="1"/>
  <c r="H55" i="1"/>
  <c r="G360" i="1"/>
  <c r="F130" i="1"/>
  <c r="F131" i="1" s="1"/>
  <c r="F155" i="1"/>
  <c r="F165" i="1"/>
  <c r="F162" i="1" s="1"/>
  <c r="F173" i="1" s="1"/>
  <c r="F170" i="1" s="1"/>
  <c r="G361" i="1" l="1"/>
  <c r="H360" i="1"/>
  <c r="F133" i="1"/>
  <c r="F171" i="1"/>
  <c r="G168" i="1" s="1"/>
  <c r="F157" i="1"/>
  <c r="F205" i="1"/>
  <c r="F235" i="1" s="1"/>
  <c r="G153" i="1"/>
  <c r="F132" i="1"/>
  <c r="F163" i="1"/>
  <c r="F207" i="1" l="1"/>
  <c r="F237" i="1" s="1"/>
  <c r="G356" i="1"/>
  <c r="G357" i="1" s="1"/>
  <c r="F134" i="1"/>
  <c r="F141" i="1" s="1"/>
  <c r="F142" i="1" s="1"/>
  <c r="G344" i="1" s="1"/>
  <c r="G351" i="1" s="1"/>
  <c r="H361" i="1"/>
  <c r="I360" i="1"/>
  <c r="F206" i="1"/>
  <c r="F236" i="1" s="1"/>
  <c r="G160" i="1"/>
  <c r="G161" i="1" s="1"/>
  <c r="G169" i="1"/>
  <c r="G362" i="1" l="1"/>
  <c r="G140" i="1"/>
  <c r="G147" i="1"/>
  <c r="G149" i="1" s="1"/>
  <c r="F144" i="1"/>
  <c r="J360" i="1"/>
  <c r="I361" i="1"/>
  <c r="G127" i="1"/>
  <c r="G129" i="1" s="1"/>
  <c r="J361" i="1" l="1"/>
  <c r="K360" i="1"/>
  <c r="K361" i="1" s="1"/>
  <c r="G150" i="1"/>
  <c r="G151" i="1" s="1"/>
  <c r="G154" i="1" l="1"/>
  <c r="G165" i="1" s="1"/>
  <c r="G162" i="1" s="1"/>
  <c r="G173" i="1" s="1"/>
  <c r="G170" i="1" s="1"/>
  <c r="G133" i="1" l="1"/>
  <c r="G171" i="1"/>
  <c r="G132" i="1"/>
  <c r="G163" i="1"/>
  <c r="G130" i="1"/>
  <c r="G131" i="1" s="1"/>
  <c r="G155" i="1"/>
  <c r="G134" i="1" l="1"/>
  <c r="G141" i="1" s="1"/>
  <c r="G142" i="1" s="1"/>
  <c r="H147" i="1" s="1"/>
  <c r="H149" i="1" s="1"/>
  <c r="H168" i="1"/>
  <c r="G207" i="1"/>
  <c r="G237" i="1" s="1"/>
  <c r="H160" i="1"/>
  <c r="G206" i="1"/>
  <c r="G236" i="1" s="1"/>
  <c r="H153" i="1"/>
  <c r="G157" i="1"/>
  <c r="H356" i="1"/>
  <c r="H357" i="1" s="1"/>
  <c r="G205" i="1"/>
  <c r="G235" i="1" s="1"/>
  <c r="G144" i="1" l="1"/>
  <c r="H344" i="1"/>
  <c r="H351" i="1" s="1"/>
  <c r="H362" i="1" s="1"/>
  <c r="H140" i="1"/>
  <c r="H161" i="1"/>
  <c r="H169" i="1"/>
  <c r="H127" i="1" l="1"/>
  <c r="H129" i="1" s="1"/>
  <c r="H150" i="1" l="1"/>
  <c r="H151" i="1" s="1"/>
  <c r="H154" i="1" l="1"/>
  <c r="H165" i="1" s="1"/>
  <c r="H162" i="1" s="1"/>
  <c r="H132" i="1" l="1"/>
  <c r="H163" i="1"/>
  <c r="H173" i="1"/>
  <c r="H170" i="1" s="1"/>
  <c r="H130" i="1"/>
  <c r="H131" i="1" s="1"/>
  <c r="H155" i="1"/>
  <c r="H133" i="1" l="1"/>
  <c r="H134" i="1" s="1"/>
  <c r="H141" i="1" s="1"/>
  <c r="H142" i="1" s="1"/>
  <c r="H171" i="1"/>
  <c r="I356" i="1" s="1"/>
  <c r="I357" i="1" s="1"/>
  <c r="I153" i="1"/>
  <c r="H157" i="1"/>
  <c r="H205" i="1"/>
  <c r="H235" i="1" s="1"/>
  <c r="I160" i="1"/>
  <c r="H206" i="1"/>
  <c r="H236" i="1" s="1"/>
  <c r="I140" i="1" l="1"/>
  <c r="I147" i="1"/>
  <c r="I149" i="1" s="1"/>
  <c r="I344" i="1"/>
  <c r="I351" i="1" s="1"/>
  <c r="I362" i="1" s="1"/>
  <c r="H144" i="1"/>
  <c r="I168" i="1"/>
  <c r="H207" i="1"/>
  <c r="H237" i="1" s="1"/>
  <c r="I161" i="1"/>
  <c r="I169" i="1" l="1"/>
  <c r="I127" i="1" l="1"/>
  <c r="I129" i="1" s="1"/>
  <c r="I150" i="1" l="1"/>
  <c r="I151" i="1" s="1"/>
  <c r="I154" i="1" l="1"/>
  <c r="I165" i="1" s="1"/>
  <c r="I162" i="1" s="1"/>
  <c r="I132" i="1" l="1"/>
  <c r="I163" i="1"/>
  <c r="I173" i="1"/>
  <c r="I170" i="1" s="1"/>
  <c r="I130" i="1"/>
  <c r="I131" i="1" s="1"/>
  <c r="I155" i="1"/>
  <c r="I157" i="1" l="1"/>
  <c r="J153" i="1"/>
  <c r="I205" i="1"/>
  <c r="I235" i="1" s="1"/>
  <c r="I133" i="1"/>
  <c r="I171" i="1"/>
  <c r="J356" i="1" s="1"/>
  <c r="J357" i="1" s="1"/>
  <c r="J160" i="1"/>
  <c r="I206" i="1"/>
  <c r="I236" i="1" s="1"/>
  <c r="I134" i="1"/>
  <c r="I141" i="1" s="1"/>
  <c r="I142" i="1" s="1"/>
  <c r="J161" i="1" l="1"/>
  <c r="J147" i="1"/>
  <c r="J149" i="1" s="1"/>
  <c r="J140" i="1"/>
  <c r="J344" i="1"/>
  <c r="J351" i="1" s="1"/>
  <c r="J362" i="1" s="1"/>
  <c r="I144" i="1"/>
  <c r="J168" i="1"/>
  <c r="I207" i="1"/>
  <c r="I237" i="1" s="1"/>
  <c r="J169" i="1" l="1"/>
  <c r="J127" i="1" s="1"/>
  <c r="J129" i="1" s="1"/>
  <c r="J150" i="1" l="1"/>
  <c r="J151" i="1" s="1"/>
  <c r="J154" i="1" l="1"/>
  <c r="J130" i="1" l="1"/>
  <c r="J131" i="1" s="1"/>
  <c r="J155" i="1"/>
  <c r="J165" i="1"/>
  <c r="J162" i="1" s="1"/>
  <c r="J132" i="1" l="1"/>
  <c r="J163" i="1"/>
  <c r="J173" i="1"/>
  <c r="J170" i="1" s="1"/>
  <c r="J157" i="1"/>
  <c r="F220" i="1"/>
  <c r="J205" i="1"/>
  <c r="J235" i="1" l="1"/>
  <c r="D235" i="1" s="1"/>
  <c r="J266" i="1" s="1"/>
  <c r="J133" i="1"/>
  <c r="J134" i="1" s="1"/>
  <c r="J141" i="1" s="1"/>
  <c r="J142" i="1" s="1"/>
  <c r="J171" i="1"/>
  <c r="G220" i="1"/>
  <c r="F221" i="1"/>
  <c r="G221" i="1" s="1"/>
  <c r="H221" i="1" s="1"/>
  <c r="I221" i="1" s="1"/>
  <c r="J221" i="1" s="1"/>
  <c r="J206" i="1"/>
  <c r="J236" i="1" l="1"/>
  <c r="D236" i="1" s="1"/>
  <c r="J267" i="1" s="1"/>
  <c r="C235" i="1"/>
  <c r="I266" i="1" s="1"/>
  <c r="C236" i="1"/>
  <c r="I267" i="1" s="1"/>
  <c r="H220" i="1"/>
  <c r="F222" i="1"/>
  <c r="G222" i="1" s="1"/>
  <c r="H222" i="1" s="1"/>
  <c r="I222" i="1" s="1"/>
  <c r="J222" i="1" s="1"/>
  <c r="J207" i="1"/>
  <c r="K356" i="1"/>
  <c r="K357" i="1" s="1"/>
  <c r="F226" i="1"/>
  <c r="G226" i="1" s="1"/>
  <c r="H226" i="1" s="1"/>
  <c r="I226" i="1" s="1"/>
  <c r="J226" i="1" s="1"/>
  <c r="K344" i="1"/>
  <c r="K351" i="1" s="1"/>
  <c r="J144" i="1"/>
  <c r="J237" i="1" l="1"/>
  <c r="C237" i="1" s="1"/>
  <c r="I268" i="1" s="1"/>
  <c r="K362" i="1"/>
  <c r="G227" i="1"/>
  <c r="F227" i="1"/>
  <c r="H227" i="1"/>
  <c r="I220" i="1"/>
  <c r="D237" i="1" l="1"/>
  <c r="J268" i="1" s="1"/>
  <c r="F228" i="1"/>
  <c r="J258" i="1" s="1"/>
  <c r="F229" i="1"/>
  <c r="J252" i="1" s="1"/>
  <c r="F230" i="1"/>
  <c r="J246" i="1" s="1"/>
  <c r="F231" i="1"/>
  <c r="J240" i="1" s="1"/>
  <c r="I227" i="1"/>
  <c r="J220" i="1"/>
  <c r="J227" i="1" s="1"/>
  <c r="H230" i="1"/>
  <c r="J248" i="1" s="1"/>
  <c r="H231" i="1"/>
  <c r="J242" i="1" s="1"/>
  <c r="H228" i="1"/>
  <c r="H229" i="1"/>
  <c r="J254" i="1" s="1"/>
  <c r="G231" i="1"/>
  <c r="J241" i="1" s="1"/>
  <c r="G228" i="1"/>
  <c r="J259" i="1" s="1"/>
  <c r="G229" i="1"/>
  <c r="J253" i="1" s="1"/>
  <c r="G230" i="1"/>
  <c r="J247" i="1" s="1"/>
  <c r="C240" i="1" l="1"/>
  <c r="D240" i="1"/>
  <c r="C259" i="1"/>
  <c r="D259" i="1"/>
  <c r="C248" i="1"/>
  <c r="I271" i="1" s="1"/>
  <c r="D248" i="1"/>
  <c r="J271" i="1" s="1"/>
  <c r="C246" i="1"/>
  <c r="D246" i="1"/>
  <c r="D242" i="1"/>
  <c r="J270" i="1" s="1"/>
  <c r="C242" i="1"/>
  <c r="I270" i="1" s="1"/>
  <c r="D247" i="1"/>
  <c r="C247" i="1"/>
  <c r="C254" i="1"/>
  <c r="I272" i="1" s="1"/>
  <c r="D254" i="1"/>
  <c r="J272" i="1" s="1"/>
  <c r="D252" i="1"/>
  <c r="C252" i="1"/>
  <c r="C241" i="1"/>
  <c r="D241" i="1"/>
  <c r="J228" i="1"/>
  <c r="J262" i="1" s="1"/>
  <c r="J229" i="1"/>
  <c r="J256" i="1" s="1"/>
  <c r="J230" i="1"/>
  <c r="J250" i="1" s="1"/>
  <c r="J231" i="1"/>
  <c r="J244" i="1" s="1"/>
  <c r="C253" i="1"/>
  <c r="D253" i="1"/>
  <c r="E280" i="1"/>
  <c r="I280" i="1"/>
  <c r="F280" i="1"/>
  <c r="J280" i="1"/>
  <c r="J260" i="1"/>
  <c r="G280" i="1"/>
  <c r="H280" i="1"/>
  <c r="I229" i="1"/>
  <c r="J255" i="1" s="1"/>
  <c r="I230" i="1"/>
  <c r="J249" i="1" s="1"/>
  <c r="I231" i="1"/>
  <c r="J243" i="1" s="1"/>
  <c r="I228" i="1"/>
  <c r="J261" i="1" s="1"/>
  <c r="C258" i="1"/>
  <c r="D258" i="1"/>
  <c r="C255" i="1" l="1"/>
  <c r="D255" i="1"/>
  <c r="J282" i="1"/>
  <c r="J283" i="1" s="1"/>
  <c r="J285" i="1"/>
  <c r="J286" i="1" s="1"/>
  <c r="D256" i="1"/>
  <c r="C256" i="1"/>
  <c r="D261" i="1"/>
  <c r="C261" i="1"/>
  <c r="H282" i="1"/>
  <c r="H283" i="1" s="1"/>
  <c r="H285" i="1"/>
  <c r="H286" i="1" s="1"/>
  <c r="F285" i="1"/>
  <c r="F286" i="1" s="1"/>
  <c r="F282" i="1"/>
  <c r="F283" i="1" s="1"/>
  <c r="C262" i="1"/>
  <c r="D262" i="1"/>
  <c r="C243" i="1"/>
  <c r="D243" i="1"/>
  <c r="I282" i="1"/>
  <c r="I283" i="1" s="1"/>
  <c r="I285" i="1"/>
  <c r="I286" i="1" s="1"/>
  <c r="C244" i="1"/>
  <c r="D244" i="1"/>
  <c r="G282" i="1"/>
  <c r="G283" i="1" s="1"/>
  <c r="G285" i="1"/>
  <c r="G286" i="1" s="1"/>
  <c r="C249" i="1"/>
  <c r="D249" i="1"/>
  <c r="C260" i="1"/>
  <c r="I273" i="1" s="1"/>
  <c r="D260" i="1"/>
  <c r="J273" i="1" s="1"/>
  <c r="E282" i="1"/>
  <c r="E283" i="1" s="1"/>
  <c r="E285" i="1"/>
  <c r="E286" i="1" s="1"/>
  <c r="C250" i="1"/>
  <c r="D250" i="1"/>
  <c r="C279" i="1" l="1"/>
  <c r="E301" i="1"/>
  <c r="E310" i="1"/>
  <c r="E291" i="1"/>
</calcChain>
</file>

<file path=xl/comments1.xml><?xml version="1.0" encoding="utf-8"?>
<comments xmlns="http://schemas.openxmlformats.org/spreadsheetml/2006/main">
  <authors>
    <author>Wall Street Prep</author>
    <author>Mary Roberts</author>
  </authors>
  <commentList>
    <comment ref="H7" authorId="0" shapeId="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I11" authorId="0" shapeId="0">
      <text>
        <r>
          <rPr>
            <b/>
            <sz val="9"/>
            <color indexed="81"/>
            <rFont val="Tahoma"/>
            <family val="2"/>
          </rPr>
          <t>Wall Street Prep:</t>
        </r>
        <r>
          <rPr>
            <sz val="9"/>
            <color indexed="81"/>
            <rFont val="Tahoma"/>
            <family val="2"/>
          </rPr>
          <t xml:space="preserve">
When a private company undergoes an LBO, the valuation discussion is expressed in terms of a multiple of EBITDA. Therefore, we input an EBITDA multiple assumption in this cell and work our way down to the implied offer value and offer value per share. 
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B13" authorId="0" shapeId="0">
      <text>
        <r>
          <rPr>
            <b/>
            <sz val="9"/>
            <color indexed="81"/>
            <rFont val="Tahoma"/>
            <family val="2"/>
          </rPr>
          <t>Wall Street Prep:</t>
        </r>
        <r>
          <rPr>
            <sz val="9"/>
            <color indexed="81"/>
            <rFont val="Tahoma"/>
            <family val="2"/>
          </rPr>
          <t xml:space="preserve">
Input the last twelve months (LTM) EBITDA. </t>
        </r>
      </text>
    </comment>
    <comment ref="B14" authorId="0" shapeId="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text>
        <r>
          <rPr>
            <b/>
            <sz val="9"/>
            <color indexed="81"/>
            <rFont val="Tahoma"/>
            <family val="2"/>
          </rPr>
          <t>Wall Street Prep:</t>
        </r>
        <r>
          <rPr>
            <sz val="9"/>
            <color indexed="81"/>
            <rFont val="Tahoma"/>
            <family val="2"/>
          </rPr>
          <t xml:space="preserve">
$1.4 in excess cash used in BMC LBO</t>
        </r>
      </text>
    </comment>
    <comment ref="D28" authorId="0" shapeId="0">
      <text>
        <r>
          <rPr>
            <b/>
            <sz val="9"/>
            <color indexed="81"/>
            <rFont val="Tahoma"/>
            <family val="2"/>
          </rPr>
          <t>Wall Street Prep:</t>
        </r>
        <r>
          <rPr>
            <sz val="9"/>
            <color indexed="81"/>
            <rFont val="Tahoma"/>
            <family val="2"/>
          </rPr>
          <t xml:space="preserve">
Up to $350m in availability on revolver with 5 year term</t>
        </r>
      </text>
    </comment>
    <comment ref="D29" authorId="0" shapeId="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text>
        <r>
          <rPr>
            <b/>
            <sz val="9"/>
            <color indexed="81"/>
            <rFont val="Tahoma"/>
            <family val="2"/>
          </rPr>
          <t>Wall Street Prep:</t>
        </r>
        <r>
          <rPr>
            <sz val="9"/>
            <color indexed="81"/>
            <rFont val="Tahoma"/>
            <family val="2"/>
          </rPr>
          <t xml:space="preserve">
Originally $1.38b high yield bond, matures 2021 increased to $1.625b.</t>
        </r>
      </text>
    </comment>
    <comment ref="C34" authorId="1" shapeId="0">
      <text>
        <r>
          <rPr>
            <b/>
            <sz val="9"/>
            <color indexed="81"/>
            <rFont val="Tahoma"/>
            <family val="2"/>
          </rPr>
          <t>NY Times dealbook states Longview owns 9% of Petsmart and will rollover 1/3 of shares (cashing out other 2/3)</t>
        </r>
      </text>
    </comment>
    <comment ref="B61" authorId="1" shapeId="0">
      <text>
        <r>
          <rPr>
            <b/>
            <sz val="9"/>
            <color indexed="81"/>
            <rFont val="Tahoma"/>
            <family val="2"/>
          </rPr>
          <t>10-K, filed below line in income statement</t>
        </r>
      </text>
    </comment>
    <comment ref="D78" authorId="1" shapeId="0">
      <text>
        <r>
          <rPr>
            <b/>
            <sz val="9"/>
            <color indexed="81"/>
            <rFont val="Tahoma"/>
            <family val="2"/>
          </rPr>
          <t>Inventory, DTA, prepaid expenses</t>
        </r>
      </text>
    </comment>
    <comment ref="D82" authorId="1" shapeId="0">
      <text>
        <r>
          <rPr>
            <b/>
            <sz val="9"/>
            <color indexed="81"/>
            <rFont val="Tahoma"/>
            <family val="2"/>
          </rPr>
          <t>Accrued payroll, accrued occupancy</t>
        </r>
      </text>
    </comment>
    <comment ref="K93" authorId="0" shapeId="0">
      <text>
        <r>
          <rPr>
            <b/>
            <sz val="9"/>
            <color indexed="81"/>
            <rFont val="Tahoma"/>
            <family val="2"/>
          </rPr>
          <t>Wall Street Prep:</t>
        </r>
        <r>
          <rPr>
            <sz val="9"/>
            <color indexed="81"/>
            <rFont val="Tahoma"/>
            <family val="2"/>
          </rPr>
          <t xml:space="preserve">
In an LBO where fixed asset purchases are limited to maintenance (as opposed to growth) capex, the ratio between capex and depreciation should converge to 1 over time, as new machines simply replace the absolesence of old machines.  </t>
        </r>
      </text>
    </comment>
    <comment ref="E164" authorId="0" shapeId="0">
      <text>
        <r>
          <rPr>
            <b/>
            <sz val="9"/>
            <color indexed="81"/>
            <rFont val="Tahoma"/>
            <family val="2"/>
          </rPr>
          <t>Wall Street Prep:</t>
        </r>
        <r>
          <rPr>
            <sz val="9"/>
            <color indexed="81"/>
            <rFont val="Tahoma"/>
            <family val="2"/>
          </rPr>
          <t xml:space="preserve">
% of available cash to be used.</t>
        </r>
      </text>
    </comment>
    <comment ref="E172" authorId="0" shapeId="0">
      <text>
        <r>
          <rPr>
            <b/>
            <sz val="9"/>
            <color indexed="81"/>
            <rFont val="Tahoma"/>
            <family val="2"/>
          </rPr>
          <t>Wall Street Prep:</t>
        </r>
        <r>
          <rPr>
            <sz val="9"/>
            <color indexed="81"/>
            <rFont val="Tahoma"/>
            <family val="2"/>
          </rPr>
          <t xml:space="preserve">
% of available cash to be used.</t>
        </r>
      </text>
    </comment>
    <comment ref="F196"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G196"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H196"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I196"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J196" authorId="0" shapeId="0">
      <text>
        <r>
          <rPr>
            <b/>
            <sz val="9"/>
            <color indexed="81"/>
            <rFont val="Tahoma"/>
            <family val="2"/>
          </rPr>
          <t>Wall Street Prep:</t>
        </r>
        <r>
          <rPr>
            <sz val="9"/>
            <color indexed="81"/>
            <rFont val="Tahoma"/>
            <family val="2"/>
          </rPr>
          <t xml:space="preserve">
For simplicity we will ignore the impact of financing fee amortization on the I/S and the corresponding addback on the CFS).</t>
        </r>
      </text>
    </comment>
    <comment ref="E230" authorId="0" shapeId="0">
      <text>
        <r>
          <rPr>
            <b/>
            <sz val="9"/>
            <color indexed="81"/>
            <rFont val="Tahoma"/>
            <family val="2"/>
          </rPr>
          <t>Wall Street Prep:</t>
        </r>
        <r>
          <rPr>
            <sz val="9"/>
            <color indexed="81"/>
            <rFont val="Tahoma"/>
            <family val="2"/>
          </rPr>
          <t xml:space="preserve">
In addition to dividends, preferred stock may also negotiate to receive warrants to increase their returns (aka "equity kicker"). This has the impact of diluting the sponsors and management equity at exit. </t>
        </r>
      </text>
    </comment>
    <comment ref="E231" authorId="0" shapeId="0">
      <text>
        <r>
          <rPr>
            <b/>
            <sz val="9"/>
            <color indexed="81"/>
            <rFont val="Tahoma"/>
            <family val="2"/>
          </rPr>
          <t>Wall Street Prep:</t>
        </r>
        <r>
          <rPr>
            <sz val="9"/>
            <color indexed="81"/>
            <rFont val="Tahoma"/>
            <family val="2"/>
          </rPr>
          <t xml:space="preserve">
In addition to interest, lenders (usually high yield subordinated notes) may also negotiate to receive warrants to increase their returns (aka "equity kicker"). This has the impact of diluting the sponsors and management equity at exit. </t>
        </r>
      </text>
    </comment>
    <comment ref="H265" authorId="0" shapeId="0">
      <text>
        <r>
          <rPr>
            <b/>
            <sz val="9"/>
            <color indexed="81"/>
            <rFont val="Tahoma"/>
            <family val="2"/>
          </rPr>
          <t>Wall Street Prep:</t>
        </r>
        <r>
          <rPr>
            <sz val="9"/>
            <color indexed="81"/>
            <rFont val="Tahoma"/>
            <family val="2"/>
          </rPr>
          <t xml:space="preserve">
Fully diluted</t>
        </r>
      </text>
    </comment>
    <comment ref="E280"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F280"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280"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H280"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I280"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J280" authorId="0" shapeId="0">
      <text>
        <r>
          <rPr>
            <b/>
            <sz val="9"/>
            <color indexed="81"/>
            <rFont val="Tahoma"/>
            <family val="2"/>
          </rPr>
          <t>Wall Street Prep:</t>
        </r>
        <r>
          <rPr>
            <sz val="9"/>
            <color indexed="81"/>
            <rFont val="Tahoma"/>
            <family val="2"/>
          </rPr>
          <t xml:space="preserve">
Ignored effects of changes in model-derived offer value on transaction and financing fees for simplicity</t>
        </r>
      </text>
    </comment>
    <comment ref="G320" authorId="0" shapeId="0">
      <text>
        <r>
          <rPr>
            <b/>
            <sz val="9"/>
            <color indexed="81"/>
            <rFont val="Tahoma"/>
            <family val="2"/>
          </rPr>
          <t>Wall Street Prep:</t>
        </r>
        <r>
          <rPr>
            <sz val="9"/>
            <color indexed="81"/>
            <rFont val="Tahoma"/>
            <family val="2"/>
          </rPr>
          <t xml:space="preserve">
Management rollover is excluded from both sources &amp; uses because it is simultaneously a debit and credit to equity, creating a net impact of zero to equity. </t>
        </r>
      </text>
    </comment>
    <comment ref="H320" authorId="0" shapeId="0">
      <text>
        <r>
          <rPr>
            <b/>
            <sz val="9"/>
            <color indexed="81"/>
            <rFont val="Tahoma"/>
            <family val="2"/>
          </rPr>
          <t>Wall Street Prep:</t>
        </r>
        <r>
          <rPr>
            <sz val="9"/>
            <color indexed="81"/>
            <rFont val="Tahoma"/>
            <family val="2"/>
          </rPr>
          <t xml:space="preserve">
Management rollover is excluded from both sources &amp; uses because it is simultaneously a debit and credit to equity, creating a net impact of zero to equity. </t>
        </r>
      </text>
    </comment>
    <comment ref="B333" authorId="0" shapeId="0">
      <text>
        <r>
          <rPr>
            <b/>
            <sz val="9"/>
            <color indexed="81"/>
            <rFont val="Tahoma"/>
            <family val="2"/>
          </rPr>
          <t>Wall Street Prep:</t>
        </r>
        <r>
          <rPr>
            <sz val="9"/>
            <color indexed="81"/>
            <rFont val="Tahoma"/>
            <family val="2"/>
          </rPr>
          <t xml:space="preserve">
Include legacy noncontrolling interests and preferred stock for simplicty</t>
        </r>
      </text>
    </comment>
    <comment ref="G337" authorId="0" shapeId="0">
      <text>
        <r>
          <rPr>
            <b/>
            <sz val="9"/>
            <color indexed="81"/>
            <rFont val="Tahoma"/>
            <family val="2"/>
          </rPr>
          <t>Wall Street Prep:</t>
        </r>
        <r>
          <rPr>
            <sz val="9"/>
            <color indexed="81"/>
            <rFont val="Tahoma"/>
            <family val="2"/>
          </rPr>
          <t xml:space="preserve">
Excludes management rollover</t>
        </r>
      </text>
    </comment>
    <comment ref="F349" authorId="0" shapeId="0">
      <text>
        <r>
          <rPr>
            <b/>
            <sz val="9"/>
            <color indexed="81"/>
            <rFont val="Tahoma"/>
            <family val="2"/>
          </rPr>
          <t>Wall Street Prep:</t>
        </r>
        <r>
          <rPr>
            <sz val="9"/>
            <color indexed="81"/>
            <rFont val="Tahoma"/>
            <family val="2"/>
          </rPr>
          <t xml:space="preserve">
Includes capitalized financing fees</t>
        </r>
      </text>
    </comment>
    <comment ref="G349" authorId="0" shapeId="0">
      <text>
        <r>
          <rPr>
            <b/>
            <sz val="9"/>
            <color indexed="81"/>
            <rFont val="Tahoma"/>
            <family val="2"/>
          </rPr>
          <t>Wall Street Prep:</t>
        </r>
        <r>
          <rPr>
            <sz val="9"/>
            <color indexed="81"/>
            <rFont val="Tahoma"/>
            <family val="2"/>
          </rPr>
          <t xml:space="preserve">
Includes capitalized financing fees</t>
        </r>
      </text>
    </comment>
    <comment ref="H349" authorId="0" shapeId="0">
      <text>
        <r>
          <rPr>
            <b/>
            <sz val="9"/>
            <color indexed="81"/>
            <rFont val="Tahoma"/>
            <family val="2"/>
          </rPr>
          <t>Wall Street Prep:</t>
        </r>
        <r>
          <rPr>
            <sz val="9"/>
            <color indexed="81"/>
            <rFont val="Tahoma"/>
            <family val="2"/>
          </rPr>
          <t xml:space="preserve">
Includes capitalized financing fees</t>
        </r>
      </text>
    </comment>
    <comment ref="I349" authorId="0" shapeId="0">
      <text>
        <r>
          <rPr>
            <b/>
            <sz val="9"/>
            <color indexed="81"/>
            <rFont val="Tahoma"/>
            <family val="2"/>
          </rPr>
          <t>Wall Street Prep:</t>
        </r>
        <r>
          <rPr>
            <sz val="9"/>
            <color indexed="81"/>
            <rFont val="Tahoma"/>
            <family val="2"/>
          </rPr>
          <t xml:space="preserve">
Includes capitalized financing fees</t>
        </r>
      </text>
    </comment>
    <comment ref="J349" authorId="0" shapeId="0">
      <text>
        <r>
          <rPr>
            <b/>
            <sz val="9"/>
            <color indexed="81"/>
            <rFont val="Tahoma"/>
            <family val="2"/>
          </rPr>
          <t>Wall Street Prep:</t>
        </r>
        <r>
          <rPr>
            <sz val="9"/>
            <color indexed="81"/>
            <rFont val="Tahoma"/>
            <family val="2"/>
          </rPr>
          <t xml:space="preserve">
Includes capitalized financing fees</t>
        </r>
      </text>
    </comment>
    <comment ref="K349" authorId="0" shapeId="0">
      <text>
        <r>
          <rPr>
            <b/>
            <sz val="9"/>
            <color indexed="81"/>
            <rFont val="Tahoma"/>
            <family val="2"/>
          </rPr>
          <t>Wall Street Prep:</t>
        </r>
        <r>
          <rPr>
            <sz val="9"/>
            <color indexed="81"/>
            <rFont val="Tahoma"/>
            <family val="2"/>
          </rPr>
          <t xml:space="preserve">
Includes capitalized financing fees</t>
        </r>
      </text>
    </comment>
    <comment ref="F350" authorId="0" shapeId="0">
      <text>
        <r>
          <rPr>
            <b/>
            <sz val="9"/>
            <color indexed="81"/>
            <rFont val="Tahoma"/>
            <family val="2"/>
          </rPr>
          <t>Wall Street Prep:</t>
        </r>
        <r>
          <rPr>
            <sz val="9"/>
            <color indexed="81"/>
            <rFont val="Tahoma"/>
            <family val="2"/>
          </rPr>
          <t xml:space="preserve">
Includes goodwill created in the LBO </t>
        </r>
      </text>
    </comment>
    <comment ref="G350" authorId="0" shapeId="0">
      <text>
        <r>
          <rPr>
            <b/>
            <sz val="9"/>
            <color indexed="81"/>
            <rFont val="Tahoma"/>
            <family val="2"/>
          </rPr>
          <t>Wall Street Prep:</t>
        </r>
        <r>
          <rPr>
            <sz val="9"/>
            <color indexed="81"/>
            <rFont val="Tahoma"/>
            <family val="2"/>
          </rPr>
          <t xml:space="preserve">
Includes goodwill created in the LBO </t>
        </r>
      </text>
    </comment>
    <comment ref="H350" authorId="0" shapeId="0">
      <text>
        <r>
          <rPr>
            <b/>
            <sz val="9"/>
            <color indexed="81"/>
            <rFont val="Tahoma"/>
            <family val="2"/>
          </rPr>
          <t>Wall Street Prep:</t>
        </r>
        <r>
          <rPr>
            <sz val="9"/>
            <color indexed="81"/>
            <rFont val="Tahoma"/>
            <family val="2"/>
          </rPr>
          <t xml:space="preserve">
Includes goodwill created in the LBO </t>
        </r>
      </text>
    </comment>
    <comment ref="I350" authorId="0" shapeId="0">
      <text>
        <r>
          <rPr>
            <b/>
            <sz val="9"/>
            <color indexed="81"/>
            <rFont val="Tahoma"/>
            <family val="2"/>
          </rPr>
          <t>Wall Street Prep:</t>
        </r>
        <r>
          <rPr>
            <sz val="9"/>
            <color indexed="81"/>
            <rFont val="Tahoma"/>
            <family val="2"/>
          </rPr>
          <t xml:space="preserve">
Includes goodwill created in the LBO </t>
        </r>
      </text>
    </comment>
    <comment ref="J350" authorId="0" shapeId="0">
      <text>
        <r>
          <rPr>
            <b/>
            <sz val="9"/>
            <color indexed="81"/>
            <rFont val="Tahoma"/>
            <family val="2"/>
          </rPr>
          <t>Wall Street Prep:</t>
        </r>
        <r>
          <rPr>
            <sz val="9"/>
            <color indexed="81"/>
            <rFont val="Tahoma"/>
            <family val="2"/>
          </rPr>
          <t xml:space="preserve">
Includes goodwill created in the LBO </t>
        </r>
      </text>
    </comment>
    <comment ref="K350" authorId="0" shapeId="0">
      <text>
        <r>
          <rPr>
            <b/>
            <sz val="9"/>
            <color indexed="81"/>
            <rFont val="Tahoma"/>
            <family val="2"/>
          </rPr>
          <t>Wall Street Prep:</t>
        </r>
        <r>
          <rPr>
            <sz val="9"/>
            <color indexed="81"/>
            <rFont val="Tahoma"/>
            <family val="2"/>
          </rPr>
          <t xml:space="preserve">
Includes goodwill created in the LBO </t>
        </r>
      </text>
    </comment>
    <comment ref="F356" authorId="0" shapeId="0">
      <text>
        <r>
          <rPr>
            <b/>
            <sz val="9"/>
            <color indexed="81"/>
            <rFont val="Tahoma"/>
            <family val="2"/>
          </rPr>
          <t>Wall Street Prep:</t>
        </r>
        <r>
          <rPr>
            <sz val="9"/>
            <color indexed="81"/>
            <rFont val="Tahoma"/>
            <family val="2"/>
          </rPr>
          <t xml:space="preserve">
Include all LBO created debt tranches</t>
        </r>
      </text>
    </comment>
    <comment ref="G356" authorId="0" shapeId="0">
      <text>
        <r>
          <rPr>
            <b/>
            <sz val="9"/>
            <color indexed="81"/>
            <rFont val="Tahoma"/>
            <family val="2"/>
          </rPr>
          <t>Wall Street Prep:</t>
        </r>
        <r>
          <rPr>
            <sz val="9"/>
            <color indexed="81"/>
            <rFont val="Tahoma"/>
            <family val="2"/>
          </rPr>
          <t xml:space="preserve">
Include all LBO created debt tranches</t>
        </r>
      </text>
    </comment>
    <comment ref="H356" authorId="0" shapeId="0">
      <text>
        <r>
          <rPr>
            <b/>
            <sz val="9"/>
            <color indexed="81"/>
            <rFont val="Tahoma"/>
            <family val="2"/>
          </rPr>
          <t>Wall Street Prep:</t>
        </r>
        <r>
          <rPr>
            <sz val="9"/>
            <color indexed="81"/>
            <rFont val="Tahoma"/>
            <family val="2"/>
          </rPr>
          <t xml:space="preserve">
Include all LBO created debt tranches</t>
        </r>
      </text>
    </comment>
    <comment ref="I356" authorId="0" shapeId="0">
      <text>
        <r>
          <rPr>
            <b/>
            <sz val="9"/>
            <color indexed="81"/>
            <rFont val="Tahoma"/>
            <family val="2"/>
          </rPr>
          <t>Wall Street Prep:</t>
        </r>
        <r>
          <rPr>
            <sz val="9"/>
            <color indexed="81"/>
            <rFont val="Tahoma"/>
            <family val="2"/>
          </rPr>
          <t xml:space="preserve">
Include all LBO created debt tranches</t>
        </r>
      </text>
    </comment>
    <comment ref="J356" authorId="0" shapeId="0">
      <text>
        <r>
          <rPr>
            <b/>
            <sz val="9"/>
            <color indexed="81"/>
            <rFont val="Tahoma"/>
            <family val="2"/>
          </rPr>
          <t>Wall Street Prep:</t>
        </r>
        <r>
          <rPr>
            <sz val="9"/>
            <color indexed="81"/>
            <rFont val="Tahoma"/>
            <family val="2"/>
          </rPr>
          <t xml:space="preserve">
Include all LBO created debt tranches</t>
        </r>
      </text>
    </comment>
    <comment ref="K356" authorId="0" shapeId="0">
      <text>
        <r>
          <rPr>
            <b/>
            <sz val="9"/>
            <color indexed="81"/>
            <rFont val="Tahoma"/>
            <family val="2"/>
          </rPr>
          <t>Wall Street Prep:</t>
        </r>
        <r>
          <rPr>
            <sz val="9"/>
            <color indexed="81"/>
            <rFont val="Tahoma"/>
            <family val="2"/>
          </rPr>
          <t xml:space="preserve">
Include all LBO created debt tranches</t>
        </r>
      </text>
    </comment>
    <comment ref="G360"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H360"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I360"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J360"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 ref="K360" authorId="0" shapeId="0">
      <text>
        <r>
          <rPr>
            <b/>
            <sz val="9"/>
            <color indexed="81"/>
            <rFont val="Tahoma"/>
            <family val="2"/>
          </rPr>
          <t>Wall Street Prep:</t>
        </r>
        <r>
          <rPr>
            <sz val="9"/>
            <color indexed="81"/>
            <rFont val="Tahoma"/>
            <family val="2"/>
          </rPr>
          <t xml:space="preserve">
</t>
        </r>
        <r>
          <rPr>
            <u/>
            <sz val="9"/>
            <color indexed="81"/>
            <rFont val="Tahoma"/>
            <family val="2"/>
          </rPr>
          <t xml:space="preserve">PF Equity, BOP
</t>
        </r>
        <r>
          <rPr>
            <sz val="9"/>
            <color indexed="81"/>
            <rFont val="Tahoma"/>
            <family val="2"/>
          </rPr>
          <t xml:space="preserve">+ NI, current period
-  Dividends common &amp; preferred, (PIK and cash)
+ SBC, current period (debit to RE via NI needs to be offset by credit to Common stock)
</t>
        </r>
        <r>
          <rPr>
            <u/>
            <sz val="9"/>
            <color indexed="81"/>
            <rFont val="Tahoma"/>
            <family val="2"/>
          </rPr>
          <t xml:space="preserve">-  Financing fee amortization (b/c we ignored its impact directly on the IS)
</t>
        </r>
        <r>
          <rPr>
            <sz val="9"/>
            <color indexed="81"/>
            <rFont val="Tahoma"/>
            <family val="2"/>
          </rPr>
          <t>PF Equity, EOP</t>
        </r>
      </text>
    </comment>
  </commentList>
</comments>
</file>

<file path=xl/comments2.xml><?xml version="1.0" encoding="utf-8"?>
<comments xmlns="http://schemas.openxmlformats.org/spreadsheetml/2006/main">
  <authors>
    <author>Wall Street Prep</author>
    <author>Mary Roberts</author>
  </authors>
  <commentList>
    <comment ref="E5" authorId="0" shapeId="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 ref="E12" authorId="1" shapeId="0">
      <text>
        <r>
          <rPr>
            <b/>
            <sz val="9"/>
            <color indexed="81"/>
            <rFont val="Tahoma"/>
            <family val="2"/>
          </rPr>
          <t>RSUs nonvested, F-19 of 10-K</t>
        </r>
      </text>
    </comment>
  </commentList>
</comments>
</file>

<file path=xl/sharedStrings.xml><?xml version="1.0" encoding="utf-8"?>
<sst xmlns="http://schemas.openxmlformats.org/spreadsheetml/2006/main" count="306" uniqueCount="249">
  <si>
    <t>$ mm except per share</t>
  </si>
  <si>
    <t>Company name</t>
  </si>
  <si>
    <t>Circuit breaker:</t>
  </si>
  <si>
    <t>OFF</t>
  </si>
  <si>
    <t>INCOME STATEMENT</t>
  </si>
  <si>
    <t xml:space="preserve">Fiscal year  </t>
  </si>
  <si>
    <t>Fiscal year end date</t>
  </si>
  <si>
    <t>Revenue</t>
  </si>
  <si>
    <t>Cost of sales (enter as -)</t>
  </si>
  <si>
    <t>Gross Profit</t>
  </si>
  <si>
    <t>Research &amp; development (enter as -)</t>
  </si>
  <si>
    <t>Selling, general &amp; administrative (enter as -)</t>
  </si>
  <si>
    <t>Operating profit (EBIT)</t>
  </si>
  <si>
    <t>Interest income</t>
  </si>
  <si>
    <t>Interest expense (enter as -)</t>
  </si>
  <si>
    <t>Pretax profit</t>
  </si>
  <si>
    <t>Taxes (enter expense as -)</t>
  </si>
  <si>
    <t>Net income</t>
  </si>
  <si>
    <t>Diluted shares outstanding</t>
  </si>
  <si>
    <t>Growth rates &amp; margins</t>
  </si>
  <si>
    <t>Revenue growth</t>
  </si>
  <si>
    <t>NA</t>
  </si>
  <si>
    <t>Gross profit as % of sales</t>
  </si>
  <si>
    <t>R&amp;D margin</t>
  </si>
  <si>
    <t>SG&amp;A margin</t>
  </si>
  <si>
    <t>Tax rate</t>
  </si>
  <si>
    <t>Stock based compensation</t>
  </si>
  <si>
    <t>EBITDA</t>
  </si>
  <si>
    <t>Total</t>
  </si>
  <si>
    <t>Revolver</t>
  </si>
  <si>
    <t>WORKING CAPITAL</t>
  </si>
  <si>
    <t>Increases / (decreases)</t>
  </si>
  <si>
    <t>AR as % of sales</t>
  </si>
  <si>
    <t>AP as % of COGS</t>
  </si>
  <si>
    <t>PIK accrual</t>
  </si>
  <si>
    <t>SBC as % of all operating expenses</t>
  </si>
  <si>
    <t>CASH FLOW STATEMENT</t>
  </si>
  <si>
    <t>Depreciation and amortization</t>
  </si>
  <si>
    <t>Cash from operating activities</t>
  </si>
  <si>
    <t>Capital expenditures</t>
  </si>
  <si>
    <t>Cash from investing activities</t>
  </si>
  <si>
    <t>Net change in cash during period</t>
  </si>
  <si>
    <t>Maximum availability</t>
  </si>
  <si>
    <t>Compliance check</t>
  </si>
  <si>
    <t>Less: Minimum cash desired</t>
  </si>
  <si>
    <t>Equals: Excess cash at BOP</t>
  </si>
  <si>
    <t>Plus: Free cash flows generated during period</t>
  </si>
  <si>
    <t>Cash</t>
  </si>
  <si>
    <t>Interest rate on cash</t>
  </si>
  <si>
    <t>Equity value</t>
  </si>
  <si>
    <t>Total proceeds ($mm)</t>
  </si>
  <si>
    <t>Total shares repurchased (mm)</t>
  </si>
  <si>
    <t>Net dilutive options</t>
  </si>
  <si>
    <t xml:space="preserve">Dilutive impact of shares from other securities </t>
  </si>
  <si>
    <t>Net diluted shares outstanding</t>
  </si>
  <si>
    <t>x</t>
  </si>
  <si>
    <t>Enterprise value</t>
  </si>
  <si>
    <t>Exercise price</t>
  </si>
  <si>
    <t>In-the-money exercisable options</t>
  </si>
  <si>
    <t>LTM EBITDA</t>
  </si>
  <si>
    <t>EBITDA at exit</t>
  </si>
  <si>
    <t>Offer value</t>
  </si>
  <si>
    <t>Buyout of equity</t>
  </si>
  <si>
    <t>Excess cash</t>
  </si>
  <si>
    <t>Refinancing of oldco debt</t>
  </si>
  <si>
    <t>Sponsor equity</t>
  </si>
  <si>
    <t>Total Uses</t>
  </si>
  <si>
    <t>Accrued expenses &amp; def revenues, EOP</t>
  </si>
  <si>
    <t>Accounts payable, EOP</t>
  </si>
  <si>
    <t>Accounts receivable, EOP</t>
  </si>
  <si>
    <t>Amortization</t>
  </si>
  <si>
    <t>Depreciation</t>
  </si>
  <si>
    <t>PP&amp;E</t>
  </si>
  <si>
    <t>Changes in net working capital</t>
  </si>
  <si>
    <t>Other liabilities</t>
  </si>
  <si>
    <t>As % of sales</t>
  </si>
  <si>
    <t>Mandatory amortization $</t>
  </si>
  <si>
    <t>Term Loan A</t>
  </si>
  <si>
    <t>Term Loan B</t>
  </si>
  <si>
    <t>Senior Note</t>
  </si>
  <si>
    <t>Sub Note</t>
  </si>
  <si>
    <t>Term Loan A, BOP</t>
  </si>
  <si>
    <t>Term Loan B, BOP</t>
  </si>
  <si>
    <t>Term Loan B, EOP</t>
  </si>
  <si>
    <t>Term Loan A, EOP</t>
  </si>
  <si>
    <t>Senior Note, EOP</t>
  </si>
  <si>
    <t>Senior Note, BOP</t>
  </si>
  <si>
    <t>Sub Note, EOP</t>
  </si>
  <si>
    <t>Sub Note, BOP</t>
  </si>
  <si>
    <t>Required debt principal payments</t>
  </si>
  <si>
    <t>Mandatory paydown $</t>
  </si>
  <si>
    <t>Post-revolver cash flows</t>
  </si>
  <si>
    <t>Cash sweep (paydown from excess cash flows)</t>
  </si>
  <si>
    <t>Discretionary Term A paydown</t>
  </si>
  <si>
    <t>Pre-revolver cash flows</t>
  </si>
  <si>
    <t>Discretionary Term B paydown</t>
  </si>
  <si>
    <t>Cash, BOP</t>
  </si>
  <si>
    <t>Cash, EOP</t>
  </si>
  <si>
    <t>CASH &amp; DEBT</t>
  </si>
  <si>
    <t>Revolver, BOP</t>
  </si>
  <si>
    <t>Revolver, EOP</t>
  </si>
  <si>
    <t xml:space="preserve">Cash, BOP </t>
  </si>
  <si>
    <t>Cash available (needed) to paydown (draw from) revolver</t>
  </si>
  <si>
    <t>RETURNS</t>
  </si>
  <si>
    <t>IRR</t>
  </si>
  <si>
    <t>Preferred stock</t>
  </si>
  <si>
    <t>Preferred stock, BOP</t>
  </si>
  <si>
    <t>Mandatory paydown (% of original)</t>
  </si>
  <si>
    <t>Preferred stock, EOP</t>
  </si>
  <si>
    <t>Net debt:</t>
  </si>
  <si>
    <t>EV / LTM EBITDA</t>
  </si>
  <si>
    <t>Offer value / per share</t>
  </si>
  <si>
    <t>% Premium / discount</t>
  </si>
  <si>
    <t>Ticker (if applicable)</t>
  </si>
  <si>
    <t>Current share price (if applicable)</t>
  </si>
  <si>
    <t>GENERAL INPUTS</t>
  </si>
  <si>
    <t>INITIAL VALUATION</t>
  </si>
  <si>
    <t>EXIT VALUATION</t>
  </si>
  <si>
    <t>Net Working Capital</t>
  </si>
  <si>
    <t>Other assets &amp; liabilities</t>
  </si>
  <si>
    <t>Initial</t>
  </si>
  <si>
    <t>EBITDA turns</t>
  </si>
  <si>
    <t>$ investment</t>
  </si>
  <si>
    <t>Total Sources</t>
  </si>
  <si>
    <t>Cash available for cash sweep</t>
  </si>
  <si>
    <t>Pref. stock</t>
  </si>
  <si>
    <t>Step</t>
  </si>
  <si>
    <t>EBITDA multiple at exit</t>
  </si>
  <si>
    <t>Financing</t>
  </si>
  <si>
    <t>% of Total Capital</t>
  </si>
  <si>
    <t>Expected IRR</t>
  </si>
  <si>
    <t>Sub. Note</t>
  </si>
  <si>
    <t>Mgmt equity</t>
  </si>
  <si>
    <t>PIK rate</t>
  </si>
  <si>
    <t>Cash rate</t>
  </si>
  <si>
    <t>PIK interest</t>
  </si>
  <si>
    <t>Sub Note - PIK interest</t>
  </si>
  <si>
    <t>Sub Note - Cash interest</t>
  </si>
  <si>
    <t>% AR</t>
  </si>
  <si>
    <t>% Inventory</t>
  </si>
  <si>
    <t>Cash dividend</t>
  </si>
  <si>
    <t>Addback of PIK interest</t>
  </si>
  <si>
    <t>Cash-on-cash</t>
  </si>
  <si>
    <t>Sub Note at exit EBITDA multiple of:</t>
  </si>
  <si>
    <r>
      <t xml:space="preserve">Preferred Stock </t>
    </r>
    <r>
      <rPr>
        <sz val="11"/>
        <color theme="1"/>
        <rFont val="Calibri"/>
        <family val="2"/>
        <scheme val="minor"/>
      </rPr>
      <t>at exit EBITDA multiple of:</t>
    </r>
  </si>
  <si>
    <r>
      <t>Management Equity</t>
    </r>
    <r>
      <rPr>
        <sz val="11"/>
        <color theme="1"/>
        <rFont val="Calibri"/>
        <family val="2"/>
        <scheme val="minor"/>
      </rPr>
      <t xml:space="preserve"> at exit EBITDA multiple of:</t>
    </r>
  </si>
  <si>
    <r>
      <t xml:space="preserve">Sponsor's Equity </t>
    </r>
    <r>
      <rPr>
        <sz val="11"/>
        <color theme="1"/>
        <rFont val="Calibri"/>
        <family val="2"/>
        <scheme val="minor"/>
      </rPr>
      <t>at exit EBITDA multiple of:</t>
    </r>
  </si>
  <si>
    <t>% ownership</t>
  </si>
  <si>
    <t>% FD Ownership</t>
  </si>
  <si>
    <t>SOURCES OF FUNDS</t>
  </si>
  <si>
    <t>USES OF FUNDS</t>
  </si>
  <si>
    <t>Depreciation as a % of capex</t>
  </si>
  <si>
    <t>Mgmt rollover</t>
  </si>
  <si>
    <t>Yes</t>
  </si>
  <si>
    <t>Preferred dividend (cash)</t>
  </si>
  <si>
    <t>Cash sweep</t>
  </si>
  <si>
    <t>% of available cash used</t>
  </si>
  <si>
    <t>Multiple:</t>
  </si>
  <si>
    <t>Sub Note Equity Kicker</t>
  </si>
  <si>
    <t>Preferred</t>
  </si>
  <si>
    <t>Equity</t>
  </si>
  <si>
    <t>Kicker:</t>
  </si>
  <si>
    <t>Other non-operating expense (enter as -)</t>
  </si>
  <si>
    <t>Restructuring and other nonrecurring charges</t>
  </si>
  <si>
    <t>Other current assets, EOP</t>
  </si>
  <si>
    <t>Other current assets as % of sales</t>
  </si>
  <si>
    <t>EBIT (GAAP)</t>
  </si>
  <si>
    <t>EBITDA reconciliation</t>
  </si>
  <si>
    <t>Purchases</t>
  </si>
  <si>
    <t>Smoothing?</t>
  </si>
  <si>
    <t>Intangible assets</t>
  </si>
  <si>
    <t>LONG LIVED ASSETS</t>
  </si>
  <si>
    <t>Capex as a % of revenue</t>
  </si>
  <si>
    <t>3-Month LIBOR Rate (bps)</t>
  </si>
  <si>
    <t>LIBOR Spread</t>
  </si>
  <si>
    <t>LIBOR floor</t>
  </si>
  <si>
    <t>Coupon Rate</t>
  </si>
  <si>
    <t>INTEREST EXPENSE</t>
  </si>
  <si>
    <t>Offer price</t>
  </si>
  <si>
    <t>Out. shares</t>
  </si>
  <si>
    <t>In-the-$-shares</t>
  </si>
  <si>
    <t>Plus: Cash (latest filing)</t>
  </si>
  <si>
    <t>Basic shares outstanding (latest filing)</t>
  </si>
  <si>
    <t>Less: Gross Debt (latest filing)</t>
  </si>
  <si>
    <t>Latest closing share price date (f applicable)</t>
  </si>
  <si>
    <t>Select a valuation approach:</t>
  </si>
  <si>
    <t>EV / LTM EBITDA multiple at exit</t>
  </si>
  <si>
    <t>Explicit EBITDA</t>
  </si>
  <si>
    <t>Explicit offer/share</t>
  </si>
  <si>
    <t>Fully diluted</t>
  </si>
  <si>
    <t>Total Assets</t>
  </si>
  <si>
    <t>Total Liabilities</t>
  </si>
  <si>
    <t>Balance check</t>
  </si>
  <si>
    <t>Goodwill and other assets</t>
  </si>
  <si>
    <t>Uses of funds</t>
  </si>
  <si>
    <t>Sources of funds</t>
  </si>
  <si>
    <t xml:space="preserve">Debt </t>
  </si>
  <si>
    <t>LBO Preferred stock</t>
  </si>
  <si>
    <t>Accounting</t>
  </si>
  <si>
    <t>Pro forma</t>
  </si>
  <si>
    <t>Total equity</t>
  </si>
  <si>
    <t>NM</t>
  </si>
  <si>
    <t>Pro forma adjustments</t>
  </si>
  <si>
    <t>PRO FORMA BALANCE SHEET ADJUSTMENTS</t>
  </si>
  <si>
    <t>PRO FORMA BALANCE SHEET</t>
  </si>
  <si>
    <t xml:space="preserve">Purchases of intangible assets and capitalized software development costs </t>
  </si>
  <si>
    <t>LBO/Recap?</t>
  </si>
  <si>
    <t>LBO</t>
  </si>
  <si>
    <t>Offer</t>
  </si>
  <si>
    <t>Price:</t>
  </si>
  <si>
    <t>EXPLICIT EBITDA (APPROACH 1) MUST BE SELECTED FOR DATA TABLE TO APPEAR</t>
  </si>
  <si>
    <t>Financing fees</t>
  </si>
  <si>
    <t>Term</t>
  </si>
  <si>
    <t>% fees</t>
  </si>
  <si>
    <t>EXPLICIT OFFER PRICE / SHARE (APPROACH 2) MUST BE SELECTED FOR DATA TABLE TO APPEAR</t>
  </si>
  <si>
    <t>Capitalized financing fees</t>
  </si>
  <si>
    <t>Fee amort / year</t>
  </si>
  <si>
    <t>Capitalized financing fees, BOP</t>
  </si>
  <si>
    <t>Capitalized financing fees, EOP</t>
  </si>
  <si>
    <t>Options outstanding</t>
  </si>
  <si>
    <t>Sponsor Hurdle Rate (Minimum IRR)</t>
  </si>
  <si>
    <t>EV / LTM EBITDA multiple</t>
  </si>
  <si>
    <t>Offer Price / Share At Various Sponsor Hurdle Rates</t>
  </si>
  <si>
    <t>Sponsor IRR At Various Leverage And Initial EBITDA Multiple Sensitivity</t>
  </si>
  <si>
    <t>Sponsor IRR At Various Leverage And Offer Price / Share Sensitivity</t>
  </si>
  <si>
    <t>Sponsor IRR @ Preferred &amp; Sub Note Equity Kicker Sensitivity</t>
  </si>
  <si>
    <t>EBITDA (LTM)</t>
  </si>
  <si>
    <t>Minimum cash desired</t>
  </si>
  <si>
    <t xml:space="preserve">SELECT FINANCIAL DATA / ASSMUPTIONS </t>
  </si>
  <si>
    <t>FEES</t>
  </si>
  <si>
    <t>% of offer value</t>
  </si>
  <si>
    <t>Fee</t>
  </si>
  <si>
    <t>Trans. fees</t>
  </si>
  <si>
    <t>Fees (transaction &amp; financing)</t>
  </si>
  <si>
    <t>Initial equity inv.</t>
  </si>
  <si>
    <t>Actual</t>
  </si>
  <si>
    <t>SENSITIVITY ANALYISIS</t>
  </si>
  <si>
    <t>Highlight IRR &gt;</t>
  </si>
  <si>
    <t>Gross Debt (input as a -)</t>
  </si>
  <si>
    <t>Petsmart</t>
  </si>
  <si>
    <t>PETM</t>
  </si>
  <si>
    <t>EBITDA Stub Periods</t>
  </si>
  <si>
    <t>EBIT</t>
  </si>
  <si>
    <t>2014 10-Q</t>
  </si>
  <si>
    <t>10-K</t>
  </si>
  <si>
    <t>2013 10-Q</t>
  </si>
  <si>
    <t>Depreciation &amp; A</t>
  </si>
  <si>
    <t>Equity income from Banfield</t>
  </si>
  <si>
    <t>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</si>
</sst>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2">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A;[Red]0\A"/>
    <numFmt numFmtId="167" formatCode="0\P_);\(0\P\)"/>
    <numFmt numFmtId="168" formatCode="m/d/yy;@"/>
    <numFmt numFmtId="169" formatCode="0.0%_);\(0.0%\);@_)"/>
    <numFmt numFmtId="170" formatCode="0.0%"/>
    <numFmt numFmtId="171" formatCode="&quot;$&quot;#,##0.0_);\(&quot;$&quot;#,##0.0\)"/>
    <numFmt numFmtId="172" formatCode="0.00\x_);\(0.00\x\);@_)"/>
    <numFmt numFmtId="173" formatCode="#,##0.000_);\(#,##0.000\)"/>
    <numFmt numFmtId="174" formatCode="0.00%_);\(0.00%\);@_)"/>
    <numFmt numFmtId="175" formatCode="0%_);\(0%\);@_)"/>
    <numFmt numFmtId="176" formatCode="#,##0.00_);\(#,##0\)"/>
    <numFmt numFmtId="177" formatCode="#,##0.0%_);\(#,##0.0%\)"/>
    <numFmt numFmtId="178" formatCode="0.0\ \x"/>
    <numFmt numFmtId="179" formatCode="#,##0.00\ ;\(#,##0.00\)"/>
    <numFmt numFmtId="180" formatCode="&quot;$&quot;#,##0.00\ ;\(&quot;$&quot;#,##0.00\)"/>
    <numFmt numFmtId="181" formatCode="0.0%_);\(0.0%\)"/>
    <numFmt numFmtId="182" formatCode="0.000\ \x&quot;rate&quot;"/>
    <numFmt numFmtId="183" formatCode="#,##0.000_);[Red]\(#,##0.000\)"/>
    <numFmt numFmtId="184" formatCode="0.00_);\(0.00\);0.00"/>
    <numFmt numFmtId="185" formatCode="\C&quot;$&quot;#,##0.00_);[Red]\(&quot;$&quot;#,##0.00\)"/>
    <numFmt numFmtId="186" formatCode="#,##0%_);\(#,##0.0%\)"/>
    <numFmt numFmtId="187" formatCode="_(* #,##0.00000000_);_(* \(#,##0.00000000\);_(* &quot;-&quot;?_);_(@_)"/>
    <numFmt numFmtId="188" formatCode="mmm\-d\-yyyy"/>
    <numFmt numFmtId="189" formatCode="mmm\-yyyy"/>
    <numFmt numFmtId="190" formatCode="yyyy"/>
    <numFmt numFmtId="191" formatCode="0.00\x&quot;rate&quot;"/>
    <numFmt numFmtId="192" formatCode="0.0&quot;  &quot;"/>
    <numFmt numFmtId="193" formatCode="&quot;$&quot;#,##0.0\ ;[Red]\(&quot;$&quot;#,##0\)"/>
    <numFmt numFmtId="194" formatCode="_(&quot;$&quot;* #,##0.00_);_(&quot;$&quot;* \(#,##0.00\);_(&quot;$&quot;* &quot;-&quot;?_);_(@_)"/>
    <numFmt numFmtId="195" formatCode="&quot;$&quot;#,##0.000_);[Red]\(&quot;$&quot;#,##0.000\)"/>
    <numFmt numFmtId="196" formatCode="&quot;$&quot;#,##0.00&quot;A&quot;;[Red]\(&quot;$&quot;#,##0.00\)&quot;A&quot;"/>
    <numFmt numFmtId="197" formatCode="#,##0.0\ ;[Red]\(&quot;$&quot;#,##0\)"/>
    <numFmt numFmtId="198" formatCode="&quot;$&quot;#,##0.00&quot;E&quot;;[Red]\(&quot;$&quot;#,##0.00\)&quot;E&quot;"/>
    <numFmt numFmtId="199" formatCode="_([$€-2]* #,##0.00_);_([$€-2]* \(#,##0.00\);_([$€-2]* &quot;-&quot;??_)"/>
    <numFmt numFmtId="200" formatCode="#,##0.00;\(#,##0.00\)"/>
    <numFmt numFmtId="201" formatCode=".%\,\(0.0%%;\t"/>
    <numFmt numFmtId="202" formatCode="#,##0.0_);[Red]\(#,##0.0\)"/>
    <numFmt numFmtId="203" formatCode="0.0%_);[Red]\(0.0%\)"/>
    <numFmt numFmtId="204" formatCode="0.00_);\(0.00\);0.00_)"/>
    <numFmt numFmtId="205" formatCode="#,##0\x"/>
    <numFmt numFmtId="206" formatCode="&quot;TKR&quot;\ 0"/>
    <numFmt numFmtId="207" formatCode=".%\,\(0.%%;\t"/>
    <numFmt numFmtId="208" formatCode="&quot;$&quot;#,###.0\ \ "/>
    <numFmt numFmtId="209" formatCode="#,##0.00\x_);[Red]\(#,##0.00\x\)"/>
    <numFmt numFmtId="210" formatCode="#,##0.0_);\(#,##0.0\)"/>
    <numFmt numFmtId="211" formatCode="#,##0.00\x_);[Red]\(#,##0.00\x\);&quot;--  &quot;"/>
    <numFmt numFmtId="212" formatCode="_(* #,##0.0_);_(* \(#,##0.0\);_(* &quot;-&quot;??_);_(@_)"/>
    <numFmt numFmtId="213" formatCode="0.0\x_);[Red]\(0.0\x\)"/>
    <numFmt numFmtId="214" formatCode="0.0\ "/>
    <numFmt numFmtId="215" formatCode="&quot;$&quot;#,##0.0;\(&quot;$&quot;#,##0.00\)"/>
    <numFmt numFmtId="216" formatCode="#,##0.00%_);\(#,##0.00%\)"/>
    <numFmt numFmtId="217" formatCode="0.00\%;\-0.00\%;0.00\%"/>
    <numFmt numFmtId="218" formatCode="0.0%\ ;\(0.0%\)"/>
    <numFmt numFmtId="219" formatCode="_(&quot;$&quot;* #,##0_);_(&quot;$&quot;* \(#,##0\);_(&quot;$&quot;* &quot;-&quot;??_);_(@_)"/>
    <numFmt numFmtId="220" formatCode="&quot;$&quot;0.00\ "/>
    <numFmt numFmtId="221" formatCode="0.0\ \ \ \ \ "/>
    <numFmt numFmtId="222" formatCode="0.00\x;\-0.00\x;0.00\x"/>
    <numFmt numFmtId="223" formatCode="&quot;$&quot;#,##0.000_);\(&quot;$&quot;#,##0.000\)"/>
    <numFmt numFmtId="224" formatCode="#,##0.0_);\(#,##0.0\);_(* &quot;-&quot;_)"/>
    <numFmt numFmtId="225" formatCode="_(&quot;$&quot;* #,##0.00_);_(&quot;$&quot;* \(#,##0.00\);_(* &quot;-&quot;_);_(@_)"/>
    <numFmt numFmtId="226" formatCode="0.00%_);[Red]\(0.00%\)"/>
    <numFmt numFmtId="227" formatCode="#,##0.0\x_);\(#,##0.0\x\)"/>
    <numFmt numFmtId="228" formatCode="#,##0.00\x_);\(#,##0.00\x\)"/>
    <numFmt numFmtId="229" formatCode="###0&quot;E&quot;_)"/>
    <numFmt numFmtId="230" formatCode="0.0\x_);\(0.0\x\);@_)"/>
    <numFmt numFmtId="231" formatCode="0.00\x__"/>
    <numFmt numFmtId="232" formatCode="\L\ \+\ 0%"/>
    <numFmt numFmtId="233" formatCode="0.000%_);\(0.000%\);@_)"/>
    <numFmt numFmtId="234" formatCode="#,##0.00_);\(#,##0.00\);@_)"/>
    <numFmt numFmtId="235" formatCode="&quot;Approach&quot;\ 0"/>
    <numFmt numFmtId="236" formatCode="0.0"/>
    <numFmt numFmtId="237" formatCode="0\ &quot;yrs&quot;"/>
    <numFmt numFmtId="238" formatCode="&quot;Tranche&quot;\ 0"/>
    <numFmt numFmtId="239" formatCode="&quot;Assumed exit on &quot;[$-409]mmmm\ d\,\ yyyy;@"/>
    <numFmt numFmtId="243" formatCode="#,##0.000_);\(#,##0.000\);@_)"/>
  </numFmts>
  <fonts count="89">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sz val="11"/>
      <color rgb="FF008000"/>
      <name val="Calibri"/>
      <family val="2"/>
      <scheme val="minor"/>
    </font>
    <font>
      <sz val="11"/>
      <color indexed="12"/>
      <name val="Calibri"/>
      <family val="2"/>
      <scheme val="minor"/>
    </font>
    <font>
      <i/>
      <sz val="11"/>
      <color rgb="FF008000"/>
      <name val="Calibri"/>
      <family val="2"/>
      <scheme val="minor"/>
    </font>
    <font>
      <i/>
      <u/>
      <sz val="11"/>
      <color theme="1"/>
      <name val="Calibri"/>
      <family val="2"/>
      <scheme val="minor"/>
    </font>
    <font>
      <u val="singleAccounting"/>
      <sz val="10"/>
      <color theme="1"/>
      <name val="Calibri"/>
      <family val="2"/>
      <scheme val="minor"/>
    </font>
    <font>
      <u/>
      <sz val="11"/>
      <color rgb="FF000000"/>
      <name val="Calibri"/>
      <family val="2"/>
      <scheme val="minor"/>
    </font>
    <font>
      <b/>
      <i/>
      <sz val="11"/>
      <color theme="1"/>
      <name val="Calibri"/>
      <family val="2"/>
      <scheme val="minor"/>
    </font>
    <font>
      <i/>
      <sz val="11"/>
      <color indexed="12"/>
      <name val="Calibri"/>
      <family val="2"/>
      <scheme val="minor"/>
    </font>
    <font>
      <sz val="10"/>
      <color theme="1"/>
      <name val="Calibri"/>
      <family val="2"/>
      <scheme val="minor"/>
    </font>
    <font>
      <i/>
      <sz val="10"/>
      <color theme="1"/>
      <name val="Calibri"/>
      <family val="2"/>
      <scheme val="minor"/>
    </font>
    <font>
      <u/>
      <sz val="10"/>
      <color theme="1"/>
      <name val="Calibri"/>
      <family val="2"/>
      <scheme val="minor"/>
    </font>
    <font>
      <b/>
      <sz val="11"/>
      <color rgb="FFFF0000"/>
      <name val="Calibri"/>
      <family val="2"/>
      <scheme val="minor"/>
    </font>
    <font>
      <i/>
      <sz val="9"/>
      <color indexed="81"/>
      <name val="Tahoma"/>
      <family val="2"/>
    </font>
    <font>
      <i/>
      <sz val="11"/>
      <color indexed="8"/>
      <name val="Calibri"/>
      <family val="2"/>
      <scheme val="minor"/>
    </font>
    <font>
      <b/>
      <i/>
      <sz val="11"/>
      <color indexed="8"/>
      <name val="Calibri"/>
      <family val="2"/>
      <scheme val="minor"/>
    </font>
    <font>
      <u/>
      <sz val="9"/>
      <color indexed="81"/>
      <name val="Tahoma"/>
      <family val="2"/>
    </font>
    <font>
      <sz val="10"/>
      <color rgb="FF000000"/>
      <name val="Times New Roman"/>
      <family val="1"/>
    </font>
    <font>
      <sz val="9"/>
      <color rgb="FF000000"/>
      <name val="Times New Roman"/>
      <family val="1"/>
    </font>
  </fonts>
  <fills count="33">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
      <patternFill patternType="solid">
        <fgColor rgb="FFC0C0C0"/>
        <bgColor indexed="64"/>
      </patternFill>
    </fill>
  </fills>
  <borders count="32">
    <border>
      <left/>
      <right/>
      <top/>
      <bottom/>
      <diagonal/>
    </border>
    <border>
      <left/>
      <right/>
      <top style="medium">
        <color rgb="FF000000"/>
      </top>
      <bottom style="medium">
        <color rgb="FF000000"/>
      </bottom>
      <diagonal/>
    </border>
    <border>
      <left/>
      <right/>
      <top/>
      <bottom style="thin">
        <color rgb="FF000000"/>
      </bottom>
      <diagonal/>
    </border>
    <border>
      <left style="thin">
        <color rgb="FF000000"/>
      </left>
      <right/>
      <top style="thin">
        <color rgb="FF000000"/>
      </top>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s>
  <cellStyleXfs count="187">
    <xf numFmtId="0" fontId="0" fillId="0" borderId="0"/>
    <xf numFmtId="0" fontId="10" fillId="0" borderId="0"/>
    <xf numFmtId="176" fontId="10" fillId="0" borderId="0">
      <alignment horizontal="right"/>
    </xf>
    <xf numFmtId="177" fontId="10" fillId="2" borderId="0"/>
    <xf numFmtId="178" fontId="10" fillId="2" borderId="0"/>
    <xf numFmtId="177" fontId="10" fillId="2" borderId="0"/>
    <xf numFmtId="179" fontId="10" fillId="2" borderId="0"/>
    <xf numFmtId="180" fontId="10" fillId="2" borderId="0">
      <alignment horizontal="right"/>
    </xf>
    <xf numFmtId="181" fontId="11" fillId="0" borderId="0" applyFont="0" applyFill="0" applyBorder="0" applyAlignment="0" applyProtection="0"/>
    <xf numFmtId="0" fontId="12" fillId="0" borderId="0" applyNumberFormat="0" applyFont="0" applyFill="0" applyBorder="0" applyAlignment="0" applyProtection="0"/>
    <xf numFmtId="182"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83"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83" fontId="17" fillId="0" borderId="0" applyFont="0" applyFill="0" applyBorder="0" applyAlignment="0" applyProtection="0">
      <protection locked="0"/>
    </xf>
    <xf numFmtId="183"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84"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85" fontId="13" fillId="0" borderId="0" applyFill="0" applyBorder="0" applyProtection="0">
      <alignment horizontal="right"/>
    </xf>
    <xf numFmtId="186" fontId="10" fillId="2" borderId="8">
      <alignment horizontal="right"/>
    </xf>
    <xf numFmtId="187" fontId="10" fillId="2" borderId="8">
      <alignment horizontal="right"/>
    </xf>
    <xf numFmtId="186" fontId="10" fillId="2" borderId="8">
      <alignment horizontal="right"/>
    </xf>
    <xf numFmtId="15" fontId="27" fillId="0" borderId="0" applyFill="0" applyBorder="0" applyAlignment="0"/>
    <xf numFmtId="188" fontId="25" fillId="24" borderId="0" applyFont="0" applyFill="0" applyBorder="0" applyAlignment="0" applyProtection="0"/>
    <xf numFmtId="189" fontId="27" fillId="0" borderId="7"/>
    <xf numFmtId="14" fontId="28" fillId="0" borderId="0" applyFont="0" applyFill="0" applyBorder="0" applyAlignment="0" applyProtection="0">
      <alignment horizontal="center"/>
    </xf>
    <xf numFmtId="190" fontId="28" fillId="0" borderId="0" applyFont="0" applyFill="0" applyBorder="0" applyAlignment="0" applyProtection="0">
      <alignment horizontal="center"/>
    </xf>
    <xf numFmtId="191"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92" fontId="10" fillId="25" borderId="0"/>
    <xf numFmtId="193" fontId="10" fillId="0" borderId="0"/>
    <xf numFmtId="194" fontId="10" fillId="25" borderId="0"/>
    <xf numFmtId="195" fontId="10" fillId="25" borderId="0"/>
    <xf numFmtId="196" fontId="18" fillId="0" borderId="0" applyFont="0" applyFill="0" applyBorder="0" applyProtection="0">
      <alignment horizontal="left"/>
      <protection locked="0"/>
    </xf>
    <xf numFmtId="197" fontId="10" fillId="0" borderId="0"/>
    <xf numFmtId="198" fontId="18" fillId="0" borderId="0" applyFont="0" applyFill="0" applyBorder="0" applyProtection="0">
      <alignment horizontal="left"/>
      <protection locked="0"/>
    </xf>
    <xf numFmtId="199" fontId="12" fillId="0" borderId="0" applyFont="0" applyFill="0" applyBorder="0" applyAlignment="0" applyProtection="0"/>
    <xf numFmtId="0" fontId="29" fillId="0" borderId="0" applyNumberFormat="0" applyFill="0" applyBorder="0" applyAlignment="0" applyProtection="0"/>
    <xf numFmtId="181" fontId="10" fillId="0" borderId="9"/>
    <xf numFmtId="200" fontId="10" fillId="2" borderId="8">
      <alignment horizontal="right"/>
    </xf>
    <xf numFmtId="201" fontId="10" fillId="2" borderId="8">
      <alignment horizontal="right"/>
    </xf>
    <xf numFmtId="200" fontId="10" fillId="2" borderId="8">
      <alignment horizontal="right"/>
    </xf>
    <xf numFmtId="202" fontId="17" fillId="0" borderId="0" applyFill="0" applyBorder="0" applyAlignment="0" applyProtection="0">
      <protection locked="0"/>
    </xf>
    <xf numFmtId="0" fontId="30" fillId="5" borderId="0" applyNumberFormat="0" applyBorder="0" applyAlignment="0" applyProtection="0"/>
    <xf numFmtId="203" fontId="31" fillId="0" borderId="0" applyFill="0" applyBorder="0" applyAlignment="0" applyProtection="0"/>
    <xf numFmtId="181" fontId="32" fillId="0" borderId="0" applyAlignment="0">
      <alignment horizontal="left"/>
      <protection locked="0"/>
    </xf>
    <xf numFmtId="202"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202" fontId="36" fillId="0" borderId="0" applyNumberFormat="0" applyFill="0" applyBorder="0" applyAlignment="0" applyProtection="0"/>
    <xf numFmtId="0" fontId="37" fillId="0" borderId="0"/>
    <xf numFmtId="183"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204"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70" fontId="17" fillId="0" borderId="0" applyFont="0" applyFill="0" applyBorder="0" applyAlignment="0" applyProtection="0">
      <alignment horizontal="right"/>
    </xf>
    <xf numFmtId="205" fontId="10" fillId="0" borderId="0">
      <alignment horizontal="right"/>
    </xf>
    <xf numFmtId="206" fontId="10" fillId="25" borderId="0">
      <alignment horizontal="right"/>
    </xf>
    <xf numFmtId="207" fontId="10" fillId="0" borderId="0">
      <alignment horizontal="right"/>
    </xf>
    <xf numFmtId="205" fontId="10" fillId="0" borderId="0">
      <alignment horizontal="right"/>
    </xf>
    <xf numFmtId="181" fontId="42" fillId="0" borderId="0" applyFill="0" applyBorder="0" applyAlignment="0" applyProtection="0">
      <alignment horizontal="right"/>
    </xf>
    <xf numFmtId="181" fontId="42" fillId="0" borderId="0" applyFill="0" applyBorder="0" applyAlignment="0" applyProtection="0"/>
    <xf numFmtId="208" fontId="10" fillId="2" borderId="8">
      <alignment horizontal="right"/>
    </xf>
    <xf numFmtId="209"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10" fontId="12" fillId="0" borderId="0" applyFont="0" applyFill="0" applyBorder="0" applyAlignment="0" applyProtection="0"/>
    <xf numFmtId="39" fontId="12" fillId="0" borderId="0" applyFont="0" applyFill="0" applyBorder="0" applyAlignment="0" applyProtection="0"/>
    <xf numFmtId="173"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11"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12"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13"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14" fontId="10" fillId="25" borderId="0"/>
    <xf numFmtId="9" fontId="17" fillId="0" borderId="0" applyFont="0" applyFill="0" applyBorder="0" applyAlignment="0" applyProtection="0">
      <alignment horizontal="right"/>
    </xf>
    <xf numFmtId="215" fontId="10" fillId="0" borderId="0"/>
    <xf numFmtId="0" fontId="12" fillId="0" borderId="0" applyFont="0" applyFill="0" applyBorder="0" applyAlignment="0"/>
    <xf numFmtId="177" fontId="12" fillId="0" borderId="0" applyFont="0" applyFill="0" applyBorder="0" applyAlignment="0" applyProtection="0"/>
    <xf numFmtId="216" fontId="12" fillId="0" borderId="0" applyFont="0" applyFill="0" applyBorder="0" applyAlignment="0" applyProtection="0"/>
    <xf numFmtId="217" fontId="12" fillId="0" borderId="0" applyFill="0" applyBorder="0">
      <alignment horizontal="right"/>
      <protection locked="0"/>
    </xf>
    <xf numFmtId="203" fontId="17" fillId="0" borderId="0" applyFont="0" applyFill="0" applyBorder="0" applyAlignment="0" applyProtection="0"/>
    <xf numFmtId="8" fontId="17" fillId="0" borderId="0" applyFont="0" applyFill="0" applyBorder="0" applyAlignment="0" applyProtection="0"/>
    <xf numFmtId="183" fontId="17" fillId="0" borderId="0" applyFont="0" applyFill="0" applyBorder="0" applyAlignment="0" applyProtection="0">
      <protection locked="0"/>
    </xf>
    <xf numFmtId="202" fontId="17" fillId="0" borderId="0" applyFill="0" applyBorder="0" applyAlignment="0" applyProtection="0"/>
    <xf numFmtId="38" fontId="17" fillId="0" borderId="0" applyFont="0" applyFill="0" applyBorder="0" applyAlignment="0" applyProtection="0"/>
    <xf numFmtId="179" fontId="10" fillId="2" borderId="18">
      <alignment horizontal="right"/>
    </xf>
    <xf numFmtId="218" fontId="46" fillId="2" borderId="0"/>
    <xf numFmtId="219" fontId="10" fillId="2" borderId="0"/>
    <xf numFmtId="0" fontId="47" fillId="0" borderId="0">
      <alignment horizontal="center"/>
    </xf>
    <xf numFmtId="0" fontId="10" fillId="0" borderId="7">
      <alignment horizontal="centerContinuous"/>
    </xf>
    <xf numFmtId="220" fontId="10" fillId="2" borderId="0">
      <alignment horizontal="right"/>
    </xf>
    <xf numFmtId="221" fontId="10" fillId="2" borderId="8">
      <alignment horizontal="right"/>
    </xf>
    <xf numFmtId="222" fontId="12" fillId="0" borderId="0">
      <alignment horizontal="right"/>
      <protection locked="0"/>
    </xf>
    <xf numFmtId="202"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83" fontId="17" fillId="0" borderId="0" applyFill="0" applyBorder="0" applyAlignment="0" applyProtection="0">
      <protection locked="0"/>
    </xf>
    <xf numFmtId="223"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24" fontId="55" fillId="0" borderId="0" applyFill="0" applyBorder="0" applyProtection="0">
      <alignment horizontal="right" wrapText="1"/>
    </xf>
    <xf numFmtId="225" fontId="55" fillId="0" borderId="0" applyFill="0" applyBorder="0" applyProtection="0">
      <alignment horizontal="right"/>
    </xf>
    <xf numFmtId="4" fontId="25" fillId="0" borderId="0" applyFill="0" applyBorder="0" applyProtection="0">
      <alignment horizontal="right"/>
    </xf>
    <xf numFmtId="195" fontId="56" fillId="0" borderId="0" applyFill="0" applyBorder="0" applyAlignment="0" applyProtection="0"/>
    <xf numFmtId="226" fontId="57" fillId="0" borderId="0" applyFill="0" applyBorder="0" applyAlignment="0" applyProtection="0">
      <alignment horizontal="left"/>
      <protection locked="0"/>
    </xf>
    <xf numFmtId="226" fontId="57" fillId="0" borderId="0" applyFill="0" applyBorder="0" applyAlignment="0" applyProtection="0"/>
    <xf numFmtId="226" fontId="58" fillId="0" borderId="0" applyFill="0" applyBorder="0" applyAlignment="0" applyProtection="0">
      <alignment horizontal="left"/>
      <protection locked="0"/>
    </xf>
    <xf numFmtId="226" fontId="58" fillId="0" borderId="0" applyFill="0" applyBorder="0" applyAlignment="0" applyProtection="0">
      <protection locked="0"/>
    </xf>
    <xf numFmtId="202" fontId="17" fillId="0" borderId="0" applyFill="0" applyBorder="0" applyAlignment="0" applyProtection="0">
      <protection locked="0"/>
    </xf>
    <xf numFmtId="202" fontId="56" fillId="0" borderId="0" applyFill="0" applyBorder="0" applyAlignment="0" applyProtection="0"/>
    <xf numFmtId="49" fontId="59" fillId="0" borderId="0"/>
    <xf numFmtId="227" fontId="12" fillId="0" borderId="0" applyFont="0" applyFill="0" applyBorder="0" applyAlignment="0" applyProtection="0"/>
    <xf numFmtId="228"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202"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9" fontId="26" fillId="0" borderId="0" applyFont="0" applyFill="0" applyBorder="0" applyAlignment="0" applyProtection="0"/>
    <xf numFmtId="223" fontId="18" fillId="0" borderId="0" applyNumberFormat="0" applyFill="0" applyBorder="0" applyAlignment="0" applyProtection="0"/>
  </cellStyleXfs>
  <cellXfs count="333">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14" fontId="5" fillId="0" borderId="0" xfId="0" applyNumberFormat="1" applyFont="1" applyFill="1" applyBorder="1" applyAlignment="1">
      <alignment horizontal="right"/>
    </xf>
    <xf numFmtId="0" fontId="4" fillId="0" borderId="0" xfId="0" applyFont="1" applyFill="1" applyBorder="1"/>
    <xf numFmtId="165" fontId="5" fillId="0" borderId="0" xfId="0" applyNumberFormat="1" applyFont="1" applyFill="1" applyBorder="1" applyAlignment="1">
      <alignment horizontal="right"/>
    </xf>
    <xf numFmtId="169" fontId="0" fillId="0" borderId="0" xfId="0" applyNumberFormat="1" applyFont="1"/>
    <xf numFmtId="169" fontId="4" fillId="0" borderId="0" xfId="0" applyNumberFormat="1" applyFont="1"/>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67" fillId="0" borderId="2" xfId="0" applyFont="1" applyBorder="1"/>
    <xf numFmtId="0" fontId="0" fillId="0" borderId="2" xfId="0" applyFont="1" applyBorder="1"/>
    <xf numFmtId="166" fontId="1" fillId="0" borderId="0" xfId="0" applyNumberFormat="1" applyFont="1" applyBorder="1"/>
    <xf numFmtId="167" fontId="1" fillId="0" borderId="0" xfId="0" applyNumberFormat="1" applyFont="1" applyBorder="1"/>
    <xf numFmtId="0" fontId="68" fillId="0" borderId="2" xfId="0" applyFont="1" applyBorder="1"/>
    <xf numFmtId="168" fontId="69" fillId="0" borderId="2" xfId="0" applyNumberFormat="1" applyFont="1" applyBorder="1"/>
    <xf numFmtId="168" fontId="68" fillId="0" borderId="2" xfId="0" applyNumberFormat="1" applyFont="1" applyBorder="1"/>
    <xf numFmtId="0" fontId="68" fillId="0" borderId="0" xfId="0" applyFont="1" applyBorder="1"/>
    <xf numFmtId="168" fontId="69" fillId="0" borderId="0" xfId="0" applyNumberFormat="1" applyFont="1" applyBorder="1"/>
    <xf numFmtId="168" fontId="68" fillId="0" borderId="0" xfId="0" applyNumberFormat="1" applyFont="1" applyBorder="1"/>
    <xf numFmtId="0" fontId="1" fillId="0" borderId="0" xfId="0" applyFont="1" applyBorder="1"/>
    <xf numFmtId="0" fontId="0" fillId="0" borderId="0" xfId="0" applyFont="1" applyFill="1" applyBorder="1"/>
    <xf numFmtId="37" fontId="0" fillId="0" borderId="0" xfId="0" applyNumberFormat="1" applyFont="1" applyBorder="1"/>
    <xf numFmtId="37" fontId="6" fillId="0" borderId="0" xfId="0" applyNumberFormat="1" applyFont="1" applyBorder="1"/>
    <xf numFmtId="0" fontId="1" fillId="0" borderId="0" xfId="0" applyFont="1"/>
    <xf numFmtId="0" fontId="70" fillId="0" borderId="0" xfId="0" applyFont="1"/>
    <xf numFmtId="0" fontId="0" fillId="0" borderId="0" xfId="0" applyFont="1" applyBorder="1" applyAlignment="1">
      <alignment horizontal="left" indent="1"/>
    </xf>
    <xf numFmtId="169" fontId="0" fillId="0" borderId="0" xfId="0" applyNumberFormat="1" applyFont="1" applyBorder="1" applyAlignment="1">
      <alignment horizontal="right"/>
    </xf>
    <xf numFmtId="169" fontId="4" fillId="0" borderId="0" xfId="0" applyNumberFormat="1" applyFont="1" applyBorder="1"/>
    <xf numFmtId="0" fontId="0" fillId="0" borderId="0" xfId="0" applyFont="1" applyFill="1" applyBorder="1" applyAlignment="1">
      <alignment horizontal="left" indent="1"/>
    </xf>
    <xf numFmtId="0" fontId="70" fillId="0" borderId="0" xfId="0" applyFont="1" applyFill="1" applyBorder="1"/>
    <xf numFmtId="0" fontId="0" fillId="0" borderId="0" xfId="0" applyFont="1" applyAlignment="1">
      <alignment horizontal="left" indent="1"/>
    </xf>
    <xf numFmtId="0" fontId="1" fillId="0" borderId="0" xfId="0" applyFont="1" applyAlignment="1">
      <alignment horizontal="left" indent="1"/>
    </xf>
    <xf numFmtId="3" fontId="6" fillId="0" borderId="0" xfId="0" applyNumberFormat="1" applyFont="1"/>
    <xf numFmtId="166" fontId="6" fillId="0" borderId="0" xfId="0" applyNumberFormat="1" applyFont="1" applyBorder="1"/>
    <xf numFmtId="167" fontId="6" fillId="0" borderId="0" xfId="0" applyNumberFormat="1" applyFont="1" applyBorder="1"/>
    <xf numFmtId="168" fontId="3" fillId="0" borderId="2" xfId="0" applyNumberFormat="1" applyFont="1" applyBorder="1"/>
    <xf numFmtId="37" fontId="0" fillId="0" borderId="0" xfId="0" applyNumberFormat="1" applyFont="1"/>
    <xf numFmtId="169" fontId="5" fillId="0" borderId="0" xfId="0" applyNumberFormat="1" applyFont="1"/>
    <xf numFmtId="14" fontId="68" fillId="0" borderId="0" xfId="0" applyNumberFormat="1" applyFont="1"/>
    <xf numFmtId="0" fontId="0" fillId="0" borderId="0" xfId="0" applyFont="1" applyFill="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0" fontId="0" fillId="0" borderId="0" xfId="0" quotePrefix="1" applyFont="1" applyBorder="1" applyAlignment="1">
      <alignment horizontal="left" indent="1"/>
    </xf>
    <xf numFmtId="171" fontId="1" fillId="0" borderId="0" xfId="0" applyNumberFormat="1" applyFont="1" applyBorder="1"/>
    <xf numFmtId="165" fontId="0" fillId="0" borderId="0" xfId="0" applyNumberFormat="1" applyFont="1" applyBorder="1"/>
    <xf numFmtId="169" fontId="0" fillId="0" borderId="0" xfId="0" applyNumberFormat="1" applyFont="1" applyBorder="1"/>
    <xf numFmtId="37" fontId="5" fillId="0" borderId="0" xfId="0" applyNumberFormat="1" applyFont="1"/>
    <xf numFmtId="0" fontId="1" fillId="0" borderId="0" xfId="0" applyFont="1" applyFill="1" applyBorder="1"/>
    <xf numFmtId="9" fontId="5" fillId="0" borderId="0" xfId="0" applyNumberFormat="1" applyFont="1"/>
    <xf numFmtId="0" fontId="1" fillId="0" borderId="0" xfId="0" applyFont="1" applyFill="1" applyBorder="1" applyAlignment="1">
      <alignment horizontal="left"/>
    </xf>
    <xf numFmtId="3" fontId="0" fillId="0" borderId="0" xfId="0" applyNumberFormat="1" applyFont="1" applyBorder="1"/>
    <xf numFmtId="37" fontId="1" fillId="0" borderId="0" xfId="0" applyNumberFormat="1" applyFont="1" applyBorder="1"/>
    <xf numFmtId="37" fontId="1" fillId="0" borderId="0" xfId="0" applyNumberFormat="1" applyFont="1"/>
    <xf numFmtId="0" fontId="1" fillId="0" borderId="0" xfId="0" applyFont="1" applyBorder="1" applyAlignment="1">
      <alignment horizontal="left" indent="1"/>
    </xf>
    <xf numFmtId="10" fontId="4" fillId="0" borderId="0" xfId="0" applyNumberFormat="1" applyFont="1"/>
    <xf numFmtId="37" fontId="0" fillId="0" borderId="0" xfId="0" applyNumberFormat="1" applyFont="1" applyFill="1"/>
    <xf numFmtId="0" fontId="0" fillId="0" borderId="0" xfId="0" applyFont="1" applyBorder="1" applyAlignment="1">
      <alignment horizontal="centerContinuous"/>
    </xf>
    <xf numFmtId="0" fontId="0" fillId="0" borderId="0" xfId="0" applyFont="1" applyBorder="1" applyAlignment="1">
      <alignment horizontal="left" indent="2"/>
    </xf>
    <xf numFmtId="175" fontId="0" fillId="0" borderId="0" xfId="0" applyNumberFormat="1" applyFont="1"/>
    <xf numFmtId="0" fontId="68" fillId="0" borderId="0" xfId="0" applyFont="1"/>
    <xf numFmtId="170" fontId="5" fillId="0" borderId="0" xfId="0" applyNumberFormat="1" applyFont="1" applyFill="1"/>
    <xf numFmtId="0" fontId="0" fillId="0" borderId="0" xfId="0" applyFont="1" applyFill="1" applyBorder="1" applyAlignment="1">
      <alignment horizontal="left" indent="2"/>
    </xf>
    <xf numFmtId="0" fontId="68" fillId="0" borderId="0" xfId="0" applyFont="1" applyAlignment="1">
      <alignment horizontal="left" indent="1"/>
    </xf>
    <xf numFmtId="169" fontId="68" fillId="0" borderId="0" xfId="0" applyNumberFormat="1" applyFont="1"/>
    <xf numFmtId="0" fontId="68" fillId="0" borderId="0" xfId="0" applyFont="1" applyFill="1" applyBorder="1"/>
    <xf numFmtId="165" fontId="0" fillId="0" borderId="2" xfId="0" applyNumberFormat="1" applyFont="1" applyBorder="1"/>
    <xf numFmtId="0" fontId="70" fillId="0" borderId="0" xfId="0" applyFont="1" applyAlignment="1">
      <alignment horizontal="right"/>
    </xf>
    <xf numFmtId="165" fontId="5" fillId="0" borderId="0" xfId="0" applyNumberFormat="1" applyFont="1"/>
    <xf numFmtId="39" fontId="5" fillId="0" borderId="0" xfId="0" applyNumberFormat="1" applyFont="1"/>
    <xf numFmtId="39" fontId="0" fillId="0" borderId="0" xfId="0" applyNumberFormat="1" applyFont="1" applyBorder="1"/>
    <xf numFmtId="169" fontId="5" fillId="0" borderId="0" xfId="0" applyNumberFormat="1" applyFont="1" applyFill="1" applyBorder="1"/>
    <xf numFmtId="169" fontId="69" fillId="0" borderId="0" xfId="0" applyNumberFormat="1" applyFont="1"/>
    <xf numFmtId="210" fontId="0" fillId="0" borderId="0" xfId="0" applyNumberFormat="1" applyFont="1"/>
    <xf numFmtId="0" fontId="4" fillId="0" borderId="0" xfId="0" applyFont="1" applyFill="1" applyBorder="1" applyAlignment="1">
      <alignment horizontal="left" indent="1"/>
    </xf>
    <xf numFmtId="37" fontId="0" fillId="0" borderId="0" xfId="0" applyNumberFormat="1" applyFont="1" applyFill="1" applyBorder="1"/>
    <xf numFmtId="210" fontId="0" fillId="0" borderId="0" xfId="0" applyNumberFormat="1" applyFont="1" applyBorder="1"/>
    <xf numFmtId="37" fontId="0" fillId="0" borderId="2" xfId="0" applyNumberFormat="1" applyFont="1" applyBorder="1"/>
    <xf numFmtId="0" fontId="0" fillId="0" borderId="0" xfId="0" quotePrefix="1" applyFont="1" applyBorder="1" applyAlignment="1">
      <alignment horizontal="left" indent="2"/>
    </xf>
    <xf numFmtId="169" fontId="1" fillId="0" borderId="0" xfId="0" applyNumberFormat="1" applyFont="1" applyBorder="1"/>
    <xf numFmtId="0" fontId="68" fillId="0" borderId="0" xfId="0" applyFont="1" applyBorder="1" applyAlignment="1">
      <alignment horizontal="left" indent="3"/>
    </xf>
    <xf numFmtId="0" fontId="68" fillId="0" borderId="0" xfId="0" applyFont="1" applyBorder="1" applyAlignment="1">
      <alignment horizontal="left" indent="2"/>
    </xf>
    <xf numFmtId="0" fontId="1" fillId="0" borderId="0" xfId="0" applyFont="1" applyAlignment="1">
      <alignment horizontal="left"/>
    </xf>
    <xf numFmtId="175" fontId="5" fillId="0" borderId="0" xfId="0" applyNumberFormat="1" applyFont="1"/>
    <xf numFmtId="0" fontId="68" fillId="0" borderId="0" xfId="0" applyFont="1" applyBorder="1" applyAlignment="1">
      <alignment horizontal="left" indent="1"/>
    </xf>
    <xf numFmtId="175" fontId="69" fillId="0" borderId="0" xfId="0" applyNumberFormat="1" applyFont="1"/>
    <xf numFmtId="0" fontId="1" fillId="0" borderId="2" xfId="0" applyFont="1" applyBorder="1" applyAlignment="1">
      <alignment horizontal="left"/>
    </xf>
    <xf numFmtId="210" fontId="5" fillId="0" borderId="2" xfId="0" applyNumberFormat="1" applyFont="1" applyBorder="1"/>
    <xf numFmtId="0" fontId="6" fillId="0" borderId="2" xfId="0" applyFont="1" applyFill="1" applyBorder="1"/>
    <xf numFmtId="37" fontId="3" fillId="0" borderId="0" xfId="0" applyNumberFormat="1" applyFont="1"/>
    <xf numFmtId="0" fontId="70" fillId="0" borderId="0" xfId="0" applyFont="1" applyAlignment="1">
      <alignment horizontal="left" indent="1"/>
    </xf>
    <xf numFmtId="0" fontId="4" fillId="0" borderId="0" xfId="0" applyFont="1" applyFill="1" applyBorder="1" applyAlignment="1">
      <alignment horizontal="left" indent="2"/>
    </xf>
    <xf numFmtId="167" fontId="1" fillId="0" borderId="0" xfId="0" applyNumberFormat="1" applyFont="1"/>
    <xf numFmtId="0" fontId="3" fillId="0" borderId="0" xfId="0" applyFont="1" applyFill="1" applyBorder="1" applyAlignment="1">
      <alignment horizontal="left" indent="1"/>
    </xf>
    <xf numFmtId="0" fontId="4" fillId="0" borderId="0" xfId="0" applyFont="1" applyBorder="1" applyAlignment="1">
      <alignment horizontal="left" indent="1"/>
    </xf>
    <xf numFmtId="0" fontId="75" fillId="0" borderId="0" xfId="0" applyFont="1" applyBorder="1"/>
    <xf numFmtId="0" fontId="75" fillId="0" borderId="0" xfId="0" applyFont="1"/>
    <xf numFmtId="37" fontId="71" fillId="0" borderId="0" xfId="0" applyNumberFormat="1" applyFont="1" applyBorder="1"/>
    <xf numFmtId="0" fontId="4" fillId="0" borderId="0" xfId="0" applyFont="1" applyBorder="1" applyAlignment="1">
      <alignment horizontal="center"/>
    </xf>
    <xf numFmtId="210" fontId="1" fillId="0" borderId="0" xfId="0" applyNumberFormat="1" applyFont="1" applyBorder="1"/>
    <xf numFmtId="0" fontId="1" fillId="0" borderId="0" xfId="0" applyFont="1" applyBorder="1" applyAlignment="1">
      <alignment horizontal="center"/>
    </xf>
    <xf numFmtId="9" fontId="0" fillId="0" borderId="0" xfId="0" applyNumberFormat="1" applyFont="1" applyBorder="1" applyAlignment="1">
      <alignment horizontal="center"/>
    </xf>
    <xf numFmtId="9" fontId="1" fillId="0" borderId="0" xfId="0" applyNumberFormat="1" applyFont="1" applyBorder="1" applyAlignment="1">
      <alignment horizontal="center"/>
    </xf>
    <xf numFmtId="37" fontId="67" fillId="0" borderId="0" xfId="0" applyNumberFormat="1" applyFont="1" applyBorder="1"/>
    <xf numFmtId="230" fontId="1" fillId="0" borderId="0" xfId="0" applyNumberFormat="1" applyFont="1" applyBorder="1"/>
    <xf numFmtId="0" fontId="0" fillId="0" borderId="0" xfId="0" applyFont="1" applyBorder="1" applyAlignment="1">
      <alignment horizontal="center"/>
    </xf>
    <xf numFmtId="230" fontId="0" fillId="0" borderId="0" xfId="0" applyNumberFormat="1" applyFont="1" applyBorder="1" applyAlignment="1">
      <alignment horizontal="center"/>
    </xf>
    <xf numFmtId="37" fontId="0" fillId="0" borderId="0" xfId="0" applyNumberFormat="1" applyFont="1" applyAlignment="1">
      <alignment horizontal="center"/>
    </xf>
    <xf numFmtId="9" fontId="0" fillId="0" borderId="0" xfId="0" applyNumberFormat="1" applyFont="1" applyAlignment="1">
      <alignment horizontal="center"/>
    </xf>
    <xf numFmtId="0" fontId="0" fillId="0" borderId="0" xfId="0" applyFont="1" applyAlignment="1">
      <alignment horizontal="center"/>
    </xf>
    <xf numFmtId="169" fontId="0" fillId="0" borderId="0" xfId="0" applyNumberFormat="1" applyFont="1" applyAlignment="1">
      <alignment horizontal="center"/>
    </xf>
    <xf numFmtId="37" fontId="1" fillId="0" borderId="0" xfId="0" applyNumberFormat="1" applyFont="1" applyAlignment="1">
      <alignment horizontal="center"/>
    </xf>
    <xf numFmtId="169" fontId="1" fillId="0" borderId="0" xfId="0" applyNumberFormat="1" applyFont="1" applyAlignment="1">
      <alignment horizontal="center"/>
    </xf>
    <xf numFmtId="172" fontId="0" fillId="0" borderId="0" xfId="0" applyNumberFormat="1" applyFont="1" applyBorder="1" applyAlignment="1">
      <alignment horizontal="center"/>
    </xf>
    <xf numFmtId="230" fontId="0" fillId="0" borderId="0" xfId="0" applyNumberFormat="1" applyFont="1" applyBorder="1" applyAlignment="1">
      <alignment horizontal="left" indent="1"/>
    </xf>
    <xf numFmtId="172" fontId="0" fillId="0" borderId="0" xfId="0" applyNumberFormat="1" applyFont="1" applyAlignment="1">
      <alignment horizontal="center"/>
    </xf>
    <xf numFmtId="169" fontId="4" fillId="0" borderId="0" xfId="0" applyNumberFormat="1" applyFont="1" applyBorder="1" applyAlignment="1">
      <alignment horizontal="center"/>
    </xf>
    <xf numFmtId="0" fontId="70" fillId="0" borderId="3" xfId="0" applyFont="1" applyBorder="1" applyAlignment="1">
      <alignment horizontal="center"/>
    </xf>
    <xf numFmtId="0" fontId="70" fillId="0" borderId="30" xfId="0" applyFont="1" applyBorder="1" applyAlignment="1">
      <alignment horizontal="center"/>
    </xf>
    <xf numFmtId="0" fontId="70" fillId="0" borderId="31" xfId="0" applyFont="1" applyBorder="1" applyAlignment="1">
      <alignment horizontal="center"/>
    </xf>
    <xf numFmtId="37" fontId="0" fillId="0" borderId="28" xfId="0" applyNumberFormat="1" applyFont="1" applyBorder="1" applyAlignment="1">
      <alignment horizontal="center"/>
    </xf>
    <xf numFmtId="169" fontId="0" fillId="0" borderId="22" xfId="0" applyNumberFormat="1" applyFont="1" applyBorder="1" applyAlignment="1">
      <alignment horizontal="center"/>
    </xf>
    <xf numFmtId="37" fontId="5" fillId="0" borderId="28" xfId="0" applyNumberFormat="1" applyFont="1" applyFill="1" applyBorder="1" applyAlignment="1">
      <alignment horizontal="center"/>
    </xf>
    <xf numFmtId="37" fontId="5" fillId="0" borderId="29" xfId="0" applyNumberFormat="1" applyFont="1" applyFill="1" applyBorder="1" applyAlignment="1">
      <alignment horizontal="center"/>
    </xf>
    <xf numFmtId="169" fontId="4" fillId="0" borderId="2" xfId="0" applyNumberFormat="1" applyFont="1" applyBorder="1" applyAlignment="1">
      <alignment horizontal="center"/>
    </xf>
    <xf numFmtId="230" fontId="1" fillId="0" borderId="26" xfId="0" applyNumberFormat="1" applyFont="1" applyBorder="1"/>
    <xf numFmtId="37" fontId="5" fillId="0" borderId="0" xfId="0" applyNumberFormat="1" applyFont="1" applyFill="1" applyBorder="1" applyAlignment="1">
      <alignment horizontal="right"/>
    </xf>
    <xf numFmtId="0" fontId="0" fillId="0" borderId="30" xfId="0" applyFont="1" applyBorder="1"/>
    <xf numFmtId="0" fontId="68" fillId="0" borderId="0" xfId="0" applyFont="1" applyFill="1" applyBorder="1" applyAlignment="1">
      <alignment horizontal="left" indent="2"/>
    </xf>
    <xf numFmtId="0" fontId="0" fillId="0" borderId="0" xfId="0" applyFont="1" applyFill="1"/>
    <xf numFmtId="0" fontId="0" fillId="0" borderId="0" xfId="0" quotePrefix="1" applyFont="1" applyFill="1" applyBorder="1" applyAlignment="1">
      <alignment horizontal="left" indent="1"/>
    </xf>
    <xf numFmtId="0" fontId="1" fillId="0" borderId="0" xfId="0" applyFont="1" applyFill="1" applyBorder="1" applyAlignment="1">
      <alignment horizontal="left" indent="1"/>
    </xf>
    <xf numFmtId="37" fontId="76" fillId="0" borderId="0" xfId="0" applyNumberFormat="1" applyFont="1" applyFill="1" applyBorder="1" applyAlignment="1">
      <alignment horizontal="right"/>
    </xf>
    <xf numFmtId="9" fontId="69" fillId="0" borderId="0" xfId="0" applyNumberFormat="1" applyFont="1" applyFill="1" applyBorder="1" applyAlignment="1">
      <alignment horizontal="right"/>
    </xf>
    <xf numFmtId="0" fontId="70" fillId="0" borderId="0" xfId="0" applyFont="1" applyFill="1" applyBorder="1" applyAlignment="1">
      <alignment horizontal="right"/>
    </xf>
    <xf numFmtId="37" fontId="4" fillId="0" borderId="0" xfId="0" applyNumberFormat="1" applyFont="1" applyFill="1" applyBorder="1"/>
    <xf numFmtId="0" fontId="70" fillId="0" borderId="0" xfId="0" applyFont="1" applyFill="1" applyBorder="1" applyAlignment="1">
      <alignment horizontal="left" indent="2"/>
    </xf>
    <xf numFmtId="0" fontId="68" fillId="0" borderId="0" xfId="0" applyFont="1" applyFill="1" applyBorder="1" applyAlignment="1">
      <alignment horizontal="right"/>
    </xf>
    <xf numFmtId="0" fontId="1" fillId="0" borderId="0" xfId="0" applyFont="1" applyFill="1" applyBorder="1" applyAlignment="1">
      <alignment horizontal="center"/>
    </xf>
    <xf numFmtId="175" fontId="69" fillId="0" borderId="0" xfId="0" applyNumberFormat="1" applyFont="1" applyFill="1" applyBorder="1"/>
    <xf numFmtId="9" fontId="69" fillId="0" borderId="0" xfId="0" applyNumberFormat="1" applyFont="1" applyFill="1" applyBorder="1"/>
    <xf numFmtId="0" fontId="68" fillId="0" borderId="0" xfId="0" applyFont="1" applyFill="1" applyBorder="1" applyAlignment="1">
      <alignment horizontal="left" indent="1"/>
    </xf>
    <xf numFmtId="0" fontId="77" fillId="0" borderId="0" xfId="0" applyFont="1" applyFill="1" applyBorder="1" applyAlignment="1">
      <alignment horizontal="left" indent="1"/>
    </xf>
    <xf numFmtId="175" fontId="4" fillId="0" borderId="0" xfId="0" applyNumberFormat="1" applyFont="1"/>
    <xf numFmtId="165" fontId="4" fillId="0" borderId="0" xfId="0" applyNumberFormat="1" applyFont="1"/>
    <xf numFmtId="0" fontId="68" fillId="0" borderId="2" xfId="0" applyFont="1" applyBorder="1" applyAlignment="1">
      <alignment horizontal="centerContinuous"/>
    </xf>
    <xf numFmtId="0" fontId="68" fillId="0" borderId="0" xfId="0" applyFont="1" applyBorder="1" applyAlignment="1">
      <alignment horizontal="centerContinuous"/>
    </xf>
    <xf numFmtId="0" fontId="77" fillId="0" borderId="0" xfId="0" applyFont="1" applyBorder="1" applyAlignment="1">
      <alignment horizontal="centerContinuous"/>
    </xf>
    <xf numFmtId="0" fontId="1" fillId="0" borderId="0" xfId="0" applyFont="1" applyBorder="1" applyAlignment="1">
      <alignment horizontal="centerContinuous"/>
    </xf>
    <xf numFmtId="0" fontId="1" fillId="0" borderId="0" xfId="0" applyFont="1" applyAlignment="1">
      <alignment horizontal="centerContinuous"/>
    </xf>
    <xf numFmtId="9" fontId="3" fillId="0" borderId="0" xfId="0" applyNumberFormat="1" applyFont="1" applyBorder="1"/>
    <xf numFmtId="9" fontId="6" fillId="0" borderId="0" xfId="0" applyNumberFormat="1" applyFont="1" applyBorder="1"/>
    <xf numFmtId="174" fontId="4" fillId="0" borderId="0" xfId="0" applyNumberFormat="1" applyFont="1"/>
    <xf numFmtId="37" fontId="5" fillId="0" borderId="0" xfId="0" applyNumberFormat="1" applyFont="1" applyBorder="1" applyAlignment="1">
      <alignment horizontal="right"/>
    </xf>
    <xf numFmtId="174" fontId="5" fillId="0" borderId="0" xfId="0" applyNumberFormat="1" applyFont="1" applyBorder="1" applyAlignment="1">
      <alignment horizontal="right"/>
    </xf>
    <xf numFmtId="169" fontId="4" fillId="0" borderId="0" xfId="0" applyNumberFormat="1" applyFont="1" applyFill="1" applyBorder="1"/>
    <xf numFmtId="210" fontId="7" fillId="0" borderId="0" xfId="0" applyNumberFormat="1" applyFont="1"/>
    <xf numFmtId="210" fontId="7" fillId="0" borderId="0" xfId="0" applyNumberFormat="1" applyFont="1" applyFill="1" applyAlignment="1"/>
    <xf numFmtId="210" fontId="6" fillId="0" borderId="0" xfId="0" applyNumberFormat="1" applyFont="1" applyFill="1" applyBorder="1"/>
    <xf numFmtId="210" fontId="5" fillId="0" borderId="0" xfId="0" applyNumberFormat="1" applyFont="1" applyFill="1" applyBorder="1"/>
    <xf numFmtId="210" fontId="4" fillId="0" borderId="0" xfId="0" applyNumberFormat="1" applyFont="1" applyBorder="1"/>
    <xf numFmtId="210" fontId="6" fillId="0" borderId="0" xfId="0" applyNumberFormat="1" applyFont="1" applyBorder="1"/>
    <xf numFmtId="210" fontId="5" fillId="0" borderId="0" xfId="0" applyNumberFormat="1" applyFont="1"/>
    <xf numFmtId="210" fontId="6" fillId="0" borderId="0" xfId="0" applyNumberFormat="1" applyFont="1"/>
    <xf numFmtId="210" fontId="5" fillId="0" borderId="0" xfId="0" applyNumberFormat="1" applyFont="1" applyFill="1"/>
    <xf numFmtId="210" fontId="1" fillId="0" borderId="0" xfId="0" applyNumberFormat="1" applyFont="1"/>
    <xf numFmtId="210" fontId="4" fillId="0" borderId="0" xfId="0" applyNumberFormat="1" applyFont="1"/>
    <xf numFmtId="175" fontId="5" fillId="0" borderId="0" xfId="0" applyNumberFormat="1" applyFont="1" applyFill="1"/>
    <xf numFmtId="169" fontId="5" fillId="0" borderId="0" xfId="0" applyNumberFormat="1" applyFont="1" applyFill="1"/>
    <xf numFmtId="169" fontId="4" fillId="0" borderId="0" xfId="0" applyNumberFormat="1" applyFont="1" applyFill="1"/>
    <xf numFmtId="37" fontId="72" fillId="0" borderId="0" xfId="0" applyNumberFormat="1" applyFont="1" applyFill="1"/>
    <xf numFmtId="170" fontId="5" fillId="0" borderId="0" xfId="0" applyNumberFormat="1" applyFont="1"/>
    <xf numFmtId="0" fontId="74" fillId="0" borderId="0" xfId="0" applyFont="1" applyBorder="1" applyAlignment="1">
      <alignment horizontal="right"/>
    </xf>
    <xf numFmtId="37" fontId="78" fillId="0" borderId="0" xfId="0" applyNumberFormat="1" applyFont="1" applyFill="1" applyBorder="1"/>
    <xf numFmtId="232" fontId="5" fillId="0" borderId="0" xfId="0" applyNumberFormat="1" applyFont="1" applyFill="1" applyAlignment="1">
      <alignment horizontal="right"/>
    </xf>
    <xf numFmtId="169" fontId="69" fillId="0" borderId="0" xfId="0" applyNumberFormat="1" applyFont="1" applyAlignment="1">
      <alignment horizontal="right"/>
    </xf>
    <xf numFmtId="230" fontId="5" fillId="0" borderId="0" xfId="0" applyNumberFormat="1" applyFont="1" applyAlignment="1">
      <alignment horizontal="right"/>
    </xf>
    <xf numFmtId="233" fontId="5" fillId="0" borderId="0" xfId="0" applyNumberFormat="1" applyFont="1" applyFill="1"/>
    <xf numFmtId="233" fontId="5" fillId="0" borderId="0" xfId="0" applyNumberFormat="1" applyFont="1" applyFill="1" applyBorder="1"/>
    <xf numFmtId="0" fontId="70" fillId="0" borderId="0" xfId="0" applyFont="1" applyAlignment="1">
      <alignment horizontal="left"/>
    </xf>
    <xf numFmtId="0" fontId="70" fillId="0" borderId="0" xfId="0" applyFont="1" applyBorder="1" applyAlignment="1">
      <alignment horizontal="left" indent="1"/>
    </xf>
    <xf numFmtId="165" fontId="0" fillId="0" borderId="0" xfId="0" applyNumberFormat="1" applyFont="1"/>
    <xf numFmtId="164" fontId="7" fillId="0" borderId="0" xfId="0" applyNumberFormat="1" applyFont="1"/>
    <xf numFmtId="210" fontId="71" fillId="0" borderId="0" xfId="0" applyNumberFormat="1" applyFont="1"/>
    <xf numFmtId="210" fontId="0" fillId="0" borderId="2" xfId="0" applyNumberFormat="1" applyFont="1" applyBorder="1"/>
    <xf numFmtId="210" fontId="0" fillId="0" borderId="0" xfId="0" applyNumberFormat="1" applyFont="1" applyAlignment="1">
      <alignment horizontal="right"/>
    </xf>
    <xf numFmtId="165" fontId="0" fillId="0" borderId="0" xfId="0" applyNumberFormat="1" applyFont="1" applyFill="1" applyBorder="1"/>
    <xf numFmtId="175" fontId="0" fillId="0" borderId="0" xfId="0" applyNumberFormat="1" applyFont="1" applyFill="1" applyBorder="1"/>
    <xf numFmtId="230" fontId="5" fillId="0" borderId="0" xfId="0" applyNumberFormat="1" applyFont="1" applyBorder="1" applyAlignment="1">
      <alignment horizontal="right"/>
    </xf>
    <xf numFmtId="230" fontId="0" fillId="0" borderId="0" xfId="0" applyNumberFormat="1" applyFont="1" applyBorder="1" applyAlignment="1">
      <alignment horizontal="right"/>
    </xf>
    <xf numFmtId="210" fontId="71" fillId="0" borderId="0" xfId="0" applyNumberFormat="1" applyFont="1" applyBorder="1" applyAlignment="1">
      <alignment horizontal="right"/>
    </xf>
    <xf numFmtId="175" fontId="4" fillId="0" borderId="0" xfId="0" applyNumberFormat="1" applyFont="1" applyAlignment="1">
      <alignment horizontal="right"/>
    </xf>
    <xf numFmtId="235" fontId="1" fillId="0" borderId="0" xfId="0" applyNumberFormat="1" applyFont="1"/>
    <xf numFmtId="235" fontId="1" fillId="0" borderId="0" xfId="0" applyNumberFormat="1" applyFont="1" applyAlignment="1">
      <alignment horizontal="right"/>
    </xf>
    <xf numFmtId="210" fontId="4" fillId="0" borderId="0" xfId="0" applyNumberFormat="1" applyFont="1" applyBorder="1" applyAlignment="1">
      <alignment horizontal="right"/>
    </xf>
    <xf numFmtId="0" fontId="80" fillId="0" borderId="0" xfId="0" applyFont="1" applyAlignment="1">
      <alignment horizontal="right"/>
    </xf>
    <xf numFmtId="210" fontId="5" fillId="0" borderId="0" xfId="0" applyNumberFormat="1" applyFont="1" applyBorder="1"/>
    <xf numFmtId="210" fontId="68" fillId="0" borderId="0" xfId="0" applyNumberFormat="1" applyFont="1"/>
    <xf numFmtId="37" fontId="4" fillId="0" borderId="0" xfId="0" applyNumberFormat="1" applyFont="1" applyFill="1" applyAlignment="1">
      <alignment horizontal="right"/>
    </xf>
    <xf numFmtId="165" fontId="1" fillId="0" borderId="0" xfId="0" applyNumberFormat="1" applyFont="1"/>
    <xf numFmtId="0" fontId="1" fillId="0" borderId="0" xfId="0" applyNumberFormat="1" applyFont="1"/>
    <xf numFmtId="168" fontId="0" fillId="0" borderId="2" xfId="0" applyNumberFormat="1" applyFont="1" applyBorder="1"/>
    <xf numFmtId="0" fontId="81" fillId="0" borderId="0" xfId="0" applyFont="1" applyBorder="1" applyAlignment="1">
      <alignment horizontal="centerContinuous"/>
    </xf>
    <xf numFmtId="0" fontId="79" fillId="0" borderId="21" xfId="0" applyFont="1" applyBorder="1" applyAlignment="1">
      <alignment horizontal="center"/>
    </xf>
    <xf numFmtId="210" fontId="0" fillId="0" borderId="0" xfId="0" applyNumberFormat="1" applyFont="1" applyAlignment="1">
      <alignment horizontal="center"/>
    </xf>
    <xf numFmtId="0" fontId="0" fillId="0" borderId="2" xfId="0" applyFont="1" applyBorder="1" applyAlignment="1">
      <alignment horizontal="center"/>
    </xf>
    <xf numFmtId="210" fontId="0" fillId="0" borderId="2" xfId="0" applyNumberFormat="1" applyFont="1" applyBorder="1" applyAlignment="1">
      <alignment horizontal="center"/>
    </xf>
    <xf numFmtId="39" fontId="0" fillId="0" borderId="2" xfId="0" applyNumberFormat="1" applyFont="1" applyBorder="1" applyAlignment="1">
      <alignment horizontal="center"/>
    </xf>
    <xf numFmtId="210" fontId="0" fillId="0" borderId="0" xfId="0" applyNumberFormat="1" applyFont="1" applyBorder="1" applyAlignment="1">
      <alignment horizontal="center"/>
    </xf>
    <xf numFmtId="0" fontId="81" fillId="0" borderId="0" xfId="0" applyFont="1" applyBorder="1"/>
    <xf numFmtId="0" fontId="77" fillId="0" borderId="0" xfId="0" applyFont="1" applyAlignment="1">
      <alignment horizontal="right"/>
    </xf>
    <xf numFmtId="210" fontId="68" fillId="0" borderId="2" xfId="0" applyNumberFormat="1" applyFont="1" applyBorder="1"/>
    <xf numFmtId="166" fontId="1" fillId="0" borderId="0" xfId="0" applyNumberFormat="1" applyFont="1"/>
    <xf numFmtId="0" fontId="5" fillId="31" borderId="26" xfId="0" applyFont="1" applyFill="1" applyBorder="1" applyAlignment="1">
      <alignment horizontal="center"/>
    </xf>
    <xf numFmtId="236" fontId="5" fillId="0" borderId="0" xfId="0" applyNumberFormat="1" applyFont="1"/>
    <xf numFmtId="210" fontId="0" fillId="0" borderId="26" xfId="0" applyNumberFormat="1" applyFont="1" applyBorder="1"/>
    <xf numFmtId="210" fontId="0" fillId="0" borderId="0" xfId="0" applyNumberFormat="1" applyFont="1" applyFill="1" applyBorder="1"/>
    <xf numFmtId="210" fontId="4" fillId="0" borderId="0" xfId="0" applyNumberFormat="1" applyFont="1" applyFill="1" applyBorder="1"/>
    <xf numFmtId="210" fontId="70" fillId="0" borderId="0" xfId="0" applyNumberFormat="1" applyFont="1" applyFill="1" applyBorder="1"/>
    <xf numFmtId="210" fontId="68" fillId="0" borderId="0" xfId="0" applyNumberFormat="1" applyFont="1" applyFill="1" applyBorder="1"/>
    <xf numFmtId="210" fontId="0" fillId="0" borderId="26" xfId="0" applyNumberFormat="1" applyFont="1" applyFill="1" applyBorder="1"/>
    <xf numFmtId="210" fontId="1" fillId="0" borderId="0" xfId="0" applyNumberFormat="1" applyFont="1" applyFill="1" applyBorder="1"/>
    <xf numFmtId="210" fontId="68" fillId="0" borderId="0" xfId="0" applyNumberFormat="1" applyFont="1" applyFill="1" applyBorder="1" applyAlignment="1">
      <alignment horizontal="right"/>
    </xf>
    <xf numFmtId="210" fontId="3" fillId="0" borderId="0" xfId="0" applyNumberFormat="1" applyFont="1" applyFill="1" applyBorder="1"/>
    <xf numFmtId="210" fontId="4" fillId="0" borderId="26" xfId="0" applyNumberFormat="1" applyFont="1" applyBorder="1"/>
    <xf numFmtId="210" fontId="71" fillId="0" borderId="0" xfId="0" applyNumberFormat="1" applyFont="1" applyBorder="1"/>
    <xf numFmtId="210" fontId="1" fillId="0" borderId="0" xfId="0" applyNumberFormat="1" applyFont="1" applyAlignment="1">
      <alignment horizontal="center"/>
    </xf>
    <xf numFmtId="172" fontId="6" fillId="0" borderId="0" xfId="0" applyNumberFormat="1" applyFont="1" applyBorder="1"/>
    <xf numFmtId="39" fontId="6" fillId="0" borderId="0" xfId="0" applyNumberFormat="1" applyFont="1" applyBorder="1" applyAlignment="1">
      <alignment horizontal="right"/>
    </xf>
    <xf numFmtId="0" fontId="68" fillId="0" borderId="0" xfId="0" applyFont="1" applyBorder="1" applyAlignment="1">
      <alignment horizontal="right" vertical="center" wrapText="1"/>
    </xf>
    <xf numFmtId="172" fontId="6" fillId="0" borderId="0" xfId="0" applyNumberFormat="1" applyFont="1" applyBorder="1" applyAlignment="1">
      <alignment horizontal="right"/>
    </xf>
    <xf numFmtId="175" fontId="6" fillId="0" borderId="0" xfId="0" applyNumberFormat="1" applyFont="1" applyBorder="1" applyAlignment="1">
      <alignment horizontal="right"/>
    </xf>
    <xf numFmtId="0" fontId="82" fillId="0" borderId="0" xfId="0" applyFont="1" applyFill="1" applyBorder="1" applyAlignment="1">
      <alignment horizontal="centerContinuous"/>
    </xf>
    <xf numFmtId="0" fontId="0" fillId="0" borderId="0" xfId="0" applyFont="1" applyFill="1" applyBorder="1" applyAlignment="1">
      <alignment horizontal="centerContinuous"/>
    </xf>
    <xf numFmtId="172" fontId="7" fillId="0" borderId="0" xfId="0" applyNumberFormat="1" applyFont="1" applyBorder="1"/>
    <xf numFmtId="164" fontId="7" fillId="0" borderId="0" xfId="0" applyNumberFormat="1" applyFont="1" applyBorder="1"/>
    <xf numFmtId="175" fontId="7" fillId="0" borderId="0" xfId="0" applyNumberFormat="1" applyFont="1" applyBorder="1"/>
    <xf numFmtId="210" fontId="4" fillId="0" borderId="0" xfId="0" applyNumberFormat="1" applyFont="1" applyAlignment="1">
      <alignment horizontal="right"/>
    </xf>
    <xf numFmtId="210" fontId="7" fillId="0" borderId="0" xfId="0" applyNumberFormat="1" applyFont="1" applyBorder="1"/>
    <xf numFmtId="0" fontId="75" fillId="0" borderId="0" xfId="0" applyFont="1" applyAlignment="1">
      <alignment horizontal="right"/>
    </xf>
    <xf numFmtId="238" fontId="0" fillId="0" borderId="0" xfId="0" applyNumberFormat="1" applyAlignment="1">
      <alignment horizontal="left"/>
    </xf>
    <xf numFmtId="0" fontId="5" fillId="0" borderId="0" xfId="0" applyFont="1" applyAlignment="1">
      <alignment horizontal="right" indent="1"/>
    </xf>
    <xf numFmtId="0" fontId="0" fillId="0" borderId="0" xfId="0" applyFont="1" applyAlignment="1">
      <alignment horizontal="right" indent="1"/>
    </xf>
    <xf numFmtId="0" fontId="0" fillId="0" borderId="2" xfId="0" applyFont="1" applyBorder="1" applyAlignment="1">
      <alignment horizontal="right" indent="1"/>
    </xf>
    <xf numFmtId="0" fontId="1" fillId="0" borderId="0" xfId="0" applyFont="1" applyAlignment="1">
      <alignment horizontal="right" indent="1"/>
    </xf>
    <xf numFmtId="14" fontId="68" fillId="0" borderId="0" xfId="0" applyNumberFormat="1" applyFont="1" applyAlignment="1">
      <alignment horizontal="left"/>
    </xf>
    <xf numFmtId="164" fontId="73" fillId="0" borderId="0" xfId="0" applyNumberFormat="1" applyFont="1" applyAlignment="1">
      <alignment horizontal="right"/>
    </xf>
    <xf numFmtId="0" fontId="73" fillId="0" borderId="0" xfId="0" applyFont="1" applyAlignment="1">
      <alignment horizontal="left" indent="1"/>
    </xf>
    <xf numFmtId="0" fontId="0" fillId="0" borderId="1" xfId="0" applyBorder="1"/>
    <xf numFmtId="39" fontId="0" fillId="0" borderId="22" xfId="0" applyNumberFormat="1" applyFont="1" applyBorder="1"/>
    <xf numFmtId="3" fontId="6" fillId="0" borderId="2" xfId="0" applyNumberFormat="1" applyFont="1" applyBorder="1"/>
    <xf numFmtId="0" fontId="1" fillId="0" borderId="2" xfId="0" applyFont="1" applyFill="1" applyBorder="1" applyAlignment="1">
      <alignment horizontal="left"/>
    </xf>
    <xf numFmtId="210" fontId="68" fillId="0" borderId="0" xfId="0" applyNumberFormat="1" applyFont="1" applyBorder="1"/>
    <xf numFmtId="0" fontId="1" fillId="0" borderId="21" xfId="0" applyFont="1" applyBorder="1" applyAlignment="1">
      <alignment horizontal="center"/>
    </xf>
    <xf numFmtId="0" fontId="1" fillId="0" borderId="21" xfId="0" applyFont="1" applyBorder="1" applyAlignment="1">
      <alignment horizontal="right"/>
    </xf>
    <xf numFmtId="167" fontId="1" fillId="0" borderId="21" xfId="0" applyNumberFormat="1" applyFont="1" applyBorder="1"/>
    <xf numFmtId="0" fontId="1" fillId="0" borderId="2" xfId="0" applyFont="1" applyFill="1" applyBorder="1"/>
    <xf numFmtId="174" fontId="69" fillId="0" borderId="0" xfId="0" applyNumberFormat="1" applyFont="1" applyBorder="1" applyAlignment="1">
      <alignment horizontal="centerContinuous"/>
    </xf>
    <xf numFmtId="0" fontId="77" fillId="0" borderId="2" xfId="0" applyFont="1" applyBorder="1" applyAlignment="1">
      <alignment horizontal="centerContinuous"/>
    </xf>
    <xf numFmtId="174" fontId="69" fillId="0" borderId="2" xfId="0" applyNumberFormat="1" applyFont="1" applyBorder="1" applyAlignment="1">
      <alignment horizontal="centerContinuous"/>
    </xf>
    <xf numFmtId="210" fontId="1" fillId="0" borderId="0" xfId="0" applyNumberFormat="1" applyFont="1" applyBorder="1" applyAlignment="1">
      <alignment horizontal="right"/>
    </xf>
    <xf numFmtId="0" fontId="70" fillId="0" borderId="0" xfId="0" applyFont="1" applyFill="1"/>
    <xf numFmtId="9" fontId="5" fillId="0" borderId="0" xfId="0" applyNumberFormat="1" applyFont="1" applyFill="1" applyAlignment="1">
      <alignment horizontal="center"/>
    </xf>
    <xf numFmtId="169" fontId="5" fillId="31" borderId="22" xfId="0" applyNumberFormat="1" applyFont="1" applyFill="1" applyBorder="1" applyAlignment="1">
      <alignment horizontal="center"/>
    </xf>
    <xf numFmtId="169" fontId="5" fillId="31" borderId="24" xfId="0" applyNumberFormat="1" applyFont="1" applyFill="1" applyBorder="1" applyAlignment="1">
      <alignment horizontal="center"/>
    </xf>
    <xf numFmtId="237" fontId="5" fillId="0" borderId="0" xfId="0" applyNumberFormat="1" applyFont="1" applyFill="1"/>
    <xf numFmtId="231" fontId="84" fillId="0" borderId="0" xfId="186" applyNumberFormat="1" applyFont="1" applyBorder="1" applyAlignment="1" applyProtection="1">
      <alignment horizontal="center"/>
    </xf>
    <xf numFmtId="231" fontId="69" fillId="0" borderId="0" xfId="186" applyNumberFormat="1" applyFont="1" applyBorder="1" applyAlignment="1" applyProtection="1">
      <alignment horizontal="center"/>
    </xf>
    <xf numFmtId="231" fontId="78" fillId="0" borderId="0" xfId="186" applyNumberFormat="1" applyFont="1" applyBorder="1" applyAlignment="1" applyProtection="1">
      <alignment horizontal="center"/>
      <protection locked="0"/>
    </xf>
    <xf numFmtId="231" fontId="78" fillId="0" borderId="0" xfId="186" applyNumberFormat="1" applyFont="1" applyFill="1" applyBorder="1" applyAlignment="1" applyProtection="1">
      <alignment horizontal="center"/>
      <protection locked="0"/>
    </xf>
    <xf numFmtId="231" fontId="85" fillId="0" borderId="0" xfId="186" applyNumberFormat="1" applyFont="1" applyBorder="1" applyAlignment="1" applyProtection="1">
      <alignment horizontal="center"/>
    </xf>
    <xf numFmtId="210" fontId="4" fillId="0" borderId="2" xfId="0" applyNumberFormat="1" applyFont="1" applyBorder="1" applyAlignment="1">
      <alignment horizontal="right"/>
    </xf>
    <xf numFmtId="0" fontId="1" fillId="0" borderId="0" xfId="0" applyFont="1" applyAlignment="1">
      <alignment horizontal="left" indent="2"/>
    </xf>
    <xf numFmtId="170" fontId="5" fillId="0" borderId="0" xfId="0" applyNumberFormat="1" applyFont="1" applyBorder="1"/>
    <xf numFmtId="37" fontId="0" fillId="0" borderId="28" xfId="0" applyNumberFormat="1" applyFont="1" applyBorder="1"/>
    <xf numFmtId="39" fontId="0" fillId="0" borderId="28" xfId="0" applyNumberFormat="1" applyFont="1" applyBorder="1"/>
    <xf numFmtId="175" fontId="68" fillId="0" borderId="28" xfId="0" applyNumberFormat="1" applyFont="1" applyBorder="1"/>
    <xf numFmtId="37" fontId="1" fillId="0" borderId="28" xfId="0" applyNumberFormat="1" applyFont="1" applyBorder="1"/>
    <xf numFmtId="230" fontId="0" fillId="0" borderId="29" xfId="0" applyNumberFormat="1" applyFont="1" applyBorder="1"/>
    <xf numFmtId="175" fontId="68" fillId="0" borderId="0" xfId="0" applyNumberFormat="1" applyFont="1" applyBorder="1"/>
    <xf numFmtId="235" fontId="7" fillId="31" borderId="26" xfId="0" applyNumberFormat="1" applyFont="1" applyFill="1" applyBorder="1" applyAlignment="1">
      <alignment horizontal="center"/>
    </xf>
    <xf numFmtId="230" fontId="80" fillId="0" borderId="0" xfId="0" applyNumberFormat="1" applyFont="1" applyFill="1" applyBorder="1" applyAlignment="1">
      <alignment horizontal="center"/>
    </xf>
    <xf numFmtId="165" fontId="0" fillId="0" borderId="23" xfId="0" applyNumberFormat="1" applyFont="1" applyBorder="1" applyAlignment="1">
      <alignment horizontal="center"/>
    </xf>
    <xf numFmtId="230" fontId="0" fillId="0" borderId="23" xfId="0" applyNumberFormat="1" applyFont="1" applyFill="1" applyBorder="1" applyAlignment="1">
      <alignment horizontal="center"/>
    </xf>
    <xf numFmtId="165" fontId="1" fillId="0" borderId="23" xfId="0" applyNumberFormat="1" applyFont="1" applyFill="1" applyBorder="1" applyAlignment="1">
      <alignment horizontal="center"/>
    </xf>
    <xf numFmtId="0" fontId="0" fillId="0" borderId="23" xfId="0" applyFont="1" applyBorder="1" applyAlignment="1">
      <alignment horizontal="center"/>
    </xf>
    <xf numFmtId="210" fontId="4" fillId="0" borderId="23" xfId="0" applyNumberFormat="1" applyFont="1" applyBorder="1" applyAlignment="1">
      <alignment horizontal="center"/>
    </xf>
    <xf numFmtId="210" fontId="1" fillId="0" borderId="23" xfId="0" applyNumberFormat="1" applyFont="1" applyBorder="1" applyAlignment="1">
      <alignment horizontal="center"/>
    </xf>
    <xf numFmtId="165" fontId="71" fillId="0" borderId="23" xfId="0" applyNumberFormat="1" applyFont="1" applyFill="1" applyBorder="1" applyAlignment="1">
      <alignment horizontal="center"/>
    </xf>
    <xf numFmtId="165" fontId="0" fillId="0" borderId="27" xfId="0" applyNumberFormat="1" applyFont="1" applyBorder="1" applyAlignment="1">
      <alignment horizontal="center"/>
    </xf>
    <xf numFmtId="175" fontId="0" fillId="0" borderId="25" xfId="0" applyNumberFormat="1" applyFont="1" applyFill="1" applyBorder="1" applyAlignment="1">
      <alignment horizontal="center"/>
    </xf>
    <xf numFmtId="234" fontId="1" fillId="0" borderId="23" xfId="0" applyNumberFormat="1" applyFont="1" applyFill="1" applyBorder="1" applyAlignment="1">
      <alignment horizontal="center"/>
    </xf>
    <xf numFmtId="210" fontId="4" fillId="0" borderId="2" xfId="0" applyNumberFormat="1" applyFont="1" applyBorder="1"/>
    <xf numFmtId="239" fontId="68" fillId="0" borderId="2" xfId="0" applyNumberFormat="1" applyFont="1" applyBorder="1" applyAlignment="1">
      <alignment horizontal="centerContinuous"/>
    </xf>
    <xf numFmtId="174" fontId="4" fillId="0" borderId="23" xfId="0" applyNumberFormat="1" applyFont="1" applyBorder="1" applyAlignment="1">
      <alignment horizontal="center"/>
    </xf>
    <xf numFmtId="37" fontId="0" fillId="0" borderId="23" xfId="0" applyNumberFormat="1" applyFont="1" applyBorder="1" applyAlignment="1">
      <alignment horizontal="center"/>
    </xf>
    <xf numFmtId="39" fontId="0" fillId="0" borderId="23" xfId="0" applyNumberFormat="1" applyFont="1" applyBorder="1" applyAlignment="1">
      <alignment horizontal="center"/>
    </xf>
    <xf numFmtId="175" fontId="68" fillId="0" borderId="23" xfId="0" applyNumberFormat="1" applyFont="1" applyBorder="1" applyAlignment="1">
      <alignment horizontal="center"/>
    </xf>
    <xf numFmtId="0" fontId="68" fillId="0" borderId="23" xfId="0" applyFont="1" applyBorder="1" applyAlignment="1">
      <alignment horizontal="center"/>
    </xf>
    <xf numFmtId="37" fontId="1" fillId="0" borderId="23" xfId="0" applyNumberFormat="1" applyFont="1" applyBorder="1" applyAlignment="1">
      <alignment horizontal="center"/>
    </xf>
    <xf numFmtId="0" fontId="1" fillId="0" borderId="26" xfId="0" applyFont="1" applyBorder="1" applyAlignment="1">
      <alignment horizontal="center"/>
    </xf>
    <xf numFmtId="230" fontId="0" fillId="0" borderId="25" xfId="0" applyNumberFormat="1" applyFont="1" applyBorder="1" applyAlignment="1">
      <alignment horizontal="center"/>
    </xf>
    <xf numFmtId="0" fontId="77" fillId="0" borderId="3" xfId="0" applyFont="1" applyBorder="1" applyAlignment="1">
      <alignment horizontal="centerContinuous"/>
    </xf>
    <xf numFmtId="0" fontId="0" fillId="0" borderId="30" xfId="0" applyFont="1" applyBorder="1" applyAlignment="1">
      <alignment horizontal="centerContinuous"/>
    </xf>
    <xf numFmtId="0" fontId="0" fillId="0" borderId="31" xfId="0" applyFont="1" applyBorder="1" applyAlignment="1">
      <alignment horizontal="centerContinuous"/>
    </xf>
    <xf numFmtId="174" fontId="5" fillId="0" borderId="3" xfId="0" applyNumberFormat="1" applyFont="1" applyBorder="1"/>
    <xf numFmtId="174" fontId="4" fillId="0" borderId="30" xfId="0" applyNumberFormat="1" applyFont="1" applyBorder="1"/>
    <xf numFmtId="174" fontId="4" fillId="0" borderId="31" xfId="0" applyNumberFormat="1" applyFont="1" applyBorder="1"/>
    <xf numFmtId="37" fontId="1" fillId="0" borderId="22" xfId="0" applyNumberFormat="1" applyFont="1" applyBorder="1"/>
    <xf numFmtId="37" fontId="0" fillId="0" borderId="22" xfId="0" applyNumberFormat="1" applyFont="1" applyBorder="1"/>
    <xf numFmtId="175" fontId="68" fillId="0" borderId="22" xfId="0" applyNumberFormat="1" applyFont="1" applyBorder="1"/>
    <xf numFmtId="230" fontId="0" fillId="0" borderId="2" xfId="0" applyNumberFormat="1" applyFont="1" applyBorder="1"/>
    <xf numFmtId="230" fontId="0" fillId="0" borderId="24" xfId="0" applyNumberFormat="1" applyFont="1" applyBorder="1"/>
    <xf numFmtId="0" fontId="1" fillId="0" borderId="27" xfId="0" applyFont="1" applyBorder="1" applyAlignment="1">
      <alignment horizontal="left"/>
    </xf>
    <xf numFmtId="174" fontId="7" fillId="0" borderId="25" xfId="0" applyNumberFormat="1" applyFont="1" applyBorder="1" applyAlignment="1">
      <alignment horizontal="left"/>
    </xf>
    <xf numFmtId="210" fontId="0" fillId="0" borderId="0" xfId="0" applyNumberFormat="1" applyFont="1" applyFill="1"/>
    <xf numFmtId="230" fontId="5" fillId="0" borderId="0" xfId="0" applyNumberFormat="1" applyFont="1" applyFill="1"/>
    <xf numFmtId="210" fontId="6" fillId="0" borderId="26" xfId="0" applyNumberFormat="1" applyFont="1" applyFill="1" applyBorder="1" applyAlignment="1"/>
    <xf numFmtId="3" fontId="87" fillId="0" borderId="0" xfId="0" applyNumberFormat="1" applyFont="1" applyAlignment="1">
      <alignment wrapText="1"/>
    </xf>
    <xf numFmtId="3" fontId="88" fillId="0" borderId="0" xfId="0" applyNumberFormat="1" applyFont="1" applyAlignment="1">
      <alignment wrapText="1"/>
    </xf>
    <xf numFmtId="3" fontId="0" fillId="0" borderId="0" xfId="0" applyNumberFormat="1"/>
    <xf numFmtId="164" fontId="7" fillId="0" borderId="0" xfId="0" applyNumberFormat="1" applyFont="1" applyBorder="1" applyAlignment="1">
      <alignment horizontal="right"/>
    </xf>
    <xf numFmtId="0" fontId="5" fillId="0" borderId="0" xfId="0" applyFont="1" applyAlignment="1"/>
    <xf numFmtId="0" fontId="5" fillId="0" borderId="0" xfId="0" applyFont="1" applyAlignment="1">
      <alignment wrapText="1"/>
    </xf>
    <xf numFmtId="243" fontId="5" fillId="0" borderId="0" xfId="0" applyNumberFormat="1" applyFont="1" applyAlignment="1">
      <alignment horizontal="right" wrapText="1"/>
    </xf>
    <xf numFmtId="210" fontId="0" fillId="32" borderId="0" xfId="0" applyNumberFormat="1" applyFont="1" applyFill="1" applyBorder="1"/>
    <xf numFmtId="3" fontId="4" fillId="0" borderId="0" xfId="0" applyNumberFormat="1" applyFont="1" applyAlignment="1">
      <alignment wrapText="1"/>
    </xf>
  </cellXfs>
  <cellStyles count="187">
    <cellStyle name="$" xfId="1"/>
    <cellStyle name="$m" xfId="2"/>
    <cellStyle name="$q" xfId="3"/>
    <cellStyle name="$q*" xfId="4"/>
    <cellStyle name="$q_valuation" xfId="5"/>
    <cellStyle name="$qA" xfId="6"/>
    <cellStyle name="$qRange" xfId="7"/>
    <cellStyle name="%" xfId="8"/>
    <cellStyle name="******************************************" xfId="9"/>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eck" xfId="43"/>
    <cellStyle name="Check Cell 2" xfId="44"/>
    <cellStyle name="ColHeading" xfId="45"/>
    <cellStyle name="colheadleft" xfId="46"/>
    <cellStyle name="colheadright" xfId="47"/>
    <cellStyle name="Comma 2" xfId="48"/>
    <cellStyle name="Comma0" xfId="49"/>
    <cellStyle name="Comma2" xfId="50"/>
    <cellStyle name="Company" xfId="51"/>
    <cellStyle name="CurRatio" xfId="5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iemens" xfId="94"/>
    <cellStyle name="Income" xfId="95"/>
    <cellStyle name="IncomeStatement" xfId="96"/>
    <cellStyle name="Input 2" xfId="97"/>
    <cellStyle name="Input Fixed [0]" xfId="98"/>
    <cellStyle name="Integer" xfId="99"/>
    <cellStyle name="Inverse Header" xfId="100"/>
    <cellStyle name="Item" xfId="101"/>
    <cellStyle name="ItemTypeClass" xfId="102"/>
    <cellStyle name="Linked Cell 2" xfId="103"/>
    <cellStyle name="LTGR" xfId="104"/>
    <cellStyle name="m" xfId="105"/>
    <cellStyle name="m$" xfId="106"/>
    <cellStyle name="m_CW's MAKER MODEL" xfId="107"/>
    <cellStyle name="m_valuation" xfId="108"/>
    <cellStyle name="Margin" xfId="109"/>
    <cellStyle name="Margins" xfId="110"/>
    <cellStyle name="mm" xfId="111"/>
    <cellStyle name="Multiple" xfId="112"/>
    <cellStyle name="NA is zero" xfId="113"/>
    <cellStyle name="Neutral 2" xfId="114"/>
    <cellStyle name="Normal" xfId="0" builtinId="0"/>
    <cellStyle name="Normal [0]" xfId="115"/>
    <cellStyle name="Normal [1]" xfId="116"/>
    <cellStyle name="Normal [2]" xfId="117"/>
    <cellStyle name="Normal [3]" xfId="118"/>
    <cellStyle name="Normal 2" xfId="119"/>
    <cellStyle name="Normal Bold" xfId="120"/>
    <cellStyle name="Normal Pct" xfId="121"/>
    <cellStyle name="Normal_Matrix LBO Model v2 - Tri-State_05_EBITDA" xfId="186"/>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port" xfId="151"/>
    <cellStyle name="Right" xfId="152"/>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Variable" xfId="172"/>
    <cellStyle name="tcn" xfId="173"/>
    <cellStyle name="Times [1]" xfId="174"/>
    <cellStyle name="Times [2]" xfId="175"/>
    <cellStyle name="Title 2" xfId="176"/>
    <cellStyle name="title2" xfId="177"/>
    <cellStyle name="TitleII" xfId="178"/>
    <cellStyle name="Titles" xfId="179"/>
    <cellStyle name="TitleSub" xfId="180"/>
    <cellStyle name="tn" xfId="181"/>
    <cellStyle name="Total 2" xfId="182"/>
    <cellStyle name="Warning Text 2" xfId="183"/>
    <cellStyle name="WholeNumber" xfId="184"/>
    <cellStyle name="Year&quot;E&quot;" xfId="185"/>
  </cellStyles>
  <dxfs count="5">
    <dxf>
      <fill>
        <patternFill>
          <bgColor theme="0" tint="-0.14996795556505021"/>
        </patternFill>
      </fill>
      <border>
        <left style="dotted">
          <color auto="1"/>
        </left>
        <right style="dotted">
          <color auto="1"/>
        </right>
        <top style="dotted">
          <color auto="1"/>
        </top>
        <bottom style="dotted">
          <color auto="1"/>
        </bottom>
        <vertical/>
        <horizontal/>
      </border>
    </dxf>
    <dxf>
      <font>
        <color theme="0"/>
      </font>
    </dxf>
    <dxf>
      <font>
        <color theme="0"/>
      </font>
    </dxf>
    <dxf>
      <font>
        <color theme="0" tint="-0.14996795556505021"/>
      </font>
      <fill>
        <patternFill>
          <bgColor theme="0" tint="-0.14996795556505021"/>
        </patternFill>
      </fill>
    </dxf>
    <dxf>
      <font>
        <color theme="0" tint="-0.14996795556505021"/>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63"/>
  <sheetViews>
    <sheetView tabSelected="1" topLeftCell="B82" zoomScaleNormal="100" workbookViewId="0">
      <selection activeCell="B98" sqref="B98"/>
    </sheetView>
  </sheetViews>
  <sheetFormatPr defaultColWidth="9.109375" defaultRowHeight="14.4"/>
  <cols>
    <col min="1" max="1" width="1.6640625" style="10" customWidth="1"/>
    <col min="2" max="2" width="34.6640625" style="10" customWidth="1"/>
    <col min="3" max="10" width="15.6640625" style="10" customWidth="1"/>
    <col min="11" max="12" width="12.88671875" style="10" customWidth="1"/>
    <col min="13" max="16384" width="9.109375" style="10"/>
  </cols>
  <sheetData>
    <row r="1" spans="2:10" ht="15" thickBot="1"/>
    <row r="2" spans="2:10" ht="26.4" thickBot="1">
      <c r="B2" s="1" t="str">
        <f>"Leveraged Buyout Model for "&amp;D6</f>
        <v>Leveraged Buyout Model for Petsmart</v>
      </c>
      <c r="C2" s="11"/>
      <c r="D2" s="11"/>
      <c r="E2" s="11"/>
      <c r="F2" s="11"/>
      <c r="G2" s="11"/>
      <c r="H2" s="11"/>
      <c r="I2" s="11"/>
      <c r="J2" s="11"/>
    </row>
    <row r="3" spans="2:10">
      <c r="B3" s="2" t="s">
        <v>0</v>
      </c>
      <c r="C3" s="12"/>
      <c r="F3" s="13"/>
      <c r="G3" s="13"/>
      <c r="H3" s="13"/>
      <c r="I3" s="13"/>
      <c r="J3" s="13"/>
    </row>
    <row r="4" spans="2:10">
      <c r="B4" s="14"/>
      <c r="D4" s="12"/>
    </row>
    <row r="5" spans="2:10">
      <c r="B5" s="15" t="s">
        <v>115</v>
      </c>
      <c r="C5" s="17"/>
      <c r="D5" s="17"/>
      <c r="E5" s="13"/>
      <c r="F5" s="94" t="s">
        <v>116</v>
      </c>
      <c r="G5" s="17"/>
      <c r="H5" s="17"/>
      <c r="I5" s="17"/>
      <c r="J5" s="17"/>
    </row>
    <row r="6" spans="2:10">
      <c r="B6" s="100" t="s">
        <v>1</v>
      </c>
      <c r="D6" s="3" t="s">
        <v>239</v>
      </c>
      <c r="E6" s="13"/>
    </row>
    <row r="7" spans="2:10">
      <c r="B7" s="100" t="s">
        <v>113</v>
      </c>
      <c r="D7" s="3" t="s">
        <v>240</v>
      </c>
      <c r="E7" s="13"/>
      <c r="F7" s="66" t="s">
        <v>185</v>
      </c>
      <c r="H7" s="286">
        <v>2</v>
      </c>
      <c r="I7" s="198">
        <v>1</v>
      </c>
      <c r="J7" s="199">
        <v>2</v>
      </c>
    </row>
    <row r="8" spans="2:10">
      <c r="B8" s="80" t="s">
        <v>114</v>
      </c>
      <c r="D8" s="75">
        <f>81.45*(1-0.0487)</f>
        <v>77.483385000000013</v>
      </c>
      <c r="E8" s="13"/>
      <c r="H8" s="287" t="str">
        <f>CHOOSE($H$7,I8,J8)</f>
        <v>Explicit offer/share</v>
      </c>
      <c r="I8" s="201" t="s">
        <v>187</v>
      </c>
      <c r="J8" s="201" t="s">
        <v>188</v>
      </c>
    </row>
    <row r="9" spans="2:10">
      <c r="B9" s="100" t="s">
        <v>184</v>
      </c>
      <c r="D9" s="5">
        <v>41987</v>
      </c>
      <c r="E9" s="13"/>
      <c r="H9" s="13"/>
    </row>
    <row r="10" spans="2:10">
      <c r="B10" s="80" t="s">
        <v>2</v>
      </c>
      <c r="D10" s="7" t="s">
        <v>3</v>
      </c>
      <c r="E10" s="13"/>
      <c r="F10" s="6" t="s">
        <v>59</v>
      </c>
      <c r="H10" s="295">
        <f>$D$13</f>
        <v>926.77700000000004</v>
      </c>
      <c r="I10" s="187">
        <f>$D$13</f>
        <v>926.77700000000004</v>
      </c>
      <c r="J10" s="187">
        <f>$D$13</f>
        <v>926.77700000000004</v>
      </c>
    </row>
    <row r="11" spans="2:10">
      <c r="E11" s="13"/>
      <c r="F11" s="6" t="s">
        <v>110</v>
      </c>
      <c r="H11" s="289">
        <f>CHOOSE($H$7,I11,J11)</f>
        <v>8.7404975911141509</v>
      </c>
      <c r="I11" s="194">
        <v>8.6999999999999993</v>
      </c>
      <c r="J11" s="195">
        <f>J12/J10</f>
        <v>8.7404975911141509</v>
      </c>
    </row>
    <row r="12" spans="2:10">
      <c r="B12" s="15" t="s">
        <v>228</v>
      </c>
      <c r="C12" s="17"/>
      <c r="D12" s="15"/>
      <c r="E12" s="13"/>
      <c r="F12" s="4" t="s">
        <v>56</v>
      </c>
      <c r="H12" s="290">
        <f>D13*H11</f>
        <v>8100.4921359999998</v>
      </c>
      <c r="I12" s="266">
        <f>I10*I11</f>
        <v>8062.9598999999998</v>
      </c>
      <c r="J12" s="266">
        <f>J17-J14-J15</f>
        <v>8100.4921359999998</v>
      </c>
    </row>
    <row r="13" spans="2:10">
      <c r="B13" s="80" t="s">
        <v>226</v>
      </c>
      <c r="D13" s="192">
        <f>926.777</f>
        <v>926.77700000000004</v>
      </c>
      <c r="E13" s="13"/>
      <c r="H13" s="291"/>
    </row>
    <row r="14" spans="2:10">
      <c r="B14" s="80" t="s">
        <v>238</v>
      </c>
      <c r="D14" s="159">
        <v>0</v>
      </c>
      <c r="E14" s="13"/>
      <c r="F14" s="80" t="s">
        <v>183</v>
      </c>
      <c r="H14" s="292">
        <f>$D$14</f>
        <v>0</v>
      </c>
      <c r="I14" s="200">
        <f>$D$14</f>
        <v>0</v>
      </c>
      <c r="J14" s="200">
        <f>$D$14</f>
        <v>0</v>
      </c>
    </row>
    <row r="15" spans="2:10">
      <c r="B15" s="80" t="s">
        <v>47</v>
      </c>
      <c r="D15" s="159">
        <f>173.3+81.4</f>
        <v>254.70000000000002</v>
      </c>
      <c r="E15" s="13"/>
      <c r="F15" s="80" t="s">
        <v>181</v>
      </c>
      <c r="H15" s="292">
        <f>$D$15</f>
        <v>254.70000000000002</v>
      </c>
      <c r="I15" s="200">
        <f>$D$15</f>
        <v>254.70000000000002</v>
      </c>
      <c r="J15" s="200">
        <f>$D$15</f>
        <v>254.70000000000002</v>
      </c>
    </row>
    <row r="16" spans="2:10">
      <c r="B16" s="37" t="s">
        <v>227</v>
      </c>
      <c r="D16" s="132">
        <v>0</v>
      </c>
      <c r="E16" s="13"/>
      <c r="H16" s="291"/>
    </row>
    <row r="17" spans="2:18">
      <c r="B17" s="80" t="s">
        <v>186</v>
      </c>
      <c r="D17" s="322">
        <v>8.6999999999999993</v>
      </c>
      <c r="E17" s="13"/>
      <c r="F17" s="4" t="s">
        <v>61</v>
      </c>
      <c r="H17" s="293">
        <f>H12+SUM(H14:H15)</f>
        <v>8355.1921359999997</v>
      </c>
      <c r="I17" s="266">
        <f>I12+SUM(I14:I15)</f>
        <v>8317.6599000000006</v>
      </c>
      <c r="J17" s="266">
        <f>J18*J20</f>
        <v>8355.1921359999997</v>
      </c>
    </row>
    <row r="18" spans="2:18">
      <c r="C18" s="177"/>
      <c r="F18" s="10" t="s">
        <v>18</v>
      </c>
      <c r="H18" s="294">
        <f>Shares!$E$14</f>
        <v>100.6649654939759</v>
      </c>
      <c r="I18" s="196">
        <f>Shares!$E$14</f>
        <v>100.6649654939759</v>
      </c>
      <c r="J18" s="196">
        <f>Shares!$E$14</f>
        <v>100.6649654939759</v>
      </c>
      <c r="K18" s="197"/>
      <c r="L18" s="197"/>
    </row>
    <row r="19" spans="2:18">
      <c r="B19" s="94" t="s">
        <v>150</v>
      </c>
      <c r="C19" s="17"/>
      <c r="D19" s="17"/>
      <c r="H19" s="291"/>
      <c r="K19" s="197"/>
      <c r="L19" s="197"/>
    </row>
    <row r="20" spans="2:18">
      <c r="B20" s="35" t="s">
        <v>62</v>
      </c>
      <c r="D20" s="82">
        <f>H17</f>
        <v>8355.1921359999997</v>
      </c>
      <c r="F20" s="4" t="s">
        <v>111</v>
      </c>
      <c r="H20" s="297">
        <f>H17/H18</f>
        <v>83</v>
      </c>
      <c r="I20" s="234">
        <f>I17/I18</f>
        <v>82.627156917843024</v>
      </c>
      <c r="J20" s="327">
        <v>83</v>
      </c>
      <c r="K20" s="197"/>
      <c r="L20" s="197"/>
    </row>
    <row r="21" spans="2:18">
      <c r="B21" s="35" t="s">
        <v>64</v>
      </c>
      <c r="D21" s="82">
        <f>-(D14)</f>
        <v>0</v>
      </c>
      <c r="F21" s="99" t="s">
        <v>112</v>
      </c>
      <c r="H21" s="296">
        <f>H20/$D$8-1</f>
        <v>7.1197392834605688E-2</v>
      </c>
      <c r="I21" s="197">
        <f>I20/$D$8-1</f>
        <v>6.6385482743726465E-2</v>
      </c>
      <c r="J21" s="197">
        <f>J20/$D$8-1</f>
        <v>7.1197392834605688E-2</v>
      </c>
      <c r="K21" s="197"/>
      <c r="L21" s="197"/>
    </row>
    <row r="22" spans="2:18">
      <c r="B22" s="35" t="s">
        <v>233</v>
      </c>
      <c r="D22" s="298">
        <f>H36+H33</f>
        <v>291.10660531999997</v>
      </c>
      <c r="H22" s="99"/>
      <c r="J22" s="193"/>
      <c r="K22" s="197"/>
      <c r="L22" s="197"/>
    </row>
    <row r="23" spans="2:18">
      <c r="B23" s="26" t="s">
        <v>66</v>
      </c>
      <c r="D23" s="105">
        <f>SUM(D20:D22)</f>
        <v>8646.298741319999</v>
      </c>
      <c r="H23" s="99"/>
      <c r="J23" s="193"/>
      <c r="K23" s="197"/>
      <c r="L23" s="197"/>
    </row>
    <row r="24" spans="2:18">
      <c r="C24" s="177"/>
      <c r="H24" s="99"/>
      <c r="J24" s="193"/>
      <c r="K24" s="197"/>
      <c r="L24" s="197"/>
    </row>
    <row r="25" spans="2:18">
      <c r="B25" s="94" t="s">
        <v>149</v>
      </c>
      <c r="C25" s="17"/>
      <c r="D25" s="17"/>
      <c r="E25" s="13"/>
      <c r="F25" s="15" t="s">
        <v>229</v>
      </c>
      <c r="G25" s="17"/>
      <c r="H25" s="17"/>
      <c r="I25" s="17"/>
      <c r="J25" s="17"/>
    </row>
    <row r="26" spans="2:18" ht="16.2">
      <c r="C26" s="101" t="s">
        <v>121</v>
      </c>
      <c r="D26" s="102" t="s">
        <v>122</v>
      </c>
      <c r="G26" s="245" t="s">
        <v>213</v>
      </c>
      <c r="H26" s="245" t="s">
        <v>231</v>
      </c>
      <c r="I26" s="245" t="s">
        <v>212</v>
      </c>
      <c r="J26" s="245" t="s">
        <v>216</v>
      </c>
    </row>
    <row r="27" spans="2:18">
      <c r="B27" s="80" t="s">
        <v>63</v>
      </c>
      <c r="C27" s="272">
        <f>D27/$D$13</f>
        <v>0.274823393329787</v>
      </c>
      <c r="D27" s="79">
        <f>MAX(0,D15-D16)</f>
        <v>254.70000000000002</v>
      </c>
      <c r="F27" s="66" t="s">
        <v>211</v>
      </c>
    </row>
    <row r="28" spans="2:18">
      <c r="B28" s="80" t="s">
        <v>29</v>
      </c>
      <c r="C28" s="273"/>
      <c r="D28" s="82">
        <f t="shared" ref="D28:D34" si="0">$D$13*C28</f>
        <v>0</v>
      </c>
      <c r="F28" s="37" t="str">
        <f>B28</f>
        <v>Revolver</v>
      </c>
      <c r="G28" s="174">
        <v>0</v>
      </c>
      <c r="H28" s="79">
        <f>D28*G28</f>
        <v>0</v>
      </c>
      <c r="I28" s="271"/>
      <c r="J28" s="243" t="str">
        <f>IFERROR(G28*D28/I28, "NM")</f>
        <v>NM</v>
      </c>
    </row>
    <row r="29" spans="2:18">
      <c r="B29" s="32" t="s">
        <v>77</v>
      </c>
      <c r="C29" s="274"/>
      <c r="D29" s="82">
        <f t="shared" si="0"/>
        <v>0</v>
      </c>
      <c r="F29" s="37" t="str">
        <f>B29</f>
        <v>Term Loan A</v>
      </c>
      <c r="G29" s="174">
        <v>0</v>
      </c>
      <c r="H29" s="79">
        <f>D29*G29</f>
        <v>0</v>
      </c>
      <c r="I29" s="271"/>
      <c r="J29" s="243" t="str">
        <f>IFERROR(G29*D29/I29, "NM")</f>
        <v>NM</v>
      </c>
    </row>
    <row r="30" spans="2:18">
      <c r="B30" s="32" t="s">
        <v>78</v>
      </c>
      <c r="C30" s="274">
        <v>4.6399999999999997</v>
      </c>
      <c r="D30" s="82">
        <f t="shared" si="0"/>
        <v>4300.2452800000001</v>
      </c>
      <c r="F30" s="37" t="str">
        <f>B30</f>
        <v>Term Loan B</v>
      </c>
      <c r="G30" s="174">
        <v>0.02</v>
      </c>
      <c r="H30" s="79">
        <f>D30*G30</f>
        <v>86.004905600000001</v>
      </c>
      <c r="I30" s="271">
        <v>7</v>
      </c>
      <c r="J30" s="243">
        <f>IFERROR(G30*D30/I30, "NM")</f>
        <v>12.286415085714285</v>
      </c>
      <c r="P30" s="26"/>
      <c r="R30" s="105"/>
    </row>
    <row r="31" spans="2:18">
      <c r="B31" s="32" t="s">
        <v>79</v>
      </c>
      <c r="C31" s="274">
        <v>2.0499999999999998</v>
      </c>
      <c r="D31" s="82">
        <f t="shared" si="0"/>
        <v>1899.89285</v>
      </c>
      <c r="F31" s="37" t="str">
        <f>B31</f>
        <v>Senior Note</v>
      </c>
      <c r="G31" s="174">
        <v>0.02</v>
      </c>
      <c r="H31" s="79">
        <f>D31*G31</f>
        <v>37.997857000000003</v>
      </c>
      <c r="I31" s="271">
        <v>6</v>
      </c>
      <c r="J31" s="243">
        <f>IFERROR(G31*D31/I31, "NM")</f>
        <v>6.3329761666666675</v>
      </c>
      <c r="P31" s="26"/>
      <c r="R31" s="105"/>
    </row>
    <row r="32" spans="2:18">
      <c r="B32" s="32" t="s">
        <v>80</v>
      </c>
      <c r="C32" s="274"/>
      <c r="D32" s="82">
        <f t="shared" si="0"/>
        <v>0</v>
      </c>
      <c r="F32" s="37" t="str">
        <f>B32</f>
        <v>Sub Note</v>
      </c>
      <c r="G32" s="174">
        <v>0</v>
      </c>
      <c r="H32" s="190">
        <f>D32*G32</f>
        <v>0</v>
      </c>
      <c r="I32" s="271"/>
      <c r="J32" s="277" t="str">
        <f>IFERROR(G32*D32/I32, "NM")</f>
        <v>NM</v>
      </c>
      <c r="P32" s="26"/>
      <c r="R32" s="105"/>
    </row>
    <row r="33" spans="1:18">
      <c r="B33" s="32" t="s">
        <v>105</v>
      </c>
      <c r="C33" s="274"/>
      <c r="D33" s="82">
        <f t="shared" si="0"/>
        <v>0</v>
      </c>
      <c r="F33" s="278" t="s">
        <v>211</v>
      </c>
      <c r="H33" s="171">
        <f>SUM(H28:H32)</f>
        <v>124.00276260000001</v>
      </c>
      <c r="I33" s="69"/>
      <c r="J33" s="79">
        <f>SUM(J28:J32)</f>
        <v>18.619391252380954</v>
      </c>
      <c r="P33" s="26"/>
      <c r="R33" s="105"/>
    </row>
    <row r="34" spans="1:18">
      <c r="B34" s="35" t="s">
        <v>152</v>
      </c>
      <c r="C34" s="275">
        <v>0.27</v>
      </c>
      <c r="D34" s="222">
        <f t="shared" si="0"/>
        <v>250.22979000000004</v>
      </c>
      <c r="H34" s="171"/>
      <c r="P34" s="26"/>
      <c r="R34" s="105"/>
    </row>
    <row r="35" spans="1:18" ht="16.2">
      <c r="B35" s="32" t="s">
        <v>65</v>
      </c>
      <c r="C35" s="272">
        <f>D35/$D$13</f>
        <v>2.0946040108030286</v>
      </c>
      <c r="D35" s="190">
        <f>D23-SUM(D27:D34)</f>
        <v>1941.2308213199985</v>
      </c>
      <c r="F35" s="37"/>
      <c r="G35" s="245" t="s">
        <v>230</v>
      </c>
      <c r="H35" s="245" t="s">
        <v>231</v>
      </c>
      <c r="P35" s="26"/>
      <c r="R35" s="105"/>
    </row>
    <row r="36" spans="1:18">
      <c r="B36" s="47" t="s">
        <v>123</v>
      </c>
      <c r="C36" s="276">
        <f>SUM(C27:C35)</f>
        <v>9.3294274041328151</v>
      </c>
      <c r="D36" s="227">
        <f>SUM(D27:D35)</f>
        <v>8646.298741319999</v>
      </c>
      <c r="F36" s="278" t="s">
        <v>232</v>
      </c>
      <c r="G36" s="279">
        <v>0.02</v>
      </c>
      <c r="H36" s="171">
        <f>G36*H17</f>
        <v>167.10384271999999</v>
      </c>
    </row>
    <row r="37" spans="1:18">
      <c r="E37" s="13"/>
      <c r="K37" s="13"/>
    </row>
    <row r="38" spans="1:18">
      <c r="A38" s="10" t="s">
        <v>55</v>
      </c>
      <c r="B38" s="15" t="s">
        <v>4</v>
      </c>
      <c r="C38" s="16"/>
      <c r="D38" s="17"/>
      <c r="E38" s="17"/>
      <c r="F38" s="17"/>
      <c r="G38" s="17"/>
      <c r="H38" s="17"/>
      <c r="I38" s="17"/>
      <c r="J38" s="17"/>
      <c r="K38" s="13"/>
    </row>
    <row r="39" spans="1:18">
      <c r="B39" s="13" t="s">
        <v>5</v>
      </c>
      <c r="C39" s="18">
        <f>D39-1</f>
        <v>2012</v>
      </c>
      <c r="D39" s="18">
        <f>E39-1</f>
        <v>2013</v>
      </c>
      <c r="E39" s="18">
        <f>YEAR(E40)</f>
        <v>2014</v>
      </c>
      <c r="F39" s="19">
        <f>E39+1</f>
        <v>2015</v>
      </c>
      <c r="G39" s="19">
        <f>F39+1</f>
        <v>2016</v>
      </c>
      <c r="H39" s="19">
        <f>G39+1</f>
        <v>2017</v>
      </c>
      <c r="I39" s="19">
        <f>H39+1</f>
        <v>2018</v>
      </c>
      <c r="J39" s="19">
        <f>I39+1</f>
        <v>2019</v>
      </c>
      <c r="K39" s="13"/>
    </row>
    <row r="40" spans="1:18">
      <c r="B40" s="20" t="s">
        <v>6</v>
      </c>
      <c r="C40" s="21">
        <v>40937</v>
      </c>
      <c r="D40" s="21">
        <v>406550</v>
      </c>
      <c r="E40" s="21">
        <v>41672</v>
      </c>
      <c r="F40" s="22">
        <f>EOMONTH(E40,11)-1</f>
        <v>42034</v>
      </c>
      <c r="G40" s="22">
        <f>EOMONTH(F40,12)</f>
        <v>42400</v>
      </c>
      <c r="H40" s="22">
        <f>EOMONTH(G40,12)</f>
        <v>42766</v>
      </c>
      <c r="I40" s="22">
        <f>EOMONTH(H40,12)</f>
        <v>43131</v>
      </c>
      <c r="J40" s="22">
        <f>EOMONTH(I40,12)</f>
        <v>43496</v>
      </c>
      <c r="K40" s="13"/>
    </row>
    <row r="41" spans="1:18">
      <c r="B41" s="23"/>
      <c r="C41" s="24"/>
      <c r="D41" s="24"/>
      <c r="E41" s="25"/>
      <c r="F41" s="25"/>
      <c r="G41" s="25"/>
      <c r="H41" s="25"/>
      <c r="I41" s="25"/>
      <c r="J41" s="25"/>
      <c r="K41" s="13"/>
    </row>
    <row r="42" spans="1:18">
      <c r="B42" s="13" t="s">
        <v>7</v>
      </c>
      <c r="C42" s="165">
        <v>6113.3040000000001</v>
      </c>
      <c r="D42" s="165">
        <v>6758.2370000000001</v>
      </c>
      <c r="E42" s="165">
        <v>6916.6270000000004</v>
      </c>
      <c r="F42" s="166">
        <f>E42*(1+F65)</f>
        <v>7082.626048000001</v>
      </c>
      <c r="G42" s="166">
        <f>F42*(1+G65)</f>
        <v>7458.0052285440006</v>
      </c>
      <c r="H42" s="166">
        <f>G42*(1+H65)</f>
        <v>7868.1955161139203</v>
      </c>
      <c r="I42" s="166">
        <f>H42*(1+I65)</f>
        <v>8332.4190515646405</v>
      </c>
      <c r="J42" s="166">
        <f>I42*(1+J65)</f>
        <v>8824.0317756069544</v>
      </c>
    </row>
    <row r="43" spans="1:18">
      <c r="B43" s="13" t="s">
        <v>8</v>
      </c>
      <c r="C43" s="165">
        <f>-(3783.951+488.216+36.714)</f>
        <v>-4308.8810000000003</v>
      </c>
      <c r="D43" s="165">
        <f>-(4124.432+533.504+38.162)</f>
        <v>-4696.098</v>
      </c>
      <c r="E43" s="165">
        <f>-(4222.542+539.229+38.919)</f>
        <v>-4800.6900000000005</v>
      </c>
      <c r="F43" s="166">
        <f>F44-F42</f>
        <v>-4872.8467210240005</v>
      </c>
      <c r="G43" s="166">
        <f>G44-G42</f>
        <v>-5108.7335815526403</v>
      </c>
      <c r="H43" s="166">
        <f>H44-H42</f>
        <v>-5311.0319733768956</v>
      </c>
      <c r="I43" s="166">
        <f>I44-I42</f>
        <v>-5582.7207645483086</v>
      </c>
      <c r="J43" s="166">
        <f>J44-J42</f>
        <v>-5912.101289656659</v>
      </c>
    </row>
    <row r="44" spans="1:18">
      <c r="B44" s="26" t="s">
        <v>9</v>
      </c>
      <c r="C44" s="164">
        <f>SUM(C42:C43)</f>
        <v>1804.4229999999998</v>
      </c>
      <c r="D44" s="164">
        <f>SUM(D42:D43)</f>
        <v>2062.1390000000001</v>
      </c>
      <c r="E44" s="164">
        <f>SUM(E42:E43)</f>
        <v>2115.9369999999999</v>
      </c>
      <c r="F44" s="164">
        <f>F42*F66</f>
        <v>2209.7793269760004</v>
      </c>
      <c r="G44" s="164">
        <f>G42*G66</f>
        <v>2349.2716469913603</v>
      </c>
      <c r="H44" s="164">
        <f>H42*H66</f>
        <v>2557.1635427370243</v>
      </c>
      <c r="I44" s="164">
        <f>I42*I66</f>
        <v>2749.6982870163315</v>
      </c>
      <c r="J44" s="164">
        <f>J42*J66</f>
        <v>2911.930485950295</v>
      </c>
    </row>
    <row r="45" spans="1:18">
      <c r="B45" s="27" t="s">
        <v>10</v>
      </c>
      <c r="C45" s="165">
        <v>0</v>
      </c>
      <c r="D45" s="165">
        <v>0</v>
      </c>
      <c r="E45" s="165">
        <v>0</v>
      </c>
      <c r="F45" s="166">
        <f>-(F67*F42)</f>
        <v>0</v>
      </c>
      <c r="G45" s="166">
        <f>-(G67*G42)</f>
        <v>0</v>
      </c>
      <c r="H45" s="166">
        <f>-(H67*H42)</f>
        <v>0</v>
      </c>
      <c r="I45" s="166">
        <f>-(I67*I42)</f>
        <v>0</v>
      </c>
      <c r="J45" s="166">
        <f>-(J67*J42)</f>
        <v>0</v>
      </c>
    </row>
    <row r="46" spans="1:18">
      <c r="B46" s="27" t="s">
        <v>11</v>
      </c>
      <c r="C46" s="165">
        <v>-1301.3040000000001</v>
      </c>
      <c r="D46" s="165">
        <v>-1410.922</v>
      </c>
      <c r="E46" s="165">
        <v>-1422.6189999999999</v>
      </c>
      <c r="F46" s="166">
        <f>-F68*F42</f>
        <v>-1481.0149407039648</v>
      </c>
      <c r="G46" s="166">
        <f>-G68*G42</f>
        <v>-1559.5087325612749</v>
      </c>
      <c r="H46" s="166">
        <f>-H68*H42</f>
        <v>-1629.545321819917</v>
      </c>
      <c r="I46" s="166">
        <f>-I68*I42</f>
        <v>-1709.0236577041626</v>
      </c>
      <c r="J46" s="166">
        <f>-J68*J42</f>
        <v>-1792.2079899574942</v>
      </c>
    </row>
    <row r="47" spans="1:18">
      <c r="B47" s="26" t="s">
        <v>12</v>
      </c>
      <c r="C47" s="164">
        <f t="shared" ref="C47:J47" si="1">SUM(C44:C46)</f>
        <v>503.11899999999969</v>
      </c>
      <c r="D47" s="164">
        <f t="shared" si="1"/>
        <v>651.2170000000001</v>
      </c>
      <c r="E47" s="164">
        <f t="shared" si="1"/>
        <v>693.31799999999998</v>
      </c>
      <c r="F47" s="164">
        <f t="shared" si="1"/>
        <v>728.76438627203561</v>
      </c>
      <c r="G47" s="164">
        <f t="shared" si="1"/>
        <v>789.7629144300854</v>
      </c>
      <c r="H47" s="164">
        <f t="shared" si="1"/>
        <v>927.61822091710724</v>
      </c>
      <c r="I47" s="164">
        <f t="shared" si="1"/>
        <v>1040.6746293121689</v>
      </c>
      <c r="J47" s="164">
        <f t="shared" si="1"/>
        <v>1119.7224959928008</v>
      </c>
      <c r="K47" s="43"/>
    </row>
    <row r="48" spans="1:18">
      <c r="B48" s="13" t="s">
        <v>13</v>
      </c>
      <c r="C48" s="165">
        <v>1.5</v>
      </c>
      <c r="D48" s="165">
        <v>1.3</v>
      </c>
      <c r="E48" s="165">
        <v>0.7</v>
      </c>
      <c r="F48" s="331"/>
      <c r="G48" s="331"/>
      <c r="H48" s="331"/>
      <c r="I48" s="331"/>
      <c r="J48" s="331"/>
    </row>
    <row r="49" spans="2:11">
      <c r="B49" s="13" t="s">
        <v>14</v>
      </c>
      <c r="C49" s="165">
        <v>-58.3</v>
      </c>
      <c r="D49" s="165">
        <v>-55.6</v>
      </c>
      <c r="E49" s="165">
        <v>-52.5</v>
      </c>
      <c r="F49" s="331"/>
      <c r="G49" s="331"/>
      <c r="H49" s="331"/>
      <c r="I49" s="331"/>
      <c r="J49" s="331"/>
    </row>
    <row r="50" spans="2:11">
      <c r="B50" s="27" t="s">
        <v>162</v>
      </c>
      <c r="C50" s="165">
        <v>0</v>
      </c>
      <c r="D50" s="165">
        <v>0</v>
      </c>
      <c r="E50" s="165">
        <v>0</v>
      </c>
      <c r="F50" s="82">
        <v>0</v>
      </c>
      <c r="G50" s="82">
        <v>0</v>
      </c>
      <c r="H50" s="82">
        <v>0</v>
      </c>
      <c r="I50" s="82">
        <v>0</v>
      </c>
      <c r="J50" s="82">
        <v>0</v>
      </c>
    </row>
    <row r="51" spans="2:11">
      <c r="B51" s="26" t="s">
        <v>15</v>
      </c>
      <c r="C51" s="164">
        <f t="shared" ref="C51:J51" si="2">SUM(C47:C50)</f>
        <v>446.31899999999968</v>
      </c>
      <c r="D51" s="164">
        <f t="shared" si="2"/>
        <v>596.91700000000003</v>
      </c>
      <c r="E51" s="164">
        <f t="shared" si="2"/>
        <v>641.51800000000003</v>
      </c>
      <c r="F51" s="164">
        <f>SUM(F47:F50)</f>
        <v>728.76438627203561</v>
      </c>
      <c r="G51" s="164">
        <f t="shared" si="2"/>
        <v>789.7629144300854</v>
      </c>
      <c r="H51" s="164">
        <f t="shared" si="2"/>
        <v>927.61822091710724</v>
      </c>
      <c r="I51" s="164">
        <f t="shared" si="2"/>
        <v>1040.6746293121689</v>
      </c>
      <c r="J51" s="164">
        <f t="shared" si="2"/>
        <v>1119.7224959928008</v>
      </c>
    </row>
    <row r="52" spans="2:11">
      <c r="B52" s="13" t="s">
        <v>16</v>
      </c>
      <c r="C52" s="165">
        <v>-166.96</v>
      </c>
      <c r="D52" s="165">
        <v>-223.32900000000001</v>
      </c>
      <c r="E52" s="165">
        <v>-239.44399999999999</v>
      </c>
      <c r="F52" s="166">
        <f>-F69*F51</f>
        <v>-272.42806685058935</v>
      </c>
      <c r="G52" s="166">
        <f>-G69*G51</f>
        <v>-295.23065081306311</v>
      </c>
      <c r="H52" s="166">
        <f>-H69*H51</f>
        <v>-346.76397949761815</v>
      </c>
      <c r="I52" s="166">
        <f>-I69*I51</f>
        <v>-389.02693768317414</v>
      </c>
      <c r="J52" s="166">
        <f>-J69*J51</f>
        <v>-418.57675915377087</v>
      </c>
    </row>
    <row r="53" spans="2:11">
      <c r="B53" s="26" t="s">
        <v>17</v>
      </c>
      <c r="C53" s="167">
        <f t="shared" ref="C53:J53" si="3">SUM(C51:C52)</f>
        <v>279.3589999999997</v>
      </c>
      <c r="D53" s="167">
        <f t="shared" si="3"/>
        <v>373.58800000000002</v>
      </c>
      <c r="E53" s="167">
        <f t="shared" si="3"/>
        <v>402.07400000000007</v>
      </c>
      <c r="F53" s="167">
        <f t="shared" si="3"/>
        <v>456.33631942144626</v>
      </c>
      <c r="G53" s="167">
        <f t="shared" si="3"/>
        <v>494.53226361702229</v>
      </c>
      <c r="H53" s="167">
        <f t="shared" si="3"/>
        <v>580.85424141948909</v>
      </c>
      <c r="I53" s="167">
        <f t="shared" si="3"/>
        <v>651.64769162899483</v>
      </c>
      <c r="J53" s="167">
        <f t="shared" si="3"/>
        <v>701.14573683902995</v>
      </c>
    </row>
    <row r="54" spans="2:11">
      <c r="B54" s="13" t="s">
        <v>247</v>
      </c>
      <c r="C54" s="166">
        <v>10.926</v>
      </c>
      <c r="D54" s="166">
        <v>15.9709</v>
      </c>
      <c r="E54" s="166">
        <v>17.425000000000001</v>
      </c>
      <c r="F54" s="166">
        <f>E54</f>
        <v>17.425000000000001</v>
      </c>
      <c r="G54" s="166">
        <f t="shared" ref="G54:J54" si="4">F54</f>
        <v>17.425000000000001</v>
      </c>
      <c r="H54" s="166">
        <f t="shared" si="4"/>
        <v>17.425000000000001</v>
      </c>
      <c r="I54" s="166">
        <f t="shared" si="4"/>
        <v>17.425000000000001</v>
      </c>
      <c r="J54" s="166">
        <f t="shared" si="4"/>
        <v>17.425000000000001</v>
      </c>
    </row>
    <row r="55" spans="2:11">
      <c r="B55" s="26" t="s">
        <v>248</v>
      </c>
      <c r="C55" s="167">
        <f>SUM(C53:C54)</f>
        <v>290.28499999999968</v>
      </c>
      <c r="D55" s="167">
        <f t="shared" ref="D55:E55" si="5">SUM(D53:D54)</f>
        <v>389.55889999999999</v>
      </c>
      <c r="E55" s="167">
        <f t="shared" si="5"/>
        <v>419.49900000000008</v>
      </c>
      <c r="F55" s="167">
        <f t="shared" ref="F55" si="6">SUM(F53:F54)</f>
        <v>473.76131942144627</v>
      </c>
      <c r="G55" s="167">
        <f t="shared" ref="G55" si="7">SUM(G53:G54)</f>
        <v>511.95726361702231</v>
      </c>
      <c r="H55" s="167">
        <f t="shared" ref="H55" si="8">SUM(H53:H54)</f>
        <v>598.27924141948904</v>
      </c>
      <c r="I55" s="167">
        <f t="shared" ref="I55" si="9">SUM(I53:I54)</f>
        <v>669.07269162899479</v>
      </c>
      <c r="J55" s="167">
        <f t="shared" ref="J55" si="10">SUM(J53:J54)</f>
        <v>718.57073683902991</v>
      </c>
    </row>
    <row r="56" spans="2:11">
      <c r="C56" s="43"/>
      <c r="D56" s="43"/>
      <c r="E56" s="43"/>
      <c r="F56" s="43"/>
      <c r="G56" s="43"/>
      <c r="H56" s="43"/>
      <c r="I56" s="43"/>
      <c r="J56" s="43"/>
    </row>
    <row r="57" spans="2:11">
      <c r="B57" s="36" t="s">
        <v>167</v>
      </c>
      <c r="C57" s="43"/>
      <c r="D57" s="43"/>
      <c r="E57" s="43"/>
      <c r="F57" s="43"/>
      <c r="G57" s="43"/>
      <c r="H57" s="43"/>
      <c r="I57" s="43"/>
      <c r="J57" s="43"/>
    </row>
    <row r="58" spans="2:11">
      <c r="B58" s="56" t="s">
        <v>166</v>
      </c>
      <c r="C58" s="79">
        <f t="shared" ref="C58:J58" si="11">C47</f>
        <v>503.11899999999969</v>
      </c>
      <c r="D58" s="79">
        <f t="shared" si="11"/>
        <v>651.2170000000001</v>
      </c>
      <c r="E58" s="79">
        <f t="shared" si="11"/>
        <v>693.31799999999998</v>
      </c>
      <c r="F58" s="79">
        <f t="shared" si="11"/>
        <v>728.76438627203561</v>
      </c>
      <c r="G58" s="79">
        <f t="shared" si="11"/>
        <v>789.7629144300854</v>
      </c>
      <c r="H58" s="79">
        <f t="shared" si="11"/>
        <v>927.61822091710724</v>
      </c>
      <c r="I58" s="79">
        <f t="shared" si="11"/>
        <v>1040.6746293121689</v>
      </c>
      <c r="J58" s="79">
        <f t="shared" si="11"/>
        <v>1119.7224959928008</v>
      </c>
    </row>
    <row r="59" spans="2:11">
      <c r="B59" s="37" t="s">
        <v>37</v>
      </c>
      <c r="C59" s="170">
        <v>236.97399999999999</v>
      </c>
      <c r="D59" s="170">
        <v>238.40599999999998</v>
      </c>
      <c r="E59" s="170">
        <v>235.43099999999998</v>
      </c>
      <c r="F59" s="79" t="e">
        <f>-(F99+F93+F105)</f>
        <v>#DIV/0!</v>
      </c>
      <c r="G59" s="79" t="e">
        <f>-(G99+G93+G105)</f>
        <v>#DIV/0!</v>
      </c>
      <c r="H59" s="79" t="e">
        <f>-(H99+H93+H105)</f>
        <v>#DIV/0!</v>
      </c>
      <c r="I59" s="79" t="e">
        <f>-(I99+I93+I105)</f>
        <v>#DIV/0!</v>
      </c>
      <c r="J59" s="79" t="e">
        <f>-(J99+J93+J105)</f>
        <v>#DIV/0!</v>
      </c>
    </row>
    <row r="60" spans="2:11">
      <c r="B60" s="37" t="s">
        <v>26</v>
      </c>
      <c r="C60" s="168">
        <f>27.989-27.989</f>
        <v>0</v>
      </c>
      <c r="D60" s="168">
        <f>29.957-43.196</f>
        <v>-13.238999999999997</v>
      </c>
      <c r="E60" s="168">
        <f>28.3-23.782</f>
        <v>4.5180000000000007</v>
      </c>
      <c r="F60" s="79">
        <f>-(F70*SUM(F43,F45,F46))</f>
        <v>-3.0537776182289953</v>
      </c>
      <c r="G60" s="79">
        <f>-(G70*SUM(G43,G45,G46))</f>
        <v>-3.2048744867118626</v>
      </c>
      <c r="H60" s="79">
        <f>-(H70*SUM(H43,H45,H46))</f>
        <v>-3.3357634663856186</v>
      </c>
      <c r="I60" s="79">
        <f>-(I70*SUM(I43,I45,I46))</f>
        <v>-3.5045405613166887</v>
      </c>
      <c r="J60" s="79">
        <f>-(J70*SUM(J43,J45,J46))</f>
        <v>-3.7028264848311632</v>
      </c>
    </row>
    <row r="61" spans="2:11">
      <c r="B61" s="37" t="s">
        <v>163</v>
      </c>
      <c r="C61" s="168">
        <v>0.11</v>
      </c>
      <c r="D61" s="168">
        <v>1.6E-2</v>
      </c>
      <c r="E61" s="168">
        <v>-7.665</v>
      </c>
      <c r="F61" s="172">
        <f>E61</f>
        <v>-7.665</v>
      </c>
      <c r="G61" s="172">
        <f t="shared" ref="G61:J61" si="12">F61</f>
        <v>-7.665</v>
      </c>
      <c r="H61" s="172">
        <f t="shared" si="12"/>
        <v>-7.665</v>
      </c>
      <c r="I61" s="172">
        <f t="shared" si="12"/>
        <v>-7.665</v>
      </c>
      <c r="J61" s="172">
        <f t="shared" si="12"/>
        <v>-7.665</v>
      </c>
    </row>
    <row r="62" spans="2:11">
      <c r="B62" s="88" t="s">
        <v>27</v>
      </c>
      <c r="C62" s="169">
        <f t="shared" ref="C62:J62" si="13">SUM(C58:C61)</f>
        <v>740.20299999999963</v>
      </c>
      <c r="D62" s="169">
        <f t="shared" si="13"/>
        <v>876.4</v>
      </c>
      <c r="E62" s="169">
        <f t="shared" si="13"/>
        <v>925.60200000000009</v>
      </c>
      <c r="F62" s="169" t="e">
        <f t="shared" si="13"/>
        <v>#DIV/0!</v>
      </c>
      <c r="G62" s="169" t="e">
        <f t="shared" si="13"/>
        <v>#DIV/0!</v>
      </c>
      <c r="H62" s="169" t="e">
        <f t="shared" si="13"/>
        <v>#DIV/0!</v>
      </c>
      <c r="I62" s="169" t="e">
        <f t="shared" si="13"/>
        <v>#DIV/0!</v>
      </c>
      <c r="J62" s="169" t="e">
        <f t="shared" si="13"/>
        <v>#DIV/0!</v>
      </c>
    </row>
    <row r="63" spans="2:11">
      <c r="B63" s="38"/>
      <c r="C63" s="39"/>
      <c r="D63" s="39"/>
      <c r="E63" s="39"/>
      <c r="F63" s="39"/>
      <c r="G63" s="39"/>
      <c r="H63" s="39"/>
      <c r="I63" s="39"/>
      <c r="J63" s="39"/>
    </row>
    <row r="64" spans="2:11">
      <c r="B64" s="31" t="s">
        <v>19</v>
      </c>
      <c r="F64" s="79"/>
      <c r="K64" s="73" t="s">
        <v>126</v>
      </c>
    </row>
    <row r="65" spans="2:11">
      <c r="B65" s="48" t="s">
        <v>20</v>
      </c>
      <c r="C65" s="33" t="s">
        <v>21</v>
      </c>
      <c r="D65" s="34">
        <f>D42/C42-1</f>
        <v>0.10549663488025462</v>
      </c>
      <c r="E65" s="34">
        <f>E42/D42-1</f>
        <v>2.3436585606571692E-2</v>
      </c>
      <c r="F65" s="77">
        <v>2.4E-2</v>
      </c>
      <c r="G65" s="77">
        <v>5.2999999999999999E-2</v>
      </c>
      <c r="H65" s="77">
        <v>5.5E-2</v>
      </c>
      <c r="I65" s="77">
        <v>5.8999999999999997E-2</v>
      </c>
      <c r="J65" s="77">
        <v>5.8999999999999997E-2</v>
      </c>
      <c r="K65" s="44"/>
    </row>
    <row r="66" spans="2:11">
      <c r="B66" s="48" t="s">
        <v>22</v>
      </c>
      <c r="C66" s="34">
        <f>C44/C42</f>
        <v>0.29516330285554254</v>
      </c>
      <c r="D66" s="34">
        <f>D44/D42</f>
        <v>0.30512972540027822</v>
      </c>
      <c r="E66" s="34">
        <f>E44/E42</f>
        <v>0.30592035684445607</v>
      </c>
      <c r="F66" s="161">
        <v>0.312</v>
      </c>
      <c r="G66" s="161">
        <v>0.315</v>
      </c>
      <c r="H66" s="161">
        <v>0.32500000000000001</v>
      </c>
      <c r="I66" s="161">
        <v>0.33</v>
      </c>
      <c r="J66" s="161">
        <v>0.33</v>
      </c>
      <c r="K66" s="44"/>
    </row>
    <row r="67" spans="2:11">
      <c r="B67" s="46" t="s">
        <v>23</v>
      </c>
      <c r="C67" s="34">
        <f>-C45/C$42</f>
        <v>0</v>
      </c>
      <c r="D67" s="34">
        <f>-D45/D$42</f>
        <v>0</v>
      </c>
      <c r="E67" s="34">
        <f>-E45/E$42</f>
        <v>0</v>
      </c>
      <c r="F67" s="161">
        <f>AVERAGE(C67:E67)</f>
        <v>0</v>
      </c>
      <c r="G67" s="161">
        <f t="shared" ref="G66:J70" si="14">F67+$K67</f>
        <v>0</v>
      </c>
      <c r="H67" s="161">
        <f t="shared" si="14"/>
        <v>0</v>
      </c>
      <c r="I67" s="161">
        <f t="shared" si="14"/>
        <v>0</v>
      </c>
      <c r="J67" s="161">
        <f t="shared" si="14"/>
        <v>0</v>
      </c>
      <c r="K67" s="44"/>
    </row>
    <row r="68" spans="2:11">
      <c r="B68" s="48" t="s">
        <v>24</v>
      </c>
      <c r="C68" s="34">
        <f>-C46/C$42</f>
        <v>0.21286427110446332</v>
      </c>
      <c r="D68" s="34">
        <f>-D46/D$42</f>
        <v>0.20877071934588859</v>
      </c>
      <c r="E68" s="34">
        <f>-E46/E$42</f>
        <v>0.20568103499003196</v>
      </c>
      <c r="F68" s="161">
        <f>AVERAGE(C68:E68)</f>
        <v>0.2091053418134613</v>
      </c>
      <c r="G68" s="161">
        <f>F68</f>
        <v>0.2091053418134613</v>
      </c>
      <c r="H68" s="161">
        <f t="shared" ref="H68:J68" si="15">G68-$K$68</f>
        <v>0.2071053418134613</v>
      </c>
      <c r="I68" s="161">
        <f t="shared" si="15"/>
        <v>0.20510534181346129</v>
      </c>
      <c r="J68" s="161">
        <f t="shared" si="15"/>
        <v>0.20310534181346129</v>
      </c>
      <c r="K68" s="44">
        <v>2E-3</v>
      </c>
    </row>
    <row r="69" spans="2:11">
      <c r="B69" s="48" t="s">
        <v>25</v>
      </c>
      <c r="C69" s="34">
        <f>-C52/C51</f>
        <v>0.37408221473878578</v>
      </c>
      <c r="D69" s="34">
        <f>-D52/D51</f>
        <v>0.37413744289407069</v>
      </c>
      <c r="E69" s="34">
        <f>-E52/E51</f>
        <v>0.37324595724515908</v>
      </c>
      <c r="F69" s="161">
        <f t="shared" ref="F69:F70" si="16">AVERAGE(C69:E69)</f>
        <v>0.37382187162600516</v>
      </c>
      <c r="G69" s="161">
        <f t="shared" si="14"/>
        <v>0.37382187162600516</v>
      </c>
      <c r="H69" s="161">
        <f t="shared" si="14"/>
        <v>0.37382187162600516</v>
      </c>
      <c r="I69" s="161">
        <f t="shared" si="14"/>
        <v>0.37382187162600516</v>
      </c>
      <c r="J69" s="161">
        <f t="shared" si="14"/>
        <v>0.37382187162600516</v>
      </c>
      <c r="K69" s="44"/>
    </row>
    <row r="70" spans="2:11">
      <c r="B70" s="48" t="s">
        <v>35</v>
      </c>
      <c r="C70" s="8">
        <f>-(C60/SUM(C43,C45,C46))</f>
        <v>0</v>
      </c>
      <c r="D70" s="8">
        <f>-(D60/SUM(D43,D45,D46))</f>
        <v>-2.167833083893617E-3</v>
      </c>
      <c r="E70" s="8">
        <f>-(E60/SUM(E43,E45,E46))</f>
        <v>7.2598034261194498E-4</v>
      </c>
      <c r="F70" s="161">
        <f t="shared" si="16"/>
        <v>-4.8061758042722394E-4</v>
      </c>
      <c r="G70" s="161">
        <f t="shared" si="14"/>
        <v>-4.8061758042722394E-4</v>
      </c>
      <c r="H70" s="161">
        <f t="shared" si="14"/>
        <v>-4.8061758042722394E-4</v>
      </c>
      <c r="I70" s="161">
        <f t="shared" si="14"/>
        <v>-4.8061758042722394E-4</v>
      </c>
      <c r="J70" s="161">
        <f t="shared" si="14"/>
        <v>-4.8061758042722394E-4</v>
      </c>
      <c r="K70" s="44"/>
    </row>
    <row r="71" spans="2:11">
      <c r="B71" s="38"/>
      <c r="C71" s="39"/>
      <c r="D71" s="39"/>
      <c r="E71" s="39"/>
      <c r="F71" s="39"/>
      <c r="G71" s="39"/>
      <c r="H71" s="39"/>
      <c r="I71" s="39"/>
      <c r="J71" s="39"/>
    </row>
    <row r="72" spans="2:11">
      <c r="B72" s="92" t="s">
        <v>30</v>
      </c>
      <c r="C72" s="256"/>
      <c r="D72" s="256"/>
      <c r="E72" s="256"/>
      <c r="F72" s="256"/>
      <c r="G72" s="256"/>
      <c r="H72" s="256"/>
      <c r="I72" s="256"/>
      <c r="J72" s="256"/>
    </row>
    <row r="73" spans="2:11">
      <c r="B73" s="13" t="s">
        <v>5</v>
      </c>
      <c r="C73" s="39"/>
      <c r="D73" s="18">
        <f>D$39</f>
        <v>2013</v>
      </c>
      <c r="E73" s="18">
        <f t="shared" ref="E73:J73" si="17">E$39</f>
        <v>2014</v>
      </c>
      <c r="F73" s="19">
        <f t="shared" si="17"/>
        <v>2015</v>
      </c>
      <c r="G73" s="19">
        <f t="shared" si="17"/>
        <v>2016</v>
      </c>
      <c r="H73" s="19">
        <f t="shared" si="17"/>
        <v>2017</v>
      </c>
      <c r="I73" s="19">
        <f t="shared" si="17"/>
        <v>2018</v>
      </c>
      <c r="J73" s="19">
        <f t="shared" si="17"/>
        <v>2019</v>
      </c>
    </row>
    <row r="74" spans="2:11">
      <c r="B74" s="20" t="s">
        <v>6</v>
      </c>
      <c r="C74" s="256"/>
      <c r="D74" s="22">
        <f>D$40</f>
        <v>406550</v>
      </c>
      <c r="E74" s="22">
        <f t="shared" ref="E74:J74" si="18">E$40</f>
        <v>41672</v>
      </c>
      <c r="F74" s="22">
        <f t="shared" si="18"/>
        <v>42034</v>
      </c>
      <c r="G74" s="22">
        <f t="shared" si="18"/>
        <v>42400</v>
      </c>
      <c r="H74" s="22">
        <f t="shared" si="18"/>
        <v>42766</v>
      </c>
      <c r="I74" s="22">
        <f t="shared" si="18"/>
        <v>43131</v>
      </c>
      <c r="J74" s="22">
        <f t="shared" si="18"/>
        <v>43496</v>
      </c>
    </row>
    <row r="75" spans="2:11">
      <c r="B75" s="23"/>
      <c r="C75" s="39"/>
      <c r="D75" s="39"/>
      <c r="E75" s="39"/>
      <c r="F75" s="39"/>
      <c r="G75" s="39"/>
      <c r="H75" s="39"/>
      <c r="I75" s="39"/>
      <c r="J75" s="39"/>
    </row>
    <row r="76" spans="2:11">
      <c r="B76" s="60" t="s">
        <v>69</v>
      </c>
      <c r="C76" s="50"/>
      <c r="D76" s="162">
        <v>72.197999999999993</v>
      </c>
      <c r="E76" s="162">
        <v>71.225999999999999</v>
      </c>
      <c r="F76" s="171">
        <f>IF(F77,F77*F42,E76*(1+F65))</f>
        <v>72.935424000000012</v>
      </c>
      <c r="G76" s="171">
        <f>IF(G77,G77*G42,F76*(1+G65))</f>
        <v>76.80100147200001</v>
      </c>
      <c r="H76" s="171">
        <f>IF(H77,H77*H42,G76*(1+H65))</f>
        <v>81.025056552959995</v>
      </c>
      <c r="I76" s="171">
        <f>IF(I77,I77*I42,H76*(1+I65))</f>
        <v>85.805534889584635</v>
      </c>
      <c r="J76" s="171">
        <f>IF(J77,J77*J42,I76*(1+J65))</f>
        <v>90.868061448070122</v>
      </c>
    </row>
    <row r="77" spans="2:11">
      <c r="B77" s="64" t="s">
        <v>32</v>
      </c>
      <c r="C77" s="52"/>
      <c r="D77" s="8">
        <f>D76/D42</f>
        <v>1.0682963619062189E-2</v>
      </c>
      <c r="E77" s="8">
        <f>E76/E42</f>
        <v>1.029779399698726E-2</v>
      </c>
      <c r="F77" s="9">
        <f>E77</f>
        <v>1.029779399698726E-2</v>
      </c>
      <c r="G77" s="9">
        <f>F77</f>
        <v>1.029779399698726E-2</v>
      </c>
      <c r="H77" s="9">
        <f>G77</f>
        <v>1.029779399698726E-2</v>
      </c>
      <c r="I77" s="9">
        <f>H77</f>
        <v>1.029779399698726E-2</v>
      </c>
      <c r="J77" s="9">
        <f>I77</f>
        <v>1.029779399698726E-2</v>
      </c>
    </row>
    <row r="78" spans="2:11">
      <c r="B78" s="60" t="s">
        <v>164</v>
      </c>
      <c r="C78" s="50"/>
      <c r="D78" s="162">
        <f>679.09+62.859+86.768</f>
        <v>828.7170000000001</v>
      </c>
      <c r="E78" s="162">
        <f>740.302+71.945+76.463</f>
        <v>888.71</v>
      </c>
      <c r="F78" s="171">
        <f>IF(F79,F79*F42,E78*(1+F65))</f>
        <v>910.03904000000011</v>
      </c>
      <c r="G78" s="171">
        <f>IF(G79,G79*G42,F78*(1+G65))</f>
        <v>958.27110912000001</v>
      </c>
      <c r="H78" s="171">
        <f>IF(H79,H79*H42,G78*(1+H65))</f>
        <v>1010.9760201216</v>
      </c>
      <c r="I78" s="171">
        <f>IF(I79,I79*I42,H78*(1+I65))</f>
        <v>1070.6236053087741</v>
      </c>
      <c r="J78" s="171">
        <f>IF(J79,J79*J42,I78*(1+J65))</f>
        <v>1133.7903980219919</v>
      </c>
    </row>
    <row r="79" spans="2:11">
      <c r="B79" s="64" t="s">
        <v>165</v>
      </c>
      <c r="C79" s="52"/>
      <c r="D79" s="8">
        <f>D78/D42</f>
        <v>0.12262325218840359</v>
      </c>
      <c r="E79" s="8">
        <f>E78/E42</f>
        <v>0.12848892964735556</v>
      </c>
      <c r="F79" s="9">
        <f>E79</f>
        <v>0.12848892964735556</v>
      </c>
      <c r="G79" s="9">
        <f>F79</f>
        <v>0.12848892964735556</v>
      </c>
      <c r="H79" s="9">
        <f>G79</f>
        <v>0.12848892964735556</v>
      </c>
      <c r="I79" s="9">
        <f>H79</f>
        <v>0.12848892964735556</v>
      </c>
      <c r="J79" s="9">
        <f>I79</f>
        <v>0.12848892964735556</v>
      </c>
    </row>
    <row r="80" spans="2:11">
      <c r="B80" s="60" t="s">
        <v>68</v>
      </c>
      <c r="C80" s="50"/>
      <c r="D80" s="162">
        <v>202.12200000000001</v>
      </c>
      <c r="E80" s="162">
        <v>255.251</v>
      </c>
      <c r="F80" s="171">
        <f>IF(F81,-(F81*F43),E80*F43/E43)</f>
        <v>259.08754749590105</v>
      </c>
      <c r="G80" s="171">
        <f>IF(G81,-(G81*G43),F80*G43/F43)</f>
        <v>271.62956896298095</v>
      </c>
      <c r="H80" s="171">
        <f>IF(H81,-(H81*H43),G80*H43/G43)</f>
        <v>282.38570335439817</v>
      </c>
      <c r="I80" s="171">
        <f>IF(I81,-(I81*I43),H80*I43/H43)</f>
        <v>296.83130089043874</v>
      </c>
      <c r="J80" s="171">
        <f>IF(J81,-(J81*J43),I80*J43/I43)</f>
        <v>314.34434764297458</v>
      </c>
    </row>
    <row r="81" spans="2:11">
      <c r="B81" s="64" t="s">
        <v>33</v>
      </c>
      <c r="C81" s="52"/>
      <c r="D81" s="8">
        <f>-(D80/D43)</f>
        <v>4.3040413551846665E-2</v>
      </c>
      <c r="E81" s="8">
        <f>-(E80/E43)</f>
        <v>5.3169648529690521E-2</v>
      </c>
      <c r="F81" s="9">
        <f>E81</f>
        <v>5.3169648529690521E-2</v>
      </c>
      <c r="G81" s="9">
        <f>F81</f>
        <v>5.3169648529690521E-2</v>
      </c>
      <c r="H81" s="9">
        <f>G81</f>
        <v>5.3169648529690521E-2</v>
      </c>
      <c r="I81" s="9">
        <f>H81</f>
        <v>5.3169648529690521E-2</v>
      </c>
      <c r="J81" s="9">
        <f>I81</f>
        <v>5.3169648529690521E-2</v>
      </c>
    </row>
    <row r="82" spans="2:11">
      <c r="B82" s="60" t="s">
        <v>67</v>
      </c>
      <c r="C82" s="85"/>
      <c r="D82" s="162">
        <f>176.082+70.671</f>
        <v>246.75299999999999</v>
      </c>
      <c r="E82" s="162">
        <f>160.008+81.867</f>
        <v>241.875</v>
      </c>
      <c r="F82" s="171">
        <f>IF(F83,F83*F42,E82*(1+F65))</f>
        <v>247.68</v>
      </c>
      <c r="G82" s="171">
        <f>IF(G83,G83*G42,F82*(1+G65))</f>
        <v>260.80704000000003</v>
      </c>
      <c r="H82" s="171">
        <f>IF(H83,H83*H42,G82*(1+H65))</f>
        <v>275.1514272</v>
      </c>
      <c r="I82" s="171">
        <f>IF(I83,I83*I42,H82*(1+I65))</f>
        <v>291.38536140479994</v>
      </c>
      <c r="J82" s="171">
        <f>IF(J83,J83*J42,I82*(1+J65))</f>
        <v>308.57709772768317</v>
      </c>
    </row>
    <row r="83" spans="2:11">
      <c r="B83" s="64" t="s">
        <v>75</v>
      </c>
      <c r="C83" s="52"/>
      <c r="D83" s="8">
        <f>D82/D42</f>
        <v>3.6511445218627279E-2</v>
      </c>
      <c r="E83" s="9">
        <f>E82/E42</f>
        <v>3.4970080069374854E-2</v>
      </c>
      <c r="F83" s="9">
        <f>E83</f>
        <v>3.4970080069374854E-2</v>
      </c>
      <c r="G83" s="9">
        <f>F83</f>
        <v>3.4970080069374854E-2</v>
      </c>
      <c r="H83" s="9">
        <f>G83</f>
        <v>3.4970080069374854E-2</v>
      </c>
      <c r="I83" s="9">
        <f>H83</f>
        <v>3.4970080069374854E-2</v>
      </c>
      <c r="J83" s="9">
        <f>I83</f>
        <v>3.4970080069374854E-2</v>
      </c>
    </row>
    <row r="84" spans="2:11">
      <c r="B84" s="64"/>
      <c r="C84" s="52"/>
      <c r="D84" s="8"/>
      <c r="E84" s="9"/>
      <c r="F84" s="44"/>
      <c r="G84" s="44"/>
      <c r="H84" s="44"/>
      <c r="I84" s="44"/>
      <c r="J84" s="44"/>
    </row>
    <row r="85" spans="2:11">
      <c r="B85" s="147" t="s">
        <v>118</v>
      </c>
      <c r="C85" s="23"/>
      <c r="D85" s="258">
        <f t="shared" ref="D85:J85" si="19">D76+D78+-D80-D82</f>
        <v>452.04000000000013</v>
      </c>
      <c r="E85" s="258">
        <f t="shared" si="19"/>
        <v>462.81000000000006</v>
      </c>
      <c r="F85" s="258">
        <f t="shared" si="19"/>
        <v>476.20691650409907</v>
      </c>
      <c r="G85" s="258">
        <f t="shared" si="19"/>
        <v>502.6355016290189</v>
      </c>
      <c r="H85" s="258">
        <f t="shared" si="19"/>
        <v>534.46394612016184</v>
      </c>
      <c r="I85" s="258">
        <f t="shared" si="19"/>
        <v>568.21247790311998</v>
      </c>
      <c r="J85" s="258">
        <f t="shared" si="19"/>
        <v>601.7370140994044</v>
      </c>
    </row>
    <row r="86" spans="2:11">
      <c r="B86" s="27"/>
      <c r="D86" s="53"/>
      <c r="E86" s="53"/>
      <c r="F86" s="43"/>
      <c r="G86" s="43"/>
      <c r="H86" s="43"/>
      <c r="I86" s="43"/>
      <c r="J86" s="43"/>
    </row>
    <row r="87" spans="2:11">
      <c r="B87" s="257" t="s">
        <v>171</v>
      </c>
      <c r="C87" s="93"/>
      <c r="D87" s="93"/>
      <c r="E87" s="93"/>
      <c r="F87" s="83"/>
      <c r="G87" s="83"/>
      <c r="H87" s="83"/>
      <c r="I87" s="83"/>
      <c r="J87" s="83"/>
    </row>
    <row r="88" spans="2:11">
      <c r="B88" s="13" t="s">
        <v>5</v>
      </c>
      <c r="C88" s="39"/>
      <c r="D88" s="18">
        <f>D$39</f>
        <v>2013</v>
      </c>
      <c r="E88" s="18">
        <f t="shared" ref="E88:J88" si="20">E$39</f>
        <v>2014</v>
      </c>
      <c r="F88" s="19">
        <f t="shared" si="20"/>
        <v>2015</v>
      </c>
      <c r="G88" s="19">
        <f t="shared" si="20"/>
        <v>2016</v>
      </c>
      <c r="H88" s="19">
        <f t="shared" si="20"/>
        <v>2017</v>
      </c>
      <c r="I88" s="19">
        <f t="shared" si="20"/>
        <v>2018</v>
      </c>
      <c r="J88" s="19">
        <f t="shared" si="20"/>
        <v>2019</v>
      </c>
    </row>
    <row r="89" spans="2:11">
      <c r="B89" s="20" t="s">
        <v>6</v>
      </c>
      <c r="C89" s="256"/>
      <c r="D89" s="22">
        <f>D$40</f>
        <v>406550</v>
      </c>
      <c r="E89" s="22">
        <f t="shared" ref="E89:J89" si="21">E$40</f>
        <v>41672</v>
      </c>
      <c r="F89" s="22">
        <f t="shared" si="21"/>
        <v>42034</v>
      </c>
      <c r="G89" s="22">
        <f t="shared" si="21"/>
        <v>42400</v>
      </c>
      <c r="H89" s="22">
        <f t="shared" si="21"/>
        <v>42766</v>
      </c>
      <c r="I89" s="22">
        <f t="shared" si="21"/>
        <v>43131</v>
      </c>
      <c r="J89" s="22">
        <f t="shared" si="21"/>
        <v>43496</v>
      </c>
    </row>
    <row r="90" spans="2:11">
      <c r="B90" s="86"/>
    </row>
    <row r="91" spans="2:11">
      <c r="B91" s="60" t="s">
        <v>72</v>
      </c>
      <c r="C91" s="162"/>
      <c r="D91" s="162">
        <f>985.707</f>
        <v>985.70699999999999</v>
      </c>
      <c r="E91" s="162">
        <v>952.95500000000004</v>
      </c>
      <c r="F91" s="171" t="e">
        <f>E91+SUM(F92:F93)</f>
        <v>#DIV/0!</v>
      </c>
      <c r="G91" s="171" t="e">
        <f>F91+SUM(G92:G93)</f>
        <v>#DIV/0!</v>
      </c>
      <c r="H91" s="171" t="e">
        <f>G91+SUM(H92:H93)</f>
        <v>#DIV/0!</v>
      </c>
      <c r="I91" s="171" t="e">
        <f>H91+SUM(I92:I93)</f>
        <v>#DIV/0!</v>
      </c>
      <c r="J91" s="171" t="e">
        <f>I91+SUM(J92:J93)</f>
        <v>#DIV/0!</v>
      </c>
      <c r="K91" s="73"/>
    </row>
    <row r="92" spans="2:11">
      <c r="B92" s="84" t="s">
        <v>39</v>
      </c>
      <c r="C92" s="168"/>
      <c r="D92" s="168">
        <f>-(D91-E91+D93)</f>
        <v>1827.922</v>
      </c>
      <c r="E92" s="168"/>
      <c r="F92" s="168"/>
      <c r="G92" s="168"/>
      <c r="H92" s="168"/>
      <c r="I92" s="168"/>
      <c r="J92" s="168"/>
      <c r="K92"/>
    </row>
    <row r="93" spans="2:11">
      <c r="B93" s="84" t="s">
        <v>71</v>
      </c>
      <c r="C93" s="168"/>
      <c r="D93" s="332">
        <v>-1860.674</v>
      </c>
      <c r="F93" s="172" t="e">
        <f>-(F95*F92)</f>
        <v>#DIV/0!</v>
      </c>
      <c r="G93" s="172" t="e">
        <f>-(G95*G92)</f>
        <v>#DIV/0!</v>
      </c>
      <c r="H93" s="172" t="e">
        <f>-(H95*H92)</f>
        <v>#DIV/0!</v>
      </c>
      <c r="I93" s="172" t="e">
        <f>-(I95*I92)</f>
        <v>#DIV/0!</v>
      </c>
      <c r="J93" s="172" t="e">
        <f>-(J95*J92)</f>
        <v>#DIV/0!</v>
      </c>
      <c r="K93" s="73" t="s">
        <v>169</v>
      </c>
    </row>
    <row r="94" spans="2:11">
      <c r="B94" s="86" t="s">
        <v>172</v>
      </c>
      <c r="C94" s="9"/>
      <c r="D94" s="9">
        <f>D92/D42</f>
        <v>0.27047320181283963</v>
      </c>
      <c r="E94" s="9">
        <f t="shared" ref="C94:E94" si="22">-(E92/E42)</f>
        <v>0</v>
      </c>
      <c r="F94" s="9">
        <f t="shared" ref="F94:J94" si="23">-(F92/F42)</f>
        <v>0</v>
      </c>
      <c r="G94" s="9">
        <f t="shared" si="23"/>
        <v>0</v>
      </c>
      <c r="H94" s="9">
        <f t="shared" si="23"/>
        <v>0</v>
      </c>
      <c r="I94" s="9">
        <f t="shared" si="23"/>
        <v>0</v>
      </c>
      <c r="J94" s="9">
        <f t="shared" si="23"/>
        <v>0</v>
      </c>
      <c r="K94" s="181" t="s">
        <v>153</v>
      </c>
    </row>
    <row r="95" spans="2:11">
      <c r="B95" s="86" t="s">
        <v>151</v>
      </c>
      <c r="C95" s="70"/>
      <c r="D95" s="70">
        <f>-(D93/D92)</f>
        <v>1.0179176135524381</v>
      </c>
      <c r="E95" s="70" t="e">
        <f>-(D93/E92)</f>
        <v>#DIV/0!</v>
      </c>
      <c r="F95" s="70" t="e">
        <f>E95+$K$95</f>
        <v>#DIV/0!</v>
      </c>
      <c r="G95" s="70" t="e">
        <f>F95+$K$95</f>
        <v>#DIV/0!</v>
      </c>
      <c r="H95" s="70" t="e">
        <f>G95+$K$95</f>
        <v>#DIV/0!</v>
      </c>
      <c r="I95" s="70" t="e">
        <f>H95+$K$95</f>
        <v>#DIV/0!</v>
      </c>
      <c r="J95" s="70" t="e">
        <f>I95+$K$95</f>
        <v>#DIV/0!</v>
      </c>
      <c r="K95" s="149" t="e">
        <f>IF(K94="Yes",(1-E95)/COLUMNS(F95:J95),0)</f>
        <v>#DIV/0!</v>
      </c>
    </row>
    <row r="96" spans="2:11">
      <c r="B96" s="86"/>
      <c r="C96" s="70"/>
      <c r="D96" s="70"/>
      <c r="E96" s="70"/>
      <c r="F96" s="78"/>
      <c r="G96" s="78"/>
      <c r="H96" s="78"/>
      <c r="I96" s="78"/>
      <c r="J96" s="78"/>
    </row>
    <row r="97" spans="2:11">
      <c r="B97" s="60"/>
      <c r="C97" s="162"/>
      <c r="D97" s="162"/>
      <c r="E97" s="162"/>
      <c r="F97" s="171"/>
      <c r="G97" s="171"/>
      <c r="H97" s="171"/>
      <c r="I97" s="171"/>
      <c r="J97" s="171"/>
    </row>
    <row r="98" spans="2:11">
      <c r="B98" s="84"/>
      <c r="C98" s="168"/>
      <c r="D98" s="168"/>
      <c r="E98" s="168"/>
      <c r="F98" s="168"/>
      <c r="G98" s="168"/>
      <c r="H98" s="168"/>
      <c r="I98" s="168"/>
      <c r="J98" s="168"/>
    </row>
    <row r="99" spans="2:11">
      <c r="B99" s="84"/>
      <c r="C99" s="170"/>
      <c r="D99" s="168"/>
      <c r="E99" s="168"/>
      <c r="F99" s="172"/>
      <c r="G99" s="172"/>
      <c r="H99" s="172"/>
      <c r="I99" s="172"/>
      <c r="J99" s="172"/>
      <c r="K99" s="73"/>
    </row>
    <row r="100" spans="2:11">
      <c r="B100" s="86"/>
      <c r="C100" s="175"/>
      <c r="D100" s="175"/>
      <c r="E100" s="175"/>
      <c r="F100" s="175"/>
      <c r="G100" s="175"/>
      <c r="H100" s="175"/>
      <c r="I100" s="175"/>
      <c r="J100" s="175"/>
      <c r="K100" s="181"/>
    </row>
    <row r="101" spans="2:11">
      <c r="B101" s="86"/>
      <c r="C101" s="70"/>
      <c r="D101" s="70"/>
      <c r="E101" s="70"/>
      <c r="F101" s="70"/>
      <c r="G101" s="70"/>
      <c r="H101" s="70"/>
      <c r="I101" s="70"/>
      <c r="J101" s="70"/>
      <c r="K101" s="149"/>
    </row>
    <row r="102" spans="2:11">
      <c r="B102" s="86"/>
      <c r="C102" s="70"/>
      <c r="D102" s="70"/>
      <c r="E102" s="70"/>
      <c r="F102" s="78"/>
      <c r="G102" s="78"/>
      <c r="H102" s="78"/>
      <c r="I102" s="78"/>
      <c r="J102" s="78"/>
    </row>
    <row r="103" spans="2:11">
      <c r="B103" s="60" t="s">
        <v>170</v>
      </c>
      <c r="C103" s="162"/>
      <c r="D103" s="162">
        <v>120</v>
      </c>
      <c r="E103" s="162">
        <v>100</v>
      </c>
      <c r="F103" s="171">
        <f>E103+F104+F105</f>
        <v>115</v>
      </c>
      <c r="G103" s="171">
        <f t="shared" ref="G103:J103" si="24">F103+G104+G105</f>
        <v>125</v>
      </c>
      <c r="H103" s="171">
        <f t="shared" si="24"/>
        <v>135</v>
      </c>
      <c r="I103" s="171">
        <f t="shared" si="24"/>
        <v>145</v>
      </c>
      <c r="J103" s="171">
        <f t="shared" si="24"/>
        <v>155</v>
      </c>
    </row>
    <row r="104" spans="2:11">
      <c r="B104" s="84" t="s">
        <v>168</v>
      </c>
      <c r="C104" s="220"/>
      <c r="D104" s="168">
        <v>100</v>
      </c>
      <c r="E104" s="168">
        <v>100</v>
      </c>
      <c r="F104" s="168">
        <v>100</v>
      </c>
      <c r="G104" s="168">
        <v>100</v>
      </c>
      <c r="H104" s="168">
        <v>100</v>
      </c>
      <c r="I104" s="168">
        <v>100</v>
      </c>
      <c r="J104" s="168">
        <v>100</v>
      </c>
    </row>
    <row r="105" spans="2:11">
      <c r="B105" s="84" t="s">
        <v>70</v>
      </c>
      <c r="C105" s="168"/>
      <c r="D105" s="168">
        <v>-80</v>
      </c>
      <c r="E105" s="168">
        <v>-80</v>
      </c>
      <c r="F105" s="168">
        <v>-85</v>
      </c>
      <c r="G105" s="168">
        <v>-90</v>
      </c>
      <c r="H105" s="168">
        <v>-90</v>
      </c>
      <c r="I105" s="168">
        <v>-90</v>
      </c>
      <c r="J105" s="168">
        <v>-90</v>
      </c>
    </row>
    <row r="106" spans="2:11">
      <c r="B106" s="37"/>
      <c r="C106" s="82"/>
      <c r="D106" s="82"/>
      <c r="E106" s="82"/>
      <c r="F106" s="65"/>
      <c r="G106" s="65"/>
      <c r="H106" s="65"/>
      <c r="I106" s="65"/>
      <c r="J106" s="65"/>
    </row>
    <row r="107" spans="2:11">
      <c r="B107" s="137" t="s">
        <v>193</v>
      </c>
      <c r="C107" s="162"/>
      <c r="D107" s="162">
        <v>2000</v>
      </c>
      <c r="E107" s="162">
        <v>2000</v>
      </c>
      <c r="F107" s="171">
        <f>E107</f>
        <v>2000</v>
      </c>
      <c r="G107" s="171">
        <f>F107</f>
        <v>2000</v>
      </c>
      <c r="H107" s="171">
        <f>G107</f>
        <v>2000</v>
      </c>
      <c r="I107" s="171">
        <f>H107</f>
        <v>2000</v>
      </c>
      <c r="J107" s="171">
        <f>I107</f>
        <v>2000</v>
      </c>
    </row>
    <row r="108" spans="2:11">
      <c r="B108" s="137"/>
      <c r="D108" s="162"/>
      <c r="E108" s="162"/>
      <c r="F108" s="171"/>
      <c r="G108" s="171"/>
      <c r="H108" s="171"/>
      <c r="I108" s="171"/>
      <c r="J108" s="171"/>
    </row>
    <row r="109" spans="2:11">
      <c r="B109" s="60" t="s">
        <v>74</v>
      </c>
      <c r="C109" s="162"/>
      <c r="D109" s="162">
        <v>200</v>
      </c>
      <c r="E109" s="162">
        <v>200</v>
      </c>
      <c r="F109" s="171">
        <f>E109</f>
        <v>200</v>
      </c>
      <c r="G109" s="171">
        <f>F109</f>
        <v>200</v>
      </c>
      <c r="H109" s="171">
        <f t="shared" ref="H109" si="25">G109</f>
        <v>200</v>
      </c>
      <c r="I109" s="171">
        <f t="shared" ref="I109" si="26">H109</f>
        <v>200</v>
      </c>
      <c r="J109" s="171">
        <f t="shared" ref="J109" si="27">I109</f>
        <v>200</v>
      </c>
    </row>
    <row r="110" spans="2:11">
      <c r="B110" s="32"/>
      <c r="C110" s="53"/>
      <c r="D110" s="53"/>
      <c r="E110" s="53"/>
      <c r="F110" s="43"/>
      <c r="G110" s="43"/>
      <c r="H110" s="43"/>
      <c r="I110" s="43"/>
      <c r="J110" s="43"/>
    </row>
    <row r="111" spans="2:11">
      <c r="B111" s="15" t="s">
        <v>36</v>
      </c>
      <c r="C111" s="22"/>
      <c r="D111" s="22"/>
      <c r="E111" s="22"/>
      <c r="F111" s="22"/>
      <c r="G111" s="22"/>
      <c r="H111" s="22"/>
      <c r="I111" s="22"/>
      <c r="J111" s="22"/>
    </row>
    <row r="112" spans="2:11">
      <c r="B112" s="45" t="str">
        <f>B39</f>
        <v xml:space="preserve">Fiscal year  </v>
      </c>
      <c r="C112" s="40"/>
      <c r="D112" s="40"/>
      <c r="E112" s="40"/>
      <c r="F112" s="41">
        <f>F39</f>
        <v>2015</v>
      </c>
      <c r="G112" s="41">
        <f>G39</f>
        <v>2016</v>
      </c>
      <c r="H112" s="41">
        <f>H39</f>
        <v>2017</v>
      </c>
      <c r="I112" s="41">
        <f>I39</f>
        <v>2018</v>
      </c>
      <c r="J112" s="41">
        <f>J39</f>
        <v>2019</v>
      </c>
    </row>
    <row r="113" spans="2:10">
      <c r="B113" s="17" t="str">
        <f>B40</f>
        <v>Fiscal year end date</v>
      </c>
      <c r="C113" s="42"/>
      <c r="D113" s="42"/>
      <c r="E113" s="42"/>
      <c r="F113" s="42">
        <f>F40</f>
        <v>42034</v>
      </c>
      <c r="G113" s="42">
        <f>G40</f>
        <v>42400</v>
      </c>
      <c r="H113" s="42">
        <f>H40</f>
        <v>42766</v>
      </c>
      <c r="I113" s="42">
        <f>I40</f>
        <v>43131</v>
      </c>
      <c r="J113" s="42">
        <f>J40</f>
        <v>43496</v>
      </c>
    </row>
    <row r="115" spans="2:10">
      <c r="B115" s="13" t="s">
        <v>17</v>
      </c>
      <c r="C115" s="57"/>
      <c r="D115" s="57"/>
      <c r="E115" s="57"/>
      <c r="F115" s="82">
        <f>F53</f>
        <v>456.33631942144626</v>
      </c>
      <c r="G115" s="82">
        <f>G53</f>
        <v>494.53226361702229</v>
      </c>
      <c r="H115" s="82">
        <f>H53</f>
        <v>580.85424141948909</v>
      </c>
      <c r="I115" s="82">
        <f>I53</f>
        <v>651.64769162899483</v>
      </c>
      <c r="J115" s="82">
        <f>J53</f>
        <v>701.14573683902995</v>
      </c>
    </row>
    <row r="116" spans="2:10">
      <c r="B116" s="13" t="s">
        <v>37</v>
      </c>
      <c r="C116" s="57"/>
      <c r="D116" s="57"/>
      <c r="E116" s="57"/>
      <c r="F116" s="51" t="e">
        <f t="shared" ref="F116:J117" si="28">F59</f>
        <v>#DIV/0!</v>
      </c>
      <c r="G116" s="51" t="e">
        <f t="shared" si="28"/>
        <v>#DIV/0!</v>
      </c>
      <c r="H116" s="51" t="e">
        <f t="shared" si="28"/>
        <v>#DIV/0!</v>
      </c>
      <c r="I116" s="51" t="e">
        <f t="shared" si="28"/>
        <v>#DIV/0!</v>
      </c>
      <c r="J116" s="51" t="e">
        <f t="shared" si="28"/>
        <v>#DIV/0!</v>
      </c>
    </row>
    <row r="117" spans="2:10">
      <c r="B117" s="13" t="s">
        <v>26</v>
      </c>
      <c r="C117" s="57"/>
      <c r="D117" s="57"/>
      <c r="E117" s="57"/>
      <c r="F117" s="82">
        <f t="shared" si="28"/>
        <v>-3.0537776182289953</v>
      </c>
      <c r="G117" s="82">
        <f t="shared" si="28"/>
        <v>-3.2048744867118626</v>
      </c>
      <c r="H117" s="82">
        <f t="shared" si="28"/>
        <v>-3.3357634663856186</v>
      </c>
      <c r="I117" s="82">
        <f t="shared" si="28"/>
        <v>-3.5045405613166887</v>
      </c>
      <c r="J117" s="82">
        <f t="shared" si="28"/>
        <v>-3.7028264848311632</v>
      </c>
    </row>
    <row r="118" spans="2:10">
      <c r="B118" s="13" t="s">
        <v>73</v>
      </c>
      <c r="C118" s="28"/>
      <c r="D118" s="28"/>
      <c r="E118" s="28"/>
      <c r="F118" s="82">
        <f>E85-F85</f>
        <v>-13.396916504099011</v>
      </c>
      <c r="G118" s="82">
        <f>F85-G85</f>
        <v>-26.428585124919834</v>
      </c>
      <c r="H118" s="82">
        <f>G85-H85</f>
        <v>-31.828444491142932</v>
      </c>
      <c r="I118" s="82">
        <f>H85-I85</f>
        <v>-33.748531782958139</v>
      </c>
      <c r="J118" s="82">
        <f>I85-J85</f>
        <v>-33.52453619628443</v>
      </c>
    </row>
    <row r="119" spans="2:10">
      <c r="B119" s="27" t="s">
        <v>119</v>
      </c>
      <c r="C119" s="28"/>
      <c r="D119" s="28"/>
      <c r="E119" s="28"/>
      <c r="F119" s="82">
        <f>E107-F107+F109-E109</f>
        <v>0</v>
      </c>
      <c r="G119" s="82">
        <f>F107-G107+G109-F109</f>
        <v>0</v>
      </c>
      <c r="H119" s="82">
        <f>G107-H107+H109-G109</f>
        <v>0</v>
      </c>
      <c r="I119" s="82">
        <f>H107-I107+I109-H109</f>
        <v>0</v>
      </c>
      <c r="J119" s="82">
        <f>I107-J107+J109-I109</f>
        <v>0</v>
      </c>
    </row>
    <row r="120" spans="2:10">
      <c r="B120" s="27" t="s">
        <v>141</v>
      </c>
      <c r="C120" s="28"/>
      <c r="D120" s="28"/>
      <c r="E120" s="28"/>
      <c r="F120" s="222">
        <f>F210</f>
        <v>0</v>
      </c>
      <c r="G120" s="222">
        <f t="shared" ref="G120:J120" si="29">G210</f>
        <v>0</v>
      </c>
      <c r="H120" s="222">
        <f t="shared" si="29"/>
        <v>0</v>
      </c>
      <c r="I120" s="222">
        <f t="shared" si="29"/>
        <v>0</v>
      </c>
      <c r="J120" s="222">
        <f t="shared" si="29"/>
        <v>0</v>
      </c>
    </row>
    <row r="121" spans="2:10">
      <c r="B121" s="26" t="s">
        <v>38</v>
      </c>
      <c r="F121" s="105" t="e">
        <f>SUM(F115:F120)</f>
        <v>#DIV/0!</v>
      </c>
      <c r="G121" s="105" t="e">
        <f>SUM(G115:G120)</f>
        <v>#DIV/0!</v>
      </c>
      <c r="H121" s="105" t="e">
        <f>SUM(H115:H120)</f>
        <v>#DIV/0!</v>
      </c>
      <c r="I121" s="105" t="e">
        <f>SUM(I115:I120)</f>
        <v>#DIV/0!</v>
      </c>
      <c r="J121" s="105" t="e">
        <f>SUM(J115:J120)</f>
        <v>#DIV/0!</v>
      </c>
    </row>
    <row r="122" spans="2:10">
      <c r="B122" s="13"/>
    </row>
    <row r="123" spans="2:10">
      <c r="B123" s="13" t="s">
        <v>39</v>
      </c>
      <c r="F123" s="79">
        <f>-(F92)</f>
        <v>0</v>
      </c>
      <c r="G123" s="79">
        <f>-(G92)</f>
        <v>0</v>
      </c>
      <c r="H123" s="79">
        <f>-(H92)</f>
        <v>0</v>
      </c>
      <c r="I123" s="79">
        <f>-(I92)</f>
        <v>0</v>
      </c>
      <c r="J123" s="79">
        <f>-(J92)</f>
        <v>0</v>
      </c>
    </row>
    <row r="124" spans="2:10">
      <c r="B124" s="13" t="s">
        <v>205</v>
      </c>
      <c r="F124" s="79">
        <f>-(F98+F104)</f>
        <v>-100</v>
      </c>
      <c r="G124" s="79">
        <f>-(G98+G104)</f>
        <v>-100</v>
      </c>
      <c r="H124" s="79">
        <f>-(H98+H104)</f>
        <v>-100</v>
      </c>
      <c r="I124" s="79">
        <f>-(I98+I104)</f>
        <v>-100</v>
      </c>
      <c r="J124" s="79">
        <f>-(J98+J104)</f>
        <v>-100</v>
      </c>
    </row>
    <row r="125" spans="2:10">
      <c r="B125" s="26" t="s">
        <v>40</v>
      </c>
      <c r="F125" s="171">
        <f>SUM(F123:F124)</f>
        <v>-100</v>
      </c>
      <c r="G125" s="171">
        <f>SUM(G123:G124)</f>
        <v>-100</v>
      </c>
      <c r="H125" s="171">
        <f>SUM(H123:H124)</f>
        <v>-100</v>
      </c>
      <c r="I125" s="171">
        <f>SUM(I123:I124)</f>
        <v>-100</v>
      </c>
      <c r="J125" s="171">
        <f>SUM(J123:J124)</f>
        <v>-100</v>
      </c>
    </row>
    <row r="126" spans="2:10">
      <c r="B126" s="13"/>
    </row>
    <row r="127" spans="2:10">
      <c r="B127" s="13" t="s">
        <v>89</v>
      </c>
      <c r="F127" s="79">
        <f>-(F161+F169+F177+F183)</f>
        <v>-215.01226400000002</v>
      </c>
      <c r="G127" s="79" t="e">
        <f>-(G161+G169+G177+G183)</f>
        <v>#DIV/0!</v>
      </c>
      <c r="H127" s="79" t="e">
        <f>-(H161+H169+H177+H183)</f>
        <v>#DIV/0!</v>
      </c>
      <c r="I127" s="79" t="e">
        <f>-(I161+I169+I177+I183)</f>
        <v>#DIV/0!</v>
      </c>
      <c r="J127" s="79" t="e">
        <f>-(J161+J169+J177+J183)</f>
        <v>#DIV/0!</v>
      </c>
    </row>
    <row r="128" spans="2:10">
      <c r="B128" s="27" t="s">
        <v>154</v>
      </c>
      <c r="F128" s="321">
        <f>-F192</f>
        <v>0</v>
      </c>
      <c r="G128" s="321">
        <f t="shared" ref="G128:J128" si="30">-G192</f>
        <v>0</v>
      </c>
      <c r="H128" s="321">
        <f t="shared" si="30"/>
        <v>0</v>
      </c>
      <c r="I128" s="321">
        <f t="shared" si="30"/>
        <v>0</v>
      </c>
      <c r="J128" s="321">
        <f t="shared" si="30"/>
        <v>0</v>
      </c>
    </row>
    <row r="129" spans="2:10">
      <c r="B129" s="148" t="s">
        <v>94</v>
      </c>
      <c r="C129" s="30"/>
      <c r="D129" s="30"/>
      <c r="E129" s="30"/>
      <c r="F129" s="171" t="e">
        <f>F121+F125+SUM(F127:F128)</f>
        <v>#DIV/0!</v>
      </c>
      <c r="G129" s="171" t="e">
        <f>G121+G125+SUM(G127:G128)</f>
        <v>#DIV/0!</v>
      </c>
      <c r="H129" s="171" t="e">
        <f>H121+H125+SUM(H127:H128)</f>
        <v>#DIV/0!</v>
      </c>
      <c r="I129" s="171" t="e">
        <f>I121+I125+SUM(I127:I128)</f>
        <v>#DIV/0!</v>
      </c>
      <c r="J129" s="171" t="e">
        <f>J121+J125+SUM(J127:J128)</f>
        <v>#DIV/0!</v>
      </c>
    </row>
    <row r="130" spans="2:10">
      <c r="B130" s="13" t="s">
        <v>29</v>
      </c>
      <c r="F130" s="82" t="e">
        <f>F154</f>
        <v>#DIV/0!</v>
      </c>
      <c r="G130" s="82" t="e">
        <f>G154</f>
        <v>#DIV/0!</v>
      </c>
      <c r="H130" s="82" t="e">
        <f>H154</f>
        <v>#DIV/0!</v>
      </c>
      <c r="I130" s="82" t="e">
        <f>I154</f>
        <v>#DIV/0!</v>
      </c>
      <c r="J130" s="82" t="e">
        <f>J154</f>
        <v>#DIV/0!</v>
      </c>
    </row>
    <row r="131" spans="2:10">
      <c r="B131" s="148" t="s">
        <v>91</v>
      </c>
      <c r="C131" s="30"/>
      <c r="D131" s="30"/>
      <c r="E131" s="30"/>
      <c r="F131" s="105" t="e">
        <f>SUM(F129:F130)</f>
        <v>#DIV/0!</v>
      </c>
      <c r="G131" s="105" t="e">
        <f>SUM(G129:G130)</f>
        <v>#DIV/0!</v>
      </c>
      <c r="H131" s="105" t="e">
        <f>SUM(H129:H130)</f>
        <v>#DIV/0!</v>
      </c>
      <c r="I131" s="105" t="e">
        <f>SUM(I129:I130)</f>
        <v>#DIV/0!</v>
      </c>
      <c r="J131" s="105" t="e">
        <f>SUM(J129:J130)</f>
        <v>#DIV/0!</v>
      </c>
    </row>
    <row r="132" spans="2:10">
      <c r="B132" s="46" t="s">
        <v>93</v>
      </c>
      <c r="F132" s="82" t="e">
        <f>-(F162)</f>
        <v>#DIV/0!</v>
      </c>
      <c r="G132" s="82" t="e">
        <f>-(G162)</f>
        <v>#DIV/0!</v>
      </c>
      <c r="H132" s="82" t="e">
        <f>-(H162)</f>
        <v>#DIV/0!</v>
      </c>
      <c r="I132" s="82" t="e">
        <f>-(I162)</f>
        <v>#DIV/0!</v>
      </c>
      <c r="J132" s="82" t="e">
        <f>-(J162)</f>
        <v>#DIV/0!</v>
      </c>
    </row>
    <row r="133" spans="2:10">
      <c r="B133" s="46" t="s">
        <v>95</v>
      </c>
      <c r="F133" s="82" t="e">
        <f>-(F170)</f>
        <v>#DIV/0!</v>
      </c>
      <c r="G133" s="82" t="e">
        <f>-(G170)</f>
        <v>#DIV/0!</v>
      </c>
      <c r="H133" s="82" t="e">
        <f>-(H170)</f>
        <v>#DIV/0!</v>
      </c>
      <c r="I133" s="82" t="e">
        <f>-(I170)</f>
        <v>#DIV/0!</v>
      </c>
      <c r="J133" s="82" t="e">
        <f>-(J170)</f>
        <v>#DIV/0!</v>
      </c>
    </row>
    <row r="134" spans="2:10">
      <c r="B134" s="30" t="s">
        <v>41</v>
      </c>
      <c r="F134" s="171" t="e">
        <f>SUM(F131:F133)</f>
        <v>#DIV/0!</v>
      </c>
      <c r="G134" s="171" t="e">
        <f>SUM(G131:G133)</f>
        <v>#DIV/0!</v>
      </c>
      <c r="H134" s="171" t="e">
        <f>SUM(H131:H133)</f>
        <v>#DIV/0!</v>
      </c>
      <c r="I134" s="171" t="e">
        <f>SUM(I131:I133)</f>
        <v>#DIV/0!</v>
      </c>
      <c r="J134" s="171" t="e">
        <f>SUM(J131:J133)</f>
        <v>#DIV/0!</v>
      </c>
    </row>
    <row r="135" spans="2:10">
      <c r="B135" s="30"/>
      <c r="F135" s="59"/>
      <c r="G135" s="59"/>
      <c r="H135" s="59"/>
      <c r="I135" s="59"/>
      <c r="J135" s="59"/>
    </row>
    <row r="136" spans="2:10">
      <c r="B136" s="92" t="s">
        <v>98</v>
      </c>
      <c r="C136" s="17"/>
      <c r="D136" s="17"/>
      <c r="E136" s="17"/>
      <c r="F136" s="17"/>
      <c r="G136" s="17"/>
      <c r="H136" s="17"/>
      <c r="I136" s="17"/>
      <c r="J136" s="17"/>
    </row>
    <row r="137" spans="2:10">
      <c r="B137" s="45" t="str">
        <f t="shared" ref="B137:J137" si="31">B39</f>
        <v xml:space="preserve">Fiscal year  </v>
      </c>
      <c r="C137" s="40">
        <f t="shared" si="31"/>
        <v>2012</v>
      </c>
      <c r="D137" s="40">
        <f t="shared" si="31"/>
        <v>2013</v>
      </c>
      <c r="E137" s="40">
        <f t="shared" si="31"/>
        <v>2014</v>
      </c>
      <c r="F137" s="41">
        <f t="shared" si="31"/>
        <v>2015</v>
      </c>
      <c r="G137" s="41">
        <f t="shared" si="31"/>
        <v>2016</v>
      </c>
      <c r="H137" s="41">
        <f t="shared" si="31"/>
        <v>2017</v>
      </c>
      <c r="I137" s="41">
        <f t="shared" si="31"/>
        <v>2018</v>
      </c>
      <c r="J137" s="41">
        <f t="shared" si="31"/>
        <v>2019</v>
      </c>
    </row>
    <row r="138" spans="2:10">
      <c r="B138" s="17" t="str">
        <f t="shared" ref="B138:J138" si="32">B40</f>
        <v>Fiscal year end date</v>
      </c>
      <c r="C138" s="42">
        <f t="shared" si="32"/>
        <v>40937</v>
      </c>
      <c r="D138" s="42">
        <f t="shared" si="32"/>
        <v>406550</v>
      </c>
      <c r="E138" s="42">
        <f t="shared" si="32"/>
        <v>41672</v>
      </c>
      <c r="F138" s="42">
        <f t="shared" si="32"/>
        <v>42034</v>
      </c>
      <c r="G138" s="42">
        <f t="shared" si="32"/>
        <v>42400</v>
      </c>
      <c r="H138" s="42">
        <f t="shared" si="32"/>
        <v>42766</v>
      </c>
      <c r="I138" s="42">
        <f t="shared" si="32"/>
        <v>43131</v>
      </c>
      <c r="J138" s="42">
        <f t="shared" si="32"/>
        <v>43496</v>
      </c>
    </row>
    <row r="139" spans="2:10">
      <c r="B139" s="47"/>
      <c r="C139" s="13"/>
      <c r="D139" s="13"/>
      <c r="E139" s="13"/>
      <c r="F139" s="13"/>
      <c r="G139" s="13"/>
      <c r="H139" s="13"/>
      <c r="I139" s="13"/>
      <c r="J139" s="13"/>
    </row>
    <row r="140" spans="2:10">
      <c r="B140" s="32" t="s">
        <v>96</v>
      </c>
      <c r="F140" s="221">
        <f>D16</f>
        <v>0</v>
      </c>
      <c r="G140" s="79" t="e">
        <f>F142</f>
        <v>#DIV/0!</v>
      </c>
      <c r="H140" s="79" t="e">
        <f>G142</f>
        <v>#DIV/0!</v>
      </c>
      <c r="I140" s="79" t="e">
        <f>H142</f>
        <v>#DIV/0!</v>
      </c>
      <c r="J140" s="79" t="e">
        <f>I142</f>
        <v>#DIV/0!</v>
      </c>
    </row>
    <row r="141" spans="2:10">
      <c r="B141" s="49" t="s">
        <v>31</v>
      </c>
      <c r="F141" s="79" t="e">
        <f>F134</f>
        <v>#DIV/0!</v>
      </c>
      <c r="G141" s="79" t="e">
        <f>G134</f>
        <v>#DIV/0!</v>
      </c>
      <c r="H141" s="79" t="e">
        <f>H134</f>
        <v>#DIV/0!</v>
      </c>
      <c r="I141" s="79" t="e">
        <f>I134</f>
        <v>#DIV/0!</v>
      </c>
      <c r="J141" s="79" t="e">
        <f>J134</f>
        <v>#DIV/0!</v>
      </c>
    </row>
    <row r="142" spans="2:10">
      <c r="B142" s="60" t="s">
        <v>97</v>
      </c>
      <c r="C142" s="163">
        <v>0</v>
      </c>
      <c r="D142" s="163">
        <v>0</v>
      </c>
      <c r="E142" s="323">
        <f>D15</f>
        <v>254.70000000000002</v>
      </c>
      <c r="F142" s="171" t="e">
        <f>SUM(F140:F141)</f>
        <v>#DIV/0!</v>
      </c>
      <c r="G142" s="171" t="e">
        <f>SUM(G140:G141)</f>
        <v>#DIV/0!</v>
      </c>
      <c r="H142" s="171" t="e">
        <f>SUM(H140:H141)</f>
        <v>#DIV/0!</v>
      </c>
      <c r="I142" s="171" t="e">
        <f>SUM(I140:I141)</f>
        <v>#DIV/0!</v>
      </c>
      <c r="J142" s="171" t="e">
        <f>SUM(J140:J141)</f>
        <v>#DIV/0!</v>
      </c>
    </row>
    <row r="143" spans="2:10">
      <c r="B143" s="32" t="s">
        <v>48</v>
      </c>
      <c r="D143" s="158" t="e">
        <f>D144/AVERAGE(C142:D142)</f>
        <v>#DIV/0!</v>
      </c>
      <c r="E143" s="158">
        <f>E144/AVERAGE(D142:E142)</f>
        <v>5.4966627404789943E-3</v>
      </c>
      <c r="F143" s="61">
        <f>E143</f>
        <v>5.4966627404789943E-3</v>
      </c>
      <c r="G143" s="61">
        <f>F143</f>
        <v>5.4966627404789943E-3</v>
      </c>
      <c r="H143" s="61">
        <f>G143</f>
        <v>5.4966627404789943E-3</v>
      </c>
      <c r="I143" s="61">
        <f>H143</f>
        <v>5.4966627404789943E-3</v>
      </c>
      <c r="J143" s="61">
        <f>I143</f>
        <v>5.4966627404789943E-3</v>
      </c>
    </row>
    <row r="144" spans="2:10">
      <c r="B144" s="32" t="s">
        <v>13</v>
      </c>
      <c r="C144" s="43"/>
      <c r="D144" s="79">
        <f>D48</f>
        <v>1.3</v>
      </c>
      <c r="E144" s="79">
        <f>E48</f>
        <v>0.7</v>
      </c>
      <c r="F144" s="321" t="e">
        <f>IF($D$10="OFF",AVERAGE(F140,F142)*F143,0)</f>
        <v>#DIV/0!</v>
      </c>
      <c r="G144" s="321" t="e">
        <f>IF($D$10="OFF",AVERAGE(G140,G142)*G143,0)</f>
        <v>#DIV/0!</v>
      </c>
      <c r="H144" s="321" t="e">
        <f>IF($D$10="OFF",AVERAGE(H140,H142)*H143,0)</f>
        <v>#DIV/0!</v>
      </c>
      <c r="I144" s="321" t="e">
        <f>IF($D$10="OFF",AVERAGE(I140,I142)*I143,0)</f>
        <v>#DIV/0!</v>
      </c>
      <c r="J144" s="321" t="e">
        <f>IF($D$10="OFF",AVERAGE(J140,J142)*J143,0)</f>
        <v>#DIV/0!</v>
      </c>
    </row>
    <row r="145" spans="2:10">
      <c r="B145" s="32"/>
      <c r="C145" s="43"/>
      <c r="D145" s="43"/>
      <c r="E145" s="43"/>
      <c r="F145" s="62"/>
      <c r="G145" s="62"/>
      <c r="H145" s="62"/>
      <c r="I145" s="62"/>
      <c r="J145" s="62"/>
    </row>
    <row r="146" spans="2:10">
      <c r="B146" s="31" t="s">
        <v>29</v>
      </c>
      <c r="C146" s="27"/>
      <c r="D146" s="140"/>
      <c r="E146" s="140"/>
      <c r="F146" s="81"/>
      <c r="G146" s="81"/>
      <c r="H146" s="81"/>
      <c r="I146" s="81"/>
      <c r="J146" s="81"/>
    </row>
    <row r="147" spans="2:10">
      <c r="B147" s="68" t="s">
        <v>101</v>
      </c>
      <c r="C147" s="27"/>
      <c r="D147" s="27"/>
      <c r="E147" s="27"/>
      <c r="F147" s="222">
        <f>F140</f>
        <v>0</v>
      </c>
      <c r="G147" s="222" t="e">
        <f>F142</f>
        <v>#DIV/0!</v>
      </c>
      <c r="H147" s="222" t="e">
        <f>G142</f>
        <v>#DIV/0!</v>
      </c>
      <c r="I147" s="222" t="e">
        <f>H142</f>
        <v>#DIV/0!</v>
      </c>
      <c r="J147" s="222" t="e">
        <f>I142</f>
        <v>#DIV/0!</v>
      </c>
    </row>
    <row r="148" spans="2:10">
      <c r="B148" s="68" t="s">
        <v>44</v>
      </c>
      <c r="C148" s="27"/>
      <c r="D148" s="27"/>
      <c r="E148" s="27"/>
      <c r="F148" s="223">
        <f>D16</f>
        <v>0</v>
      </c>
      <c r="G148" s="223">
        <f>F148</f>
        <v>0</v>
      </c>
      <c r="H148" s="223">
        <f t="shared" ref="H148:J148" si="33">G148</f>
        <v>0</v>
      </c>
      <c r="I148" s="223">
        <f t="shared" si="33"/>
        <v>0</v>
      </c>
      <c r="J148" s="223">
        <f t="shared" si="33"/>
        <v>0</v>
      </c>
    </row>
    <row r="149" spans="2:10">
      <c r="B149" s="68" t="s">
        <v>45</v>
      </c>
      <c r="C149" s="27"/>
      <c r="D149" s="27"/>
      <c r="E149" s="27"/>
      <c r="F149" s="222">
        <f>F147-F148</f>
        <v>0</v>
      </c>
      <c r="G149" s="222" t="e">
        <f>G147-G148</f>
        <v>#DIV/0!</v>
      </c>
      <c r="H149" s="222" t="e">
        <f>H147-H148</f>
        <v>#DIV/0!</v>
      </c>
      <c r="I149" s="222" t="e">
        <f>I147-I148</f>
        <v>#DIV/0!</v>
      </c>
      <c r="J149" s="222" t="e">
        <f>J147-J148</f>
        <v>#DIV/0!</v>
      </c>
    </row>
    <row r="150" spans="2:10">
      <c r="B150" s="142" t="s">
        <v>46</v>
      </c>
      <c r="C150" s="36"/>
      <c r="D150" s="36"/>
      <c r="E150" s="36"/>
      <c r="F150" s="224" t="e">
        <f>F129</f>
        <v>#DIV/0!</v>
      </c>
      <c r="G150" s="224" t="e">
        <f>G129</f>
        <v>#DIV/0!</v>
      </c>
      <c r="H150" s="224" t="e">
        <f>H129</f>
        <v>#DIV/0!</v>
      </c>
      <c r="I150" s="224" t="e">
        <f>I129</f>
        <v>#DIV/0!</v>
      </c>
      <c r="J150" s="224" t="e">
        <f>J129</f>
        <v>#DIV/0!</v>
      </c>
    </row>
    <row r="151" spans="2:10">
      <c r="B151" s="134" t="s">
        <v>102</v>
      </c>
      <c r="C151" s="71"/>
      <c r="D151" s="71"/>
      <c r="E151" s="71"/>
      <c r="F151" s="225" t="e">
        <f>SUM(F149:F150)</f>
        <v>#DIV/0!</v>
      </c>
      <c r="G151" s="225" t="e">
        <f>SUM(G149:G150)</f>
        <v>#DIV/0!</v>
      </c>
      <c r="H151" s="225" t="e">
        <f>SUM(H149:H150)</f>
        <v>#DIV/0!</v>
      </c>
      <c r="I151" s="225" t="e">
        <f>SUM(I149:I150)</f>
        <v>#DIV/0!</v>
      </c>
      <c r="J151" s="225" t="e">
        <f>SUM(J149:J150)</f>
        <v>#DIV/0!</v>
      </c>
    </row>
    <row r="152" spans="2:10">
      <c r="B152" s="27"/>
      <c r="C152" s="27"/>
      <c r="D152" s="27"/>
      <c r="E152" s="27"/>
      <c r="F152" s="27"/>
      <c r="G152" s="27"/>
      <c r="H152" s="27"/>
      <c r="I152" s="27"/>
      <c r="J152" s="27"/>
    </row>
    <row r="153" spans="2:10">
      <c r="B153" s="35" t="s">
        <v>99</v>
      </c>
      <c r="C153" s="27"/>
      <c r="D153" s="27"/>
      <c r="E153" s="27"/>
      <c r="F153" s="226">
        <f>D28</f>
        <v>0</v>
      </c>
      <c r="G153" s="222" t="e">
        <f>F155</f>
        <v>#DIV/0!</v>
      </c>
      <c r="H153" s="222" t="e">
        <f>G155</f>
        <v>#DIV/0!</v>
      </c>
      <c r="I153" s="222" t="e">
        <f>H155</f>
        <v>#DIV/0!</v>
      </c>
      <c r="J153" s="222" t="e">
        <f>I155</f>
        <v>#DIV/0!</v>
      </c>
    </row>
    <row r="154" spans="2:10">
      <c r="B154" s="136" t="s">
        <v>31</v>
      </c>
      <c r="C154" s="27"/>
      <c r="D154" s="27"/>
      <c r="E154" s="27"/>
      <c r="F154" s="222" t="e">
        <f>-MIN(F151,F153)</f>
        <v>#DIV/0!</v>
      </c>
      <c r="G154" s="222" t="e">
        <f>-MIN(G151,G153)</f>
        <v>#DIV/0!</v>
      </c>
      <c r="H154" s="222" t="e">
        <f>-MIN(H151,H153)</f>
        <v>#DIV/0!</v>
      </c>
      <c r="I154" s="222" t="e">
        <f>-MIN(I151,I153)</f>
        <v>#DIV/0!</v>
      </c>
      <c r="J154" s="222" t="e">
        <f>-MIN(J151,J153)</f>
        <v>#DIV/0!</v>
      </c>
    </row>
    <row r="155" spans="2:10">
      <c r="B155" s="137" t="s">
        <v>100</v>
      </c>
      <c r="C155" s="27"/>
      <c r="D155" s="27"/>
      <c r="E155" s="27"/>
      <c r="F155" s="227" t="e">
        <f>SUM(F153:F154)</f>
        <v>#DIV/0!</v>
      </c>
      <c r="G155" s="227" t="e">
        <f>SUM(G153:G154)</f>
        <v>#DIV/0!</v>
      </c>
      <c r="H155" s="227" t="e">
        <f>SUM(H153:H154)</f>
        <v>#DIV/0!</v>
      </c>
      <c r="I155" s="227" t="e">
        <f>SUM(I153:I154)</f>
        <v>#DIV/0!</v>
      </c>
      <c r="J155" s="227" t="e">
        <f>SUM(J153:J154)</f>
        <v>#DIV/0!</v>
      </c>
    </row>
    <row r="156" spans="2:10">
      <c r="B156" s="134" t="s">
        <v>42</v>
      </c>
      <c r="C156" s="27"/>
      <c r="D156" s="138" t="s">
        <v>138</v>
      </c>
      <c r="E156" s="138" t="s">
        <v>139</v>
      </c>
      <c r="F156" s="225">
        <f>$D$157*F76+$E$157*F78</f>
        <v>649.87371520000011</v>
      </c>
      <c r="G156" s="225">
        <f t="shared" ref="G156:J156" si="34">$D$157*G76+$E$157*G78</f>
        <v>684.31702210560002</v>
      </c>
      <c r="H156" s="225">
        <f t="shared" si="34"/>
        <v>721.95445832140797</v>
      </c>
      <c r="I156" s="225">
        <f t="shared" si="34"/>
        <v>764.54977136237085</v>
      </c>
      <c r="J156" s="225">
        <f t="shared" si="34"/>
        <v>809.65820787275084</v>
      </c>
    </row>
    <row r="157" spans="2:10">
      <c r="B157" s="134" t="s">
        <v>43</v>
      </c>
      <c r="C157" s="27"/>
      <c r="D157" s="139">
        <v>0.8</v>
      </c>
      <c r="E157" s="139">
        <v>0.65</v>
      </c>
      <c r="F157" s="143" t="e">
        <f>IF(F155&gt;F156,"OVERDRAWN","OK")</f>
        <v>#DIV/0!</v>
      </c>
      <c r="G157" s="143" t="e">
        <f t="shared" ref="G157:J157" si="35">IF(G155&gt;G156,"OVERDRAWN","OK")</f>
        <v>#DIV/0!</v>
      </c>
      <c r="H157" s="143" t="e">
        <f t="shared" si="35"/>
        <v>#DIV/0!</v>
      </c>
      <c r="I157" s="143" t="e">
        <f t="shared" si="35"/>
        <v>#DIV/0!</v>
      </c>
      <c r="J157" s="143" t="e">
        <f t="shared" si="35"/>
        <v>#DIV/0!</v>
      </c>
    </row>
    <row r="158" spans="2:10">
      <c r="B158" s="27"/>
      <c r="C158" s="27"/>
      <c r="D158" s="27"/>
      <c r="E158" s="27"/>
      <c r="F158" s="27"/>
      <c r="G158" s="27"/>
      <c r="H158" s="27"/>
      <c r="I158" s="27"/>
      <c r="J158" s="27"/>
    </row>
    <row r="159" spans="2:10">
      <c r="B159" s="31" t="s">
        <v>77</v>
      </c>
      <c r="C159" s="27"/>
      <c r="D159" s="27"/>
      <c r="E159" s="27"/>
      <c r="F159" s="27"/>
      <c r="G159" s="27"/>
      <c r="H159" s="27"/>
      <c r="I159" s="27"/>
      <c r="J159" s="27"/>
    </row>
    <row r="160" spans="2:10">
      <c r="B160" s="35" t="s">
        <v>81</v>
      </c>
      <c r="C160" s="27"/>
      <c r="D160" s="27"/>
      <c r="E160" s="27"/>
      <c r="F160" s="226">
        <f>D29</f>
        <v>0</v>
      </c>
      <c r="G160" s="222" t="e">
        <f>F163</f>
        <v>#DIV/0!</v>
      </c>
      <c r="H160" s="222" t="e">
        <f>G163</f>
        <v>#DIV/0!</v>
      </c>
      <c r="I160" s="222" t="e">
        <f>H163</f>
        <v>#DIV/0!</v>
      </c>
      <c r="J160" s="222" t="e">
        <f>I163</f>
        <v>#DIV/0!</v>
      </c>
    </row>
    <row r="161" spans="2:10">
      <c r="B161" s="35" t="s">
        <v>90</v>
      </c>
      <c r="C161" s="27"/>
      <c r="D161" s="27"/>
      <c r="E161" s="27"/>
      <c r="F161" s="223">
        <f>MIN(F164*$F$160,F160)</f>
        <v>0</v>
      </c>
      <c r="G161" s="223" t="e">
        <f>MIN(G164*$F$160,G160)</f>
        <v>#DIV/0!</v>
      </c>
      <c r="H161" s="223" t="e">
        <f>MIN(H164*$F$160,H160)</f>
        <v>#DIV/0!</v>
      </c>
      <c r="I161" s="223" t="e">
        <f>MIN(I164*$F$160,I160)</f>
        <v>#DIV/0!</v>
      </c>
      <c r="J161" s="223" t="e">
        <f>MIN(J164*$F$160,J160)</f>
        <v>#DIV/0!</v>
      </c>
    </row>
    <row r="162" spans="2:10">
      <c r="B162" s="35" t="s">
        <v>92</v>
      </c>
      <c r="C162" s="27"/>
      <c r="D162" s="27"/>
      <c r="E162" s="27"/>
      <c r="F162" s="223" t="e">
        <f>MIN(F160-F161,F165)</f>
        <v>#DIV/0!</v>
      </c>
      <c r="G162" s="223" t="e">
        <f>MIN(G160-G161,G165)</f>
        <v>#DIV/0!</v>
      </c>
      <c r="H162" s="223" t="e">
        <f>MIN(H160-H161,H165)</f>
        <v>#DIV/0!</v>
      </c>
      <c r="I162" s="223" t="e">
        <f>MIN(I160-I161,I165)</f>
        <v>#DIV/0!</v>
      </c>
      <c r="J162" s="223" t="e">
        <f>MIN(J160-J161,J165)</f>
        <v>#DIV/0!</v>
      </c>
    </row>
    <row r="163" spans="2:10">
      <c r="B163" s="137" t="s">
        <v>84</v>
      </c>
      <c r="C163" s="54"/>
      <c r="D163" s="144"/>
      <c r="E163" s="54"/>
      <c r="F163" s="164" t="e">
        <f>F160-F161-F162</f>
        <v>#DIV/0!</v>
      </c>
      <c r="G163" s="164" t="e">
        <f>G160-G161-G162</f>
        <v>#DIV/0!</v>
      </c>
      <c r="H163" s="164" t="e">
        <f>H160-H161-H162</f>
        <v>#DIV/0!</v>
      </c>
      <c r="I163" s="164" t="e">
        <f>I160-I161-I162</f>
        <v>#DIV/0!</v>
      </c>
      <c r="J163" s="164" t="e">
        <f>J160-J161-J162</f>
        <v>#DIV/0!</v>
      </c>
    </row>
    <row r="164" spans="2:10">
      <c r="B164" s="134" t="s">
        <v>107</v>
      </c>
      <c r="C164" s="71"/>
      <c r="E164" s="140" t="s">
        <v>156</v>
      </c>
      <c r="F164" s="145">
        <v>0.1</v>
      </c>
      <c r="G164" s="145">
        <v>0.05</v>
      </c>
      <c r="H164" s="145">
        <v>0.05</v>
      </c>
      <c r="I164" s="145">
        <v>0.05</v>
      </c>
      <c r="J164" s="145">
        <v>0.05</v>
      </c>
    </row>
    <row r="165" spans="2:10">
      <c r="B165" s="134" t="s">
        <v>155</v>
      </c>
      <c r="C165" s="71"/>
      <c r="E165" s="146">
        <v>1</v>
      </c>
      <c r="F165" s="228" t="e">
        <f>$E$165*(F151+F154)</f>
        <v>#DIV/0!</v>
      </c>
      <c r="G165" s="228" t="e">
        <f>$E$165*(G151+G154)</f>
        <v>#DIV/0!</v>
      </c>
      <c r="H165" s="228" t="e">
        <f>$E$165*(H151+H154)</f>
        <v>#DIV/0!</v>
      </c>
      <c r="I165" s="228" t="e">
        <f>$E$165*(I151+I154)</f>
        <v>#DIV/0!</v>
      </c>
      <c r="J165" s="228" t="e">
        <f>$E$165*(J151+J154)</f>
        <v>#DIV/0!</v>
      </c>
    </row>
    <row r="166" spans="2:10">
      <c r="B166" s="35"/>
      <c r="C166" s="27"/>
      <c r="F166" s="141"/>
      <c r="G166" s="141"/>
      <c r="H166" s="141"/>
      <c r="I166" s="141"/>
      <c r="J166" s="141"/>
    </row>
    <row r="167" spans="2:10">
      <c r="B167" s="31" t="s">
        <v>78</v>
      </c>
      <c r="C167" s="27"/>
      <c r="F167" s="81"/>
      <c r="G167" s="27"/>
      <c r="H167" s="27"/>
      <c r="I167" s="27"/>
      <c r="J167" s="27"/>
    </row>
    <row r="168" spans="2:10">
      <c r="B168" s="35" t="s">
        <v>82</v>
      </c>
      <c r="C168" s="27"/>
      <c r="F168" s="226">
        <f>D30</f>
        <v>4300.2452800000001</v>
      </c>
      <c r="G168" s="222" t="e">
        <f>F171</f>
        <v>#DIV/0!</v>
      </c>
      <c r="H168" s="222" t="e">
        <f>G171</f>
        <v>#DIV/0!</v>
      </c>
      <c r="I168" s="222" t="e">
        <f>H171</f>
        <v>#DIV/0!</v>
      </c>
      <c r="J168" s="222" t="e">
        <f>I171</f>
        <v>#DIV/0!</v>
      </c>
    </row>
    <row r="169" spans="2:10">
      <c r="B169" s="35" t="s">
        <v>76</v>
      </c>
      <c r="C169" s="27"/>
      <c r="F169" s="223">
        <f>MIN(F172*$F$168,F168)</f>
        <v>215.01226400000002</v>
      </c>
      <c r="G169" s="223" t="e">
        <f>MIN(G172*$F$168,G168)</f>
        <v>#DIV/0!</v>
      </c>
      <c r="H169" s="223" t="e">
        <f>MIN(H172*$F$168,H168)</f>
        <v>#DIV/0!</v>
      </c>
      <c r="I169" s="223" t="e">
        <f>MIN(I172*$F$168,I168)</f>
        <v>#DIV/0!</v>
      </c>
      <c r="J169" s="223" t="e">
        <f>MIN(J172*$F$168,J168)</f>
        <v>#DIV/0!</v>
      </c>
    </row>
    <row r="170" spans="2:10">
      <c r="B170" s="35" t="s">
        <v>92</v>
      </c>
      <c r="C170" s="27"/>
      <c r="F170" s="223" t="e">
        <f>MIN(F168-F169,F173)</f>
        <v>#DIV/0!</v>
      </c>
      <c r="G170" s="223" t="e">
        <f>MIN(G168-G169,G173)</f>
        <v>#DIV/0!</v>
      </c>
      <c r="H170" s="223" t="e">
        <f>MIN(H168-H169,H173)</f>
        <v>#DIV/0!</v>
      </c>
      <c r="I170" s="223" t="e">
        <f>MIN(I168-I169,I173)</f>
        <v>#DIV/0!</v>
      </c>
      <c r="J170" s="223" t="e">
        <f>MIN(J168-J169,J173)</f>
        <v>#DIV/0!</v>
      </c>
    </row>
    <row r="171" spans="2:10">
      <c r="B171" s="137" t="s">
        <v>83</v>
      </c>
      <c r="C171" s="54"/>
      <c r="F171" s="164" t="e">
        <f>F168-F169-F170</f>
        <v>#DIV/0!</v>
      </c>
      <c r="G171" s="164" t="e">
        <f>G168-G169-G170</f>
        <v>#DIV/0!</v>
      </c>
      <c r="H171" s="164" t="e">
        <f>H168-H169-H170</f>
        <v>#DIV/0!</v>
      </c>
      <c r="I171" s="164" t="e">
        <f>I168-I169-I170</f>
        <v>#DIV/0!</v>
      </c>
      <c r="J171" s="164" t="e">
        <f>J168-J169-J170</f>
        <v>#DIV/0!</v>
      </c>
    </row>
    <row r="172" spans="2:10">
      <c r="B172" s="134" t="s">
        <v>107</v>
      </c>
      <c r="C172" s="71"/>
      <c r="E172" s="140" t="s">
        <v>156</v>
      </c>
      <c r="F172" s="145">
        <v>0.05</v>
      </c>
      <c r="G172" s="145">
        <v>0.05</v>
      </c>
      <c r="H172" s="145">
        <v>0.05</v>
      </c>
      <c r="I172" s="145">
        <v>0.05</v>
      </c>
      <c r="J172" s="145">
        <v>0.05</v>
      </c>
    </row>
    <row r="173" spans="2:10">
      <c r="B173" s="134" t="s">
        <v>124</v>
      </c>
      <c r="C173" s="71"/>
      <c r="E173" s="146">
        <v>1</v>
      </c>
      <c r="F173" s="229" t="e">
        <f>$E$173*(F151+F154-F162)</f>
        <v>#DIV/0!</v>
      </c>
      <c r="G173" s="229" t="e">
        <f>$E$173*(G151+G154-G162)</f>
        <v>#DIV/0!</v>
      </c>
      <c r="H173" s="229" t="e">
        <f>$E$173*(H151+H154-H162)</f>
        <v>#DIV/0!</v>
      </c>
      <c r="I173" s="229" t="e">
        <f>$E$173*(I151+I154-I162)</f>
        <v>#DIV/0!</v>
      </c>
      <c r="J173" s="229" t="e">
        <f>$E$173*(J151+J154-J162)</f>
        <v>#DIV/0!</v>
      </c>
    </row>
    <row r="174" spans="2:10">
      <c r="B174" s="87"/>
      <c r="C174" s="66"/>
      <c r="D174" s="66"/>
      <c r="E174" s="66"/>
      <c r="F174" s="95"/>
      <c r="G174" s="95"/>
      <c r="H174" s="95"/>
      <c r="I174" s="95"/>
      <c r="J174" s="95"/>
    </row>
    <row r="175" spans="2:10">
      <c r="B175" s="31" t="s">
        <v>79</v>
      </c>
      <c r="F175" s="43"/>
    </row>
    <row r="176" spans="2:10">
      <c r="B176" s="32" t="s">
        <v>86</v>
      </c>
      <c r="F176" s="221">
        <f>D31</f>
        <v>1899.89285</v>
      </c>
      <c r="G176" s="79">
        <f>F178</f>
        <v>1899.89285</v>
      </c>
      <c r="H176" s="79">
        <f t="shared" ref="H176:J176" si="36">G178</f>
        <v>1899.89285</v>
      </c>
      <c r="I176" s="79">
        <f t="shared" si="36"/>
        <v>1899.89285</v>
      </c>
      <c r="J176" s="79">
        <f t="shared" si="36"/>
        <v>1899.89285</v>
      </c>
    </row>
    <row r="177" spans="2:10">
      <c r="B177" s="32" t="s">
        <v>76</v>
      </c>
      <c r="F177" s="172">
        <f>MIN(F179*$F$176,F176)</f>
        <v>0</v>
      </c>
      <c r="G177" s="172">
        <f>MIN(G179*$F$176,G176)</f>
        <v>0</v>
      </c>
      <c r="H177" s="172">
        <f>MIN(H179*$F$176,H176)</f>
        <v>0</v>
      </c>
      <c r="I177" s="172">
        <f>MIN(I179*$F$176,I176)</f>
        <v>0</v>
      </c>
      <c r="J177" s="172">
        <f>MIN(J179*$F$176,J176)</f>
        <v>0</v>
      </c>
    </row>
    <row r="178" spans="2:10">
      <c r="B178" s="60" t="s">
        <v>85</v>
      </c>
      <c r="C178" s="30"/>
      <c r="D178" s="30"/>
      <c r="E178" s="30"/>
      <c r="F178" s="169">
        <f>F176-F177</f>
        <v>1899.89285</v>
      </c>
      <c r="G178" s="169">
        <f>G176-G177</f>
        <v>1899.89285</v>
      </c>
      <c r="H178" s="169">
        <f>H176-H177</f>
        <v>1899.89285</v>
      </c>
      <c r="I178" s="169">
        <f>I176-I177</f>
        <v>1899.89285</v>
      </c>
      <c r="J178" s="169">
        <f>J176-J177</f>
        <v>1899.89285</v>
      </c>
    </row>
    <row r="179" spans="2:10">
      <c r="B179" s="87" t="s">
        <v>107</v>
      </c>
      <c r="F179" s="91">
        <v>0</v>
      </c>
      <c r="G179" s="91">
        <v>0</v>
      </c>
      <c r="H179" s="91">
        <v>0</v>
      </c>
      <c r="I179" s="91">
        <v>0</v>
      </c>
      <c r="J179" s="91">
        <v>0</v>
      </c>
    </row>
    <row r="180" spans="2:10">
      <c r="B180" s="87"/>
      <c r="F180" s="91"/>
      <c r="G180" s="91"/>
      <c r="H180" s="91"/>
      <c r="I180" s="91"/>
      <c r="J180" s="91"/>
    </row>
    <row r="181" spans="2:10">
      <c r="B181" s="31" t="s">
        <v>80</v>
      </c>
      <c r="F181" s="43"/>
    </row>
    <row r="182" spans="2:10">
      <c r="B182" s="32" t="s">
        <v>88</v>
      </c>
      <c r="F182" s="221">
        <f>D32</f>
        <v>0</v>
      </c>
      <c r="G182" s="79">
        <f>F185</f>
        <v>0</v>
      </c>
      <c r="H182" s="79">
        <f t="shared" ref="H182:J182" si="37">G185</f>
        <v>0</v>
      </c>
      <c r="I182" s="79">
        <f t="shared" si="37"/>
        <v>0</v>
      </c>
      <c r="J182" s="79">
        <f t="shared" si="37"/>
        <v>0</v>
      </c>
    </row>
    <row r="183" spans="2:10">
      <c r="B183" s="32" t="s">
        <v>76</v>
      </c>
      <c r="D183" s="73"/>
      <c r="F183" s="172">
        <f>F186*$F$182</f>
        <v>0</v>
      </c>
      <c r="G183" s="172">
        <f>G186*$F$182</f>
        <v>0</v>
      </c>
      <c r="H183" s="172">
        <f>H186*$F$182</f>
        <v>0</v>
      </c>
      <c r="I183" s="172">
        <f>I186*$F$182</f>
        <v>0</v>
      </c>
      <c r="J183" s="172">
        <f>J186*$F$182</f>
        <v>0</v>
      </c>
    </row>
    <row r="184" spans="2:10">
      <c r="B184" s="90" t="s">
        <v>135</v>
      </c>
      <c r="F184" s="172">
        <f>$E$210*F182</f>
        <v>0</v>
      </c>
      <c r="G184" s="172">
        <f>$E$210*G182</f>
        <v>0</v>
      </c>
      <c r="H184" s="172">
        <f>$E$210*H182</f>
        <v>0</v>
      </c>
      <c r="I184" s="172">
        <f>$E$210*I182</f>
        <v>0</v>
      </c>
      <c r="J184" s="172">
        <f>$E$210*J182</f>
        <v>0</v>
      </c>
    </row>
    <row r="185" spans="2:10">
      <c r="B185" s="60" t="s">
        <v>87</v>
      </c>
      <c r="C185" s="30"/>
      <c r="D185" s="55"/>
      <c r="E185" s="30"/>
      <c r="F185" s="169">
        <f>F182-F183+F184</f>
        <v>0</v>
      </c>
      <c r="G185" s="169">
        <f t="shared" ref="G185:J185" si="38">G182-G183+G184</f>
        <v>0</v>
      </c>
      <c r="H185" s="169">
        <f t="shared" si="38"/>
        <v>0</v>
      </c>
      <c r="I185" s="169">
        <f t="shared" si="38"/>
        <v>0</v>
      </c>
      <c r="J185" s="169">
        <f t="shared" si="38"/>
        <v>0</v>
      </c>
    </row>
    <row r="186" spans="2:10">
      <c r="B186" s="87" t="s">
        <v>107</v>
      </c>
      <c r="F186" s="91">
        <v>0</v>
      </c>
      <c r="G186" s="91">
        <v>0</v>
      </c>
      <c r="H186" s="91">
        <v>0</v>
      </c>
      <c r="I186" s="91">
        <v>0</v>
      </c>
      <c r="J186" s="91">
        <v>0</v>
      </c>
    </row>
    <row r="187" spans="2:10">
      <c r="B187" s="87"/>
      <c r="F187" s="91"/>
      <c r="G187" s="91"/>
      <c r="H187" s="91"/>
      <c r="I187" s="91"/>
      <c r="J187" s="91"/>
    </row>
    <row r="188" spans="2:10">
      <c r="B188" s="31" t="s">
        <v>105</v>
      </c>
      <c r="D188" s="104"/>
      <c r="E188" s="73"/>
      <c r="F188" s="91"/>
      <c r="G188" s="91"/>
      <c r="H188" s="91"/>
      <c r="I188" s="91"/>
      <c r="J188" s="91"/>
    </row>
    <row r="189" spans="2:10">
      <c r="B189" s="32" t="s">
        <v>106</v>
      </c>
      <c r="F189" s="230">
        <f>D33</f>
        <v>0</v>
      </c>
      <c r="G189" s="79">
        <f>F191</f>
        <v>0</v>
      </c>
      <c r="H189" s="79">
        <f t="shared" ref="H189:J189" si="39">G191</f>
        <v>0</v>
      </c>
      <c r="I189" s="79">
        <f t="shared" si="39"/>
        <v>0</v>
      </c>
      <c r="J189" s="79">
        <f t="shared" si="39"/>
        <v>0</v>
      </c>
    </row>
    <row r="190" spans="2:10">
      <c r="B190" s="90" t="s">
        <v>34</v>
      </c>
      <c r="F190" s="172">
        <f>$C$192*F189</f>
        <v>0</v>
      </c>
      <c r="G190" s="172">
        <f>$C$192*G189</f>
        <v>0</v>
      </c>
      <c r="H190" s="172">
        <f>$C$192*H189</f>
        <v>0</v>
      </c>
      <c r="I190" s="172">
        <f>$C$192*I189</f>
        <v>0</v>
      </c>
      <c r="J190" s="172">
        <f>$C$192*J189</f>
        <v>0</v>
      </c>
    </row>
    <row r="191" spans="2:10">
      <c r="B191" s="30" t="s">
        <v>108</v>
      </c>
      <c r="C191" s="73" t="s">
        <v>133</v>
      </c>
      <c r="D191" s="73" t="s">
        <v>134</v>
      </c>
      <c r="E191" s="30"/>
      <c r="F191" s="169">
        <f>F189+F190</f>
        <v>0</v>
      </c>
      <c r="G191" s="169">
        <f>G189+G190</f>
        <v>0</v>
      </c>
      <c r="H191" s="169">
        <f>H189+H190</f>
        <v>0</v>
      </c>
      <c r="I191" s="169">
        <f>I189+I190</f>
        <v>0</v>
      </c>
      <c r="J191" s="169">
        <f>J189+J190</f>
        <v>0</v>
      </c>
    </row>
    <row r="192" spans="2:10">
      <c r="B192" s="90" t="s">
        <v>140</v>
      </c>
      <c r="C192" s="89">
        <v>0.04</v>
      </c>
      <c r="D192" s="55">
        <v>0.08</v>
      </c>
      <c r="F192" s="79">
        <f>$D$192*F191</f>
        <v>0</v>
      </c>
      <c r="G192" s="79">
        <f>$D$192*G191</f>
        <v>0</v>
      </c>
      <c r="H192" s="79">
        <f>$D$192*H191</f>
        <v>0</v>
      </c>
      <c r="I192" s="79">
        <f>$D$192*I191</f>
        <v>0</v>
      </c>
      <c r="J192" s="79">
        <f>$D$192*J191</f>
        <v>0</v>
      </c>
    </row>
    <row r="193" spans="2:10">
      <c r="B193" s="90"/>
      <c r="F193" s="43"/>
    </row>
    <row r="194" spans="2:10">
      <c r="B194" s="185" t="s">
        <v>215</v>
      </c>
      <c r="F194" s="43"/>
    </row>
    <row r="195" spans="2:10">
      <c r="B195" s="32" t="s">
        <v>217</v>
      </c>
      <c r="C195" s="82"/>
      <c r="D195" s="244"/>
      <c r="E195" s="244"/>
      <c r="F195" s="221">
        <f>H33</f>
        <v>124.00276260000001</v>
      </c>
      <c r="G195" s="79">
        <f>F197</f>
        <v>105.38337134761906</v>
      </c>
      <c r="H195" s="79">
        <f t="shared" ref="H195:J195" si="40">G197</f>
        <v>86.763980095238111</v>
      </c>
      <c r="I195" s="79">
        <f t="shared" si="40"/>
        <v>68.144588842857161</v>
      </c>
      <c r="J195" s="79">
        <f t="shared" si="40"/>
        <v>49.525197590476211</v>
      </c>
    </row>
    <row r="196" spans="2:10">
      <c r="B196" s="32" t="s">
        <v>70</v>
      </c>
      <c r="C196" s="82"/>
      <c r="D196" s="82"/>
      <c r="E196" s="82"/>
      <c r="F196" s="79">
        <f>-(SUM($J$28:$J$32))</f>
        <v>-18.619391252380954</v>
      </c>
      <c r="G196" s="79">
        <f>-(SUM($J$28:$J$32))</f>
        <v>-18.619391252380954</v>
      </c>
      <c r="H196" s="79">
        <f>-(SUM($J$28:$J$32))</f>
        <v>-18.619391252380954</v>
      </c>
      <c r="I196" s="79">
        <f>-(SUM($J$28:$J$32))</f>
        <v>-18.619391252380954</v>
      </c>
      <c r="J196" s="79">
        <f>-(SUM($J$28:$J$32))</f>
        <v>-18.619391252380954</v>
      </c>
    </row>
    <row r="197" spans="2:10">
      <c r="B197" s="30" t="s">
        <v>218</v>
      </c>
      <c r="C197" s="82"/>
      <c r="D197" s="82"/>
      <c r="E197" s="82"/>
      <c r="F197" s="171">
        <f>F195+F196</f>
        <v>105.38337134761906</v>
      </c>
      <c r="G197" s="171">
        <f t="shared" ref="G197:J197" si="41">G195+G196</f>
        <v>86.763980095238111</v>
      </c>
      <c r="H197" s="171">
        <f t="shared" si="41"/>
        <v>68.144588842857161</v>
      </c>
      <c r="I197" s="171">
        <f t="shared" si="41"/>
        <v>49.525197590476211</v>
      </c>
      <c r="J197" s="171">
        <f t="shared" si="41"/>
        <v>30.905806338095257</v>
      </c>
    </row>
    <row r="198" spans="2:10">
      <c r="B198" s="90"/>
      <c r="F198" s="43"/>
    </row>
    <row r="199" spans="2:10">
      <c r="B199" s="15" t="s">
        <v>177</v>
      </c>
      <c r="C199" s="17"/>
      <c r="D199" s="17"/>
      <c r="E199" s="17"/>
      <c r="F199" s="17"/>
      <c r="G199" s="17"/>
      <c r="H199" s="17"/>
      <c r="I199" s="17"/>
      <c r="J199" s="17"/>
    </row>
    <row r="200" spans="2:10">
      <c r="B200" s="13" t="s">
        <v>5</v>
      </c>
      <c r="C200" s="18">
        <f>C$39</f>
        <v>2012</v>
      </c>
      <c r="D200" s="18">
        <f>D$39</f>
        <v>2013</v>
      </c>
      <c r="E200" s="18">
        <f t="shared" ref="E200:J200" si="42">E$39</f>
        <v>2014</v>
      </c>
      <c r="F200" s="19">
        <f t="shared" si="42"/>
        <v>2015</v>
      </c>
      <c r="G200" s="19">
        <f t="shared" si="42"/>
        <v>2016</v>
      </c>
      <c r="H200" s="19">
        <f t="shared" si="42"/>
        <v>2017</v>
      </c>
      <c r="I200" s="19">
        <f t="shared" si="42"/>
        <v>2018</v>
      </c>
      <c r="J200" s="19">
        <f t="shared" si="42"/>
        <v>2019</v>
      </c>
    </row>
    <row r="201" spans="2:10">
      <c r="B201" s="20" t="s">
        <v>6</v>
      </c>
      <c r="C201" s="22">
        <f>C$40</f>
        <v>40937</v>
      </c>
      <c r="D201" s="22">
        <f>D$40</f>
        <v>406550</v>
      </c>
      <c r="E201" s="22">
        <f t="shared" ref="E201:J201" si="43">E$40</f>
        <v>41672</v>
      </c>
      <c r="F201" s="22">
        <f t="shared" si="43"/>
        <v>42034</v>
      </c>
      <c r="G201" s="22">
        <f t="shared" si="43"/>
        <v>42400</v>
      </c>
      <c r="H201" s="22">
        <f t="shared" si="43"/>
        <v>42766</v>
      </c>
      <c r="I201" s="22">
        <f t="shared" si="43"/>
        <v>43131</v>
      </c>
      <c r="J201" s="22">
        <f t="shared" si="43"/>
        <v>43496</v>
      </c>
    </row>
    <row r="202" spans="2:10">
      <c r="B202" s="26"/>
      <c r="C202" s="13"/>
      <c r="D202" s="13"/>
      <c r="E202" s="13"/>
      <c r="F202" s="13"/>
      <c r="G202" s="13"/>
      <c r="H202" s="13"/>
      <c r="I202" s="13"/>
      <c r="J202" s="13"/>
    </row>
    <row r="203" spans="2:10">
      <c r="B203" s="90" t="s">
        <v>173</v>
      </c>
      <c r="C203" s="178"/>
      <c r="D203" s="23"/>
      <c r="E203" s="13"/>
      <c r="F203" s="179">
        <v>50</v>
      </c>
      <c r="G203" s="179">
        <v>60</v>
      </c>
      <c r="H203" s="179">
        <v>80</v>
      </c>
      <c r="I203" s="179">
        <v>100</v>
      </c>
      <c r="J203" s="179">
        <v>200</v>
      </c>
    </row>
    <row r="204" spans="2:10">
      <c r="B204" s="32"/>
      <c r="C204" s="73" t="s">
        <v>174</v>
      </c>
      <c r="D204" s="73" t="s">
        <v>175</v>
      </c>
      <c r="E204" s="73" t="s">
        <v>176</v>
      </c>
      <c r="F204" s="176"/>
      <c r="G204" s="176"/>
      <c r="H204" s="176"/>
      <c r="I204" s="176"/>
      <c r="J204" s="176"/>
    </row>
    <row r="205" spans="2:10">
      <c r="B205" s="37" t="s">
        <v>29</v>
      </c>
      <c r="C205" s="180">
        <v>0.04</v>
      </c>
      <c r="D205" s="67">
        <v>0.01</v>
      </c>
      <c r="E205" s="135"/>
      <c r="F205" s="187" t="e">
        <f>IF($D$10="OFF",($C$205+MAX(F203/10000,$D$205))*AVERAGE(F153,F155),0)</f>
        <v>#DIV/0!</v>
      </c>
      <c r="G205" s="187" t="e">
        <f t="shared" ref="G205:J205" si="44">IF($D$10="OFF",($C$205+MAX(G203/10000,$D$205))*AVERAGE(G153,G155),0)</f>
        <v>#DIV/0!</v>
      </c>
      <c r="H205" s="187" t="e">
        <f t="shared" si="44"/>
        <v>#DIV/0!</v>
      </c>
      <c r="I205" s="187" t="e">
        <f t="shared" si="44"/>
        <v>#DIV/0!</v>
      </c>
      <c r="J205" s="187" t="e">
        <f t="shared" si="44"/>
        <v>#DIV/0!</v>
      </c>
    </row>
    <row r="206" spans="2:10">
      <c r="B206" s="32" t="s">
        <v>77</v>
      </c>
      <c r="C206" s="180">
        <v>0.04</v>
      </c>
      <c r="D206" s="67">
        <v>0.01</v>
      </c>
      <c r="E206" s="135"/>
      <c r="F206" s="187" t="e">
        <f>IF($D$10="OFF",($C$206+MAX(F203/10000,$D$206))*AVERAGE(F160,F163),0)</f>
        <v>#DIV/0!</v>
      </c>
      <c r="G206" s="187" t="e">
        <f t="shared" ref="G206:J206" si="45">IF($D$10="OFF",($C$206+MAX(G203/10000,$D$206))*AVERAGE(G160,G163),0)</f>
        <v>#DIV/0!</v>
      </c>
      <c r="H206" s="187" t="e">
        <f t="shared" si="45"/>
        <v>#DIV/0!</v>
      </c>
      <c r="I206" s="187" t="e">
        <f t="shared" si="45"/>
        <v>#DIV/0!</v>
      </c>
      <c r="J206" s="187" t="e">
        <f t="shared" si="45"/>
        <v>#DIV/0!</v>
      </c>
    </row>
    <row r="207" spans="2:10">
      <c r="B207" s="32" t="s">
        <v>78</v>
      </c>
      <c r="C207" s="180">
        <v>0.04</v>
      </c>
      <c r="D207" s="67">
        <v>0.01</v>
      </c>
      <c r="E207" s="135"/>
      <c r="F207" s="187" t="e">
        <f>IF($D$10="OFF",($C$207+MAX(F203/10000,$D$207))*AVERAGE(F168,F171),0)</f>
        <v>#DIV/0!</v>
      </c>
      <c r="G207" s="187" t="e">
        <f t="shared" ref="G207:J207" si="46">IF($D$10="OFF",($C$207+MAX(G203/10000,$D$207))*AVERAGE(G168,G171),0)</f>
        <v>#DIV/0!</v>
      </c>
      <c r="H207" s="187" t="e">
        <f t="shared" si="46"/>
        <v>#DIV/0!</v>
      </c>
      <c r="I207" s="187" t="e">
        <f t="shared" si="46"/>
        <v>#DIV/0!</v>
      </c>
      <c r="J207" s="187" t="e">
        <f t="shared" si="46"/>
        <v>#DIV/0!</v>
      </c>
    </row>
    <row r="208" spans="2:10">
      <c r="B208" s="32" t="s">
        <v>79</v>
      </c>
      <c r="C208" s="135"/>
      <c r="D208" s="135"/>
      <c r="E208" s="183">
        <v>0.08</v>
      </c>
      <c r="F208" s="79">
        <f>$E$208*AVERAGE(F176,F178)</f>
        <v>151.99142800000001</v>
      </c>
      <c r="G208" s="79">
        <f t="shared" ref="G208:J208" si="47">$E$208*AVERAGE(G176,G178)</f>
        <v>151.99142800000001</v>
      </c>
      <c r="H208" s="79">
        <f t="shared" si="47"/>
        <v>151.99142800000001</v>
      </c>
      <c r="I208" s="79">
        <f t="shared" si="47"/>
        <v>151.99142800000001</v>
      </c>
      <c r="J208" s="79">
        <f t="shared" si="47"/>
        <v>151.99142800000001</v>
      </c>
    </row>
    <row r="209" spans="2:10">
      <c r="B209" s="32" t="s">
        <v>137</v>
      </c>
      <c r="C209" s="135"/>
      <c r="D209" s="135"/>
      <c r="E209" s="183">
        <v>0.08</v>
      </c>
      <c r="F209" s="79">
        <f>$E$209*(F182-F183)</f>
        <v>0</v>
      </c>
      <c r="G209" s="79">
        <f t="shared" ref="G209:J209" si="48">$E$209*(G182-G183)</f>
        <v>0</v>
      </c>
      <c r="H209" s="79">
        <f t="shared" si="48"/>
        <v>0</v>
      </c>
      <c r="I209" s="79">
        <f t="shared" si="48"/>
        <v>0</v>
      </c>
      <c r="J209" s="79">
        <f t="shared" si="48"/>
        <v>0</v>
      </c>
    </row>
    <row r="210" spans="2:10">
      <c r="B210" s="32" t="s">
        <v>136</v>
      </c>
      <c r="C210" s="173"/>
      <c r="D210" s="135"/>
      <c r="E210" s="184">
        <v>0.04</v>
      </c>
      <c r="F210" s="79">
        <f>F184</f>
        <v>0</v>
      </c>
      <c r="G210" s="79">
        <f t="shared" ref="G210:J210" si="49">G184</f>
        <v>0</v>
      </c>
      <c r="H210" s="79">
        <f t="shared" si="49"/>
        <v>0</v>
      </c>
      <c r="I210" s="79">
        <f t="shared" si="49"/>
        <v>0</v>
      </c>
      <c r="J210" s="79">
        <f t="shared" si="49"/>
        <v>0</v>
      </c>
    </row>
    <row r="211" spans="2:10">
      <c r="B211" s="32"/>
      <c r="C211" s="30"/>
      <c r="D211" s="30"/>
      <c r="E211" s="26"/>
      <c r="F211" s="98"/>
      <c r="G211" s="98"/>
      <c r="H211" s="98"/>
      <c r="I211" s="98"/>
      <c r="J211" s="59"/>
    </row>
    <row r="212" spans="2:10">
      <c r="B212" s="15" t="s">
        <v>117</v>
      </c>
      <c r="C212" s="17"/>
      <c r="D212" s="17"/>
      <c r="E212" s="17"/>
      <c r="F212" s="17"/>
      <c r="G212" s="17"/>
      <c r="H212" s="17"/>
      <c r="I212" s="17"/>
      <c r="J212" s="17"/>
    </row>
    <row r="214" spans="2:10">
      <c r="F214" s="299">
        <f>J201</f>
        <v>43496</v>
      </c>
      <c r="G214" s="299"/>
      <c r="H214" s="299"/>
      <c r="I214" s="299"/>
      <c r="J214" s="299"/>
    </row>
    <row r="216" spans="2:10">
      <c r="B216" s="4" t="s">
        <v>127</v>
      </c>
      <c r="C216" s="26"/>
      <c r="D216" s="13"/>
      <c r="E216" s="73" t="s">
        <v>126</v>
      </c>
      <c r="F216" s="131">
        <f>D17-1</f>
        <v>7.6999999999999993</v>
      </c>
      <c r="G216" s="110">
        <f>F216+$E$217</f>
        <v>8.1999999999999993</v>
      </c>
      <c r="H216" s="110">
        <f t="shared" ref="H216:J216" si="50">G216+$E$217</f>
        <v>8.6999999999999993</v>
      </c>
      <c r="I216" s="110">
        <f t="shared" si="50"/>
        <v>9.1999999999999993</v>
      </c>
      <c r="J216" s="110">
        <f t="shared" si="50"/>
        <v>9.6999999999999993</v>
      </c>
    </row>
    <row r="217" spans="2:10">
      <c r="B217" s="6" t="s">
        <v>60</v>
      </c>
      <c r="E217" s="182">
        <v>0.5</v>
      </c>
      <c r="F217" s="79" t="e">
        <f>$J$62</f>
        <v>#DIV/0!</v>
      </c>
      <c r="G217" s="79" t="e">
        <f>F217</f>
        <v>#DIV/0!</v>
      </c>
      <c r="H217" s="79" t="e">
        <f t="shared" ref="H217:J217" si="51">G217</f>
        <v>#DIV/0!</v>
      </c>
      <c r="I217" s="79" t="e">
        <f t="shared" si="51"/>
        <v>#DIV/0!</v>
      </c>
      <c r="J217" s="79" t="e">
        <f t="shared" si="51"/>
        <v>#DIV/0!</v>
      </c>
    </row>
    <row r="218" spans="2:10">
      <c r="B218" s="30" t="s">
        <v>56</v>
      </c>
      <c r="F218" s="171" t="e">
        <f>F216*F217</f>
        <v>#DIV/0!</v>
      </c>
      <c r="G218" s="171" t="e">
        <f>G216*G217</f>
        <v>#DIV/0!</v>
      </c>
      <c r="H218" s="171" t="e">
        <f>H216*H217</f>
        <v>#DIV/0!</v>
      </c>
      <c r="I218" s="171" t="e">
        <f>I216*I217</f>
        <v>#DIV/0!</v>
      </c>
      <c r="J218" s="171" t="e">
        <f>J216*J217</f>
        <v>#DIV/0!</v>
      </c>
    </row>
    <row r="219" spans="2:10">
      <c r="B219" s="96" t="s">
        <v>109</v>
      </c>
      <c r="F219" s="43"/>
    </row>
    <row r="220" spans="2:10">
      <c r="B220" s="97" t="s">
        <v>29</v>
      </c>
      <c r="F220" s="79" t="e">
        <f>J155</f>
        <v>#DIV/0!</v>
      </c>
      <c r="G220" s="79" t="e">
        <f t="shared" ref="G220:J222" si="52">F220</f>
        <v>#DIV/0!</v>
      </c>
      <c r="H220" s="79" t="e">
        <f t="shared" si="52"/>
        <v>#DIV/0!</v>
      </c>
      <c r="I220" s="79" t="e">
        <f t="shared" si="52"/>
        <v>#DIV/0!</v>
      </c>
      <c r="J220" s="79" t="e">
        <f t="shared" si="52"/>
        <v>#DIV/0!</v>
      </c>
    </row>
    <row r="221" spans="2:10">
      <c r="B221" s="64" t="s">
        <v>77</v>
      </c>
      <c r="F221" s="79" t="e">
        <f>+J163</f>
        <v>#DIV/0!</v>
      </c>
      <c r="G221" s="79" t="e">
        <f t="shared" si="52"/>
        <v>#DIV/0!</v>
      </c>
      <c r="H221" s="79" t="e">
        <f t="shared" si="52"/>
        <v>#DIV/0!</v>
      </c>
      <c r="I221" s="79" t="e">
        <f t="shared" si="52"/>
        <v>#DIV/0!</v>
      </c>
      <c r="J221" s="79" t="e">
        <f t="shared" si="52"/>
        <v>#DIV/0!</v>
      </c>
    </row>
    <row r="222" spans="2:10">
      <c r="B222" s="64" t="s">
        <v>78</v>
      </c>
      <c r="E222" s="135"/>
      <c r="F222" s="79" t="e">
        <f>J171</f>
        <v>#DIV/0!</v>
      </c>
      <c r="G222" s="79" t="e">
        <f t="shared" si="52"/>
        <v>#DIV/0!</v>
      </c>
      <c r="H222" s="79" t="e">
        <f t="shared" si="52"/>
        <v>#DIV/0!</v>
      </c>
      <c r="I222" s="79" t="e">
        <f t="shared" si="52"/>
        <v>#DIV/0!</v>
      </c>
      <c r="J222" s="79" t="e">
        <f t="shared" si="52"/>
        <v>#DIV/0!</v>
      </c>
    </row>
    <row r="223" spans="2:10">
      <c r="B223" s="64" t="s">
        <v>79</v>
      </c>
      <c r="E223" s="267"/>
      <c r="F223" s="79">
        <f>J178</f>
        <v>1899.89285</v>
      </c>
      <c r="G223" s="79">
        <f t="shared" ref="G223:J225" si="53">F223</f>
        <v>1899.89285</v>
      </c>
      <c r="H223" s="79">
        <f t="shared" si="53"/>
        <v>1899.89285</v>
      </c>
      <c r="I223" s="79">
        <f t="shared" si="53"/>
        <v>1899.89285</v>
      </c>
      <c r="J223" s="79">
        <f t="shared" si="53"/>
        <v>1899.89285</v>
      </c>
    </row>
    <row r="224" spans="2:10">
      <c r="B224" s="64" t="s">
        <v>80</v>
      </c>
      <c r="E224" s="268"/>
      <c r="F224" s="79">
        <f>J185</f>
        <v>0</v>
      </c>
      <c r="G224" s="79">
        <f t="shared" si="53"/>
        <v>0</v>
      </c>
      <c r="H224" s="79">
        <f t="shared" si="53"/>
        <v>0</v>
      </c>
      <c r="I224" s="79">
        <f t="shared" si="53"/>
        <v>0</v>
      </c>
      <c r="J224" s="79">
        <f t="shared" si="53"/>
        <v>0</v>
      </c>
    </row>
    <row r="225" spans="2:10">
      <c r="B225" s="64" t="s">
        <v>125</v>
      </c>
      <c r="E225" s="268"/>
      <c r="F225" s="79">
        <f>J191</f>
        <v>0</v>
      </c>
      <c r="G225" s="79">
        <f t="shared" si="53"/>
        <v>0</v>
      </c>
      <c r="H225" s="79">
        <f t="shared" si="53"/>
        <v>0</v>
      </c>
      <c r="I225" s="79">
        <f t="shared" si="53"/>
        <v>0</v>
      </c>
      <c r="J225" s="79">
        <f t="shared" si="53"/>
        <v>0</v>
      </c>
    </row>
    <row r="226" spans="2:10">
      <c r="B226" s="68" t="s">
        <v>47</v>
      </c>
      <c r="F226" s="79" t="e">
        <f>-(J142)</f>
        <v>#DIV/0!</v>
      </c>
      <c r="G226" s="79" t="e">
        <f>F226</f>
        <v>#DIV/0!</v>
      </c>
      <c r="H226" s="79" t="e">
        <f>G226</f>
        <v>#DIV/0!</v>
      </c>
      <c r="I226" s="79" t="e">
        <f>H226</f>
        <v>#DIV/0!</v>
      </c>
      <c r="J226" s="79" t="e">
        <f>I226</f>
        <v>#DIV/0!</v>
      </c>
    </row>
    <row r="227" spans="2:10">
      <c r="B227" s="56" t="s">
        <v>49</v>
      </c>
      <c r="C227" s="123" t="s">
        <v>234</v>
      </c>
      <c r="D227" s="124" t="s">
        <v>147</v>
      </c>
      <c r="E227" s="125" t="s">
        <v>189</v>
      </c>
      <c r="F227" s="171" t="e">
        <f>F218-SUM(F220:F226)</f>
        <v>#DIV/0!</v>
      </c>
      <c r="G227" s="171" t="e">
        <f>G218-SUM(G220:G226)</f>
        <v>#DIV/0!</v>
      </c>
      <c r="H227" s="171" t="e">
        <f>H218-SUM(H220:H226)</f>
        <v>#DIV/0!</v>
      </c>
      <c r="I227" s="171" t="e">
        <f>I218-SUM(I220:I226)</f>
        <v>#DIV/0!</v>
      </c>
      <c r="J227" s="171" t="e">
        <f>J218-SUM(J220:J226)</f>
        <v>#DIV/0!</v>
      </c>
    </row>
    <row r="228" spans="2:10">
      <c r="B228" s="32" t="s">
        <v>65</v>
      </c>
      <c r="C228" s="126">
        <f>D35</f>
        <v>1941.2308213199985</v>
      </c>
      <c r="D228" s="122">
        <f>C228/SUM($C$228:$C$231)</f>
        <v>0.88581597647366472</v>
      </c>
      <c r="E228" s="127">
        <f>(1-$E$231-$E$230)*(D228/SUM($D$228:$D$229))</f>
        <v>0.85924149717945475</v>
      </c>
      <c r="F228" s="79" t="e">
        <f t="shared" ref="F228:J231" si="54">F$227*$E228</f>
        <v>#DIV/0!</v>
      </c>
      <c r="G228" s="79" t="e">
        <f t="shared" si="54"/>
        <v>#DIV/0!</v>
      </c>
      <c r="H228" s="79" t="e">
        <f t="shared" si="54"/>
        <v>#DIV/0!</v>
      </c>
      <c r="I228" s="79" t="e">
        <f t="shared" si="54"/>
        <v>#DIV/0!</v>
      </c>
      <c r="J228" s="79" t="e">
        <f t="shared" si="54"/>
        <v>#DIV/0!</v>
      </c>
    </row>
    <row r="229" spans="2:10">
      <c r="B229" s="35" t="s">
        <v>132</v>
      </c>
      <c r="C229" s="126">
        <f>D34</f>
        <v>250.22979000000004</v>
      </c>
      <c r="D229" s="122">
        <f>C229/SUM($C$228:$C$231)</f>
        <v>0.11418402352633539</v>
      </c>
      <c r="E229" s="127">
        <f>(1-$E$231-$E$230)*(D229/SUM($D$228:$D$229))</f>
        <v>0.11075850282054532</v>
      </c>
      <c r="F229" s="79" t="e">
        <f t="shared" si="54"/>
        <v>#DIV/0!</v>
      </c>
      <c r="G229" s="79" t="e">
        <f t="shared" si="54"/>
        <v>#DIV/0!</v>
      </c>
      <c r="H229" s="79" t="e">
        <f t="shared" si="54"/>
        <v>#DIV/0!</v>
      </c>
      <c r="I229" s="79" t="e">
        <f t="shared" si="54"/>
        <v>#DIV/0!</v>
      </c>
      <c r="J229" s="79" t="e">
        <f t="shared" si="54"/>
        <v>#DIV/0!</v>
      </c>
    </row>
    <row r="230" spans="2:10">
      <c r="B230" s="35" t="s">
        <v>125</v>
      </c>
      <c r="C230" s="128"/>
      <c r="D230" s="122">
        <f>C230/SUM($C$228:$C$231)</f>
        <v>0</v>
      </c>
      <c r="E230" s="269">
        <v>0.02</v>
      </c>
      <c r="F230" s="79" t="e">
        <f t="shared" si="54"/>
        <v>#DIV/0!</v>
      </c>
      <c r="G230" s="79" t="e">
        <f t="shared" si="54"/>
        <v>#DIV/0!</v>
      </c>
      <c r="H230" s="79" t="e">
        <f t="shared" si="54"/>
        <v>#DIV/0!</v>
      </c>
      <c r="I230" s="79" t="e">
        <f t="shared" si="54"/>
        <v>#DIV/0!</v>
      </c>
      <c r="J230" s="79" t="e">
        <f t="shared" si="54"/>
        <v>#DIV/0!</v>
      </c>
    </row>
    <row r="231" spans="2:10">
      <c r="B231" s="35" t="s">
        <v>131</v>
      </c>
      <c r="C231" s="129"/>
      <c r="D231" s="130">
        <f>C231/SUM($C$228:$C$231)</f>
        <v>0</v>
      </c>
      <c r="E231" s="270">
        <v>0.01</v>
      </c>
      <c r="F231" s="79" t="e">
        <f t="shared" si="54"/>
        <v>#DIV/0!</v>
      </c>
      <c r="G231" s="79" t="e">
        <f t="shared" si="54"/>
        <v>#DIV/0!</v>
      </c>
      <c r="H231" s="79" t="e">
        <f t="shared" si="54"/>
        <v>#DIV/0!</v>
      </c>
      <c r="I231" s="79" t="e">
        <f t="shared" si="54"/>
        <v>#DIV/0!</v>
      </c>
      <c r="J231" s="79" t="e">
        <f t="shared" si="54"/>
        <v>#DIV/0!</v>
      </c>
    </row>
    <row r="232" spans="2:10">
      <c r="B232" s="56"/>
      <c r="C232" s="56"/>
      <c r="D232" s="56"/>
      <c r="E232" s="56"/>
      <c r="F232" s="58"/>
      <c r="G232" s="58"/>
      <c r="H232" s="58"/>
      <c r="I232" s="58"/>
      <c r="J232" s="13"/>
    </row>
    <row r="233" spans="2:10">
      <c r="B233" s="257" t="s">
        <v>103</v>
      </c>
      <c r="C233" s="56"/>
      <c r="D233" s="56"/>
      <c r="E233" s="56"/>
      <c r="F233" s="58"/>
      <c r="G233" s="58"/>
      <c r="H233" s="58"/>
      <c r="I233" s="58"/>
      <c r="J233" s="13"/>
    </row>
    <row r="234" spans="2:10">
      <c r="B234" s="13"/>
      <c r="C234" s="259" t="s">
        <v>142</v>
      </c>
      <c r="D234" s="259" t="s">
        <v>104</v>
      </c>
      <c r="E234" s="260" t="s">
        <v>120</v>
      </c>
      <c r="F234" s="261">
        <f>F39</f>
        <v>2015</v>
      </c>
      <c r="G234" s="261">
        <f>G39</f>
        <v>2016</v>
      </c>
      <c r="H234" s="261">
        <f>H39</f>
        <v>2017</v>
      </c>
      <c r="I234" s="261">
        <f>I39</f>
        <v>2018</v>
      </c>
      <c r="J234" s="261">
        <f>J39</f>
        <v>2019</v>
      </c>
    </row>
    <row r="235" spans="2:10">
      <c r="B235" s="6" t="s">
        <v>29</v>
      </c>
      <c r="C235" s="119" t="str">
        <f>IFERROR(SUM(F235:J235)/-E235, "NM")</f>
        <v>NM</v>
      </c>
      <c r="D235" s="107">
        <f>IFERROR(IRR(E235:J235),0)</f>
        <v>0</v>
      </c>
      <c r="E235" s="82">
        <f>-D28</f>
        <v>0</v>
      </c>
      <c r="F235" s="82" t="e">
        <f>-F154+F205</f>
        <v>#DIV/0!</v>
      </c>
      <c r="G235" s="82" t="e">
        <f>-G154+G205</f>
        <v>#DIV/0!</v>
      </c>
      <c r="H235" s="82" t="e">
        <f>-H154+H205</f>
        <v>#DIV/0!</v>
      </c>
      <c r="I235" s="82" t="e">
        <f>-I154+I205</f>
        <v>#DIV/0!</v>
      </c>
      <c r="J235" s="231" t="e">
        <f>-J154+J205+F220</f>
        <v>#DIV/0!</v>
      </c>
    </row>
    <row r="236" spans="2:10">
      <c r="B236" s="13" t="s">
        <v>77</v>
      </c>
      <c r="C236" s="119" t="str">
        <f>IFERROR(SUM(F236:J236)/-E236, "NM")</f>
        <v>NM</v>
      </c>
      <c r="D236" s="107">
        <f>IFERROR(IRR(E236:J236),0)</f>
        <v>0</v>
      </c>
      <c r="E236" s="82">
        <f>-D29</f>
        <v>0</v>
      </c>
      <c r="F236" s="82" t="e">
        <f>F161+F162+F206</f>
        <v>#DIV/0!</v>
      </c>
      <c r="G236" s="82" t="e">
        <f>G161+G162+G206</f>
        <v>#DIV/0!</v>
      </c>
      <c r="H236" s="82" t="e">
        <f>H161+H162+H206</f>
        <v>#DIV/0!</v>
      </c>
      <c r="I236" s="82" t="e">
        <f>I161+I162+I206</f>
        <v>#DIV/0!</v>
      </c>
      <c r="J236" s="231" t="e">
        <f>J161+J162+J206+F221</f>
        <v>#DIV/0!</v>
      </c>
    </row>
    <row r="237" spans="2:10">
      <c r="B237" s="13" t="s">
        <v>78</v>
      </c>
      <c r="C237" s="119" t="str">
        <f>IFERROR(SUM(F237:J237)/-E237, "NM")</f>
        <v>NM</v>
      </c>
      <c r="D237" s="107">
        <f>IFERROR(IRR(E237:J237),0)</f>
        <v>0</v>
      </c>
      <c r="E237" s="82">
        <f>-D30</f>
        <v>-4300.2452800000001</v>
      </c>
      <c r="F237" s="82" t="e">
        <f>F169+F170+F207</f>
        <v>#DIV/0!</v>
      </c>
      <c r="G237" s="82" t="e">
        <f>G169+G170+G207</f>
        <v>#DIV/0!</v>
      </c>
      <c r="H237" s="82" t="e">
        <f>H169+H170+H207</f>
        <v>#DIV/0!</v>
      </c>
      <c r="I237" s="82" t="e">
        <f>I169+I170+I207</f>
        <v>#DIV/0!</v>
      </c>
      <c r="J237" s="231" t="e">
        <f>J169+J170+J207+F222</f>
        <v>#DIV/0!</v>
      </c>
    </row>
    <row r="238" spans="2:10">
      <c r="B238" s="13" t="s">
        <v>79</v>
      </c>
      <c r="C238" s="119">
        <f>IFERROR(SUM(F238:J238)/-E238, "NM")</f>
        <v>1.4000000000000001</v>
      </c>
      <c r="D238" s="107">
        <f>IFERROR(IRR(E238:J238),0)</f>
        <v>7.9999999998561444E-2</v>
      </c>
      <c r="E238" s="82">
        <f>-D31</f>
        <v>-1899.89285</v>
      </c>
      <c r="F238" s="82">
        <f>F177+F208</f>
        <v>151.99142800000001</v>
      </c>
      <c r="G238" s="82">
        <f>G177+G208</f>
        <v>151.99142800000001</v>
      </c>
      <c r="H238" s="82">
        <f>H177+H208</f>
        <v>151.99142800000001</v>
      </c>
      <c r="I238" s="82">
        <f>I177+I208</f>
        <v>151.99142800000001</v>
      </c>
      <c r="J238" s="231">
        <f>J177+J208+F223</f>
        <v>2051.884278</v>
      </c>
    </row>
    <row r="239" spans="2:10">
      <c r="B239" s="48" t="s">
        <v>143</v>
      </c>
      <c r="C239" s="111"/>
      <c r="D239" s="107"/>
      <c r="E239" s="28"/>
      <c r="F239" s="28"/>
      <c r="G239" s="28"/>
      <c r="H239" s="28"/>
      <c r="I239" s="28"/>
      <c r="J239" s="103"/>
    </row>
    <row r="240" spans="2:10">
      <c r="B240" s="120">
        <f>$F$216</f>
        <v>7.6999999999999993</v>
      </c>
      <c r="C240" s="119" t="str">
        <f>IFERROR(SUM(F240:J240)/-E240, "NM")</f>
        <v>NM</v>
      </c>
      <c r="D240" s="107">
        <f>IFERROR(IRR(E240:J240),0)</f>
        <v>0</v>
      </c>
      <c r="E240" s="82">
        <f>-D32</f>
        <v>0</v>
      </c>
      <c r="F240" s="82">
        <f>F183+F209</f>
        <v>0</v>
      </c>
      <c r="G240" s="82">
        <f>G183+G209</f>
        <v>0</v>
      </c>
      <c r="H240" s="82">
        <f>H183+H209</f>
        <v>0</v>
      </c>
      <c r="I240" s="82">
        <f>I183+I209</f>
        <v>0</v>
      </c>
      <c r="J240" s="231" t="e">
        <f>J183+J209+F224+F231</f>
        <v>#DIV/0!</v>
      </c>
    </row>
    <row r="241" spans="2:10">
      <c r="B241" s="120">
        <f>$G$216</f>
        <v>8.1999999999999993</v>
      </c>
      <c r="C241" s="119" t="str">
        <f>IFERROR(SUM(F241:J241)/-E241, "NM")</f>
        <v>NM</v>
      </c>
      <c r="D241" s="107">
        <f>IFERROR(IRR(E241:J241),0)</f>
        <v>0</v>
      </c>
      <c r="E241" s="82">
        <f>E240</f>
        <v>0</v>
      </c>
      <c r="F241" s="82">
        <f t="shared" ref="F241:I244" si="55">F240</f>
        <v>0</v>
      </c>
      <c r="G241" s="82">
        <f t="shared" si="55"/>
        <v>0</v>
      </c>
      <c r="H241" s="82">
        <f t="shared" si="55"/>
        <v>0</v>
      </c>
      <c r="I241" s="82">
        <f t="shared" si="55"/>
        <v>0</v>
      </c>
      <c r="J241" s="231" t="e">
        <f>J183+J209+G224+G231</f>
        <v>#DIV/0!</v>
      </c>
    </row>
    <row r="242" spans="2:10">
      <c r="B242" s="120">
        <f>$H$216</f>
        <v>8.6999999999999993</v>
      </c>
      <c r="C242" s="119" t="str">
        <f>IFERROR(SUM(F242:J242)/-E242, "NM")</f>
        <v>NM</v>
      </c>
      <c r="D242" s="107">
        <f>IFERROR(IRR(E242:J242),0)</f>
        <v>0</v>
      </c>
      <c r="E242" s="82">
        <f t="shared" ref="E242:E244" si="56">E241</f>
        <v>0</v>
      </c>
      <c r="F242" s="82">
        <f t="shared" si="55"/>
        <v>0</v>
      </c>
      <c r="G242" s="82">
        <f t="shared" si="55"/>
        <v>0</v>
      </c>
      <c r="H242" s="82">
        <f t="shared" si="55"/>
        <v>0</v>
      </c>
      <c r="I242" s="82">
        <f t="shared" si="55"/>
        <v>0</v>
      </c>
      <c r="J242" s="231" t="e">
        <f>J183+J209+H224+H231</f>
        <v>#DIV/0!</v>
      </c>
    </row>
    <row r="243" spans="2:10">
      <c r="B243" s="120">
        <f>$I$216</f>
        <v>9.1999999999999993</v>
      </c>
      <c r="C243" s="119" t="str">
        <f>IFERROR(SUM(F243:J243)/-E243, "NM")</f>
        <v>NM</v>
      </c>
      <c r="D243" s="107">
        <f>IFERROR(IRR(E243:J243),0)</f>
        <v>0</v>
      </c>
      <c r="E243" s="82">
        <f t="shared" si="56"/>
        <v>0</v>
      </c>
      <c r="F243" s="82">
        <f t="shared" si="55"/>
        <v>0</v>
      </c>
      <c r="G243" s="82">
        <f t="shared" si="55"/>
        <v>0</v>
      </c>
      <c r="H243" s="82">
        <f t="shared" si="55"/>
        <v>0</v>
      </c>
      <c r="I243" s="82">
        <f t="shared" si="55"/>
        <v>0</v>
      </c>
      <c r="J243" s="231" t="e">
        <f>J183+J209+I224+I231</f>
        <v>#DIV/0!</v>
      </c>
    </row>
    <row r="244" spans="2:10">
      <c r="B244" s="120">
        <f>$J$216</f>
        <v>9.6999999999999993</v>
      </c>
      <c r="C244" s="119" t="str">
        <f>IFERROR(SUM(F244:J244)/-E244, "NM")</f>
        <v>NM</v>
      </c>
      <c r="D244" s="107">
        <f>IFERROR(IRR(E244:J244),0)</f>
        <v>0</v>
      </c>
      <c r="E244" s="82">
        <f t="shared" si="56"/>
        <v>0</v>
      </c>
      <c r="F244" s="82">
        <f t="shared" si="55"/>
        <v>0</v>
      </c>
      <c r="G244" s="82">
        <f t="shared" si="55"/>
        <v>0</v>
      </c>
      <c r="H244" s="82">
        <f t="shared" si="55"/>
        <v>0</v>
      </c>
      <c r="I244" s="82">
        <f t="shared" si="55"/>
        <v>0</v>
      </c>
      <c r="J244" s="231" t="e">
        <f>J183+J209+J224+J231</f>
        <v>#DIV/0!</v>
      </c>
    </row>
    <row r="245" spans="2:10">
      <c r="B245" s="48" t="s">
        <v>144</v>
      </c>
      <c r="C245" s="111"/>
      <c r="D245" s="107"/>
      <c r="E245" s="28"/>
      <c r="F245" s="28"/>
      <c r="G245" s="28"/>
      <c r="H245" s="28"/>
      <c r="I245" s="28"/>
      <c r="J245" s="103"/>
    </row>
    <row r="246" spans="2:10">
      <c r="B246" s="120">
        <f>$F$216</f>
        <v>7.6999999999999993</v>
      </c>
      <c r="C246" s="119" t="str">
        <f>IFERROR(SUM(F246:J246)/-E246, "NM")</f>
        <v>NM</v>
      </c>
      <c r="D246" s="107">
        <f>IFERROR(IRR(E246:J246),0)</f>
        <v>0</v>
      </c>
      <c r="E246" s="82">
        <f>-D33</f>
        <v>0</v>
      </c>
      <c r="F246" s="166">
        <f>F192</f>
        <v>0</v>
      </c>
      <c r="G246" s="166">
        <f>G192</f>
        <v>0</v>
      </c>
      <c r="H246" s="166">
        <f>H192</f>
        <v>0</v>
      </c>
      <c r="I246" s="166">
        <f>I192</f>
        <v>0</v>
      </c>
      <c r="J246" s="231" t="e">
        <f>J191+J192+F230</f>
        <v>#DIV/0!</v>
      </c>
    </row>
    <row r="247" spans="2:10">
      <c r="B247" s="120">
        <f>$G$216</f>
        <v>8.1999999999999993</v>
      </c>
      <c r="C247" s="119" t="str">
        <f>IFERROR(SUM(F247:J247)/-E247, "NM")</f>
        <v>NM</v>
      </c>
      <c r="D247" s="107">
        <f>IFERROR(IRR(E247:J247),0)</f>
        <v>0</v>
      </c>
      <c r="E247" s="82">
        <f>E246</f>
        <v>0</v>
      </c>
      <c r="F247" s="82">
        <f t="shared" ref="F247:I247" si="57">F246</f>
        <v>0</v>
      </c>
      <c r="G247" s="82">
        <f t="shared" si="57"/>
        <v>0</v>
      </c>
      <c r="H247" s="82">
        <f t="shared" si="57"/>
        <v>0</v>
      </c>
      <c r="I247" s="82">
        <f t="shared" si="57"/>
        <v>0</v>
      </c>
      <c r="J247" s="231" t="e">
        <f>J191+J192+G230</f>
        <v>#DIV/0!</v>
      </c>
    </row>
    <row r="248" spans="2:10">
      <c r="B248" s="120">
        <f>$H$216</f>
        <v>8.6999999999999993</v>
      </c>
      <c r="C248" s="119" t="str">
        <f>IFERROR(SUM(F248:J248)/-E248, "NM")</f>
        <v>NM</v>
      </c>
      <c r="D248" s="107">
        <f>IFERROR(IRR(E248:J248),0)</f>
        <v>0</v>
      </c>
      <c r="E248" s="82">
        <f t="shared" ref="E248:E250" si="58">E247</f>
        <v>0</v>
      </c>
      <c r="F248" s="82">
        <f t="shared" ref="F248:F250" si="59">F247</f>
        <v>0</v>
      </c>
      <c r="G248" s="82">
        <f t="shared" ref="G248:G250" si="60">G247</f>
        <v>0</v>
      </c>
      <c r="H248" s="82">
        <f t="shared" ref="H248:H250" si="61">H247</f>
        <v>0</v>
      </c>
      <c r="I248" s="82">
        <f t="shared" ref="I248:I250" si="62">I247</f>
        <v>0</v>
      </c>
      <c r="J248" s="231" t="e">
        <f>J191+J192+H230</f>
        <v>#DIV/0!</v>
      </c>
    </row>
    <row r="249" spans="2:10">
      <c r="B249" s="120">
        <f>$I$216</f>
        <v>9.1999999999999993</v>
      </c>
      <c r="C249" s="119" t="str">
        <f>IFERROR(SUM(F249:J249)/-E249, "NM")</f>
        <v>NM</v>
      </c>
      <c r="D249" s="107">
        <f>IFERROR(IRR(E249:J249),0)</f>
        <v>0</v>
      </c>
      <c r="E249" s="82">
        <f t="shared" si="58"/>
        <v>0</v>
      </c>
      <c r="F249" s="82">
        <f t="shared" si="59"/>
        <v>0</v>
      </c>
      <c r="G249" s="82">
        <f t="shared" si="60"/>
        <v>0</v>
      </c>
      <c r="H249" s="82">
        <f t="shared" si="61"/>
        <v>0</v>
      </c>
      <c r="I249" s="82">
        <f t="shared" si="62"/>
        <v>0</v>
      </c>
      <c r="J249" s="231" t="e">
        <f>J191+J192+I230</f>
        <v>#DIV/0!</v>
      </c>
    </row>
    <row r="250" spans="2:10">
      <c r="B250" s="120">
        <f>$J$216</f>
        <v>9.6999999999999993</v>
      </c>
      <c r="C250" s="119" t="str">
        <f>IFERROR(SUM(F250:J250)/-E250, "NM")</f>
        <v>NM</v>
      </c>
      <c r="D250" s="107">
        <f>IFERROR(IRR(E250:J250),0)</f>
        <v>0</v>
      </c>
      <c r="E250" s="82">
        <f t="shared" si="58"/>
        <v>0</v>
      </c>
      <c r="F250" s="82">
        <f t="shared" si="59"/>
        <v>0</v>
      </c>
      <c r="G250" s="82">
        <f t="shared" si="60"/>
        <v>0</v>
      </c>
      <c r="H250" s="82">
        <f t="shared" si="61"/>
        <v>0</v>
      </c>
      <c r="I250" s="82">
        <f t="shared" si="62"/>
        <v>0</v>
      </c>
      <c r="J250" s="231" t="e">
        <f>J191+J192+J230</f>
        <v>#DIV/0!</v>
      </c>
    </row>
    <row r="251" spans="2:10">
      <c r="B251" s="48" t="s">
        <v>145</v>
      </c>
      <c r="C251" s="112"/>
      <c r="D251" s="107"/>
      <c r="E251" s="28"/>
      <c r="F251" s="28"/>
      <c r="G251" s="28"/>
      <c r="H251" s="28"/>
      <c r="I251" s="28"/>
      <c r="J251" s="103"/>
    </row>
    <row r="252" spans="2:10">
      <c r="B252" s="120">
        <f>$F$216</f>
        <v>7.6999999999999993</v>
      </c>
      <c r="C252" s="119" t="str">
        <f>IFERROR(SUM(F252:J252)/-E252, "NM")</f>
        <v>NM</v>
      </c>
      <c r="D252" s="107">
        <f>IFERROR(IRR(E252:J252),0)</f>
        <v>0</v>
      </c>
      <c r="E252" s="82">
        <f>-(D34)</f>
        <v>-250.22979000000004</v>
      </c>
      <c r="F252" s="202">
        <v>0</v>
      </c>
      <c r="G252" s="202">
        <v>0</v>
      </c>
      <c r="H252" s="202">
        <v>0</v>
      </c>
      <c r="I252" s="202">
        <v>0</v>
      </c>
      <c r="J252" s="189" t="e">
        <f>F229</f>
        <v>#DIV/0!</v>
      </c>
    </row>
    <row r="253" spans="2:10">
      <c r="B253" s="120">
        <f>$G$216</f>
        <v>8.1999999999999993</v>
      </c>
      <c r="C253" s="119" t="str">
        <f>IFERROR(SUM(F253:J253)/-E253, "NM")</f>
        <v>NM</v>
      </c>
      <c r="D253" s="107">
        <f>IFERROR(IRR(E253:J253),0)</f>
        <v>0</v>
      </c>
      <c r="E253" s="82">
        <f>E252</f>
        <v>-250.22979000000004</v>
      </c>
      <c r="F253" s="82">
        <f t="shared" ref="F253:F256" si="63">F252</f>
        <v>0</v>
      </c>
      <c r="G253" s="82">
        <f t="shared" ref="G253:G256" si="64">G252</f>
        <v>0</v>
      </c>
      <c r="H253" s="82">
        <f t="shared" ref="H253:H256" si="65">H252</f>
        <v>0</v>
      </c>
      <c r="I253" s="82">
        <f t="shared" ref="I253:I256" si="66">I252</f>
        <v>0</v>
      </c>
      <c r="J253" s="189" t="e">
        <f>G229</f>
        <v>#DIV/0!</v>
      </c>
    </row>
    <row r="254" spans="2:10">
      <c r="B254" s="120">
        <f>$H$216</f>
        <v>8.6999999999999993</v>
      </c>
      <c r="C254" s="119" t="str">
        <f>IFERROR(SUM(F254:J254)/-E254, "NM")</f>
        <v>NM</v>
      </c>
      <c r="D254" s="107">
        <f>IFERROR(IRR(E254:J254),0)</f>
        <v>0</v>
      </c>
      <c r="E254" s="82">
        <f t="shared" ref="E254:E256" si="67">E253</f>
        <v>-250.22979000000004</v>
      </c>
      <c r="F254" s="82">
        <f t="shared" si="63"/>
        <v>0</v>
      </c>
      <c r="G254" s="82">
        <f t="shared" si="64"/>
        <v>0</v>
      </c>
      <c r="H254" s="82">
        <f t="shared" si="65"/>
        <v>0</v>
      </c>
      <c r="I254" s="82">
        <f t="shared" si="66"/>
        <v>0</v>
      </c>
      <c r="J254" s="189" t="e">
        <f>H229</f>
        <v>#DIV/0!</v>
      </c>
    </row>
    <row r="255" spans="2:10">
      <c r="B255" s="120">
        <f>$I$216</f>
        <v>9.1999999999999993</v>
      </c>
      <c r="C255" s="119" t="str">
        <f>IFERROR(SUM(F255:J255)/-E255, "NM")</f>
        <v>NM</v>
      </c>
      <c r="D255" s="107">
        <f>IFERROR(IRR(E255:J255),0)</f>
        <v>0</v>
      </c>
      <c r="E255" s="82">
        <f t="shared" si="67"/>
        <v>-250.22979000000004</v>
      </c>
      <c r="F255" s="82">
        <f t="shared" si="63"/>
        <v>0</v>
      </c>
      <c r="G255" s="82">
        <f t="shared" si="64"/>
        <v>0</v>
      </c>
      <c r="H255" s="82">
        <f t="shared" si="65"/>
        <v>0</v>
      </c>
      <c r="I255" s="82">
        <f t="shared" si="66"/>
        <v>0</v>
      </c>
      <c r="J255" s="189" t="e">
        <f>I229</f>
        <v>#DIV/0!</v>
      </c>
    </row>
    <row r="256" spans="2:10">
      <c r="B256" s="120">
        <f>$J$216</f>
        <v>9.6999999999999993</v>
      </c>
      <c r="C256" s="119" t="str">
        <f>IFERROR(SUM(F256:J256)/-E256, "NM")</f>
        <v>NM</v>
      </c>
      <c r="D256" s="107">
        <f>IFERROR(IRR(E256:J256),0)</f>
        <v>0</v>
      </c>
      <c r="E256" s="82">
        <f t="shared" si="67"/>
        <v>-250.22979000000004</v>
      </c>
      <c r="F256" s="82">
        <f t="shared" si="63"/>
        <v>0</v>
      </c>
      <c r="G256" s="82">
        <f t="shared" si="64"/>
        <v>0</v>
      </c>
      <c r="H256" s="82">
        <f t="shared" si="65"/>
        <v>0</v>
      </c>
      <c r="I256" s="82">
        <f t="shared" si="66"/>
        <v>0</v>
      </c>
      <c r="J256" s="189" t="e">
        <f>J229</f>
        <v>#DIV/0!</v>
      </c>
    </row>
    <row r="257" spans="2:11">
      <c r="B257" s="48" t="s">
        <v>146</v>
      </c>
      <c r="C257" s="106"/>
      <c r="D257" s="108"/>
      <c r="E257" s="28"/>
      <c r="F257" s="29"/>
      <c r="G257" s="29"/>
      <c r="H257" s="29"/>
      <c r="I257" s="29"/>
      <c r="J257" s="109"/>
    </row>
    <row r="258" spans="2:11">
      <c r="B258" s="120">
        <f>$F$216</f>
        <v>7.6999999999999993</v>
      </c>
      <c r="C258" s="119" t="str">
        <f>IFERROR(SUM(F258:J258)/-E258, "NM")</f>
        <v>NM</v>
      </c>
      <c r="D258" s="107" t="e">
        <f>IRR(E258:J258)</f>
        <v>#VALUE!</v>
      </c>
      <c r="E258" s="82">
        <f>-D35</f>
        <v>-1941.2308213199985</v>
      </c>
      <c r="F258" s="202">
        <v>0</v>
      </c>
      <c r="G258" s="202">
        <v>0</v>
      </c>
      <c r="H258" s="202">
        <v>0</v>
      </c>
      <c r="I258" s="202">
        <v>0</v>
      </c>
      <c r="J258" s="189" t="e">
        <f>F228</f>
        <v>#DIV/0!</v>
      </c>
    </row>
    <row r="259" spans="2:11">
      <c r="B259" s="120">
        <f>$G$216</f>
        <v>8.1999999999999993</v>
      </c>
      <c r="C259" s="119" t="str">
        <f>IFERROR(SUM(F259:J259)/-E259, "NM")</f>
        <v>NM</v>
      </c>
      <c r="D259" s="107" t="e">
        <f>IRR(E259:J259)</f>
        <v>#VALUE!</v>
      </c>
      <c r="E259" s="82">
        <f>E258</f>
        <v>-1941.2308213199985</v>
      </c>
      <c r="F259" s="82">
        <f t="shared" ref="F259:F262" si="68">F258</f>
        <v>0</v>
      </c>
      <c r="G259" s="82">
        <f t="shared" ref="G259:G262" si="69">G258</f>
        <v>0</v>
      </c>
      <c r="H259" s="82">
        <f t="shared" ref="H259:H262" si="70">H258</f>
        <v>0</v>
      </c>
      <c r="I259" s="82">
        <f t="shared" ref="I259:I262" si="71">I258</f>
        <v>0</v>
      </c>
      <c r="J259" s="189" t="e">
        <f>G228</f>
        <v>#DIV/0!</v>
      </c>
    </row>
    <row r="260" spans="2:11">
      <c r="B260" s="120">
        <f>$H$216</f>
        <v>8.6999999999999993</v>
      </c>
      <c r="C260" s="119" t="str">
        <f>IFERROR(SUM(F260:J260)/-E260, "NM")</f>
        <v>NM</v>
      </c>
      <c r="D260" s="107" t="e">
        <f>IRR(E260:J260)</f>
        <v>#VALUE!</v>
      </c>
      <c r="E260" s="82">
        <f t="shared" ref="E260:E262" si="72">E259</f>
        <v>-1941.2308213199985</v>
      </c>
      <c r="F260" s="82">
        <f t="shared" si="68"/>
        <v>0</v>
      </c>
      <c r="G260" s="82">
        <f t="shared" si="69"/>
        <v>0</v>
      </c>
      <c r="H260" s="82">
        <f t="shared" si="70"/>
        <v>0</v>
      </c>
      <c r="I260" s="82">
        <f t="shared" si="71"/>
        <v>0</v>
      </c>
      <c r="J260" s="189" t="e">
        <f>H228</f>
        <v>#DIV/0!</v>
      </c>
    </row>
    <row r="261" spans="2:11">
      <c r="B261" s="120">
        <f>$I$216</f>
        <v>9.1999999999999993</v>
      </c>
      <c r="C261" s="119" t="str">
        <f>IFERROR(SUM(F261:J261)/-E261, "NM")</f>
        <v>NM</v>
      </c>
      <c r="D261" s="107" t="e">
        <f>IRR(E261:J261)</f>
        <v>#VALUE!</v>
      </c>
      <c r="E261" s="82">
        <f t="shared" si="72"/>
        <v>-1941.2308213199985</v>
      </c>
      <c r="F261" s="82">
        <f t="shared" si="68"/>
        <v>0</v>
      </c>
      <c r="G261" s="82">
        <f t="shared" si="69"/>
        <v>0</v>
      </c>
      <c r="H261" s="82">
        <f t="shared" si="70"/>
        <v>0</v>
      </c>
      <c r="I261" s="82">
        <f t="shared" si="71"/>
        <v>0</v>
      </c>
      <c r="J261" s="189" t="e">
        <f>I228</f>
        <v>#DIV/0!</v>
      </c>
    </row>
    <row r="262" spans="2:11">
      <c r="B262" s="120">
        <f>$J$216</f>
        <v>9.6999999999999993</v>
      </c>
      <c r="C262" s="119" t="str">
        <f>IFERROR(SUM(F262:J262)/-E262, "NM")</f>
        <v>NM</v>
      </c>
      <c r="D262" s="107" t="e">
        <f>IRR(E262:J262)</f>
        <v>#VALUE!</v>
      </c>
      <c r="E262" s="82">
        <f t="shared" si="72"/>
        <v>-1941.2308213199985</v>
      </c>
      <c r="F262" s="82">
        <f t="shared" si="68"/>
        <v>0</v>
      </c>
      <c r="G262" s="82">
        <f t="shared" si="69"/>
        <v>0</v>
      </c>
      <c r="H262" s="82">
        <f t="shared" si="70"/>
        <v>0</v>
      </c>
      <c r="I262" s="82">
        <f t="shared" si="71"/>
        <v>0</v>
      </c>
      <c r="J262" s="189" t="e">
        <f>J228</f>
        <v>#DIV/0!</v>
      </c>
    </row>
    <row r="264" spans="2:11">
      <c r="B264" s="262" t="str">
        <f>"SUMMARY AT "&amp;TEXT(H216,"0.0x")&amp;" EXIT EBITDA MULTIPLE"</f>
        <v>SUMMARY AT 8.7x EXIT EBITDA MULTIPLE</v>
      </c>
      <c r="C264" s="17"/>
      <c r="D264" s="17"/>
      <c r="E264" s="17"/>
      <c r="F264" s="13"/>
      <c r="G264" s="13"/>
      <c r="H264" s="13"/>
      <c r="I264" s="13"/>
      <c r="J264" s="13"/>
    </row>
    <row r="265" spans="2:11">
      <c r="B265" s="54"/>
      <c r="C265" s="13"/>
      <c r="D265" s="13"/>
      <c r="E265" s="13"/>
      <c r="F265" s="259" t="s">
        <v>128</v>
      </c>
      <c r="G265" s="259" t="s">
        <v>129</v>
      </c>
      <c r="H265" s="259" t="s">
        <v>148</v>
      </c>
      <c r="I265" s="259" t="s">
        <v>142</v>
      </c>
      <c r="J265" s="259" t="s">
        <v>130</v>
      </c>
    </row>
    <row r="266" spans="2:11">
      <c r="B266" s="10" t="str">
        <f>B28</f>
        <v>Revolver</v>
      </c>
      <c r="F266" s="210">
        <f>D28</f>
        <v>0</v>
      </c>
      <c r="G266" s="116">
        <f t="shared" ref="G266:G274" si="73">F266/SUM($F$266:$F$273)</f>
        <v>0</v>
      </c>
      <c r="H266" s="115"/>
      <c r="I266" s="121" t="str">
        <f t="shared" ref="I266:J269" si="74">C235</f>
        <v>NM</v>
      </c>
      <c r="J266" s="114">
        <f t="shared" si="74"/>
        <v>0</v>
      </c>
    </row>
    <row r="267" spans="2:11">
      <c r="B267" s="10" t="str">
        <f>B29</f>
        <v>Term Loan A</v>
      </c>
      <c r="F267" s="210">
        <f>D29</f>
        <v>0</v>
      </c>
      <c r="G267" s="116">
        <f t="shared" si="73"/>
        <v>0</v>
      </c>
      <c r="H267" s="115"/>
      <c r="I267" s="121" t="str">
        <f t="shared" si="74"/>
        <v>NM</v>
      </c>
      <c r="J267" s="114">
        <f t="shared" si="74"/>
        <v>0</v>
      </c>
    </row>
    <row r="268" spans="2:11">
      <c r="B268" s="10" t="str">
        <f>B30</f>
        <v>Term Loan B</v>
      </c>
      <c r="F268" s="210">
        <f>D30</f>
        <v>4300.2452800000001</v>
      </c>
      <c r="G268" s="116">
        <f t="shared" si="73"/>
        <v>0.51244648517638391</v>
      </c>
      <c r="H268" s="115"/>
      <c r="I268" s="121" t="str">
        <f t="shared" si="74"/>
        <v>NM</v>
      </c>
      <c r="J268" s="114">
        <f t="shared" si="74"/>
        <v>0</v>
      </c>
    </row>
    <row r="269" spans="2:11">
      <c r="B269" s="10" t="str">
        <f>B31</f>
        <v>Senior Note</v>
      </c>
      <c r="F269" s="210">
        <f>D31</f>
        <v>1899.89285</v>
      </c>
      <c r="G269" s="116">
        <f t="shared" si="73"/>
        <v>0.22640415832146268</v>
      </c>
      <c r="H269" s="115"/>
      <c r="I269" s="121">
        <f t="shared" si="74"/>
        <v>1.4000000000000001</v>
      </c>
      <c r="J269" s="114">
        <f t="shared" si="74"/>
        <v>7.9999999998561444E-2</v>
      </c>
    </row>
    <row r="270" spans="2:11">
      <c r="B270" s="10" t="str">
        <f>B32</f>
        <v>Sub Note</v>
      </c>
      <c r="F270" s="210">
        <f>D32</f>
        <v>0</v>
      </c>
      <c r="G270" s="116">
        <f t="shared" si="73"/>
        <v>0</v>
      </c>
      <c r="H270" s="116">
        <f>E231</f>
        <v>0.01</v>
      </c>
      <c r="I270" s="121" t="str">
        <f>C242</f>
        <v>NM</v>
      </c>
      <c r="J270" s="114">
        <f>D242</f>
        <v>0</v>
      </c>
      <c r="K270" s="43"/>
    </row>
    <row r="271" spans="2:11">
      <c r="B271" s="10" t="str">
        <f>B33</f>
        <v>Preferred stock</v>
      </c>
      <c r="F271" s="210">
        <f>D33</f>
        <v>0</v>
      </c>
      <c r="G271" s="116">
        <f t="shared" si="73"/>
        <v>0</v>
      </c>
      <c r="H271" s="116">
        <f>E230</f>
        <v>0.02</v>
      </c>
      <c r="I271" s="121" t="str">
        <f>C248</f>
        <v>NM</v>
      </c>
      <c r="J271" s="114">
        <f>D248</f>
        <v>0</v>
      </c>
    </row>
    <row r="272" spans="2:11">
      <c r="B272" s="10" t="str">
        <f>B34</f>
        <v>Mgmt rollover</v>
      </c>
      <c r="F272" s="210">
        <f>D34</f>
        <v>250.22979000000004</v>
      </c>
      <c r="G272" s="116">
        <f t="shared" si="73"/>
        <v>2.9819084266729239E-2</v>
      </c>
      <c r="H272" s="116">
        <f>E229</f>
        <v>0.11075850282054532</v>
      </c>
      <c r="I272" s="121" t="str">
        <f>C254</f>
        <v>NM</v>
      </c>
      <c r="J272" s="114">
        <f>D254</f>
        <v>0</v>
      </c>
    </row>
    <row r="273" spans="2:11">
      <c r="B273" s="10" t="str">
        <f>B35</f>
        <v>Sponsor equity</v>
      </c>
      <c r="F273" s="210">
        <f>D35</f>
        <v>1941.2308213199985</v>
      </c>
      <c r="G273" s="116">
        <f t="shared" si="73"/>
        <v>0.23133027223542424</v>
      </c>
      <c r="H273" s="116">
        <f>E228</f>
        <v>0.85924149717945475</v>
      </c>
      <c r="I273" s="121" t="str">
        <f>C260</f>
        <v>NM</v>
      </c>
      <c r="J273" s="114" t="e">
        <f>D260</f>
        <v>#VALUE!</v>
      </c>
    </row>
    <row r="274" spans="2:11">
      <c r="B274" s="38" t="s">
        <v>28</v>
      </c>
      <c r="F274" s="232">
        <f>SUM(F266:F273)</f>
        <v>8391.5987413199982</v>
      </c>
      <c r="G274" s="118">
        <f t="shared" si="73"/>
        <v>1</v>
      </c>
      <c r="H274" s="118">
        <f>SUM(H266:H273)</f>
        <v>1</v>
      </c>
    </row>
    <row r="275" spans="2:11">
      <c r="B275" s="38"/>
      <c r="E275" s="117"/>
      <c r="G275" s="118"/>
      <c r="H275" s="118"/>
    </row>
    <row r="276" spans="2:11">
      <c r="B276" s="15" t="s">
        <v>236</v>
      </c>
      <c r="C276" s="17"/>
      <c r="D276" s="151"/>
      <c r="E276" s="265"/>
      <c r="F276" s="151"/>
      <c r="G276" s="151"/>
      <c r="H276" s="151"/>
      <c r="I276" s="17"/>
      <c r="J276" s="17"/>
      <c r="K276" s="13"/>
    </row>
    <row r="277" spans="2:11">
      <c r="B277" s="153"/>
      <c r="C277" s="152"/>
      <c r="D277" s="152"/>
      <c r="E277" s="263"/>
      <c r="F277" s="152"/>
      <c r="G277" s="152"/>
      <c r="H277" s="152"/>
      <c r="I277" s="13"/>
      <c r="J277" s="13"/>
      <c r="K277" s="13"/>
    </row>
    <row r="278" spans="2:11">
      <c r="B278" s="47"/>
      <c r="C278" s="306" t="s">
        <v>235</v>
      </c>
      <c r="E278" s="308" t="s">
        <v>222</v>
      </c>
      <c r="F278" s="309"/>
      <c r="G278" s="309"/>
      <c r="H278" s="309"/>
      <c r="I278" s="309"/>
      <c r="J278" s="310"/>
      <c r="K278" s="13"/>
    </row>
    <row r="279" spans="2:11">
      <c r="B279" s="10" t="s">
        <v>220</v>
      </c>
      <c r="C279" s="300" t="e">
        <f>J273</f>
        <v>#VALUE!</v>
      </c>
      <c r="E279" s="311">
        <v>0.15</v>
      </c>
      <c r="F279" s="312">
        <f>E279+0.05</f>
        <v>0.2</v>
      </c>
      <c r="G279" s="312">
        <f t="shared" ref="G279:I279" si="75">F279+0.05</f>
        <v>0.25</v>
      </c>
      <c r="H279" s="312">
        <f t="shared" si="75"/>
        <v>0.3</v>
      </c>
      <c r="I279" s="312">
        <f t="shared" si="75"/>
        <v>0.35</v>
      </c>
      <c r="J279" s="313">
        <f t="shared" ref="J279" si="76">I279+0.05</f>
        <v>0.39999999999999997</v>
      </c>
      <c r="K279" s="13"/>
    </row>
    <row r="280" spans="2:11">
      <c r="B280" s="10" t="s">
        <v>61</v>
      </c>
      <c r="C280" s="288">
        <f>H17</f>
        <v>8355.1921359999997</v>
      </c>
      <c r="E280" s="283" t="e">
        <f>-(PV(E279,5,0,LBO!$H$228))+SUM(LBO!$D$27:$D$34)-LBO!$D$21-LBO!$D$22</f>
        <v>#DIV/0!</v>
      </c>
      <c r="F280" s="58" t="e">
        <f>-(PV(F279,5,0,LBO!$H$228))+SUM(LBO!$D$27:$D$34)-LBO!$D$21-LBO!$D$22</f>
        <v>#DIV/0!</v>
      </c>
      <c r="G280" s="58" t="e">
        <f>-(PV(G279,5,0,LBO!$H$228))+SUM(LBO!$D$27:$D$34)-LBO!$D$21-LBO!$D$22</f>
        <v>#DIV/0!</v>
      </c>
      <c r="H280" s="58" t="e">
        <f>-(PV(H279,5,0,LBO!$H$228))+SUM(LBO!$D$27:$D$34)-LBO!$D$21-LBO!$D$22</f>
        <v>#DIV/0!</v>
      </c>
      <c r="I280" s="58" t="e">
        <f>-(PV(I279,5,0,LBO!$H$228))+SUM(LBO!$D$27:$D$34)-LBO!$D$21-LBO!$D$22</f>
        <v>#DIV/0!</v>
      </c>
      <c r="J280" s="314" t="e">
        <f>-(PV(J279,5,0,LBO!$H$228))+SUM(LBO!$D$27:$D$34)-LBO!$D$21-LBO!$D$22</f>
        <v>#DIV/0!</v>
      </c>
      <c r="K280" s="13"/>
    </row>
    <row r="281" spans="2:11">
      <c r="B281" s="10" t="str">
        <f>F18</f>
        <v>Diluted shares outstanding</v>
      </c>
      <c r="C281" s="301">
        <f>H18</f>
        <v>100.6649654939759</v>
      </c>
      <c r="E281" s="280">
        <f>$C$281</f>
        <v>100.6649654939759</v>
      </c>
      <c r="F281" s="28">
        <f>$C$281</f>
        <v>100.6649654939759</v>
      </c>
      <c r="G281" s="28">
        <f>$C$281</f>
        <v>100.6649654939759</v>
      </c>
      <c r="H281" s="28">
        <f>$C$281</f>
        <v>100.6649654939759</v>
      </c>
      <c r="I281" s="28">
        <f>$C$281</f>
        <v>100.6649654939759</v>
      </c>
      <c r="J281" s="315">
        <f t="shared" ref="J281" si="77">$C$281</f>
        <v>100.6649654939759</v>
      </c>
      <c r="K281" s="13"/>
    </row>
    <row r="282" spans="2:11">
      <c r="B282" s="10" t="str">
        <f>F20</f>
        <v>Offer value / per share</v>
      </c>
      <c r="C282" s="302">
        <f>C280/C281</f>
        <v>83</v>
      </c>
      <c r="E282" s="281" t="e">
        <f>E280/E281</f>
        <v>#DIV/0!</v>
      </c>
      <c r="F282" s="76" t="e">
        <f>F280/F281</f>
        <v>#DIV/0!</v>
      </c>
      <c r="G282" s="76" t="e">
        <f>G280/G281</f>
        <v>#DIV/0!</v>
      </c>
      <c r="H282" s="76" t="e">
        <f>H280/H281</f>
        <v>#DIV/0!</v>
      </c>
      <c r="I282" s="76" t="e">
        <f>I280/I281</f>
        <v>#DIV/0!</v>
      </c>
      <c r="J282" s="255" t="e">
        <f t="shared" ref="J282" si="78">J280/J281</f>
        <v>#DIV/0!</v>
      </c>
      <c r="K282" s="13"/>
    </row>
    <row r="283" spans="2:11">
      <c r="B283" s="69" t="str">
        <f>F21</f>
        <v>% Premium / discount</v>
      </c>
      <c r="C283" s="303">
        <f>C282/$D$8-1</f>
        <v>7.1197392834605688E-2</v>
      </c>
      <c r="E283" s="282" t="e">
        <f>E282/$D$8-1</f>
        <v>#DIV/0!</v>
      </c>
      <c r="F283" s="285" t="e">
        <f>F282/$D$8-1</f>
        <v>#DIV/0!</v>
      </c>
      <c r="G283" s="285" t="e">
        <f>G282/$D$8-1</f>
        <v>#DIV/0!</v>
      </c>
      <c r="H283" s="285" t="e">
        <f>H282/$D$8-1</f>
        <v>#DIV/0!</v>
      </c>
      <c r="I283" s="285" t="e">
        <f>I282/$D$8-1</f>
        <v>#DIV/0!</v>
      </c>
      <c r="J283" s="316" t="e">
        <f t="shared" ref="J283" si="79">J282/$D$8-1</f>
        <v>#DIV/0!</v>
      </c>
      <c r="K283" s="13"/>
    </row>
    <row r="284" spans="2:11">
      <c r="B284" s="69"/>
      <c r="C284" s="304"/>
      <c r="E284" s="282"/>
      <c r="F284" s="285"/>
      <c r="G284" s="285"/>
      <c r="H284" s="285"/>
      <c r="I284" s="285"/>
      <c r="J284" s="316"/>
      <c r="K284" s="13"/>
    </row>
    <row r="285" spans="2:11">
      <c r="B285" s="88" t="s">
        <v>56</v>
      </c>
      <c r="C285" s="305">
        <f>C280-$D$14-$D$15</f>
        <v>8100.4921359999998</v>
      </c>
      <c r="E285" s="283" t="e">
        <f>E280-$D$14-$D$15</f>
        <v>#DIV/0!</v>
      </c>
      <c r="F285" s="58" t="e">
        <f>F280-$D$14-$D$15</f>
        <v>#DIV/0!</v>
      </c>
      <c r="G285" s="58" t="e">
        <f>G280-$D$14-$D$15</f>
        <v>#DIV/0!</v>
      </c>
      <c r="H285" s="58" t="e">
        <f>H280-$D$14-$D$15</f>
        <v>#DIV/0!</v>
      </c>
      <c r="I285" s="58" t="e">
        <f>I280-$D$14-$D$15</f>
        <v>#DIV/0!</v>
      </c>
      <c r="J285" s="314" t="e">
        <f t="shared" ref="J285" si="80">J280-$D$14-$D$15</f>
        <v>#DIV/0!</v>
      </c>
    </row>
    <row r="286" spans="2:11">
      <c r="B286" s="69" t="s">
        <v>221</v>
      </c>
      <c r="C286" s="307">
        <f>C285/$D$13</f>
        <v>8.7404975911141509</v>
      </c>
      <c r="E286" s="284" t="e">
        <f>E285/$D$13</f>
        <v>#DIV/0!</v>
      </c>
      <c r="F286" s="317" t="e">
        <f>F285/$D$13</f>
        <v>#DIV/0!</v>
      </c>
      <c r="G286" s="317" t="e">
        <f>G285/$D$13</f>
        <v>#DIV/0!</v>
      </c>
      <c r="H286" s="317" t="e">
        <f>H285/$D$13</f>
        <v>#DIV/0!</v>
      </c>
      <c r="I286" s="317" t="e">
        <f>I285/$D$13</f>
        <v>#DIV/0!</v>
      </c>
      <c r="J286" s="318" t="e">
        <f t="shared" ref="J286" si="81">J285/$D$13</f>
        <v>#DIV/0!</v>
      </c>
      <c r="K286" s="13"/>
    </row>
    <row r="287" spans="2:11">
      <c r="B287" s="48"/>
      <c r="E287" s="160"/>
      <c r="G287" s="13"/>
      <c r="H287" s="13"/>
      <c r="I287" s="13"/>
      <c r="J287" s="13"/>
      <c r="K287" s="13"/>
    </row>
    <row r="288" spans="2:11">
      <c r="D288" s="264" t="s">
        <v>223</v>
      </c>
      <c r="E288" s="151"/>
      <c r="F288" s="151"/>
      <c r="G288" s="265"/>
      <c r="H288" s="151"/>
      <c r="I288" s="151"/>
      <c r="J288" s="151"/>
    </row>
    <row r="289" spans="2:14">
      <c r="B289" s="319" t="s">
        <v>237</v>
      </c>
      <c r="D289" s="238" t="s">
        <v>210</v>
      </c>
      <c r="E289" s="239"/>
      <c r="F289" s="239"/>
      <c r="G289" s="239"/>
      <c r="H289" s="239"/>
      <c r="I289" s="239"/>
      <c r="J289" s="239"/>
    </row>
    <row r="290" spans="2:14">
      <c r="B290" s="320">
        <v>0.3</v>
      </c>
      <c r="F290" s="153" t="str">
        <f>"Term A / EBITDA ratio (other cumulative leverage of "&amp;TEXT(SUM(C30:C32,C28),"0.0x")&amp;")"</f>
        <v>Term A / EBITDA ratio (other cumulative leverage of 6.7x)</v>
      </c>
      <c r="G290" s="154"/>
      <c r="H290" s="154"/>
      <c r="I290" s="154"/>
      <c r="J290" s="155"/>
      <c r="L290" s="13"/>
      <c r="M290" s="63"/>
      <c r="N290" s="63"/>
    </row>
    <row r="291" spans="2:14">
      <c r="D291" s="13"/>
      <c r="E291" s="156" t="e">
        <f>J273</f>
        <v>#VALUE!</v>
      </c>
      <c r="F291" s="240">
        <v>2</v>
      </c>
      <c r="G291" s="233">
        <f>F291+0.25</f>
        <v>2.25</v>
      </c>
      <c r="H291" s="233">
        <f>G291+0.25</f>
        <v>2.5</v>
      </c>
      <c r="I291" s="233">
        <f>H291+0.25</f>
        <v>2.75</v>
      </c>
      <c r="J291" s="233">
        <f>I291+0.25</f>
        <v>3</v>
      </c>
    </row>
    <row r="292" spans="2:14" ht="15" customHeight="1">
      <c r="D292" s="235"/>
      <c r="E292" s="240">
        <v>7</v>
      </c>
      <c r="F292" s="34" t="e">
        <f t="dataTable" ref="F292:J296" dt2D="1" dtr="1" r1="C29" r2="I11" ca="1"/>
        <v>#VALUE!</v>
      </c>
      <c r="G292" s="34" t="e">
        <v>#VALUE!</v>
      </c>
      <c r="H292" s="34" t="e">
        <v>#VALUE!</v>
      </c>
      <c r="I292" s="34" t="e">
        <v>#VALUE!</v>
      </c>
      <c r="J292" s="52" t="e">
        <v>#VALUE!</v>
      </c>
    </row>
    <row r="293" spans="2:14">
      <c r="D293" s="235" t="s">
        <v>120</v>
      </c>
      <c r="E293" s="236">
        <f>E292+0.25</f>
        <v>7.25</v>
      </c>
      <c r="F293" s="34" t="e">
        <v>#VALUE!</v>
      </c>
      <c r="G293" s="34" t="e">
        <v>#VALUE!</v>
      </c>
      <c r="H293" s="34" t="e">
        <v>#VALUE!</v>
      </c>
      <c r="I293" s="34" t="e">
        <v>#VALUE!</v>
      </c>
      <c r="J293" s="52" t="e">
        <v>#VALUE!</v>
      </c>
    </row>
    <row r="294" spans="2:14">
      <c r="D294" s="235" t="s">
        <v>27</v>
      </c>
      <c r="E294" s="236">
        <f>E293+0.25</f>
        <v>7.5</v>
      </c>
      <c r="F294" s="34" t="e">
        <v>#VALUE!</v>
      </c>
      <c r="G294" s="34" t="e">
        <v>#VALUE!</v>
      </c>
      <c r="H294" s="34" t="e">
        <v>#VALUE!</v>
      </c>
      <c r="I294" s="34" t="e">
        <v>#VALUE!</v>
      </c>
      <c r="J294" s="52" t="e">
        <v>#VALUE!</v>
      </c>
    </row>
    <row r="295" spans="2:14">
      <c r="D295" s="235" t="s">
        <v>157</v>
      </c>
      <c r="E295" s="236">
        <f>E294+0.25</f>
        <v>7.75</v>
      </c>
      <c r="F295" s="34" t="e">
        <v>#VALUE!</v>
      </c>
      <c r="G295" s="34" t="e">
        <v>#VALUE!</v>
      </c>
      <c r="H295" s="34" t="e">
        <v>#VALUE!</v>
      </c>
      <c r="I295" s="34" t="e">
        <v>#VALUE!</v>
      </c>
      <c r="J295" s="52" t="e">
        <v>#VALUE!</v>
      </c>
    </row>
    <row r="296" spans="2:14">
      <c r="D296" s="235"/>
      <c r="E296" s="236">
        <f>E295+0.25</f>
        <v>8</v>
      </c>
      <c r="F296" s="34" t="e">
        <v>#VALUE!</v>
      </c>
      <c r="G296" s="34" t="e">
        <v>#VALUE!</v>
      </c>
      <c r="H296" s="34" t="e">
        <v>#VALUE!</v>
      </c>
      <c r="I296" s="34" t="e">
        <v>#VALUE!</v>
      </c>
      <c r="J296" s="52" t="e">
        <v>#VALUE!</v>
      </c>
    </row>
    <row r="298" spans="2:14">
      <c r="D298" s="264" t="s">
        <v>224</v>
      </c>
      <c r="E298" s="151"/>
      <c r="F298" s="151"/>
      <c r="G298" s="265"/>
      <c r="H298" s="151"/>
      <c r="I298" s="151"/>
      <c r="J298" s="151"/>
    </row>
    <row r="299" spans="2:14">
      <c r="D299" s="238" t="s">
        <v>214</v>
      </c>
      <c r="E299" s="239"/>
      <c r="F299" s="239"/>
      <c r="G299" s="239"/>
      <c r="H299" s="239"/>
      <c r="I299" s="239"/>
      <c r="J299" s="239"/>
    </row>
    <row r="300" spans="2:14">
      <c r="D300" s="13"/>
      <c r="E300" s="13"/>
      <c r="F300" s="153" t="str">
        <f>"Term A / EBITDA ratio (other cumulative leverage of "&amp;TEXT(SUM(C30:C32,C28),"0.0x")&amp;")"</f>
        <v>Term A / EBITDA ratio (other cumulative leverage of 6.7x)</v>
      </c>
      <c r="G300" s="154"/>
      <c r="H300" s="154"/>
      <c r="I300" s="154"/>
      <c r="J300" s="154"/>
    </row>
    <row r="301" spans="2:14">
      <c r="D301" s="13"/>
      <c r="E301" s="156" t="e">
        <f>J273</f>
        <v>#VALUE!</v>
      </c>
      <c r="F301" s="240">
        <v>2</v>
      </c>
      <c r="G301" s="233">
        <f>F301+0.25</f>
        <v>2.25</v>
      </c>
      <c r="H301" s="233">
        <f>G301+0.25</f>
        <v>2.5</v>
      </c>
      <c r="I301" s="233">
        <f>H301+0.25</f>
        <v>2.75</v>
      </c>
      <c r="J301" s="233">
        <f>I301+0.25</f>
        <v>3</v>
      </c>
    </row>
    <row r="302" spans="2:14">
      <c r="D302" s="235"/>
      <c r="E302" s="241">
        <v>45</v>
      </c>
      <c r="F302" s="34" t="e">
        <f t="dataTable" ref="F302:J306" dt2D="1" dtr="1" r1="C29" r2="J20" ca="1"/>
        <v>#VALUE!</v>
      </c>
      <c r="G302" s="34" t="e">
        <v>#VALUE!</v>
      </c>
      <c r="H302" s="34" t="e">
        <v>#VALUE!</v>
      </c>
      <c r="I302" s="34" t="e">
        <v>#VALUE!</v>
      </c>
      <c r="J302" s="52" t="e">
        <v>#VALUE!</v>
      </c>
    </row>
    <row r="303" spans="2:14">
      <c r="D303" s="235" t="s">
        <v>120</v>
      </c>
      <c r="E303" s="234">
        <f>E302+0.25</f>
        <v>45.25</v>
      </c>
      <c r="F303" s="34" t="e">
        <v>#VALUE!</v>
      </c>
      <c r="G303" s="34" t="e">
        <v>#VALUE!</v>
      </c>
      <c r="H303" s="34" t="e">
        <v>#VALUE!</v>
      </c>
      <c r="I303" s="34" t="e">
        <v>#VALUE!</v>
      </c>
      <c r="J303" s="52" t="e">
        <v>#VALUE!</v>
      </c>
    </row>
    <row r="304" spans="2:14">
      <c r="D304" s="235" t="s">
        <v>208</v>
      </c>
      <c r="E304" s="234">
        <f>E303+0.25</f>
        <v>45.5</v>
      </c>
      <c r="F304" s="34" t="e">
        <v>#VALUE!</v>
      </c>
      <c r="G304" s="34" t="e">
        <v>#VALUE!</v>
      </c>
      <c r="H304" s="34" t="e">
        <v>#VALUE!</v>
      </c>
      <c r="I304" s="34" t="e">
        <v>#VALUE!</v>
      </c>
      <c r="J304" s="52" t="e">
        <v>#VALUE!</v>
      </c>
    </row>
    <row r="305" spans="2:11">
      <c r="D305" s="235" t="s">
        <v>209</v>
      </c>
      <c r="E305" s="234">
        <f>E304+0.25</f>
        <v>45.75</v>
      </c>
      <c r="F305" s="34" t="e">
        <v>#VALUE!</v>
      </c>
      <c r="G305" s="34" t="e">
        <v>#VALUE!</v>
      </c>
      <c r="H305" s="34" t="e">
        <v>#VALUE!</v>
      </c>
      <c r="I305" s="34" t="e">
        <v>#VALUE!</v>
      </c>
      <c r="J305" s="52" t="e">
        <v>#VALUE!</v>
      </c>
    </row>
    <row r="306" spans="2:11">
      <c r="D306" s="235"/>
      <c r="E306" s="234">
        <f>E305+0.25</f>
        <v>46</v>
      </c>
      <c r="F306" s="34" t="e">
        <v>#VALUE!</v>
      </c>
      <c r="G306" s="34" t="e">
        <v>#VALUE!</v>
      </c>
      <c r="H306" s="34" t="e">
        <v>#VALUE!</v>
      </c>
      <c r="I306" s="34" t="e">
        <v>#VALUE!</v>
      </c>
      <c r="J306" s="52" t="e">
        <v>#VALUE!</v>
      </c>
    </row>
    <row r="308" spans="2:11">
      <c r="D308" s="264" t="s">
        <v>225</v>
      </c>
      <c r="E308" s="151"/>
      <c r="F308" s="151"/>
      <c r="G308" s="265"/>
      <c r="H308" s="151"/>
      <c r="I308" s="151"/>
      <c r="J308" s="151"/>
    </row>
    <row r="309" spans="2:11">
      <c r="F309" s="153" t="s">
        <v>158</v>
      </c>
      <c r="G309" s="154"/>
      <c r="H309" s="154"/>
      <c r="I309" s="154"/>
      <c r="J309" s="155"/>
    </row>
    <row r="310" spans="2:11">
      <c r="E310" s="156" t="e">
        <f>J273</f>
        <v>#VALUE!</v>
      </c>
      <c r="F310" s="242">
        <v>0</v>
      </c>
      <c r="G310" s="157">
        <f>F310+0.02</f>
        <v>0.02</v>
      </c>
      <c r="H310" s="157">
        <f>G310+0.02</f>
        <v>0.04</v>
      </c>
      <c r="I310" s="157">
        <f>H310+0.02</f>
        <v>0.06</v>
      </c>
      <c r="J310" s="157">
        <f>I310+0.02</f>
        <v>0.08</v>
      </c>
    </row>
    <row r="311" spans="2:11">
      <c r="D311" s="235"/>
      <c r="E311" s="242">
        <v>0</v>
      </c>
      <c r="F311" s="9" t="e">
        <f t="dataTable" ref="F311:J315" dt2D="1" dtr="1" r1="E231" r2="E230"/>
        <v>#VALUE!</v>
      </c>
      <c r="G311" s="9" t="e">
        <v>#VALUE!</v>
      </c>
      <c r="H311" s="9" t="e">
        <v>#VALUE!</v>
      </c>
      <c r="I311" s="9" t="e">
        <v>#VALUE!</v>
      </c>
      <c r="J311" s="8" t="e">
        <v>#VALUE!</v>
      </c>
    </row>
    <row r="312" spans="2:11">
      <c r="D312" s="235" t="s">
        <v>159</v>
      </c>
      <c r="E312" s="237">
        <f>E311+0.02</f>
        <v>0.02</v>
      </c>
      <c r="F312" s="9" t="e">
        <v>#VALUE!</v>
      </c>
      <c r="G312" s="9" t="e">
        <v>#VALUE!</v>
      </c>
      <c r="H312" s="9" t="e">
        <v>#VALUE!</v>
      </c>
      <c r="I312" s="9" t="e">
        <v>#VALUE!</v>
      </c>
      <c r="J312" s="8" t="e">
        <v>#VALUE!</v>
      </c>
    </row>
    <row r="313" spans="2:11">
      <c r="D313" s="235" t="s">
        <v>160</v>
      </c>
      <c r="E313" s="237">
        <f>E312+0.02</f>
        <v>0.04</v>
      </c>
      <c r="F313" s="9" t="e">
        <v>#VALUE!</v>
      </c>
      <c r="G313" s="9" t="e">
        <v>#VALUE!</v>
      </c>
      <c r="H313" s="9" t="e">
        <v>#VALUE!</v>
      </c>
      <c r="I313" s="9" t="e">
        <v>#VALUE!</v>
      </c>
      <c r="J313" s="8" t="e">
        <v>#VALUE!</v>
      </c>
      <c r="K313" s="13"/>
    </row>
    <row r="314" spans="2:11">
      <c r="D314" s="235" t="s">
        <v>161</v>
      </c>
      <c r="E314" s="237">
        <f>E313+0.02</f>
        <v>0.06</v>
      </c>
      <c r="F314" s="9" t="e">
        <v>#VALUE!</v>
      </c>
      <c r="G314" s="9" t="e">
        <v>#VALUE!</v>
      </c>
      <c r="H314" s="9" t="e">
        <v>#VALUE!</v>
      </c>
      <c r="I314" s="9" t="e">
        <v>#VALUE!</v>
      </c>
      <c r="J314" s="8" t="e">
        <v>#VALUE!</v>
      </c>
      <c r="K314" s="13"/>
    </row>
    <row r="315" spans="2:11">
      <c r="D315" s="235"/>
      <c r="E315" s="237">
        <f>E314+0.02</f>
        <v>0.08</v>
      </c>
      <c r="F315" s="9" t="e">
        <v>#VALUE!</v>
      </c>
      <c r="G315" s="9" t="e">
        <v>#VALUE!</v>
      </c>
      <c r="H315" s="9" t="e">
        <v>#VALUE!</v>
      </c>
      <c r="I315" s="9" t="e">
        <v>#VALUE!</v>
      </c>
      <c r="J315" s="8" t="e">
        <v>#VALUE!</v>
      </c>
      <c r="K315" s="13"/>
    </row>
    <row r="316" spans="2:11">
      <c r="K316" s="13"/>
    </row>
    <row r="317" spans="2:11">
      <c r="B317" s="15" t="s">
        <v>203</v>
      </c>
      <c r="C317" s="17"/>
      <c r="D317" s="17"/>
      <c r="E317" s="17"/>
      <c r="F317" s="17"/>
      <c r="G317" s="17"/>
      <c r="H317" s="17"/>
      <c r="I317" s="17"/>
      <c r="J317" s="17"/>
      <c r="K317" s="13"/>
    </row>
    <row r="318" spans="2:11">
      <c r="G318" s="13"/>
      <c r="H318" s="215"/>
      <c r="I318" s="13"/>
      <c r="J318" s="216" t="s">
        <v>199</v>
      </c>
      <c r="K318" s="13"/>
    </row>
    <row r="319" spans="2:11">
      <c r="E319" s="218">
        <f>D39</f>
        <v>2013</v>
      </c>
      <c r="F319" s="218">
        <f>E39</f>
        <v>2014</v>
      </c>
      <c r="G319" s="63" t="s">
        <v>202</v>
      </c>
      <c r="H319" s="208"/>
      <c r="I319" s="63"/>
      <c r="J319" s="206">
        <f>F319</f>
        <v>2014</v>
      </c>
    </row>
    <row r="320" spans="2:11">
      <c r="B320" s="17"/>
      <c r="C320" s="17"/>
      <c r="D320" s="17"/>
      <c r="E320" s="207">
        <f>D40</f>
        <v>406550</v>
      </c>
      <c r="F320" s="207">
        <f>E40</f>
        <v>41672</v>
      </c>
      <c r="G320" s="209" t="s">
        <v>194</v>
      </c>
      <c r="H320" s="209" t="s">
        <v>195</v>
      </c>
      <c r="I320" s="209" t="s">
        <v>198</v>
      </c>
      <c r="J320" s="207">
        <f>F320</f>
        <v>41672</v>
      </c>
    </row>
    <row r="321" spans="2:11">
      <c r="B321" s="37" t="s">
        <v>47</v>
      </c>
      <c r="E321" s="79">
        <f>D142</f>
        <v>0</v>
      </c>
      <c r="F321" s="79">
        <f>E142</f>
        <v>254.70000000000002</v>
      </c>
      <c r="G321" s="210">
        <f>G333+G337-G326</f>
        <v>-8396.0689513199995</v>
      </c>
      <c r="H321" s="210">
        <f>H333+H336+H337</f>
        <v>8141.3689513199988</v>
      </c>
      <c r="I321" s="210"/>
      <c r="J321" s="79">
        <f t="shared" ref="J321:J327" si="82">SUM(F321:I321)</f>
        <v>0</v>
      </c>
    </row>
    <row r="322" spans="2:11">
      <c r="B322" s="37" t="str">
        <f>B76</f>
        <v>Accounts receivable, EOP</v>
      </c>
      <c r="E322" s="79">
        <f>D76</f>
        <v>72.197999999999993</v>
      </c>
      <c r="F322" s="79">
        <f>E76</f>
        <v>71.225999999999999</v>
      </c>
      <c r="G322" s="115"/>
      <c r="H322" s="210"/>
      <c r="I322" s="210"/>
      <c r="J322" s="79">
        <f t="shared" si="82"/>
        <v>71.225999999999999</v>
      </c>
    </row>
    <row r="323" spans="2:11">
      <c r="B323" s="37" t="str">
        <f>B78</f>
        <v>Other current assets, EOP</v>
      </c>
      <c r="E323" s="79">
        <f>D78</f>
        <v>828.7170000000001</v>
      </c>
      <c r="F323" s="79">
        <f>E78</f>
        <v>888.71</v>
      </c>
      <c r="G323" s="115"/>
      <c r="H323" s="210"/>
      <c r="I323" s="210"/>
      <c r="J323" s="79">
        <f t="shared" si="82"/>
        <v>888.71</v>
      </c>
    </row>
    <row r="324" spans="2:11">
      <c r="B324" s="37" t="str">
        <f>B91</f>
        <v>PP&amp;E</v>
      </c>
      <c r="E324" s="79">
        <f>D91</f>
        <v>985.70699999999999</v>
      </c>
      <c r="F324" s="79">
        <f>E91</f>
        <v>952.95500000000004</v>
      </c>
      <c r="G324" s="115"/>
      <c r="H324" s="210"/>
      <c r="I324" s="210"/>
      <c r="J324" s="79">
        <f t="shared" si="82"/>
        <v>952.95500000000004</v>
      </c>
    </row>
    <row r="325" spans="2:11">
      <c r="B325" s="37">
        <f>B97</f>
        <v>0</v>
      </c>
      <c r="E325" s="79">
        <f>D97</f>
        <v>0</v>
      </c>
      <c r="F325" s="79">
        <f>E97</f>
        <v>0</v>
      </c>
      <c r="G325" s="115"/>
      <c r="H325" s="210"/>
      <c r="I325" s="210"/>
      <c r="J325" s="79">
        <f t="shared" si="82"/>
        <v>0</v>
      </c>
    </row>
    <row r="326" spans="2:11">
      <c r="B326" s="37" t="str">
        <f>B103</f>
        <v>Intangible assets</v>
      </c>
      <c r="E326" s="79">
        <f>D103</f>
        <v>120</v>
      </c>
      <c r="F326" s="79">
        <f>E103</f>
        <v>100</v>
      </c>
      <c r="G326" s="210">
        <f>H33</f>
        <v>124.00276260000001</v>
      </c>
      <c r="H326" s="210"/>
      <c r="I326" s="210"/>
      <c r="J326" s="79">
        <f t="shared" si="82"/>
        <v>224.00276260000001</v>
      </c>
      <c r="K326" s="115" t="s">
        <v>206</v>
      </c>
    </row>
    <row r="327" spans="2:11">
      <c r="B327" s="37" t="str">
        <f>B107</f>
        <v>Goodwill and other assets</v>
      </c>
      <c r="E327" s="190">
        <f>D107</f>
        <v>2000</v>
      </c>
      <c r="F327" s="190">
        <f>E107</f>
        <v>2000</v>
      </c>
      <c r="G327" s="211"/>
      <c r="H327" s="212"/>
      <c r="I327" s="213">
        <f>IF(K327="LBO",H17-F337,0)</f>
        <v>5682.1921359999997</v>
      </c>
      <c r="J327" s="190">
        <f t="shared" si="82"/>
        <v>7682.1921359999997</v>
      </c>
      <c r="K327" s="219" t="s">
        <v>207</v>
      </c>
    </row>
    <row r="328" spans="2:11">
      <c r="B328" s="30" t="s">
        <v>190</v>
      </c>
      <c r="E328" s="171">
        <f>SUM(E321:E327)</f>
        <v>4006.6220000000003</v>
      </c>
      <c r="F328" s="171">
        <f t="shared" ref="F328" si="83">SUM(F321:F327)</f>
        <v>4267.5910000000003</v>
      </c>
      <c r="G328" s="115"/>
      <c r="H328" s="115"/>
      <c r="I328" s="115"/>
      <c r="J328" s="171">
        <f t="shared" ref="J328" si="84">SUM(J321:J327)</f>
        <v>9819.0858986000003</v>
      </c>
    </row>
    <row r="329" spans="2:11">
      <c r="E329" s="43"/>
      <c r="F329" s="43"/>
      <c r="G329" s="115"/>
      <c r="H329" s="115"/>
      <c r="I329" s="115"/>
    </row>
    <row r="330" spans="2:11">
      <c r="B330" s="37" t="str">
        <f>B80</f>
        <v>Accounts payable, EOP</v>
      </c>
      <c r="E330" s="79">
        <f>D80</f>
        <v>202.12200000000001</v>
      </c>
      <c r="F330" s="79">
        <f>E80</f>
        <v>255.251</v>
      </c>
      <c r="G330" s="115"/>
      <c r="H330" s="210"/>
      <c r="I330" s="210"/>
      <c r="J330" s="79">
        <f>SUM(F330:I330)</f>
        <v>255.251</v>
      </c>
    </row>
    <row r="331" spans="2:11">
      <c r="B331" s="37" t="str">
        <f>B82</f>
        <v>Accrued expenses &amp; def revenues, EOP</v>
      </c>
      <c r="E331" s="79">
        <f>D82</f>
        <v>246.75299999999999</v>
      </c>
      <c r="F331" s="79">
        <f>E82</f>
        <v>241.875</v>
      </c>
      <c r="G331" s="115"/>
      <c r="H331" s="210"/>
      <c r="I331" s="210"/>
      <c r="J331" s="79">
        <f>SUM(F331:I331)</f>
        <v>241.875</v>
      </c>
    </row>
    <row r="332" spans="2:11">
      <c r="B332" s="37" t="str">
        <f>B109</f>
        <v>Other liabilities</v>
      </c>
      <c r="E332" s="82">
        <f>D109</f>
        <v>200</v>
      </c>
      <c r="F332" s="82">
        <f>E109</f>
        <v>200</v>
      </c>
      <c r="G332" s="115"/>
      <c r="H332" s="214"/>
      <c r="I332" s="214"/>
      <c r="J332" s="79">
        <f>SUM(F332:I332)</f>
        <v>200</v>
      </c>
    </row>
    <row r="333" spans="2:11">
      <c r="B333" s="37" t="s">
        <v>196</v>
      </c>
      <c r="E333" s="74">
        <v>0</v>
      </c>
      <c r="F333" s="202">
        <v>1000</v>
      </c>
      <c r="G333" s="210">
        <f>-D21</f>
        <v>0</v>
      </c>
      <c r="H333" s="113">
        <f>SUM(D28:D32)</f>
        <v>6200.1381300000003</v>
      </c>
      <c r="I333" s="115"/>
      <c r="J333" s="79">
        <f>SUM(F333:I333)</f>
        <v>7200.1381300000003</v>
      </c>
    </row>
    <row r="334" spans="2:11">
      <c r="B334" s="30" t="s">
        <v>191</v>
      </c>
      <c r="E334" s="171">
        <f>SUM(E330:E333)</f>
        <v>648.875</v>
      </c>
      <c r="F334" s="171">
        <f>SUM(F330:F333)</f>
        <v>1697.126</v>
      </c>
      <c r="G334" s="115"/>
      <c r="H334" s="115"/>
      <c r="I334" s="115"/>
      <c r="J334" s="171">
        <f>SUM(J330:J333)</f>
        <v>7897.2641300000005</v>
      </c>
    </row>
    <row r="335" spans="2:11">
      <c r="E335" s="43"/>
      <c r="F335" s="43"/>
      <c r="G335" s="115"/>
      <c r="H335" s="115"/>
      <c r="I335" s="115"/>
    </row>
    <row r="336" spans="2:11">
      <c r="B336" s="37" t="s">
        <v>197</v>
      </c>
      <c r="E336" s="204" t="s">
        <v>201</v>
      </c>
      <c r="F336" s="204" t="s">
        <v>201</v>
      </c>
      <c r="G336" s="115"/>
      <c r="H336" s="113">
        <f>D33</f>
        <v>0</v>
      </c>
      <c r="I336" s="115"/>
      <c r="J336" s="79">
        <f>SUM(F336:I336)</f>
        <v>0</v>
      </c>
    </row>
    <row r="337" spans="2:11">
      <c r="B337" s="37" t="s">
        <v>160</v>
      </c>
      <c r="E337" s="168">
        <v>2683</v>
      </c>
      <c r="F337" s="168">
        <v>2673</v>
      </c>
      <c r="G337" s="210">
        <f>-D20-H36+D34</f>
        <v>-8272.0661887200004</v>
      </c>
      <c r="H337" s="113">
        <f>D35</f>
        <v>1941.2308213199985</v>
      </c>
      <c r="I337" s="210">
        <f>I327</f>
        <v>5682.1921359999997</v>
      </c>
      <c r="J337" s="79">
        <f>SUM(F337:I337)</f>
        <v>2024.3567685999978</v>
      </c>
    </row>
    <row r="338" spans="2:11">
      <c r="B338" s="30" t="s">
        <v>200</v>
      </c>
      <c r="E338" s="59">
        <f>SUM(E336:E337)</f>
        <v>2683</v>
      </c>
      <c r="F338" s="59">
        <f t="shared" ref="F338" si="85">SUM(F336:F337)</f>
        <v>2673</v>
      </c>
      <c r="J338" s="171">
        <f t="shared" ref="J338" si="86">SUM(J336:J337)</f>
        <v>2024.3567685999978</v>
      </c>
    </row>
    <row r="339" spans="2:11">
      <c r="B339" s="69" t="s">
        <v>192</v>
      </c>
      <c r="E339" s="203">
        <f>E328-E334-E338</f>
        <v>674.7470000000003</v>
      </c>
      <c r="F339" s="203">
        <f>F328-F334-F338</f>
        <v>-102.53499999999985</v>
      </c>
      <c r="G339" s="79"/>
      <c r="H339" s="43"/>
      <c r="J339" s="203">
        <f>J328-J334-J338</f>
        <v>-102.53499999999804</v>
      </c>
    </row>
    <row r="340" spans="2:11">
      <c r="B340" s="66"/>
      <c r="D340" s="66"/>
      <c r="E340" s="203"/>
      <c r="F340" s="203"/>
      <c r="G340" s="79"/>
      <c r="H340" s="43"/>
      <c r="J340" s="203"/>
    </row>
    <row r="341" spans="2:11">
      <c r="B341" s="15" t="s">
        <v>204</v>
      </c>
      <c r="D341" s="20"/>
      <c r="E341" s="217"/>
      <c r="F341" s="217"/>
      <c r="G341" s="190"/>
      <c r="H341" s="83"/>
      <c r="I341" s="17"/>
      <c r="J341" s="217"/>
      <c r="K341" s="17"/>
    </row>
    <row r="342" spans="2:11">
      <c r="B342" s="45" t="str">
        <f>B39</f>
        <v xml:space="preserve">Fiscal year  </v>
      </c>
      <c r="C342" s="133"/>
      <c r="D342" s="40">
        <f>C39</f>
        <v>2012</v>
      </c>
      <c r="E342" s="40">
        <f>D39</f>
        <v>2013</v>
      </c>
      <c r="F342" s="40">
        <f>E39</f>
        <v>2014</v>
      </c>
      <c r="G342" s="41">
        <f>F39</f>
        <v>2015</v>
      </c>
      <c r="H342" s="41">
        <f>G39</f>
        <v>2016</v>
      </c>
      <c r="I342" s="41">
        <f>H39</f>
        <v>2017</v>
      </c>
      <c r="J342" s="41">
        <f>I39</f>
        <v>2018</v>
      </c>
      <c r="K342" s="41">
        <f>J39</f>
        <v>2019</v>
      </c>
    </row>
    <row r="343" spans="2:11">
      <c r="B343" s="17" t="str">
        <f>B40</f>
        <v>Fiscal year end date</v>
      </c>
      <c r="C343" s="17"/>
      <c r="D343" s="42">
        <f>C40</f>
        <v>40937</v>
      </c>
      <c r="E343" s="42">
        <f>D40</f>
        <v>406550</v>
      </c>
      <c r="F343" s="42">
        <f>E40</f>
        <v>41672</v>
      </c>
      <c r="G343" s="42">
        <f>F40</f>
        <v>42034</v>
      </c>
      <c r="H343" s="42">
        <f>G40</f>
        <v>42400</v>
      </c>
      <c r="I343" s="42">
        <f>H40</f>
        <v>42766</v>
      </c>
      <c r="J343" s="42">
        <f>I40</f>
        <v>43131</v>
      </c>
      <c r="K343" s="42">
        <f>J40</f>
        <v>43496</v>
      </c>
    </row>
    <row r="344" spans="2:11">
      <c r="B344" s="37" t="str">
        <f>B321</f>
        <v>Cash</v>
      </c>
      <c r="D344" s="79">
        <f t="shared" ref="D344:E351" si="87">E321</f>
        <v>0</v>
      </c>
      <c r="E344" s="79">
        <f t="shared" si="87"/>
        <v>254.70000000000002</v>
      </c>
      <c r="F344" s="79">
        <f t="shared" ref="F344:F350" si="88">J321</f>
        <v>0</v>
      </c>
      <c r="G344" s="187" t="e">
        <f>F142</f>
        <v>#DIV/0!</v>
      </c>
      <c r="H344" s="187" t="e">
        <f>G142</f>
        <v>#DIV/0!</v>
      </c>
      <c r="I344" s="187" t="e">
        <f>H142</f>
        <v>#DIV/0!</v>
      </c>
      <c r="J344" s="187" t="e">
        <f>I142</f>
        <v>#DIV/0!</v>
      </c>
      <c r="K344" s="187" t="e">
        <f>J142</f>
        <v>#DIV/0!</v>
      </c>
    </row>
    <row r="345" spans="2:11">
      <c r="B345" s="37" t="str">
        <f t="shared" ref="B345:B362" si="89">B322</f>
        <v>Accounts receivable, EOP</v>
      </c>
      <c r="D345" s="79">
        <f t="shared" si="87"/>
        <v>72.197999999999993</v>
      </c>
      <c r="E345" s="79">
        <f t="shared" si="87"/>
        <v>71.225999999999999</v>
      </c>
      <c r="F345" s="79">
        <f t="shared" si="88"/>
        <v>71.225999999999999</v>
      </c>
      <c r="G345" s="187">
        <f>F76</f>
        <v>72.935424000000012</v>
      </c>
      <c r="H345" s="187">
        <f>G76</f>
        <v>76.80100147200001</v>
      </c>
      <c r="I345" s="187">
        <f>H76</f>
        <v>81.025056552959995</v>
      </c>
      <c r="J345" s="187">
        <f>I76</f>
        <v>85.805534889584635</v>
      </c>
      <c r="K345" s="187">
        <f>J76</f>
        <v>90.868061448070122</v>
      </c>
    </row>
    <row r="346" spans="2:11">
      <c r="B346" s="37" t="str">
        <f t="shared" si="89"/>
        <v>Other current assets, EOP</v>
      </c>
      <c r="D346" s="79">
        <f t="shared" si="87"/>
        <v>828.7170000000001</v>
      </c>
      <c r="E346" s="79">
        <f t="shared" si="87"/>
        <v>888.71</v>
      </c>
      <c r="F346" s="79">
        <f t="shared" si="88"/>
        <v>888.71</v>
      </c>
      <c r="G346" s="187">
        <f>F78</f>
        <v>910.03904000000011</v>
      </c>
      <c r="H346" s="187">
        <f>G78</f>
        <v>958.27110912000001</v>
      </c>
      <c r="I346" s="187">
        <f>H78</f>
        <v>1010.9760201216</v>
      </c>
      <c r="J346" s="187">
        <f>I78</f>
        <v>1070.6236053087741</v>
      </c>
      <c r="K346" s="187">
        <f>J78</f>
        <v>1133.7903980219919</v>
      </c>
    </row>
    <row r="347" spans="2:11">
      <c r="B347" s="37" t="str">
        <f t="shared" si="89"/>
        <v>PP&amp;E</v>
      </c>
      <c r="D347" s="79">
        <f t="shared" si="87"/>
        <v>985.70699999999999</v>
      </c>
      <c r="E347" s="79">
        <f t="shared" si="87"/>
        <v>952.95500000000004</v>
      </c>
      <c r="F347" s="79">
        <f t="shared" si="88"/>
        <v>952.95500000000004</v>
      </c>
      <c r="G347" s="187" t="e">
        <f>F91</f>
        <v>#DIV/0!</v>
      </c>
      <c r="H347" s="187" t="e">
        <f>G91</f>
        <v>#DIV/0!</v>
      </c>
      <c r="I347" s="187" t="e">
        <f>H91</f>
        <v>#DIV/0!</v>
      </c>
      <c r="J347" s="187" t="e">
        <f>I91</f>
        <v>#DIV/0!</v>
      </c>
      <c r="K347" s="187" t="e">
        <f>J91</f>
        <v>#DIV/0!</v>
      </c>
    </row>
    <row r="348" spans="2:11">
      <c r="B348" s="37">
        <f t="shared" si="89"/>
        <v>0</v>
      </c>
      <c r="D348" s="79">
        <f t="shared" si="87"/>
        <v>0</v>
      </c>
      <c r="E348" s="79">
        <f t="shared" si="87"/>
        <v>0</v>
      </c>
      <c r="F348" s="79">
        <f t="shared" si="88"/>
        <v>0</v>
      </c>
      <c r="G348" s="187">
        <f>F97</f>
        <v>0</v>
      </c>
      <c r="H348" s="187">
        <f>G97</f>
        <v>0</v>
      </c>
      <c r="I348" s="187">
        <f>H97</f>
        <v>0</v>
      </c>
      <c r="J348" s="187">
        <f>I97</f>
        <v>0</v>
      </c>
      <c r="K348" s="187">
        <f>J97</f>
        <v>0</v>
      </c>
    </row>
    <row r="349" spans="2:11">
      <c r="B349" s="37" t="str">
        <f t="shared" si="89"/>
        <v>Intangible assets</v>
      </c>
      <c r="D349" s="79">
        <f t="shared" si="87"/>
        <v>120</v>
      </c>
      <c r="E349" s="79">
        <f t="shared" si="87"/>
        <v>100</v>
      </c>
      <c r="F349" s="79">
        <f t="shared" si="88"/>
        <v>224.00276260000001</v>
      </c>
      <c r="G349" s="187">
        <f>F103+F197</f>
        <v>220.38337134761906</v>
      </c>
      <c r="H349" s="187">
        <f>G103+G197</f>
        <v>211.76398009523811</v>
      </c>
      <c r="I349" s="187">
        <f>H103+H197</f>
        <v>203.14458884285716</v>
      </c>
      <c r="J349" s="187">
        <f>I103+I197</f>
        <v>194.52519759047621</v>
      </c>
      <c r="K349" s="187">
        <f>J103+J197</f>
        <v>185.90580633809526</v>
      </c>
    </row>
    <row r="350" spans="2:11">
      <c r="B350" s="37" t="str">
        <f t="shared" si="89"/>
        <v>Goodwill and other assets</v>
      </c>
      <c r="D350" s="190">
        <f t="shared" si="87"/>
        <v>2000</v>
      </c>
      <c r="E350" s="190">
        <f t="shared" si="87"/>
        <v>2000</v>
      </c>
      <c r="F350" s="190">
        <f t="shared" si="88"/>
        <v>7682.1921359999997</v>
      </c>
      <c r="G350" s="72">
        <f>F107+$I$327</f>
        <v>7682.1921359999997</v>
      </c>
      <c r="H350" s="72">
        <f>G107+$I$327</f>
        <v>7682.1921359999997</v>
      </c>
      <c r="I350" s="72">
        <f>H107+$I$327</f>
        <v>7682.1921359999997</v>
      </c>
      <c r="J350" s="72">
        <f>I107+$I$327</f>
        <v>7682.1921359999997</v>
      </c>
      <c r="K350" s="72">
        <f>J107+$I$327</f>
        <v>7682.1921359999997</v>
      </c>
    </row>
    <row r="351" spans="2:11">
      <c r="B351" s="38" t="str">
        <f t="shared" si="89"/>
        <v>Total Assets</v>
      </c>
      <c r="D351" s="171">
        <f t="shared" si="87"/>
        <v>4006.6220000000003</v>
      </c>
      <c r="E351" s="171">
        <f t="shared" si="87"/>
        <v>4267.5910000000003</v>
      </c>
      <c r="F351" s="171">
        <f t="shared" ref="F351:K351" si="90">SUM(F344:F350)</f>
        <v>9819.0858986000003</v>
      </c>
      <c r="G351" s="205" t="e">
        <f t="shared" si="90"/>
        <v>#DIV/0!</v>
      </c>
      <c r="H351" s="205" t="e">
        <f t="shared" si="90"/>
        <v>#DIV/0!</v>
      </c>
      <c r="I351" s="205" t="e">
        <f t="shared" si="90"/>
        <v>#DIV/0!</v>
      </c>
      <c r="J351" s="205" t="e">
        <f t="shared" si="90"/>
        <v>#DIV/0!</v>
      </c>
      <c r="K351" s="205" t="e">
        <f t="shared" si="90"/>
        <v>#DIV/0!</v>
      </c>
    </row>
    <row r="352" spans="2:11">
      <c r="B352" s="37"/>
      <c r="D352" s="79"/>
      <c r="E352" s="79"/>
      <c r="F352" s="79"/>
      <c r="G352" s="187"/>
      <c r="H352" s="187"/>
      <c r="I352" s="187"/>
      <c r="J352" s="187"/>
      <c r="K352" s="187"/>
    </row>
    <row r="353" spans="2:11">
      <c r="B353" s="37" t="str">
        <f t="shared" si="89"/>
        <v>Accounts payable, EOP</v>
      </c>
      <c r="D353" s="79">
        <f t="shared" ref="D353:E356" si="91">E330</f>
        <v>202.12200000000001</v>
      </c>
      <c r="E353" s="79">
        <f t="shared" si="91"/>
        <v>255.251</v>
      </c>
      <c r="F353" s="79">
        <f>J330</f>
        <v>255.251</v>
      </c>
      <c r="G353" s="187">
        <f>F80</f>
        <v>259.08754749590105</v>
      </c>
      <c r="H353" s="187">
        <f>G80</f>
        <v>271.62956896298095</v>
      </c>
      <c r="I353" s="187">
        <f>H80</f>
        <v>282.38570335439817</v>
      </c>
      <c r="J353" s="187">
        <f>I80</f>
        <v>296.83130089043874</v>
      </c>
      <c r="K353" s="187">
        <f>J80</f>
        <v>314.34434764297458</v>
      </c>
    </row>
    <row r="354" spans="2:11">
      <c r="B354" s="37" t="str">
        <f t="shared" si="89"/>
        <v>Accrued expenses &amp; def revenues, EOP</v>
      </c>
      <c r="D354" s="79">
        <f t="shared" si="91"/>
        <v>246.75299999999999</v>
      </c>
      <c r="E354" s="79">
        <f t="shared" si="91"/>
        <v>241.875</v>
      </c>
      <c r="F354" s="79">
        <f>J331</f>
        <v>241.875</v>
      </c>
      <c r="G354" s="187">
        <f>F82</f>
        <v>247.68</v>
      </c>
      <c r="H354" s="187">
        <f>G82</f>
        <v>260.80704000000003</v>
      </c>
      <c r="I354" s="187">
        <f>H82</f>
        <v>275.1514272</v>
      </c>
      <c r="J354" s="187">
        <f>I82</f>
        <v>291.38536140479994</v>
      </c>
      <c r="K354" s="187">
        <f>J82</f>
        <v>308.57709772768317</v>
      </c>
    </row>
    <row r="355" spans="2:11">
      <c r="B355" s="37" t="str">
        <f t="shared" si="89"/>
        <v>Other liabilities</v>
      </c>
      <c r="D355" s="79">
        <f t="shared" si="91"/>
        <v>200</v>
      </c>
      <c r="E355" s="79">
        <f t="shared" si="91"/>
        <v>200</v>
      </c>
      <c r="F355" s="79">
        <f>J332</f>
        <v>200</v>
      </c>
      <c r="G355" s="51">
        <f>F109</f>
        <v>200</v>
      </c>
      <c r="H355" s="51">
        <f>G109</f>
        <v>200</v>
      </c>
      <c r="I355" s="51">
        <f>H109</f>
        <v>200</v>
      </c>
      <c r="J355" s="51">
        <f>I109</f>
        <v>200</v>
      </c>
      <c r="K355" s="51">
        <f>J109</f>
        <v>200</v>
      </c>
    </row>
    <row r="356" spans="2:11">
      <c r="B356" s="37" t="str">
        <f t="shared" si="89"/>
        <v xml:space="preserve">Debt </v>
      </c>
      <c r="D356" s="79">
        <f t="shared" si="91"/>
        <v>0</v>
      </c>
      <c r="E356" s="79">
        <f t="shared" si="91"/>
        <v>1000</v>
      </c>
      <c r="F356" s="79">
        <f>J333</f>
        <v>7200.1381300000003</v>
      </c>
      <c r="G356" s="187" t="e">
        <f>F155+F163+F171+F178+F185</f>
        <v>#DIV/0!</v>
      </c>
      <c r="H356" s="187" t="e">
        <f>G155+G163+G171+G178+G185</f>
        <v>#DIV/0!</v>
      </c>
      <c r="I356" s="187" t="e">
        <f>H155+H163+H171+H178+H185</f>
        <v>#DIV/0!</v>
      </c>
      <c r="J356" s="187" t="e">
        <f>I155+I163+I171+I178+I185</f>
        <v>#DIV/0!</v>
      </c>
      <c r="K356" s="187" t="e">
        <f>J155+J163+J171+J178+J185</f>
        <v>#DIV/0!</v>
      </c>
    </row>
    <row r="357" spans="2:11">
      <c r="B357" s="37" t="str">
        <f t="shared" si="89"/>
        <v>Total Liabilities</v>
      </c>
      <c r="D357" s="171">
        <f t="shared" ref="D357:F357" si="92">SUM(D353:D356)</f>
        <v>648.875</v>
      </c>
      <c r="E357" s="171">
        <f t="shared" si="92"/>
        <v>1697.126</v>
      </c>
      <c r="F357" s="171">
        <f t="shared" si="92"/>
        <v>7897.2641300000005</v>
      </c>
      <c r="G357" s="205" t="e">
        <f>SUM(G353:G356)</f>
        <v>#DIV/0!</v>
      </c>
      <c r="H357" s="205" t="e">
        <f>SUM(H353:H356)</f>
        <v>#DIV/0!</v>
      </c>
      <c r="I357" s="205" t="e">
        <f>SUM(I353:I356)</f>
        <v>#DIV/0!</v>
      </c>
      <c r="J357" s="205" t="e">
        <f>SUM(J353:J356)</f>
        <v>#DIV/0!</v>
      </c>
      <c r="K357" s="205" t="e">
        <f>SUM(K353:K356)</f>
        <v>#DIV/0!</v>
      </c>
    </row>
    <row r="358" spans="2:11">
      <c r="B358" s="37"/>
      <c r="D358" s="79"/>
      <c r="E358" s="79"/>
      <c r="F358" s="79"/>
      <c r="G358" s="187"/>
      <c r="H358" s="187"/>
      <c r="I358" s="187"/>
      <c r="J358" s="187"/>
      <c r="K358" s="187"/>
    </row>
    <row r="359" spans="2:11">
      <c r="B359" s="37" t="str">
        <f t="shared" si="89"/>
        <v>LBO Preferred stock</v>
      </c>
      <c r="D359" s="191" t="str">
        <f>E336</f>
        <v>NM</v>
      </c>
      <c r="E359" s="191" t="str">
        <f>F336</f>
        <v>NM</v>
      </c>
      <c r="F359" s="79">
        <f>J336</f>
        <v>0</v>
      </c>
      <c r="G359" s="187">
        <f>F191</f>
        <v>0</v>
      </c>
      <c r="H359" s="187">
        <f>G191</f>
        <v>0</v>
      </c>
      <c r="I359" s="187">
        <f>H191</f>
        <v>0</v>
      </c>
      <c r="J359" s="187">
        <f>I191</f>
        <v>0</v>
      </c>
      <c r="K359" s="187">
        <f>J191</f>
        <v>0</v>
      </c>
    </row>
    <row r="360" spans="2:11">
      <c r="B360" s="37" t="str">
        <f t="shared" si="89"/>
        <v>Equity</v>
      </c>
      <c r="D360" s="79">
        <f>E337</f>
        <v>2683</v>
      </c>
      <c r="E360" s="79">
        <f>F337</f>
        <v>2673</v>
      </c>
      <c r="F360" s="79">
        <f>J337</f>
        <v>2024.3567685999978</v>
      </c>
      <c r="G360" s="187">
        <f>F360+F53-F192-F190+F60+F196</f>
        <v>2459.0199191508341</v>
      </c>
      <c r="H360" s="187">
        <f>G360+G53-G192-G190+G60+G196</f>
        <v>2931.7279170287634</v>
      </c>
      <c r="I360" s="187">
        <f>H360+H53-H192-H190+H60+H196</f>
        <v>3490.6270037294858</v>
      </c>
      <c r="J360" s="187">
        <f>I360+I53-I192-I190+I60+I196</f>
        <v>4120.1507635447833</v>
      </c>
      <c r="K360" s="187">
        <f>J360+J53-J192-J190+J60+J196</f>
        <v>4798.9742826466008</v>
      </c>
    </row>
    <row r="361" spans="2:11">
      <c r="B361" s="37" t="str">
        <f t="shared" si="89"/>
        <v>Total equity</v>
      </c>
      <c r="D361" s="171">
        <f t="shared" ref="D361:E361" si="93">SUM(D359:D360)</f>
        <v>2683</v>
      </c>
      <c r="E361" s="171">
        <f t="shared" si="93"/>
        <v>2673</v>
      </c>
      <c r="F361" s="171">
        <f t="shared" ref="F361:K361" si="94">SUM(F359:F360)</f>
        <v>2024.3567685999978</v>
      </c>
      <c r="G361" s="205">
        <f t="shared" si="94"/>
        <v>2459.0199191508341</v>
      </c>
      <c r="H361" s="205">
        <f t="shared" si="94"/>
        <v>2931.7279170287634</v>
      </c>
      <c r="I361" s="205">
        <f t="shared" si="94"/>
        <v>3490.6270037294858</v>
      </c>
      <c r="J361" s="205">
        <f t="shared" si="94"/>
        <v>4120.1507635447833</v>
      </c>
      <c r="K361" s="205">
        <f t="shared" si="94"/>
        <v>4798.9742826466008</v>
      </c>
    </row>
    <row r="362" spans="2:11">
      <c r="B362" s="37" t="str">
        <f t="shared" si="89"/>
        <v>Balance check</v>
      </c>
      <c r="D362" s="79">
        <f>D351-D357-D361</f>
        <v>674.7470000000003</v>
      </c>
      <c r="E362" s="79">
        <f t="shared" ref="E362:F362" si="95">E351-E357-E361</f>
        <v>-102.53499999999985</v>
      </c>
      <c r="F362" s="79">
        <f t="shared" si="95"/>
        <v>-102.53499999999804</v>
      </c>
      <c r="G362" s="79" t="e">
        <f>G351-G357-G361</f>
        <v>#DIV/0!</v>
      </c>
      <c r="H362" s="79" t="e">
        <f>H351-H357-H361</f>
        <v>#DIV/0!</v>
      </c>
      <c r="I362" s="79" t="e">
        <f>I351-I357-I361</f>
        <v>#DIV/0!</v>
      </c>
      <c r="J362" s="79" t="e">
        <f>J351-J357-J361</f>
        <v>#DIV/0!</v>
      </c>
      <c r="K362" s="79" t="e">
        <f>K351-K357-K361</f>
        <v>#DIV/0!</v>
      </c>
    </row>
    <row r="363" spans="2:11">
      <c r="G363" s="79"/>
      <c r="H363" s="79"/>
      <c r="I363" s="79"/>
      <c r="J363" s="79"/>
    </row>
  </sheetData>
  <conditionalFormatting sqref="D300:J306">
    <cfRule type="expression" dxfId="4" priority="51" stopIfTrue="1">
      <formula>$H$7=1</formula>
    </cfRule>
  </conditionalFormatting>
  <conditionalFormatting sqref="D290:J296">
    <cfRule type="expression" dxfId="3" priority="52" stopIfTrue="1">
      <formula>$H$7=2</formula>
    </cfRule>
  </conditionalFormatting>
  <conditionalFormatting sqref="D289:J289">
    <cfRule type="expression" dxfId="2" priority="53">
      <formula>$H$7=1</formula>
    </cfRule>
  </conditionalFormatting>
  <conditionalFormatting sqref="D299:J299">
    <cfRule type="expression" dxfId="1" priority="54">
      <formula>$H$7=2</formula>
    </cfRule>
  </conditionalFormatting>
  <conditionalFormatting sqref="F292:J296 F311:J315 F302:J306">
    <cfRule type="cellIs" dxfId="0" priority="64" operator="greaterThan">
      <formula>$B$290</formula>
    </cfRule>
  </conditionalFormatting>
  <dataValidations count="6">
    <dataValidation type="list" allowBlank="1" showInputMessage="1" showErrorMessage="1" sqref="B3">
      <formula1>"$ bns except per share, $ mm except per share,$ in thousands except per share"</formula1>
    </dataValidation>
    <dataValidation type="list" allowBlank="1" showInputMessage="1" showErrorMessage="1" sqref="D10">
      <formula1>"ON,OFF"</formula1>
    </dataValidation>
    <dataValidation type="list" allowBlank="1" showInputMessage="1" showErrorMessage="1" sqref="K94 K100">
      <formula1>"Yes,No"</formula1>
    </dataValidation>
    <dataValidation type="list" allowBlank="1" showInputMessage="1" showErrorMessage="1" sqref="H7">
      <formula1>$I$7:$J$7</formula1>
    </dataValidation>
    <dataValidation type="list" allowBlank="1" showInputMessage="1" showErrorMessage="1" sqref="K327">
      <formula1>"LBO,Lev. Recap"</formula1>
    </dataValidation>
    <dataValidation allowBlank="1" showInputMessage="1" showErrorMessage="1" promptTitle="Input transaction fee assumption" prompt="Includes legal, accounting and advisory related fees.  Input as a % of the offer value." sqref="G36 C18"/>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3" sqref="F3"/>
    </sheetView>
  </sheetViews>
  <sheetFormatPr defaultRowHeight="14.4"/>
  <cols>
    <col min="1" max="1" width="18" customWidth="1"/>
    <col min="2" max="2" width="10.33203125" customWidth="1"/>
    <col min="3" max="3" width="9.6640625" customWidth="1"/>
  </cols>
  <sheetData>
    <row r="1" spans="1:6">
      <c r="A1" s="30" t="s">
        <v>241</v>
      </c>
      <c r="B1" t="s">
        <v>245</v>
      </c>
      <c r="C1" t="s">
        <v>244</v>
      </c>
      <c r="D1" t="s">
        <v>243</v>
      </c>
    </row>
    <row r="2" spans="1:6">
      <c r="A2" t="s">
        <v>242</v>
      </c>
      <c r="B2" s="324">
        <v>152669</v>
      </c>
      <c r="C2" s="326">
        <v>693318</v>
      </c>
      <c r="D2" s="324">
        <v>151014</v>
      </c>
      <c r="F2" s="326">
        <f>SUM(C2:D3)-SUM(B2:B3)</f>
        <v>926777</v>
      </c>
    </row>
    <row r="3" spans="1:6">
      <c r="A3" t="s">
        <v>246</v>
      </c>
      <c r="B3" s="325">
        <v>176794</v>
      </c>
      <c r="C3" s="326">
        <v>235431</v>
      </c>
      <c r="D3" s="325">
        <v>176477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28"/>
  <sheetViews>
    <sheetView zoomScaleNormal="100" workbookViewId="0">
      <selection activeCell="E6" sqref="E6"/>
    </sheetView>
  </sheetViews>
  <sheetFormatPr defaultRowHeight="14.4"/>
  <cols>
    <col min="1" max="1" width="1.6640625" customWidth="1"/>
    <col min="2" max="2" width="36.5546875" bestFit="1" customWidth="1"/>
    <col min="3" max="5" width="15.88671875" customWidth="1"/>
  </cols>
  <sheetData>
    <row r="1" spans="2:5" ht="15" thickBot="1"/>
    <row r="2" spans="2:5" ht="26.4" thickBot="1">
      <c r="B2" s="1" t="str">
        <f>"Diluted shares for "&amp;LBO!D6</f>
        <v>Diluted shares for Petsmart</v>
      </c>
      <c r="C2" s="11"/>
      <c r="D2" s="11"/>
      <c r="E2" s="254"/>
    </row>
    <row r="3" spans="2:5">
      <c r="B3" s="251" t="str">
        <f>LBO!B3</f>
        <v>$ mm except per share</v>
      </c>
      <c r="C3" s="10"/>
    </row>
    <row r="4" spans="2:5">
      <c r="B4" s="37"/>
      <c r="C4" s="10"/>
    </row>
    <row r="5" spans="2:5">
      <c r="B5" s="37" t="s">
        <v>178</v>
      </c>
      <c r="C5" s="10"/>
      <c r="E5" s="188">
        <v>83</v>
      </c>
    </row>
    <row r="6" spans="2:5">
      <c r="B6" s="253" t="str">
        <f>IF(E6&lt;&gt;E5,"Please ensure offer price matches offer price in model.","")</f>
        <v/>
      </c>
      <c r="C6" s="10"/>
      <c r="D6" t="s">
        <v>239</v>
      </c>
      <c r="E6" s="252">
        <f>LBO!H20</f>
        <v>83</v>
      </c>
    </row>
    <row r="7" spans="2:5">
      <c r="B7" s="80" t="s">
        <v>182</v>
      </c>
      <c r="E7" s="74">
        <v>99.411311999999995</v>
      </c>
    </row>
    <row r="8" spans="2:5">
      <c r="B8" s="37" t="s">
        <v>58</v>
      </c>
      <c r="C8" s="10"/>
      <c r="E8" s="150">
        <f>E28</f>
        <v>1.958</v>
      </c>
    </row>
    <row r="9" spans="2:5">
      <c r="B9" s="32" t="s">
        <v>50</v>
      </c>
      <c r="C9" s="10"/>
      <c r="E9" s="187">
        <f>SUMPRODUCT(D18:D27,E18:E27)</f>
        <v>90.49875999999999</v>
      </c>
    </row>
    <row r="10" spans="2:5">
      <c r="B10" s="32" t="s">
        <v>51</v>
      </c>
      <c r="C10" s="10"/>
      <c r="E10" s="187">
        <f>E9/E5</f>
        <v>1.0903465060240962</v>
      </c>
    </row>
    <row r="11" spans="2:5">
      <c r="B11" s="32" t="s">
        <v>52</v>
      </c>
      <c r="C11" s="10"/>
      <c r="E11" s="187">
        <f>E8-E10</f>
        <v>0.86765349397590374</v>
      </c>
    </row>
    <row r="12" spans="2:5">
      <c r="B12" s="32" t="s">
        <v>53</v>
      </c>
      <c r="C12" s="10"/>
      <c r="E12" s="74">
        <v>0.38600000000000001</v>
      </c>
    </row>
    <row r="13" spans="2:5">
      <c r="B13" s="32"/>
      <c r="C13" s="10"/>
      <c r="E13" s="74"/>
    </row>
    <row r="14" spans="2:5">
      <c r="B14" s="47" t="s">
        <v>54</v>
      </c>
      <c r="C14" s="10"/>
      <c r="D14" s="79"/>
      <c r="E14" s="187">
        <f>E7+E11+E12</f>
        <v>100.6649654939759</v>
      </c>
    </row>
    <row r="15" spans="2:5">
      <c r="B15" s="47"/>
      <c r="C15" s="10"/>
      <c r="D15" s="79"/>
      <c r="E15" s="187"/>
    </row>
    <row r="16" spans="2:5">
      <c r="B16" s="92" t="s">
        <v>219</v>
      </c>
      <c r="C16" s="17"/>
      <c r="D16" s="190"/>
      <c r="E16" s="72"/>
    </row>
    <row r="17" spans="2:5">
      <c r="C17" s="96" t="s">
        <v>179</v>
      </c>
      <c r="D17" s="96" t="s">
        <v>57</v>
      </c>
      <c r="E17" s="186" t="s">
        <v>180</v>
      </c>
    </row>
    <row r="18" spans="2:5">
      <c r="B18" s="246">
        <v>1</v>
      </c>
      <c r="C18" s="328">
        <v>1.958</v>
      </c>
      <c r="D18" s="329">
        <v>46.22</v>
      </c>
      <c r="E18" s="248">
        <f t="shared" ref="E18:E27" si="0">IF(D18&lt;$E$5,C18,0)</f>
        <v>1.958</v>
      </c>
    </row>
    <row r="19" spans="2:5">
      <c r="B19" s="246">
        <f>B18+1</f>
        <v>2</v>
      </c>
      <c r="C19" s="330"/>
      <c r="D19" s="329"/>
      <c r="E19" s="248">
        <f>IF(D19&lt;$E$5,C19,0)</f>
        <v>0</v>
      </c>
    </row>
    <row r="20" spans="2:5">
      <c r="B20" s="246">
        <f t="shared" ref="B20:B24" si="1">B19+1</f>
        <v>3</v>
      </c>
      <c r="C20" s="247"/>
      <c r="D20" s="247"/>
      <c r="E20" s="248">
        <f t="shared" si="0"/>
        <v>0</v>
      </c>
    </row>
    <row r="21" spans="2:5">
      <c r="B21" s="246">
        <f t="shared" si="1"/>
        <v>4</v>
      </c>
      <c r="C21" s="247"/>
      <c r="D21" s="247"/>
      <c r="E21" s="248">
        <f t="shared" si="0"/>
        <v>0</v>
      </c>
    </row>
    <row r="22" spans="2:5">
      <c r="B22" s="246">
        <f t="shared" si="1"/>
        <v>5</v>
      </c>
      <c r="C22" s="247"/>
      <c r="D22" s="247"/>
      <c r="E22" s="248">
        <f t="shared" si="0"/>
        <v>0</v>
      </c>
    </row>
    <row r="23" spans="2:5">
      <c r="B23" s="246">
        <f t="shared" si="1"/>
        <v>6</v>
      </c>
      <c r="C23" s="247"/>
      <c r="D23" s="247"/>
      <c r="E23" s="248">
        <f t="shared" si="0"/>
        <v>0</v>
      </c>
    </row>
    <row r="24" spans="2:5">
      <c r="B24" s="246">
        <f t="shared" si="1"/>
        <v>7</v>
      </c>
      <c r="C24" s="247"/>
      <c r="D24" s="247"/>
      <c r="E24" s="248">
        <f t="shared" si="0"/>
        <v>0</v>
      </c>
    </row>
    <row r="25" spans="2:5">
      <c r="B25" s="246">
        <f t="shared" ref="B25:B26" si="2">B24+1</f>
        <v>8</v>
      </c>
      <c r="E25" s="248">
        <f t="shared" si="0"/>
        <v>0</v>
      </c>
    </row>
    <row r="26" spans="2:5">
      <c r="B26" s="246">
        <f t="shared" si="2"/>
        <v>9</v>
      </c>
      <c r="C26" s="247"/>
      <c r="D26" s="247"/>
      <c r="E26" s="248">
        <f t="shared" si="0"/>
        <v>0</v>
      </c>
    </row>
    <row r="27" spans="2:5">
      <c r="B27" s="246">
        <f t="shared" ref="B27" si="3">B26+1</f>
        <v>10</v>
      </c>
      <c r="C27" s="247"/>
      <c r="D27" s="247"/>
      <c r="E27" s="249">
        <f t="shared" si="0"/>
        <v>0</v>
      </c>
    </row>
    <row r="28" spans="2:5">
      <c r="E28" s="250">
        <f>SUM(E18:E27)</f>
        <v>1.958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Sheet1</vt:lpstr>
      <vt:lpstr>Shares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Mary Roberts</cp:lastModifiedBy>
  <cp:lastPrinted>2014-05-30T16:55:05Z</cp:lastPrinted>
  <dcterms:created xsi:type="dcterms:W3CDTF">2014-05-28T19:09:08Z</dcterms:created>
  <dcterms:modified xsi:type="dcterms:W3CDTF">2017-07-26T00:03:54Z</dcterms:modified>
</cp:coreProperties>
</file>