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Users\Mary\Desktop\WSP Models\"/>
    </mc:Choice>
  </mc:AlternateContent>
  <bookViews>
    <workbookView xWindow="720" yWindow="528" windowWidth="15240" windowHeight="12180"/>
  </bookViews>
  <sheets>
    <sheet name="Financial Statement Model" sheetId="1" r:id="rId1"/>
    <sheet name="DCF" sheetId="11" r:id="rId2"/>
  </sheets>
  <externalReferences>
    <externalReference r:id="rId3"/>
    <externalReference r:id="rId4"/>
  </externalReferences>
  <definedNames>
    <definedName name="Inv_Cap">[1]Results!$E$182:$AD$182</definedName>
    <definedName name="NOPLAT">[1]Results!$E$145:$AD$145</definedName>
    <definedName name="One">'[1]Forecast Drivers'!$D$330</definedName>
    <definedName name="Products">[2]Array0!$B$5:$C$7</definedName>
    <definedName name="Rev">'[1]Forecast Drivers'!$E$25:$S$25</definedName>
  </definedNames>
  <calcPr calcId="171027" calcMode="autoNoTable" iterate="1"/>
</workbook>
</file>

<file path=xl/calcChain.xml><?xml version="1.0" encoding="utf-8"?>
<calcChain xmlns="http://schemas.openxmlformats.org/spreadsheetml/2006/main">
  <c r="F40" i="1" l="1"/>
  <c r="F41" i="1"/>
  <c r="J75" i="11"/>
  <c r="G62" i="1"/>
  <c r="H62" i="1"/>
  <c r="I62" i="1"/>
  <c r="J62" i="1"/>
  <c r="F62" i="1"/>
  <c r="F159" i="1"/>
  <c r="G157" i="1" s="1"/>
  <c r="G159" i="1" s="1"/>
  <c r="H157" i="1" s="1"/>
  <c r="H159" i="1" s="1"/>
  <c r="I157" i="1" s="1"/>
  <c r="I159" i="1" s="1"/>
  <c r="J157" i="1" s="1"/>
  <c r="J159" i="1" s="1"/>
  <c r="F157" i="1"/>
  <c r="E159" i="1"/>
  <c r="D159" i="1"/>
  <c r="F42" i="1"/>
  <c r="G42" i="1"/>
  <c r="H42" i="1"/>
  <c r="I42" i="1"/>
  <c r="J42" i="1"/>
  <c r="F43" i="1"/>
  <c r="G43" i="1"/>
  <c r="H43" i="1"/>
  <c r="I43" i="1"/>
  <c r="J43" i="1"/>
  <c r="J40" i="1"/>
  <c r="I40" i="1"/>
  <c r="H40" i="1"/>
  <c r="G40" i="1"/>
  <c r="C318" i="1"/>
  <c r="C319" i="1"/>
  <c r="C321" i="1"/>
  <c r="C322" i="1" s="1"/>
  <c r="C323" i="1" s="1"/>
  <c r="D317" i="1"/>
  <c r="E317" i="1"/>
  <c r="G317" i="1"/>
  <c r="H317" i="1" s="1"/>
  <c r="G342" i="1" l="1"/>
  <c r="G41" i="1" s="1"/>
  <c r="G345" i="1"/>
  <c r="H345" i="1" s="1"/>
  <c r="I345" i="1" s="1"/>
  <c r="J345" i="1" s="1"/>
  <c r="C131" i="11"/>
  <c r="E131" i="11"/>
  <c r="E130" i="11"/>
  <c r="C130" i="11"/>
  <c r="D106" i="11"/>
  <c r="D105" i="11"/>
  <c r="D103" i="11"/>
  <c r="D102" i="11"/>
  <c r="H342" i="1" l="1"/>
  <c r="C51" i="11"/>
  <c r="E13" i="1"/>
  <c r="E311" i="1"/>
  <c r="F207" i="1"/>
  <c r="G207" i="1" s="1"/>
  <c r="H207" i="1" s="1"/>
  <c r="I207" i="1" s="1"/>
  <c r="J207" i="1" s="1"/>
  <c r="F216" i="1"/>
  <c r="G216" i="1" s="1"/>
  <c r="H216" i="1" s="1"/>
  <c r="I216" i="1" s="1"/>
  <c r="J216" i="1" s="1"/>
  <c r="J24" i="1"/>
  <c r="I24" i="1"/>
  <c r="H24" i="1"/>
  <c r="G24" i="1"/>
  <c r="F24" i="1"/>
  <c r="J191" i="1"/>
  <c r="I191" i="1"/>
  <c r="H191" i="1"/>
  <c r="G191" i="1"/>
  <c r="F191" i="1"/>
  <c r="E136" i="1"/>
  <c r="F29" i="1"/>
  <c r="G29" i="1" s="1"/>
  <c r="H29" i="1" s="1"/>
  <c r="I29" i="1" s="1"/>
  <c r="J29" i="1" s="1"/>
  <c r="F21" i="1"/>
  <c r="G21" i="1" s="1"/>
  <c r="H21" i="1" s="1"/>
  <c r="I21" i="1" s="1"/>
  <c r="J21" i="1" s="1"/>
  <c r="F16" i="1"/>
  <c r="E74" i="1"/>
  <c r="E78" i="1" s="1"/>
  <c r="D74" i="1"/>
  <c r="D78" i="1" s="1"/>
  <c r="E67" i="1"/>
  <c r="D67" i="1"/>
  <c r="E70" i="1"/>
  <c r="C52" i="11" s="1"/>
  <c r="J61" i="11" s="1"/>
  <c r="D70" i="1"/>
  <c r="E61" i="1"/>
  <c r="D61" i="1"/>
  <c r="E55" i="1"/>
  <c r="D55" i="1"/>
  <c r="D33" i="1"/>
  <c r="E33" i="1"/>
  <c r="F33" i="1" s="1"/>
  <c r="G33" i="1" s="1"/>
  <c r="H33" i="1" s="1"/>
  <c r="I33" i="1" s="1"/>
  <c r="J33" i="1" s="1"/>
  <c r="C33" i="1"/>
  <c r="I342" i="1" l="1"/>
  <c r="H41" i="1"/>
  <c r="G16" i="1"/>
  <c r="G20" i="1" s="1"/>
  <c r="D64" i="1"/>
  <c r="D72" i="1"/>
  <c r="E72" i="1"/>
  <c r="F20" i="1"/>
  <c r="E64" i="1"/>
  <c r="D82" i="1" l="1"/>
  <c r="J342" i="1"/>
  <c r="J41" i="1" s="1"/>
  <c r="I41" i="1"/>
  <c r="E82" i="1"/>
  <c r="H16" i="1"/>
  <c r="H20" i="1" l="1"/>
  <c r="I16" i="1"/>
  <c r="J16" i="1" l="1"/>
  <c r="I20" i="1"/>
  <c r="D25" i="1"/>
  <c r="D18" i="1"/>
  <c r="E18" i="1"/>
  <c r="C18" i="1"/>
  <c r="E20" i="1"/>
  <c r="D20" i="1"/>
  <c r="C20" i="1"/>
  <c r="J20" i="1" l="1"/>
  <c r="E22" i="1"/>
  <c r="D22" i="1"/>
  <c r="C22" i="1"/>
  <c r="C96" i="11"/>
  <c r="C97" i="11" s="1"/>
  <c r="C94" i="11"/>
  <c r="C93" i="11" s="1"/>
  <c r="G92" i="11"/>
  <c r="H92" i="11" s="1"/>
  <c r="E92" i="11"/>
  <c r="D92" i="11" s="1"/>
  <c r="G83" i="11"/>
  <c r="H83" i="11" s="1"/>
  <c r="E83" i="11"/>
  <c r="D83" i="11" s="1"/>
  <c r="C87" i="11"/>
  <c r="C88" i="11" s="1"/>
  <c r="C85" i="11"/>
  <c r="C84" i="11" s="1"/>
  <c r="E26" i="1" l="1"/>
  <c r="E28" i="1" s="1"/>
  <c r="E30" i="1" s="1"/>
  <c r="E37" i="1" s="1"/>
  <c r="D26" i="1"/>
  <c r="D28" i="1" s="1"/>
  <c r="D30" i="1" s="1"/>
  <c r="D36" i="1" s="1"/>
  <c r="C26" i="1"/>
  <c r="C28" i="1" s="1"/>
  <c r="C30" i="1" s="1"/>
  <c r="C36" i="1" s="1"/>
  <c r="D37" i="1"/>
  <c r="E36" i="1" l="1"/>
  <c r="C37" i="1"/>
  <c r="J112" i="11"/>
  <c r="J111" i="11"/>
  <c r="H101" i="11"/>
  <c r="F101" i="11"/>
  <c r="E101" i="11" s="1"/>
  <c r="C57" i="11"/>
  <c r="D12" i="11"/>
  <c r="C12" i="11"/>
  <c r="C6" i="11"/>
  <c r="C5" i="11"/>
  <c r="B2" i="11"/>
  <c r="C53" i="11" l="1"/>
  <c r="I73" i="11" s="1"/>
  <c r="B130" i="11"/>
  <c r="D131" i="11"/>
  <c r="B131" i="11"/>
  <c r="D130" i="11"/>
  <c r="C60" i="11"/>
  <c r="I53" i="11" l="1"/>
  <c r="J53" i="11"/>
  <c r="C61" i="11"/>
  <c r="C62" i="11" s="1"/>
  <c r="C63" i="11" s="1"/>
  <c r="C65" i="11" s="1"/>
  <c r="I72" i="11" l="1"/>
  <c r="J72" i="11" s="1"/>
  <c r="J73" i="11" s="1"/>
  <c r="J56" i="11"/>
  <c r="I56" i="11"/>
  <c r="J114" i="11"/>
  <c r="J115" i="11" s="1"/>
  <c r="D132" i="11" l="1"/>
  <c r="G332" i="1" l="1"/>
  <c r="J334" i="1" l="1"/>
  <c r="I334" i="1"/>
  <c r="H334" i="1"/>
  <c r="G334" i="1"/>
  <c r="F334" i="1"/>
  <c r="J333" i="1"/>
  <c r="I333" i="1"/>
  <c r="H333" i="1"/>
  <c r="G333" i="1"/>
  <c r="F333" i="1"/>
  <c r="J332" i="1"/>
  <c r="I332" i="1"/>
  <c r="H332" i="1"/>
  <c r="F332" i="1"/>
  <c r="G310" i="1"/>
  <c r="H309" i="1"/>
  <c r="I309" i="1" s="1"/>
  <c r="J309" i="1" s="1"/>
  <c r="F304" i="1"/>
  <c r="D301" i="1"/>
  <c r="B301" i="1"/>
  <c r="B300" i="1"/>
  <c r="E297" i="1"/>
  <c r="D297" i="1"/>
  <c r="C297" i="1"/>
  <c r="E276" i="1"/>
  <c r="F274" i="1" s="1"/>
  <c r="D276" i="1"/>
  <c r="D271" i="1"/>
  <c r="B271" i="1"/>
  <c r="B270" i="1"/>
  <c r="J263" i="1"/>
  <c r="I263" i="1"/>
  <c r="H263" i="1"/>
  <c r="G263" i="1"/>
  <c r="F263" i="1"/>
  <c r="J259" i="1"/>
  <c r="I259" i="1"/>
  <c r="H259" i="1"/>
  <c r="G259" i="1"/>
  <c r="F259" i="1"/>
  <c r="J251" i="1"/>
  <c r="J28" i="11" s="1"/>
  <c r="I251" i="1"/>
  <c r="I28" i="11" s="1"/>
  <c r="H251" i="1"/>
  <c r="H28" i="11" s="1"/>
  <c r="G251" i="1"/>
  <c r="G28" i="11" s="1"/>
  <c r="F251" i="1"/>
  <c r="F28" i="11" s="1"/>
  <c r="J250" i="1"/>
  <c r="J27" i="11" s="1"/>
  <c r="I250" i="1"/>
  <c r="I27" i="11" s="1"/>
  <c r="H250" i="1"/>
  <c r="H27" i="11" s="1"/>
  <c r="G250" i="1"/>
  <c r="G27" i="11" s="1"/>
  <c r="F250" i="1"/>
  <c r="F27" i="11" s="1"/>
  <c r="J249" i="1"/>
  <c r="J26" i="11" s="1"/>
  <c r="I249" i="1"/>
  <c r="I26" i="11" s="1"/>
  <c r="H249" i="1"/>
  <c r="H26" i="11" s="1"/>
  <c r="G249" i="1"/>
  <c r="G26" i="11" s="1"/>
  <c r="F249" i="1"/>
  <c r="F26" i="11" s="1"/>
  <c r="J248" i="1"/>
  <c r="J25" i="11" s="1"/>
  <c r="I248" i="1"/>
  <c r="I25" i="11" s="1"/>
  <c r="H248" i="1"/>
  <c r="H25" i="11" s="1"/>
  <c r="G248" i="1"/>
  <c r="G25" i="11" s="1"/>
  <c r="F248" i="1"/>
  <c r="F25" i="11" s="1"/>
  <c r="D239" i="1"/>
  <c r="B239" i="1"/>
  <c r="B238" i="1"/>
  <c r="E235" i="1"/>
  <c r="F233" i="1" s="1"/>
  <c r="F235" i="1" s="1"/>
  <c r="D235" i="1"/>
  <c r="E226" i="1"/>
  <c r="F223" i="1" s="1"/>
  <c r="D226" i="1"/>
  <c r="D220" i="1"/>
  <c r="C220" i="1"/>
  <c r="B220" i="1"/>
  <c r="B219" i="1"/>
  <c r="E214" i="1"/>
  <c r="F212" i="1" s="1"/>
  <c r="D214" i="1"/>
  <c r="J213" i="1"/>
  <c r="J262" i="1" s="1"/>
  <c r="I213" i="1"/>
  <c r="I262" i="1" s="1"/>
  <c r="H213" i="1"/>
  <c r="H262" i="1" s="1"/>
  <c r="G213" i="1"/>
  <c r="G262" i="1" s="1"/>
  <c r="F213" i="1"/>
  <c r="F262" i="1" s="1"/>
  <c r="E208" i="1"/>
  <c r="E209" i="1" s="1"/>
  <c r="D208" i="1"/>
  <c r="D209" i="1" s="1"/>
  <c r="C208" i="1"/>
  <c r="C209" i="1" s="1"/>
  <c r="E205" i="1"/>
  <c r="F202" i="1" s="1"/>
  <c r="D205" i="1"/>
  <c r="J203" i="1"/>
  <c r="J261" i="1" s="1"/>
  <c r="I203" i="1"/>
  <c r="I261" i="1" s="1"/>
  <c r="H203" i="1"/>
  <c r="H261" i="1" s="1"/>
  <c r="G203" i="1"/>
  <c r="G261" i="1" s="1"/>
  <c r="F203" i="1"/>
  <c r="F261" i="1" s="1"/>
  <c r="D199" i="1"/>
  <c r="B199" i="1"/>
  <c r="B198" i="1"/>
  <c r="J195" i="1"/>
  <c r="I195" i="1"/>
  <c r="H195" i="1"/>
  <c r="G195" i="1"/>
  <c r="F195" i="1"/>
  <c r="E189" i="1"/>
  <c r="F186" i="1" s="1"/>
  <c r="D189" i="1"/>
  <c r="D183" i="1"/>
  <c r="B183" i="1"/>
  <c r="B182" i="1"/>
  <c r="E179" i="1"/>
  <c r="F177" i="1" s="1"/>
  <c r="F179" i="1" s="1"/>
  <c r="D179" i="1"/>
  <c r="E174" i="1"/>
  <c r="F172" i="1" s="1"/>
  <c r="F174" i="1" s="1"/>
  <c r="D174" i="1"/>
  <c r="E169" i="1"/>
  <c r="F167" i="1" s="1"/>
  <c r="F169" i="1" s="1"/>
  <c r="D169" i="1"/>
  <c r="D154" i="1"/>
  <c r="C154" i="1"/>
  <c r="B154" i="1"/>
  <c r="B153" i="1"/>
  <c r="E150" i="1"/>
  <c r="D150" i="1"/>
  <c r="E148" i="1"/>
  <c r="D148" i="1"/>
  <c r="E145" i="1"/>
  <c r="F142" i="1" s="1"/>
  <c r="D145" i="1"/>
  <c r="D140" i="1"/>
  <c r="C140" i="1"/>
  <c r="B140" i="1"/>
  <c r="B139" i="1"/>
  <c r="J132" i="1"/>
  <c r="I132" i="1"/>
  <c r="H132" i="1"/>
  <c r="G132" i="1"/>
  <c r="F132" i="1"/>
  <c r="J131" i="1"/>
  <c r="J256" i="1" s="1"/>
  <c r="J31" i="11" s="1"/>
  <c r="I131" i="1"/>
  <c r="I256" i="1" s="1"/>
  <c r="I31" i="11" s="1"/>
  <c r="H131" i="1"/>
  <c r="H256" i="1" s="1"/>
  <c r="H31" i="11" s="1"/>
  <c r="G131" i="1"/>
  <c r="G256" i="1" s="1"/>
  <c r="G31" i="11" s="1"/>
  <c r="F131" i="1"/>
  <c r="F256" i="1" s="1"/>
  <c r="F31" i="11" s="1"/>
  <c r="D128" i="1"/>
  <c r="C128" i="1"/>
  <c r="B128" i="1"/>
  <c r="B127" i="1"/>
  <c r="E114" i="1"/>
  <c r="E116" i="1" s="1"/>
  <c r="E117" i="1" s="1"/>
  <c r="D114" i="1"/>
  <c r="D116" i="1" s="1"/>
  <c r="E106" i="1"/>
  <c r="E109" i="1" s="1"/>
  <c r="D106" i="1"/>
  <c r="D109" i="1" s="1"/>
  <c r="E98" i="1"/>
  <c r="E100" i="1" s="1"/>
  <c r="E101" i="1" s="1"/>
  <c r="D98" i="1"/>
  <c r="D100" i="1" s="1"/>
  <c r="D93" i="1"/>
  <c r="B93" i="1"/>
  <c r="B92" i="1"/>
  <c r="E122" i="1"/>
  <c r="E133" i="1"/>
  <c r="F130" i="1" s="1"/>
  <c r="D133" i="1"/>
  <c r="E164" i="1"/>
  <c r="F162" i="1" s="1"/>
  <c r="F164" i="1" s="1"/>
  <c r="F59" i="1" s="1"/>
  <c r="D164" i="1"/>
  <c r="D294" i="1"/>
  <c r="D54" i="1"/>
  <c r="B54" i="1"/>
  <c r="B53" i="1"/>
  <c r="E43" i="1"/>
  <c r="D43" i="1"/>
  <c r="C43" i="1"/>
  <c r="E42" i="1"/>
  <c r="D42" i="1"/>
  <c r="C42" i="1"/>
  <c r="E40" i="1"/>
  <c r="D40" i="1"/>
  <c r="E41" i="1"/>
  <c r="D41" i="1"/>
  <c r="C41" i="1"/>
  <c r="E14" i="1"/>
  <c r="B2" i="1"/>
  <c r="F18" i="1" l="1"/>
  <c r="F150" i="1"/>
  <c r="G150" i="1" s="1"/>
  <c r="F209" i="1"/>
  <c r="G209" i="1" s="1"/>
  <c r="H209" i="1" s="1"/>
  <c r="I209" i="1" s="1"/>
  <c r="J209" i="1" s="1"/>
  <c r="G148" i="1"/>
  <c r="D101" i="1"/>
  <c r="F100" i="1"/>
  <c r="D117" i="1"/>
  <c r="F116" i="1"/>
  <c r="H188" i="1"/>
  <c r="H252" i="1" s="1"/>
  <c r="G188" i="1"/>
  <c r="G252" i="1" s="1"/>
  <c r="D85" i="1"/>
  <c r="F96" i="1"/>
  <c r="F104" i="1"/>
  <c r="F188" i="1"/>
  <c r="F252" i="1" s="1"/>
  <c r="J188" i="1"/>
  <c r="J252" i="1" s="1"/>
  <c r="I188" i="1"/>
  <c r="I252" i="1" s="1"/>
  <c r="F133" i="1"/>
  <c r="G130" i="1" s="1"/>
  <c r="G133" i="1" s="1"/>
  <c r="F214" i="1"/>
  <c r="F75" i="1" s="1"/>
  <c r="F58" i="1"/>
  <c r="G167" i="1"/>
  <c r="G169" i="1" s="1"/>
  <c r="G58" i="1" s="1"/>
  <c r="F71" i="1"/>
  <c r="G177" i="1"/>
  <c r="G179" i="1" s="1"/>
  <c r="H177" i="1" s="1"/>
  <c r="H179" i="1" s="1"/>
  <c r="H71" i="1" s="1"/>
  <c r="F63" i="1"/>
  <c r="G172" i="1"/>
  <c r="G174" i="1" s="1"/>
  <c r="H172" i="1" s="1"/>
  <c r="H174" i="1" s="1"/>
  <c r="I172" i="1" s="1"/>
  <c r="I174" i="1" s="1"/>
  <c r="D15" i="11"/>
  <c r="F112" i="1"/>
  <c r="E300" i="1"/>
  <c r="E270" i="1"/>
  <c r="E219" i="1"/>
  <c r="E182" i="1"/>
  <c r="E139" i="1"/>
  <c r="E127" i="1"/>
  <c r="E12" i="11"/>
  <c r="E11" i="11" s="1"/>
  <c r="E220" i="1"/>
  <c r="E239" i="1"/>
  <c r="E199" i="1"/>
  <c r="E183" i="1"/>
  <c r="E154" i="1"/>
  <c r="E54" i="1"/>
  <c r="E92" i="1"/>
  <c r="D122" i="1"/>
  <c r="D124" i="1" s="1"/>
  <c r="E128" i="1"/>
  <c r="E153" i="1"/>
  <c r="H167" i="1"/>
  <c r="H169" i="1" s="1"/>
  <c r="G233" i="1"/>
  <c r="G235" i="1" s="1"/>
  <c r="F77" i="1"/>
  <c r="E238" i="1"/>
  <c r="E301" i="1"/>
  <c r="D13" i="1"/>
  <c r="F13" i="1"/>
  <c r="F53" i="1" s="1"/>
  <c r="F14" i="1"/>
  <c r="E53" i="1"/>
  <c r="E124" i="1"/>
  <c r="F120" i="1"/>
  <c r="E93" i="1"/>
  <c r="E108" i="1"/>
  <c r="E140" i="1"/>
  <c r="G162" i="1"/>
  <c r="G164" i="1" s="1"/>
  <c r="E198" i="1"/>
  <c r="E271" i="1"/>
  <c r="E294" i="1"/>
  <c r="F292" i="1" s="1"/>
  <c r="F282" i="1"/>
  <c r="F284" i="1" s="1"/>
  <c r="E85" i="1"/>
  <c r="D108" i="1"/>
  <c r="F108" i="1" s="1"/>
  <c r="G108" i="1" s="1"/>
  <c r="H108" i="1" s="1"/>
  <c r="I108" i="1" s="1"/>
  <c r="J108" i="1" s="1"/>
  <c r="G116" i="1" l="1"/>
  <c r="F117" i="1"/>
  <c r="F124" i="1"/>
  <c r="G124" i="1" s="1"/>
  <c r="H124" i="1" s="1"/>
  <c r="I124" i="1" s="1"/>
  <c r="J124" i="1" s="1"/>
  <c r="G100" i="1"/>
  <c r="F101" i="1"/>
  <c r="E296" i="1"/>
  <c r="F296" i="1" s="1"/>
  <c r="G296" i="1" s="1"/>
  <c r="H296" i="1" s="1"/>
  <c r="I296" i="1" s="1"/>
  <c r="J296" i="1" s="1"/>
  <c r="G18" i="1"/>
  <c r="G212" i="1"/>
  <c r="G214" i="1" s="1"/>
  <c r="H212" i="1" s="1"/>
  <c r="H214" i="1" s="1"/>
  <c r="F61" i="1"/>
  <c r="F189" i="1"/>
  <c r="F192" i="1" s="1"/>
  <c r="G63" i="1"/>
  <c r="H63" i="1"/>
  <c r="G71" i="1"/>
  <c r="D49" i="1"/>
  <c r="D14" i="11" s="1"/>
  <c r="I177" i="1"/>
  <c r="I179" i="1" s="1"/>
  <c r="J177" i="1" s="1"/>
  <c r="J179" i="1" s="1"/>
  <c r="J71" i="1" s="1"/>
  <c r="H162" i="1"/>
  <c r="H164" i="1" s="1"/>
  <c r="G59" i="1"/>
  <c r="C15" i="11"/>
  <c r="C49" i="1"/>
  <c r="C14" i="11" s="1"/>
  <c r="F300" i="1"/>
  <c r="F270" i="1"/>
  <c r="F238" i="1"/>
  <c r="F219" i="1"/>
  <c r="F198" i="1"/>
  <c r="F153" i="1"/>
  <c r="F92" i="1"/>
  <c r="F182" i="1"/>
  <c r="F139" i="1"/>
  <c r="F127" i="1"/>
  <c r="G13" i="1"/>
  <c r="G53" i="1" s="1"/>
  <c r="D44" i="1"/>
  <c r="J172" i="1"/>
  <c r="J174" i="1" s="1"/>
  <c r="J63" i="1" s="1"/>
  <c r="I63" i="1"/>
  <c r="E86" i="1"/>
  <c r="D86" i="1"/>
  <c r="E15" i="11"/>
  <c r="E49" i="1"/>
  <c r="E14" i="11" s="1"/>
  <c r="F12" i="11"/>
  <c r="F301" i="1"/>
  <c r="F271" i="1"/>
  <c r="F239" i="1"/>
  <c r="F199" i="1"/>
  <c r="F220" i="1"/>
  <c r="F140" i="1"/>
  <c r="F128" i="1"/>
  <c r="F93" i="1"/>
  <c r="F54" i="1"/>
  <c r="F183" i="1"/>
  <c r="F154" i="1"/>
  <c r="G14" i="1"/>
  <c r="D300" i="1"/>
  <c r="D270" i="1"/>
  <c r="D238" i="1"/>
  <c r="D219" i="1"/>
  <c r="D198" i="1"/>
  <c r="D153" i="1"/>
  <c r="D92" i="1"/>
  <c r="D53" i="1"/>
  <c r="D127" i="1"/>
  <c r="D182" i="1"/>
  <c r="D139" i="1"/>
  <c r="C13" i="1"/>
  <c r="H233" i="1"/>
  <c r="H235" i="1" s="1"/>
  <c r="G77" i="1"/>
  <c r="I167" i="1"/>
  <c r="I169" i="1" s="1"/>
  <c r="H58" i="1"/>
  <c r="D11" i="11"/>
  <c r="C11" i="11" s="1"/>
  <c r="F11" i="11"/>
  <c r="G11" i="11" s="1"/>
  <c r="H11" i="11" s="1"/>
  <c r="I11" i="11" s="1"/>
  <c r="J11" i="11" s="1"/>
  <c r="G61" i="1"/>
  <c r="H130" i="1"/>
  <c r="H133" i="1" s="1"/>
  <c r="D16" i="11" l="1"/>
  <c r="D17" i="11" s="1"/>
  <c r="F35" i="11"/>
  <c r="F37" i="11" s="1"/>
  <c r="H100" i="1"/>
  <c r="G101" i="1"/>
  <c r="H116" i="1"/>
  <c r="G117" i="1"/>
  <c r="G75" i="1"/>
  <c r="H18" i="1"/>
  <c r="F331" i="1"/>
  <c r="F70" i="1"/>
  <c r="G186" i="1"/>
  <c r="G189" i="1" s="1"/>
  <c r="I71" i="1"/>
  <c r="I130" i="1"/>
  <c r="I133" i="1" s="1"/>
  <c r="H61" i="1"/>
  <c r="I212" i="1"/>
  <c r="I214" i="1" s="1"/>
  <c r="H75" i="1"/>
  <c r="C139" i="1"/>
  <c r="C127" i="1"/>
  <c r="C153" i="1"/>
  <c r="C219" i="1"/>
  <c r="C44" i="1"/>
  <c r="H59" i="1"/>
  <c r="I162" i="1"/>
  <c r="I164" i="1" s="1"/>
  <c r="J167" i="1"/>
  <c r="J169" i="1" s="1"/>
  <c r="J58" i="1" s="1"/>
  <c r="I58" i="1"/>
  <c r="I233" i="1"/>
  <c r="I235" i="1" s="1"/>
  <c r="H77" i="1"/>
  <c r="G12" i="11"/>
  <c r="G220" i="1"/>
  <c r="G301" i="1"/>
  <c r="G271" i="1"/>
  <c r="G183" i="1"/>
  <c r="G154" i="1"/>
  <c r="G199" i="1"/>
  <c r="G128" i="1"/>
  <c r="G54" i="1"/>
  <c r="H14" i="1"/>
  <c r="G239" i="1"/>
  <c r="G140" i="1"/>
  <c r="G93" i="1"/>
  <c r="E44" i="1"/>
  <c r="E16" i="11" s="1"/>
  <c r="E17" i="11" s="1"/>
  <c r="J110" i="11"/>
  <c r="J113" i="11" s="1"/>
  <c r="J116" i="11" s="1"/>
  <c r="D228" i="1"/>
  <c r="D229" i="1" s="1"/>
  <c r="D88" i="1"/>
  <c r="D309" i="1"/>
  <c r="D89" i="1"/>
  <c r="D87" i="1"/>
  <c r="G238" i="1"/>
  <c r="G198" i="1"/>
  <c r="G182" i="1"/>
  <c r="G139" i="1"/>
  <c r="G127" i="1"/>
  <c r="G300" i="1"/>
  <c r="G219" i="1"/>
  <c r="G153" i="1"/>
  <c r="G92" i="1"/>
  <c r="H13" i="1"/>
  <c r="H53" i="1" s="1"/>
  <c r="G270" i="1"/>
  <c r="F44" i="1" l="1"/>
  <c r="G44" i="1" s="1"/>
  <c r="H44" i="1" s="1"/>
  <c r="I44" i="1" s="1"/>
  <c r="J44" i="1" s="1"/>
  <c r="G35" i="11"/>
  <c r="G37" i="11" s="1"/>
  <c r="C16" i="11"/>
  <c r="C17" i="11" s="1"/>
  <c r="I116" i="1"/>
  <c r="H117" i="1"/>
  <c r="I100" i="1"/>
  <c r="H101" i="1"/>
  <c r="J18" i="1"/>
  <c r="I18" i="1"/>
  <c r="G192" i="1"/>
  <c r="G70" i="1"/>
  <c r="H186" i="1"/>
  <c r="H189" i="1" s="1"/>
  <c r="G331" i="1"/>
  <c r="G122" i="1" s="1"/>
  <c r="G67" i="1" s="1"/>
  <c r="J233" i="1"/>
  <c r="J235" i="1" s="1"/>
  <c r="J77" i="1" s="1"/>
  <c r="I77" i="1"/>
  <c r="C228" i="1"/>
  <c r="C229" i="1" s="1"/>
  <c r="C309" i="1"/>
  <c r="D310" i="1" s="1"/>
  <c r="I61" i="1"/>
  <c r="J130" i="1"/>
  <c r="J133" i="1" s="1"/>
  <c r="J61" i="1" s="1"/>
  <c r="H300" i="1"/>
  <c r="H270" i="1"/>
  <c r="H238" i="1"/>
  <c r="H219" i="1"/>
  <c r="H198" i="1"/>
  <c r="H153" i="1"/>
  <c r="H92" i="1"/>
  <c r="H127" i="1"/>
  <c r="H182" i="1"/>
  <c r="H139" i="1"/>
  <c r="I13" i="1"/>
  <c r="I53" i="1" s="1"/>
  <c r="E89" i="1"/>
  <c r="E88" i="1"/>
  <c r="E87" i="1"/>
  <c r="E228" i="1"/>
  <c r="E229" i="1" s="1"/>
  <c r="E309" i="1"/>
  <c r="H12" i="11"/>
  <c r="H301" i="1"/>
  <c r="H271" i="1"/>
  <c r="H239" i="1"/>
  <c r="H199" i="1"/>
  <c r="H140" i="1"/>
  <c r="H128" i="1"/>
  <c r="H93" i="1"/>
  <c r="H54" i="1"/>
  <c r="H220" i="1"/>
  <c r="H183" i="1"/>
  <c r="H154" i="1"/>
  <c r="I14" i="1"/>
  <c r="J162" i="1"/>
  <c r="J164" i="1" s="1"/>
  <c r="J59" i="1" s="1"/>
  <c r="I59" i="1"/>
  <c r="I75" i="1"/>
  <c r="J212" i="1"/>
  <c r="J214" i="1" s="1"/>
  <c r="J75" i="1" s="1"/>
  <c r="F122" i="1"/>
  <c r="F121" i="1" s="1"/>
  <c r="F247" i="1" s="1"/>
  <c r="F98" i="1"/>
  <c r="F56" i="1" s="1"/>
  <c r="F147" i="1"/>
  <c r="F149" i="1" s="1"/>
  <c r="F47" i="1" s="1"/>
  <c r="H35" i="11" l="1"/>
  <c r="H37" i="11" s="1"/>
  <c r="F229" i="1"/>
  <c r="G229" i="1" s="1"/>
  <c r="H229" i="1" s="1"/>
  <c r="I229" i="1" s="1"/>
  <c r="J229" i="1" s="1"/>
  <c r="J116" i="1"/>
  <c r="J117" i="1" s="1"/>
  <c r="I117" i="1"/>
  <c r="F16" i="11"/>
  <c r="J100" i="1"/>
  <c r="J101" i="1" s="1"/>
  <c r="I101" i="1"/>
  <c r="I186" i="1"/>
  <c r="I189" i="1" s="1"/>
  <c r="H70" i="1"/>
  <c r="H192" i="1"/>
  <c r="H331" i="1"/>
  <c r="I12" i="11"/>
  <c r="I220" i="1"/>
  <c r="I239" i="1"/>
  <c r="I199" i="1"/>
  <c r="I183" i="1"/>
  <c r="I154" i="1"/>
  <c r="I301" i="1"/>
  <c r="I140" i="1"/>
  <c r="I93" i="1"/>
  <c r="J14" i="1"/>
  <c r="I271" i="1"/>
  <c r="I128" i="1"/>
  <c r="I54" i="1"/>
  <c r="E310" i="1"/>
  <c r="F310" i="1"/>
  <c r="F311" i="1" s="1"/>
  <c r="I300" i="1"/>
  <c r="I270" i="1"/>
  <c r="I219" i="1"/>
  <c r="I182" i="1"/>
  <c r="I139" i="1"/>
  <c r="I127" i="1"/>
  <c r="I238" i="1"/>
  <c r="J13" i="1"/>
  <c r="J53" i="1" s="1"/>
  <c r="I198" i="1"/>
  <c r="I153" i="1"/>
  <c r="I92" i="1"/>
  <c r="F24" i="11"/>
  <c r="H120" i="1"/>
  <c r="F67" i="1"/>
  <c r="G147" i="1"/>
  <c r="G143" i="1" s="1"/>
  <c r="G255" i="1" s="1"/>
  <c r="G30" i="11" s="1"/>
  <c r="G98" i="1"/>
  <c r="H96" i="1" s="1"/>
  <c r="F143" i="1"/>
  <c r="F255" i="1" s="1"/>
  <c r="F30" i="11" s="1"/>
  <c r="G120" i="1"/>
  <c r="G121" i="1" s="1"/>
  <c r="G247" i="1" s="1"/>
  <c r="G24" i="11" s="1"/>
  <c r="F97" i="1"/>
  <c r="F244" i="1" s="1"/>
  <c r="F21" i="11" s="1"/>
  <c r="G96" i="1"/>
  <c r="F144" i="1"/>
  <c r="I35" i="11" l="1"/>
  <c r="I37" i="11" s="1"/>
  <c r="G16" i="11"/>
  <c r="I192" i="1"/>
  <c r="J186" i="1"/>
  <c r="J189" i="1" s="1"/>
  <c r="I70" i="1"/>
  <c r="J300" i="1"/>
  <c r="J270" i="1"/>
  <c r="J238" i="1"/>
  <c r="J219" i="1"/>
  <c r="J198" i="1"/>
  <c r="J153" i="1"/>
  <c r="J92" i="1"/>
  <c r="J182" i="1"/>
  <c r="J139" i="1"/>
  <c r="J127" i="1"/>
  <c r="G311" i="1"/>
  <c r="F305" i="1"/>
  <c r="F306" i="1"/>
  <c r="J12" i="11"/>
  <c r="J301" i="1"/>
  <c r="J271" i="1"/>
  <c r="J239" i="1"/>
  <c r="J199" i="1"/>
  <c r="J220" i="1"/>
  <c r="J140" i="1"/>
  <c r="J128" i="1"/>
  <c r="J93" i="1"/>
  <c r="J54" i="1"/>
  <c r="J183" i="1"/>
  <c r="J154" i="1"/>
  <c r="I331" i="1"/>
  <c r="F257" i="1"/>
  <c r="G257" i="1"/>
  <c r="G56" i="1"/>
  <c r="G149" i="1"/>
  <c r="G97" i="1"/>
  <c r="G244" i="1" s="1"/>
  <c r="G21" i="11" s="1"/>
  <c r="F145" i="1"/>
  <c r="F60" i="1" s="1"/>
  <c r="H147" i="1"/>
  <c r="H149" i="1" s="1"/>
  <c r="H122" i="1"/>
  <c r="I120" i="1" s="1"/>
  <c r="H98" i="1"/>
  <c r="H97" i="1" s="1"/>
  <c r="H244" i="1" s="1"/>
  <c r="H21" i="11" s="1"/>
  <c r="F242" i="1"/>
  <c r="J35" i="11" l="1"/>
  <c r="J37" i="11" s="1"/>
  <c r="H144" i="1"/>
  <c r="H47" i="1"/>
  <c r="H242" i="1" s="1"/>
  <c r="H19" i="11" s="1"/>
  <c r="G144" i="1"/>
  <c r="G47" i="1"/>
  <c r="H16" i="11"/>
  <c r="J70" i="1"/>
  <c r="J192" i="1"/>
  <c r="G306" i="1"/>
  <c r="H311" i="1"/>
  <c r="G305" i="1"/>
  <c r="F307" i="1"/>
  <c r="F32" i="1" s="1"/>
  <c r="F34" i="1" s="1"/>
  <c r="J331" i="1"/>
  <c r="J122" i="1" s="1"/>
  <c r="J67" i="1" s="1"/>
  <c r="F19" i="11"/>
  <c r="I122" i="1"/>
  <c r="I67" i="1" s="1"/>
  <c r="G142" i="1"/>
  <c r="I98" i="1"/>
  <c r="I56" i="1" s="1"/>
  <c r="H56" i="1"/>
  <c r="H143" i="1"/>
  <c r="H255" i="1" s="1"/>
  <c r="H30" i="11" s="1"/>
  <c r="I147" i="1"/>
  <c r="I143" i="1" s="1"/>
  <c r="I255" i="1" s="1"/>
  <c r="I30" i="11" s="1"/>
  <c r="H67" i="1"/>
  <c r="H121" i="1"/>
  <c r="H247" i="1" s="1"/>
  <c r="H24" i="11" s="1"/>
  <c r="I96" i="1"/>
  <c r="G145" i="1" l="1"/>
  <c r="H142" i="1" s="1"/>
  <c r="H145" i="1" s="1"/>
  <c r="H60" i="1" s="1"/>
  <c r="I16" i="11"/>
  <c r="G304" i="1"/>
  <c r="I311" i="1"/>
  <c r="H305" i="1"/>
  <c r="H306" i="1"/>
  <c r="G242" i="1"/>
  <c r="G19" i="11" s="1"/>
  <c r="J120" i="1"/>
  <c r="J121" i="1" s="1"/>
  <c r="J247" i="1" s="1"/>
  <c r="J24" i="11" s="1"/>
  <c r="I121" i="1"/>
  <c r="I247" i="1" s="1"/>
  <c r="I24" i="11" s="1"/>
  <c r="J147" i="1"/>
  <c r="J149" i="1" s="1"/>
  <c r="I97" i="1"/>
  <c r="I244" i="1" s="1"/>
  <c r="I21" i="11" s="1"/>
  <c r="H257" i="1"/>
  <c r="J96" i="1"/>
  <c r="J98" i="1"/>
  <c r="J56" i="1" s="1"/>
  <c r="I257" i="1"/>
  <c r="I149" i="1"/>
  <c r="J16" i="11" l="1"/>
  <c r="J62" i="11" s="1"/>
  <c r="J63" i="11" s="1"/>
  <c r="G60" i="1"/>
  <c r="J144" i="1"/>
  <c r="J47" i="1"/>
  <c r="J242" i="1" s="1"/>
  <c r="J19" i="11" s="1"/>
  <c r="I47" i="1"/>
  <c r="I242" i="1" s="1"/>
  <c r="I19" i="11" s="1"/>
  <c r="I306" i="1"/>
  <c r="I305" i="1"/>
  <c r="J311" i="1"/>
  <c r="G307" i="1"/>
  <c r="H304" i="1" s="1"/>
  <c r="J143" i="1"/>
  <c r="J255" i="1" s="1"/>
  <c r="J30" i="11" s="1"/>
  <c r="I142" i="1"/>
  <c r="J97" i="1"/>
  <c r="J244" i="1" s="1"/>
  <c r="J21" i="11" s="1"/>
  <c r="I144" i="1"/>
  <c r="G32" i="1" l="1"/>
  <c r="G34" i="1" s="1"/>
  <c r="H307" i="1"/>
  <c r="I304" i="1" s="1"/>
  <c r="J305" i="1"/>
  <c r="J306" i="1"/>
  <c r="J257" i="1"/>
  <c r="I145" i="1"/>
  <c r="I60" i="1" s="1"/>
  <c r="H32" i="1" l="1"/>
  <c r="H34" i="1" s="1"/>
  <c r="I307" i="1"/>
  <c r="J304" i="1" s="1"/>
  <c r="J142" i="1"/>
  <c r="J145" i="1" s="1"/>
  <c r="J60" i="1" s="1"/>
  <c r="I32" i="1" l="1"/>
  <c r="I34" i="1" s="1"/>
  <c r="J307" i="1"/>
  <c r="J32" i="1" s="1"/>
  <c r="J34" i="1" s="1"/>
  <c r="J66" i="11" l="1"/>
  <c r="J68" i="11" s="1"/>
  <c r="C8" i="11" l="1"/>
  <c r="C37" i="11" l="1"/>
  <c r="F17" i="1" l="1"/>
  <c r="F106" i="1" s="1"/>
  <c r="F57" i="1" s="1"/>
  <c r="F278" i="1" s="1"/>
  <c r="F22" i="1"/>
  <c r="F15" i="11" s="1"/>
  <c r="F17" i="11" s="1"/>
  <c r="F208" i="1" l="1"/>
  <c r="F204" i="1" s="1"/>
  <c r="F48" i="1" s="1"/>
  <c r="F49" i="1" s="1"/>
  <c r="F14" i="11" s="1"/>
  <c r="F114" i="1"/>
  <c r="F66" i="1" s="1"/>
  <c r="F109" i="1"/>
  <c r="F105" i="1"/>
  <c r="F245" i="1" s="1"/>
  <c r="F22" i="11" s="1"/>
  <c r="G104" i="1"/>
  <c r="F243" i="1" l="1"/>
  <c r="F20" i="11" s="1"/>
  <c r="F205" i="1"/>
  <c r="F74" i="1" s="1"/>
  <c r="G112" i="1"/>
  <c r="F113" i="1"/>
  <c r="F246" i="1" s="1"/>
  <c r="F23" i="11" s="1"/>
  <c r="G202" i="1" l="1"/>
  <c r="F29" i="11"/>
  <c r="F32" i="11" s="1"/>
  <c r="F38" i="11" s="1"/>
  <c r="G17" i="1" l="1"/>
  <c r="G114" i="1" s="1"/>
  <c r="H17" i="1"/>
  <c r="H208" i="1" s="1"/>
  <c r="H204" i="1" s="1"/>
  <c r="I17" i="1"/>
  <c r="J17" i="1"/>
  <c r="J208" i="1" s="1"/>
  <c r="J204" i="1" s="1"/>
  <c r="G22" i="1"/>
  <c r="G15" i="11" s="1"/>
  <c r="G17" i="11" s="1"/>
  <c r="H22" i="1"/>
  <c r="H15" i="11" s="1"/>
  <c r="H17" i="11" s="1"/>
  <c r="I22" i="1"/>
  <c r="I15" i="11" s="1"/>
  <c r="I17" i="11" s="1"/>
  <c r="J22" i="1"/>
  <c r="J15" i="11" s="1"/>
  <c r="J17" i="11" s="1"/>
  <c r="H114" i="1" l="1"/>
  <c r="H66" i="1" s="1"/>
  <c r="H243" i="1"/>
  <c r="H20" i="11" s="1"/>
  <c r="H48" i="1"/>
  <c r="H49" i="1" s="1"/>
  <c r="H14" i="11" s="1"/>
  <c r="G106" i="1"/>
  <c r="H106" i="1" s="1"/>
  <c r="H57" i="1" s="1"/>
  <c r="H278" i="1" s="1"/>
  <c r="J243" i="1"/>
  <c r="J20" i="11" s="1"/>
  <c r="J48" i="1"/>
  <c r="J49" i="1" s="1"/>
  <c r="J14" i="11" s="1"/>
  <c r="J41" i="11" s="1"/>
  <c r="I114" i="1"/>
  <c r="J114" i="1" s="1"/>
  <c r="J66" i="1" s="1"/>
  <c r="G66" i="1"/>
  <c r="H112" i="1"/>
  <c r="I106" i="1"/>
  <c r="J106" i="1" s="1"/>
  <c r="G208" i="1"/>
  <c r="G204" i="1" s="1"/>
  <c r="I208" i="1"/>
  <c r="I204" i="1" s="1"/>
  <c r="G113" i="1"/>
  <c r="G246" i="1" s="1"/>
  <c r="G23" i="11" s="1"/>
  <c r="H113" i="1" l="1"/>
  <c r="H246" i="1" s="1"/>
  <c r="H23" i="11" s="1"/>
  <c r="G105" i="1"/>
  <c r="G245" i="1" s="1"/>
  <c r="G22" i="11" s="1"/>
  <c r="H104" i="1"/>
  <c r="G109" i="1"/>
  <c r="G57" i="1"/>
  <c r="G278" i="1" s="1"/>
  <c r="I112" i="1"/>
  <c r="I113" i="1" s="1"/>
  <c r="I246" i="1" s="1"/>
  <c r="I23" i="11" s="1"/>
  <c r="H105" i="1"/>
  <c r="H245" i="1" s="1"/>
  <c r="H22" i="11" s="1"/>
  <c r="I104" i="1"/>
  <c r="I105" i="1" s="1"/>
  <c r="I245" i="1" s="1"/>
  <c r="I22" i="11" s="1"/>
  <c r="J112" i="1"/>
  <c r="J113" i="1" s="1"/>
  <c r="J246" i="1" s="1"/>
  <c r="J23" i="11" s="1"/>
  <c r="H109" i="1"/>
  <c r="G205" i="1"/>
  <c r="H202" i="1" s="1"/>
  <c r="H205" i="1" s="1"/>
  <c r="G48" i="1"/>
  <c r="G49" i="1" s="1"/>
  <c r="G14" i="11" s="1"/>
  <c r="I243" i="1"/>
  <c r="I20" i="11" s="1"/>
  <c r="I48" i="1"/>
  <c r="I49" i="1" s="1"/>
  <c r="I14" i="11" s="1"/>
  <c r="G243" i="1"/>
  <c r="G20" i="11" s="1"/>
  <c r="I66" i="1"/>
  <c r="I109" i="1"/>
  <c r="J104" i="1"/>
  <c r="J105" i="1" s="1"/>
  <c r="J245" i="1" s="1"/>
  <c r="J22" i="11" s="1"/>
  <c r="J57" i="1"/>
  <c r="J278" i="1" s="1"/>
  <c r="J109" i="1"/>
  <c r="I57" i="1"/>
  <c r="I278" i="1" s="1"/>
  <c r="J43" i="11"/>
  <c r="J44" i="11" s="1"/>
  <c r="H29" i="11" l="1"/>
  <c r="H32" i="11" s="1"/>
  <c r="H38" i="11" s="1"/>
  <c r="G74" i="1"/>
  <c r="G29" i="11"/>
  <c r="G32" i="11" s="1"/>
  <c r="G33" i="11" s="1"/>
  <c r="C41" i="11"/>
  <c r="J47" i="11" s="1"/>
  <c r="I29" i="11"/>
  <c r="I32" i="11" s="1"/>
  <c r="I38" i="11" s="1"/>
  <c r="J29" i="11"/>
  <c r="J32" i="11" s="1"/>
  <c r="H74" i="1"/>
  <c r="I202" i="1"/>
  <c r="I205" i="1" s="1"/>
  <c r="G38" i="11" l="1"/>
  <c r="H33" i="11"/>
  <c r="J33" i="11"/>
  <c r="C42" i="11"/>
  <c r="C44" i="11" s="1"/>
  <c r="C45" i="11" s="1"/>
  <c r="I33" i="11"/>
  <c r="J38" i="11"/>
  <c r="I74" i="1"/>
  <c r="J202" i="1"/>
  <c r="J205" i="1" s="1"/>
  <c r="J74" i="1" s="1"/>
  <c r="C46" i="11" l="1"/>
  <c r="J45" i="11" s="1"/>
  <c r="J46" i="11" s="1"/>
  <c r="J52" i="11" s="1"/>
  <c r="J55" i="11" s="1"/>
  <c r="J57" i="11" s="1"/>
  <c r="C48" i="11"/>
  <c r="C47" i="11" l="1"/>
  <c r="I52" i="11" s="1"/>
  <c r="I55" i="11" s="1"/>
  <c r="I57" i="11" s="1"/>
  <c r="C83" i="11" s="1"/>
  <c r="D101" i="11"/>
  <c r="J58" i="11"/>
  <c r="C92" i="11"/>
  <c r="I58" i="11" l="1"/>
  <c r="F23" i="1"/>
  <c r="G23" i="1"/>
  <c r="H23" i="1"/>
  <c r="I23" i="1"/>
  <c r="J23" i="1"/>
  <c r="F26" i="1"/>
  <c r="G26" i="1"/>
  <c r="H26" i="1"/>
  <c r="I26" i="1"/>
  <c r="J26" i="1"/>
  <c r="F27" i="1"/>
  <c r="G27" i="1"/>
  <c r="H27" i="1"/>
  <c r="I27" i="1"/>
  <c r="J27" i="1"/>
  <c r="F28" i="1"/>
  <c r="G28" i="1"/>
  <c r="H28" i="1"/>
  <c r="I28" i="1"/>
  <c r="J28" i="1"/>
  <c r="F30" i="1"/>
  <c r="G30" i="1"/>
  <c r="H30" i="1"/>
  <c r="I30" i="1"/>
  <c r="J30" i="1"/>
  <c r="F36" i="1"/>
  <c r="G36" i="1"/>
  <c r="H36" i="1"/>
  <c r="I36" i="1"/>
  <c r="J36" i="1"/>
  <c r="F37" i="1"/>
  <c r="G37" i="1"/>
  <c r="H37" i="1"/>
  <c r="I37" i="1"/>
  <c r="J37" i="1"/>
  <c r="F55" i="1"/>
  <c r="G55" i="1"/>
  <c r="H55" i="1"/>
  <c r="I55" i="1"/>
  <c r="J55" i="1"/>
  <c r="F64" i="1"/>
  <c r="G64" i="1"/>
  <c r="H64" i="1"/>
  <c r="I64" i="1"/>
  <c r="J64" i="1"/>
  <c r="F68" i="1"/>
  <c r="G68" i="1"/>
  <c r="H68" i="1"/>
  <c r="I68" i="1"/>
  <c r="J68" i="1"/>
  <c r="F72" i="1"/>
  <c r="G72" i="1"/>
  <c r="H72" i="1"/>
  <c r="I72" i="1"/>
  <c r="J72" i="1"/>
  <c r="F76" i="1"/>
  <c r="G76" i="1"/>
  <c r="H76" i="1"/>
  <c r="I76" i="1"/>
  <c r="J76" i="1"/>
  <c r="F78" i="1"/>
  <c r="G78" i="1"/>
  <c r="H78" i="1"/>
  <c r="I78" i="1"/>
  <c r="J78" i="1"/>
  <c r="F82" i="1"/>
  <c r="G82" i="1"/>
  <c r="H82" i="1"/>
  <c r="I82" i="1"/>
  <c r="J82" i="1"/>
  <c r="F85" i="1"/>
  <c r="G85" i="1"/>
  <c r="H85" i="1"/>
  <c r="I85" i="1"/>
  <c r="J85" i="1"/>
  <c r="F86" i="1"/>
  <c r="G86" i="1"/>
  <c r="H86" i="1"/>
  <c r="I86" i="1"/>
  <c r="J86" i="1"/>
  <c r="F87" i="1"/>
  <c r="G87" i="1"/>
  <c r="H87" i="1"/>
  <c r="I87" i="1"/>
  <c r="J87" i="1"/>
  <c r="F88" i="1"/>
  <c r="G88" i="1"/>
  <c r="H88" i="1"/>
  <c r="I88" i="1"/>
  <c r="J88" i="1"/>
  <c r="F89" i="1"/>
  <c r="G89" i="1"/>
  <c r="H89" i="1"/>
  <c r="I89" i="1"/>
  <c r="J89" i="1"/>
  <c r="G223" i="1"/>
  <c r="H223" i="1"/>
  <c r="I223" i="1"/>
  <c r="J223" i="1"/>
  <c r="F224" i="1"/>
  <c r="G224" i="1"/>
  <c r="H224" i="1"/>
  <c r="I224" i="1"/>
  <c r="J224" i="1"/>
  <c r="F225" i="1"/>
  <c r="G225" i="1"/>
  <c r="H225" i="1"/>
  <c r="I225" i="1"/>
  <c r="J225" i="1"/>
  <c r="F226" i="1"/>
  <c r="G226" i="1"/>
  <c r="H226" i="1"/>
  <c r="I226" i="1"/>
  <c r="J226" i="1"/>
  <c r="F228" i="1"/>
  <c r="G228" i="1"/>
  <c r="H228" i="1"/>
  <c r="I228" i="1"/>
  <c r="J228" i="1"/>
  <c r="F230" i="1"/>
  <c r="G230" i="1"/>
  <c r="H230" i="1"/>
  <c r="I230" i="1"/>
  <c r="J230" i="1"/>
  <c r="F241" i="1"/>
  <c r="G241" i="1"/>
  <c r="H241" i="1"/>
  <c r="I241" i="1"/>
  <c r="J241" i="1"/>
  <c r="F253" i="1"/>
  <c r="G253" i="1"/>
  <c r="H253" i="1"/>
  <c r="I253" i="1"/>
  <c r="J253" i="1"/>
  <c r="F260" i="1"/>
  <c r="G260" i="1"/>
  <c r="H260" i="1"/>
  <c r="I260" i="1"/>
  <c r="J260" i="1"/>
  <c r="F264" i="1"/>
  <c r="G264" i="1"/>
  <c r="H264" i="1"/>
  <c r="I264" i="1"/>
  <c r="J264" i="1"/>
  <c r="F265" i="1"/>
  <c r="G265" i="1"/>
  <c r="H265" i="1"/>
  <c r="I265" i="1"/>
  <c r="J265" i="1"/>
  <c r="F267" i="1"/>
  <c r="G267" i="1"/>
  <c r="H267" i="1"/>
  <c r="I267" i="1"/>
  <c r="J267" i="1"/>
  <c r="G274" i="1"/>
  <c r="H274" i="1"/>
  <c r="I274" i="1"/>
  <c r="J274" i="1"/>
  <c r="F275" i="1"/>
  <c r="G275" i="1"/>
  <c r="H275" i="1"/>
  <c r="I275" i="1"/>
  <c r="J275" i="1"/>
  <c r="F276" i="1"/>
  <c r="G276" i="1"/>
  <c r="H276" i="1"/>
  <c r="I276" i="1"/>
  <c r="J276" i="1"/>
  <c r="F279" i="1"/>
  <c r="G279" i="1"/>
  <c r="H279" i="1"/>
  <c r="I279" i="1"/>
  <c r="J279" i="1"/>
  <c r="G282" i="1"/>
  <c r="H282" i="1"/>
  <c r="I282" i="1"/>
  <c r="J282" i="1"/>
  <c r="G284" i="1"/>
  <c r="H284" i="1"/>
  <c r="I284" i="1"/>
  <c r="J284" i="1"/>
  <c r="F285" i="1"/>
  <c r="G285" i="1"/>
  <c r="H285" i="1"/>
  <c r="I285" i="1"/>
  <c r="J285" i="1"/>
  <c r="F286" i="1"/>
  <c r="G286" i="1"/>
  <c r="H286" i="1"/>
  <c r="I286" i="1"/>
  <c r="J286" i="1"/>
  <c r="F289" i="1"/>
  <c r="G289" i="1"/>
  <c r="H289" i="1"/>
  <c r="I289" i="1"/>
  <c r="J289" i="1"/>
  <c r="G292" i="1"/>
  <c r="H292" i="1"/>
  <c r="I292" i="1"/>
  <c r="J292" i="1"/>
  <c r="F293" i="1"/>
  <c r="G293" i="1"/>
  <c r="H293" i="1"/>
  <c r="I293" i="1"/>
  <c r="J293" i="1"/>
  <c r="F294" i="1"/>
  <c r="G294" i="1"/>
  <c r="H294" i="1"/>
  <c r="I294" i="1"/>
  <c r="J294" i="1"/>
  <c r="F297" i="1"/>
  <c r="G297" i="1"/>
  <c r="H297" i="1"/>
  <c r="I297" i="1"/>
  <c r="J297" i="1"/>
  <c r="C317" i="1"/>
</calcChain>
</file>

<file path=xl/comments1.xml><?xml version="1.0" encoding="utf-8"?>
<comments xmlns="http://schemas.openxmlformats.org/spreadsheetml/2006/main">
  <authors>
    <author>Wall Street Prep</author>
    <author>Mary Roberts</author>
  </authors>
  <commentList>
    <comment ref="C10" authorId="0" shapeId="0">
      <text>
        <r>
          <rPr>
            <b/>
            <sz val="9"/>
            <color indexed="81"/>
            <rFont val="Tahoma"/>
            <family val="2"/>
          </rPr>
          <t>Wall Street Prep:</t>
        </r>
        <r>
          <rPr>
            <sz val="9"/>
            <color indexed="81"/>
            <rFont val="Tahoma"/>
            <family val="2"/>
          </rPr>
          <t xml:space="preserve">
If the model "blows up" (i.e. REF and DIV/0 everywhere), turn the circuit breaker above on, and then immediately off again. 
</t>
        </r>
        <r>
          <rPr>
            <b/>
            <sz val="9"/>
            <color indexed="81"/>
            <rFont val="Tahoma"/>
            <family val="2"/>
          </rPr>
          <t xml:space="preserve">Why do we need this?
</t>
        </r>
        <r>
          <rPr>
            <sz val="9"/>
            <color indexed="81"/>
            <rFont val="Tahoma"/>
            <family val="2"/>
          </rPr>
          <t xml:space="preserve">This model has an intentional circularity in the calculation of interest expense and interest income. 
Interest expense is calculated as interest rate times average current and prior period revolver debt balances. Since current period revolver balance is itself impacted by current period interest expense, the circularity exists.
The same logic applies to interest expense.
</t>
        </r>
        <r>
          <rPr>
            <b/>
            <sz val="9"/>
            <color indexed="81"/>
            <rFont val="Tahoma"/>
            <family val="2"/>
          </rPr>
          <t xml:space="preserve">Setting Iterations in Excel
</t>
        </r>
        <r>
          <rPr>
            <sz val="9"/>
            <color indexed="81"/>
            <rFont val="Tahoma"/>
            <family val="2"/>
          </rPr>
          <t xml:space="preserve">Make sure that iterations are selected under Excel Options &gt; Formulas
</t>
        </r>
        <r>
          <rPr>
            <b/>
            <sz val="9"/>
            <color indexed="81"/>
            <rFont val="Tahoma"/>
            <family val="2"/>
          </rPr>
          <t>Removing circularity altogether</t>
        </r>
        <r>
          <rPr>
            <sz val="9"/>
            <color indexed="81"/>
            <rFont val="Tahoma"/>
            <family val="2"/>
          </rPr>
          <t xml:space="preserve">
To avoid a circularity altogether, calculate interest expense using prior period debt balances (as opposed to average balances).</t>
        </r>
      </text>
    </comment>
    <comment ref="F17" authorId="1" shapeId="0">
      <text>
        <r>
          <rPr>
            <b/>
            <sz val="9"/>
            <color indexed="81"/>
            <rFont val="Tahoma"/>
            <family val="2"/>
          </rPr>
          <t>Assume COGS driven by sales</t>
        </r>
      </text>
    </comment>
    <comment ref="B20" authorId="1" shapeId="0">
      <text>
        <r>
          <rPr>
            <b/>
            <sz val="9"/>
            <color indexed="81"/>
            <rFont val="Tahoma"/>
            <charset val="1"/>
          </rPr>
          <t>Broken out on 10-K, includes store and other operating expense, D&amp;A, G&amp;A</t>
        </r>
      </text>
    </comment>
    <comment ref="C20" authorId="1" shapeId="0">
      <text>
        <r>
          <rPr>
            <b/>
            <sz val="9"/>
            <color indexed="81"/>
            <rFont val="Tahoma"/>
            <charset val="1"/>
          </rPr>
          <t>Contains a one time litigation credit of 20.2</t>
        </r>
      </text>
    </comment>
    <comment ref="F21" authorId="1" shapeId="0">
      <text>
        <r>
          <rPr>
            <b/>
            <sz val="9"/>
            <color indexed="81"/>
            <rFont val="Tahoma"/>
            <family val="2"/>
          </rPr>
          <t>SL, no driver and historically similar amounts</t>
        </r>
      </text>
    </comment>
    <comment ref="B23" authorId="1" shapeId="0">
      <text>
        <r>
          <rPr>
            <b/>
            <sz val="9"/>
            <color indexed="81"/>
            <rFont val="Tahoma"/>
            <family val="2"/>
          </rPr>
          <t xml:space="preserve">SBUX includes royalty and liscensing net in interest income
</t>
        </r>
      </text>
    </comment>
    <comment ref="F24" authorId="1" shapeId="0">
      <text>
        <r>
          <rPr>
            <b/>
            <sz val="9"/>
            <color indexed="81"/>
            <rFont val="Tahoma"/>
            <family val="2"/>
          </rPr>
          <t>10-K p.74, traunch breakout of notes and years</t>
        </r>
      </text>
    </comment>
    <comment ref="F25" authorId="1" shapeId="0">
      <text>
        <r>
          <rPr>
            <b/>
            <sz val="9"/>
            <color indexed="81"/>
            <rFont val="Tahoma"/>
            <family val="2"/>
          </rPr>
          <t>Assumed 0 because infrequent</t>
        </r>
      </text>
    </comment>
    <comment ref="F33" authorId="1" shapeId="0">
      <text>
        <r>
          <rPr>
            <b/>
            <sz val="9"/>
            <color indexed="81"/>
            <rFont val="Tahoma"/>
            <family val="2"/>
          </rPr>
          <t>SL last historical year</t>
        </r>
      </text>
    </comment>
    <comment ref="G40" authorId="1" shapeId="0">
      <text>
        <r>
          <rPr>
            <b/>
            <sz val="9"/>
            <color indexed="81"/>
            <rFont val="Tahoma"/>
            <family val="2"/>
          </rPr>
          <t>5 yr growth rates based on fintech.io projections</t>
        </r>
      </text>
    </comment>
    <comment ref="B62" authorId="1" shapeId="0">
      <text>
        <r>
          <rPr>
            <b/>
            <sz val="9"/>
            <color indexed="81"/>
            <rFont val="Tahoma"/>
            <family val="2"/>
          </rPr>
          <t>Investments in Starbucks franchises internationally</t>
        </r>
      </text>
    </comment>
    <comment ref="F136" authorId="1" shapeId="0">
      <text>
        <r>
          <rPr>
            <b/>
            <sz val="9"/>
            <color indexed="81"/>
            <rFont val="Tahoma"/>
            <family val="2"/>
          </rPr>
          <t xml:space="preserve">10-K, p. 72
</t>
        </r>
      </text>
    </comment>
    <comment ref="F147" authorId="1" shapeId="0">
      <text>
        <r>
          <rPr>
            <b/>
            <sz val="9"/>
            <color indexed="81"/>
            <rFont val="Tahoma"/>
            <family val="2"/>
          </rPr>
          <t>10-K p.22 Financial Highlight projection</t>
        </r>
      </text>
    </comment>
    <comment ref="F187" authorId="1" shapeId="0">
      <text>
        <r>
          <rPr>
            <b/>
            <sz val="9"/>
            <color indexed="81"/>
            <rFont val="Tahoma"/>
            <charset val="1"/>
          </rPr>
          <t>10-K, p. 74</t>
        </r>
      </text>
    </comment>
    <comment ref="F191" authorId="1" shapeId="0">
      <text>
        <r>
          <rPr>
            <b/>
            <sz val="9"/>
            <color indexed="81"/>
            <rFont val="Tahoma"/>
            <family val="2"/>
          </rPr>
          <t>10-K p.74, traunch breakout of notes and years</t>
        </r>
      </text>
    </comment>
    <comment ref="E311" authorId="0" shapeId="0">
      <text>
        <r>
          <rPr>
            <b/>
            <sz val="9"/>
            <color indexed="81"/>
            <rFont val="Tahoma"/>
            <family val="2"/>
          </rPr>
          <t>Wall Street Prep:</t>
        </r>
        <r>
          <rPr>
            <sz val="9"/>
            <color indexed="81"/>
            <rFont val="Tahoma"/>
            <family val="2"/>
          </rPr>
          <t xml:space="preserve">
Used latest share price because of significant increase in share price. Average FY 2013 share price was $470. </t>
        </r>
      </text>
    </comment>
  </commentList>
</comments>
</file>

<file path=xl/comments2.xml><?xml version="1.0" encoding="utf-8"?>
<comments xmlns="http://schemas.openxmlformats.org/spreadsheetml/2006/main">
  <authors>
    <author>Wall Street Prep</author>
    <author>Mary Roberts</author>
  </authors>
  <commentList>
    <comment ref="C7" authorId="0" shapeId="0">
      <text>
        <r>
          <rPr>
            <b/>
            <sz val="9"/>
            <color indexed="81"/>
            <rFont val="Tahoma"/>
            <family val="2"/>
          </rPr>
          <t>10-K</t>
        </r>
      </text>
    </comment>
    <comment ref="J42" authorId="0" shapeId="0">
      <text>
        <r>
          <rPr>
            <b/>
            <sz val="9"/>
            <color indexed="81"/>
            <rFont val="Tahoma"/>
            <family val="2"/>
          </rPr>
          <t>Industry median, Gurufocus</t>
        </r>
      </text>
    </comment>
    <comment ref="J47" authorId="0" shapeId="0">
      <text>
        <r>
          <rPr>
            <b/>
            <sz val="9"/>
            <color indexed="81"/>
            <rFont val="Tahoma"/>
            <family val="2"/>
          </rPr>
          <t>Wall Street Prep:</t>
        </r>
        <r>
          <rPr>
            <sz val="9"/>
            <color indexed="81"/>
            <rFont val="Tahoma"/>
            <family val="2"/>
          </rPr>
          <t xml:space="preserve">
With a midyear adjustment, the implied growth formula is as follows
[r -FCF(t)*(1+r)^0.5/TV]/(1+FCF(t)*(1+r)^0.5/TV)
</t>
        </r>
      </text>
    </comment>
    <comment ref="C52" authorId="1" shapeId="0">
      <text>
        <r>
          <rPr>
            <b/>
            <sz val="9"/>
            <color indexed="81"/>
            <rFont val="Tahoma"/>
            <family val="2"/>
          </rPr>
          <t>Includes non-controlling interest</t>
        </r>
      </text>
    </comment>
    <comment ref="J65" authorId="0" shapeId="0">
      <text>
        <r>
          <rPr>
            <b/>
            <sz val="9"/>
            <color indexed="81"/>
            <rFont val="Tahoma"/>
            <family val="2"/>
          </rPr>
          <t>Wall Street Prep:</t>
        </r>
        <r>
          <rPr>
            <sz val="9"/>
            <color indexed="81"/>
            <rFont val="Tahoma"/>
            <family val="2"/>
          </rPr>
          <t xml:space="preserve">
Yield on 10 Year US Treasury</t>
        </r>
      </text>
    </comment>
    <comment ref="K66" authorId="0" shapeId="0">
      <text>
        <r>
          <rPr>
            <b/>
            <sz val="9"/>
            <color indexed="81"/>
            <rFont val="Tahoma"/>
            <family val="2"/>
          </rPr>
          <t>Wall Street Prep:</t>
        </r>
        <r>
          <rPr>
            <sz val="9"/>
            <color indexed="81"/>
            <rFont val="Tahoma"/>
            <family val="2"/>
          </rPr>
          <t xml:space="preserve">
CIQ</t>
        </r>
      </text>
    </comment>
  </commentList>
</comments>
</file>

<file path=xl/sharedStrings.xml><?xml version="1.0" encoding="utf-8"?>
<sst xmlns="http://schemas.openxmlformats.org/spreadsheetml/2006/main" count="382" uniqueCount="253">
  <si>
    <t>$ mm except per share</t>
  </si>
  <si>
    <t>Company name</t>
  </si>
  <si>
    <t>Ticker</t>
  </si>
  <si>
    <t>Share price as of last close</t>
  </si>
  <si>
    <t>Latest closing share price date</t>
  </si>
  <si>
    <t>Latest fiscal year end date</t>
  </si>
  <si>
    <t>Circuit breaker:</t>
  </si>
  <si>
    <t>OFF</t>
  </si>
  <si>
    <t>INCOME STATEMENT</t>
  </si>
  <si>
    <t xml:space="preserve">Fiscal year  </t>
  </si>
  <si>
    <t>Fiscal year end date</t>
  </si>
  <si>
    <t>Revenue</t>
  </si>
  <si>
    <t>Cost of sales (enter as -)</t>
  </si>
  <si>
    <t>Gross Profit</t>
  </si>
  <si>
    <t>Research &amp; development (enter as -)</t>
  </si>
  <si>
    <t>Selling, general &amp; administrative (enter as -)</t>
  </si>
  <si>
    <t>Operating profit (EBIT)</t>
  </si>
  <si>
    <t>Interest income</t>
  </si>
  <si>
    <t>Interest expense (enter as -)</t>
  </si>
  <si>
    <t>Other expense (enter as -)</t>
  </si>
  <si>
    <t>Pretax profit</t>
  </si>
  <si>
    <t>Taxes (enter expense as -)</t>
  </si>
  <si>
    <t>Net income</t>
  </si>
  <si>
    <t>Basic shares outstanding</t>
  </si>
  <si>
    <t>Impact of dilutive securities</t>
  </si>
  <si>
    <t>Diluted shares outstanding</t>
  </si>
  <si>
    <t>Basic EPS</t>
  </si>
  <si>
    <t>Diluted EPS</t>
  </si>
  <si>
    <t>Growth rates &amp; margins</t>
  </si>
  <si>
    <t>Revenue growth</t>
  </si>
  <si>
    <t>NA</t>
  </si>
  <si>
    <t>Gross profit as % of sales</t>
  </si>
  <si>
    <t>R&amp;D margin</t>
  </si>
  <si>
    <t>SG&amp;A margin</t>
  </si>
  <si>
    <t>Tax rate</t>
  </si>
  <si>
    <t>EBITDA reconciliation</t>
  </si>
  <si>
    <t>Depreciation &amp; amortization</t>
  </si>
  <si>
    <t>Stock based compensation</t>
  </si>
  <si>
    <t>EBITDA</t>
  </si>
  <si>
    <t>% growth</t>
  </si>
  <si>
    <t>BALANCE SHEET</t>
  </si>
  <si>
    <t>Cash &amp; equivalents ST &amp; LT market. securities</t>
  </si>
  <si>
    <t>Accounts receivable</t>
  </si>
  <si>
    <t>Inventory</t>
  </si>
  <si>
    <t>Deferred tax assets</t>
  </si>
  <si>
    <t>Other current assets (inc. non-trade receivables)</t>
  </si>
  <si>
    <t>Property, plant &amp; equipment</t>
  </si>
  <si>
    <t>Acquired intangible assets (inc. Goodwill)</t>
  </si>
  <si>
    <t>Other assets</t>
  </si>
  <si>
    <t>Total assets</t>
  </si>
  <si>
    <t>Accounts payable</t>
  </si>
  <si>
    <t>Accrued expenses &amp; def rev. (current &amp; non-current)</t>
  </si>
  <si>
    <t>Revolver</t>
  </si>
  <si>
    <t>Long term debt</t>
  </si>
  <si>
    <t>Other non-current liabilities</t>
  </si>
  <si>
    <t>Total liabilities</t>
  </si>
  <si>
    <t>Common stock / additional paid in capital</t>
  </si>
  <si>
    <t>Treasury stock</t>
  </si>
  <si>
    <t>Retained earnings / accumulated deficit</t>
  </si>
  <si>
    <t>Other comprehensive income / (loss)</t>
  </si>
  <si>
    <t>Total equity</t>
  </si>
  <si>
    <t>Balance check</t>
  </si>
  <si>
    <t>Ratios</t>
  </si>
  <si>
    <t>Net debt</t>
  </si>
  <si>
    <t>Asset turnover (Revenue / Total assets)</t>
  </si>
  <si>
    <t>Net profit margin</t>
  </si>
  <si>
    <t>Return on assets (ROA)</t>
  </si>
  <si>
    <t>Return on book equity (ROE)</t>
  </si>
  <si>
    <t>WORKING CAPITAL</t>
  </si>
  <si>
    <t>Beginning of period</t>
  </si>
  <si>
    <t>Increases / (decreases)</t>
  </si>
  <si>
    <t>End of period</t>
  </si>
  <si>
    <t>AR as % of sales</t>
  </si>
  <si>
    <t>Days sales outstanding (DSO)</t>
  </si>
  <si>
    <t xml:space="preserve">Inventory </t>
  </si>
  <si>
    <t>Inventory as % of COGS</t>
  </si>
  <si>
    <t>Inventory turnover</t>
  </si>
  <si>
    <t>AP as % of COGS</t>
  </si>
  <si>
    <t>Days payables outstanding (DPO)</t>
  </si>
  <si>
    <t>Accrued expenses &amp; def revenues</t>
  </si>
  <si>
    <t>Accrued expenses &amp; def revs as % of sales</t>
  </si>
  <si>
    <t>INTANGIBLE ASSETS (INC. GOODWILL)</t>
  </si>
  <si>
    <t>Plus: Purchases of intangible assets</t>
  </si>
  <si>
    <t>Less: Amortization</t>
  </si>
  <si>
    <t>Purchases of intangible assets (enter as +)</t>
  </si>
  <si>
    <t>Amortization (enter as -)</t>
  </si>
  <si>
    <t>PROPERTY, PLANT &amp; EQUIPMENT</t>
  </si>
  <si>
    <t>Plus: Capital expenditures</t>
  </si>
  <si>
    <t>Less: Depreciation</t>
  </si>
  <si>
    <t>Capex (enter as +)</t>
  </si>
  <si>
    <t>Capital expenditures as % of revenue</t>
  </si>
  <si>
    <t>Depreciation (enter as -)</t>
  </si>
  <si>
    <t>Depreciation as a % of capital expenditures</t>
  </si>
  <si>
    <t>OTHER ASSETS / LIABILITIES &amp; DEFERRED TAXES</t>
  </si>
  <si>
    <t>Deferred tax assets (DTAs)</t>
  </si>
  <si>
    <t>Other non current liabilities</t>
  </si>
  <si>
    <t>DEBT</t>
  </si>
  <si>
    <t xml:space="preserve">Long term debt </t>
  </si>
  <si>
    <t xml:space="preserve">Additional borrowing / (pay down) </t>
  </si>
  <si>
    <t>PIK accrual</t>
  </si>
  <si>
    <t>Interest expense on long term debt</t>
  </si>
  <si>
    <t>Weighted average interest rate</t>
  </si>
  <si>
    <t>% of interest expense paid in cash</t>
  </si>
  <si>
    <t>% of interest expense accrues as PIK</t>
  </si>
  <si>
    <t>CAPITAL STOCK</t>
  </si>
  <si>
    <t>Common stock / APIC</t>
  </si>
  <si>
    <t>Plus: new share issuances</t>
  </si>
  <si>
    <t>Plus: Stock based compensation</t>
  </si>
  <si>
    <t>New share issuance</t>
  </si>
  <si>
    <t>SBC as % of all operating expenses</t>
  </si>
  <si>
    <t>Less: Stock repurchases</t>
  </si>
  <si>
    <t>Stock repurchases</t>
  </si>
  <si>
    <t>RETAINED EARNINGS &amp; OCI</t>
  </si>
  <si>
    <t>Retained earnings</t>
  </si>
  <si>
    <t>Plus: Net income</t>
  </si>
  <si>
    <t>Less: Common dividends</t>
  </si>
  <si>
    <t>Dividend payout ratio</t>
  </si>
  <si>
    <t>Common dividends</t>
  </si>
  <si>
    <t>Plus: Income / (loss)</t>
  </si>
  <si>
    <t>CASH FLOW STATEMENT</t>
  </si>
  <si>
    <t>Depreciation and amortization</t>
  </si>
  <si>
    <t xml:space="preserve">Non-cash (PIK) interest </t>
  </si>
  <si>
    <t>Cash from operating activities</t>
  </si>
  <si>
    <t>Capital expenditures</t>
  </si>
  <si>
    <t>Purchases of intangible assets</t>
  </si>
  <si>
    <t>Cash from investing activities</t>
  </si>
  <si>
    <t>New share issuances</t>
  </si>
  <si>
    <t>Share repurchases</t>
  </si>
  <si>
    <t>Cash from financing activities</t>
  </si>
  <si>
    <t>Net change in cash during period</t>
  </si>
  <si>
    <t>MODEL PLUG: REVOLVER &amp; CASH</t>
  </si>
  <si>
    <t>Maximum availability</t>
  </si>
  <si>
    <t>Compliance check</t>
  </si>
  <si>
    <t>Revolver needs analysis</t>
  </si>
  <si>
    <t>Less: Minimum cash desired</t>
  </si>
  <si>
    <t>Equals: Excess cash at BOP</t>
  </si>
  <si>
    <t>Plus: Free cash flows generated during period</t>
  </si>
  <si>
    <t>Equals: Cash available (needed) to paydown (draw from) revolver</t>
  </si>
  <si>
    <t>Interest rate on revolver</t>
  </si>
  <si>
    <t>Interest expense</t>
  </si>
  <si>
    <t>Cash</t>
  </si>
  <si>
    <t>+/- additions</t>
  </si>
  <si>
    <t>SHARES OUTSTANDING</t>
  </si>
  <si>
    <t>+ new shares issued</t>
  </si>
  <si>
    <t>- shares repurchased</t>
  </si>
  <si>
    <t>Consensus EPS</t>
  </si>
  <si>
    <t>% change in EPS, year-over-year</t>
  </si>
  <si>
    <t>Average share price</t>
  </si>
  <si>
    <t>SENSITIVITY ANALYSIS</t>
  </si>
  <si>
    <t>Revenue growth rate</t>
  </si>
  <si>
    <t>Gross</t>
  </si>
  <si>
    <t>Profit</t>
  </si>
  <si>
    <t>Margin:</t>
  </si>
  <si>
    <t>SCENARIO ANALYSIS</t>
  </si>
  <si>
    <t>Select an operating scenario:</t>
  </si>
  <si>
    <t>Base case</t>
  </si>
  <si>
    <t>Best case</t>
  </si>
  <si>
    <t>Weak case</t>
  </si>
  <si>
    <t>General assumptions</t>
  </si>
  <si>
    <t>Latest basic share count</t>
  </si>
  <si>
    <t>Weighted average cost of capital</t>
  </si>
  <si>
    <t>Free cash flow buildup</t>
  </si>
  <si>
    <t>EBIT</t>
  </si>
  <si>
    <t>tax rate</t>
  </si>
  <si>
    <t>EBIAT (NOPAT)</t>
  </si>
  <si>
    <t>Unlevered CFO</t>
  </si>
  <si>
    <t>Less: Capital expenditures</t>
  </si>
  <si>
    <t>Less: Purchases of intangible assets</t>
  </si>
  <si>
    <t>Unlevered FCF</t>
  </si>
  <si>
    <t>Discount factor</t>
  </si>
  <si>
    <t>Present value of Unlevered FCF</t>
  </si>
  <si>
    <t>Perpetuity approach</t>
  </si>
  <si>
    <t>Exit EBITDA multiple approach</t>
  </si>
  <si>
    <t>Terminal year EBITDA</t>
  </si>
  <si>
    <t>Terminal value EBITDA multiple</t>
  </si>
  <si>
    <t>Long term growth rate (g)</t>
  </si>
  <si>
    <t xml:space="preserve">Terminal value </t>
  </si>
  <si>
    <t>Present value of terminal value</t>
  </si>
  <si>
    <t>Present value of stage 1 cash flows</t>
  </si>
  <si>
    <t xml:space="preserve">Enterprise value </t>
  </si>
  <si>
    <t>Less: Net debt</t>
  </si>
  <si>
    <t>Equity value</t>
  </si>
  <si>
    <t>Diluted shares</t>
  </si>
  <si>
    <t>Equity value per share</t>
  </si>
  <si>
    <t>Cost of capital assumptions</t>
  </si>
  <si>
    <t>Cost of debt</t>
  </si>
  <si>
    <t>Risk free rate</t>
  </si>
  <si>
    <t>Beta</t>
  </si>
  <si>
    <t>Market risk premium</t>
  </si>
  <si>
    <t>Cost of capital (WACC)</t>
  </si>
  <si>
    <t>Total proceeds ($mm)</t>
  </si>
  <si>
    <t>Total shares repurchased (mm)</t>
  </si>
  <si>
    <t>Net dilutive options</t>
  </si>
  <si>
    <t xml:space="preserve">Dilutive impact of shares from other securities </t>
  </si>
  <si>
    <t>Net diluted shares outstanding</t>
  </si>
  <si>
    <t>x</t>
  </si>
  <si>
    <t>Net Debt</t>
  </si>
  <si>
    <t>Perpetuity</t>
  </si>
  <si>
    <t>Enterprise value</t>
  </si>
  <si>
    <t>Fair value per share</t>
  </si>
  <si>
    <t>Market premium / (discount) to fair value</t>
  </si>
  <si>
    <t>Exercisable options</t>
  </si>
  <si>
    <t>Exercise price</t>
  </si>
  <si>
    <t>In-the-money exercisable options</t>
  </si>
  <si>
    <t>Sensitivity analysis</t>
  </si>
  <si>
    <t>Exit EBITDA Multiple</t>
  </si>
  <si>
    <t>Operating income</t>
  </si>
  <si>
    <t>Market cap</t>
  </si>
  <si>
    <t>EV/EBITDA</t>
  </si>
  <si>
    <t>Assume cash flows are generated at:</t>
  </si>
  <si>
    <t>Midperiod adjustment factor</t>
  </si>
  <si>
    <t>EBITDA % of plan</t>
  </si>
  <si>
    <t>Implied TV exit EBITDA multiple</t>
  </si>
  <si>
    <t>Implied TV perpetual growth rate</t>
  </si>
  <si>
    <t>High</t>
  </si>
  <si>
    <t>Low</t>
  </si>
  <si>
    <t>Diff.</t>
  </si>
  <si>
    <t>52 Week Market High/Low</t>
  </si>
  <si>
    <t>Football field</t>
  </si>
  <si>
    <t>Options / warrants data</t>
  </si>
  <si>
    <t>LTM EBITDA multiple</t>
  </si>
  <si>
    <t>WACC:</t>
  </si>
  <si>
    <t>LTM calculations</t>
  </si>
  <si>
    <t>D&amp;A</t>
  </si>
  <si>
    <t>LTM EBITDA</t>
  </si>
  <si>
    <t>Long term growth rate (g):</t>
  </si>
  <si>
    <t xml:space="preserve">After tax cost of debt </t>
  </si>
  <si>
    <t>Cost of equity</t>
  </si>
  <si>
    <t>Capital weights</t>
  </si>
  <si>
    <t>Amount</t>
  </si>
  <si>
    <t>% of total</t>
  </si>
  <si>
    <t>Market value of equity</t>
  </si>
  <si>
    <r>
      <t>Normalized FCF</t>
    </r>
    <r>
      <rPr>
        <vertAlign val="superscript"/>
        <sz val="11"/>
        <color theme="1"/>
        <rFont val="Calibri"/>
        <family val="2"/>
        <scheme val="minor"/>
      </rPr>
      <t xml:space="preserve">t+1 </t>
    </r>
  </si>
  <si>
    <t>Normalized FCF in last forecast period (t)</t>
  </si>
  <si>
    <r>
      <t xml:space="preserve">Observed </t>
    </r>
    <r>
      <rPr>
        <u val="singleAccounting"/>
        <sz val="9"/>
        <color theme="1"/>
        <rFont val="Symbol"/>
        <family val="1"/>
        <charset val="2"/>
      </rPr>
      <t>b</t>
    </r>
  </si>
  <si>
    <r>
      <t xml:space="preserve">Select </t>
    </r>
    <r>
      <rPr>
        <u val="singleAccounting"/>
        <sz val="9"/>
        <color theme="1"/>
        <rFont val="Symbol"/>
        <family val="1"/>
        <charset val="2"/>
      </rPr>
      <t>b:</t>
    </r>
  </si>
  <si>
    <t>Starbucks</t>
  </si>
  <si>
    <t>SBUX</t>
  </si>
  <si>
    <t>Income from equity investees</t>
  </si>
  <si>
    <t>Earnings attributable to NCI</t>
  </si>
  <si>
    <t>Net income to SBUX</t>
  </si>
  <si>
    <t>Equity and cost investments</t>
  </si>
  <si>
    <t>Insurance reserves</t>
  </si>
  <si>
    <t>NCI</t>
  </si>
  <si>
    <t>Steps</t>
  </si>
  <si>
    <t>Interest rate on cash (net)</t>
  </si>
  <si>
    <t>Interest income and other</t>
  </si>
  <si>
    <t>Observed</t>
  </si>
  <si>
    <t>Cash &amp; equivalents, LT &amp; ST market. securities</t>
  </si>
  <si>
    <t>Source for Projections</t>
  </si>
  <si>
    <t>https://finbox.io/SBUX/</t>
  </si>
  <si>
    <t>2017 EPS sensitivity</t>
  </si>
  <si>
    <t>Equity and costs investments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</si>
</sst>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5">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quot; &quot;"/>
    <numFmt numFmtId="165" formatCode="&quot;$&quot;#,##0.00_);\(&quot;$&quot;#,##0.00\);@_)"/>
    <numFmt numFmtId="166" formatCode="#,##0.0_);\(#,##0.0\);@_)"/>
    <numFmt numFmtId="167" formatCode="0\A;[Red]0\A"/>
    <numFmt numFmtId="168" formatCode="0\P_);\(0\P\)"/>
    <numFmt numFmtId="169" formatCode="m/d/yy;@"/>
    <numFmt numFmtId="170" formatCode="#,##0_);\(#,##0\);@_)"/>
    <numFmt numFmtId="171" formatCode="0.0%_);\(0.0%\);@_)"/>
    <numFmt numFmtId="172" formatCode="0.0%"/>
    <numFmt numFmtId="173" formatCode="&quot;$&quot;#,##0.0_);\(&quot;$&quot;#,##0.0\)"/>
    <numFmt numFmtId="174" formatCode="0.00\x_);\(0.00\x\);@_)"/>
    <numFmt numFmtId="175" formatCode="0\ &quot;days&quot;"/>
    <numFmt numFmtId="176" formatCode="0.0\x"/>
    <numFmt numFmtId="177" formatCode="#,##0.000_);\(#,##0.000\)"/>
    <numFmt numFmtId="178" formatCode="0.00%_);\(0.00%\);@_)"/>
    <numFmt numFmtId="179" formatCode="0.0%;\(0.0%\)"/>
    <numFmt numFmtId="180" formatCode="0.0%;\ \(0.0%\)"/>
    <numFmt numFmtId="181" formatCode="#,##0.00_);\(#,##0.00\);@_)"/>
    <numFmt numFmtId="182" formatCode="0%_);\(0%\);@_)"/>
    <numFmt numFmtId="183" formatCode="#,##0.00_);\(#,##0\)"/>
    <numFmt numFmtId="184" formatCode="#,##0.0%_);\(#,##0.0%\)"/>
    <numFmt numFmtId="185" formatCode="0.0\ \x"/>
    <numFmt numFmtId="186" formatCode="#,##0.00\ ;\(#,##0.00\)"/>
    <numFmt numFmtId="187" formatCode="&quot;$&quot;#,##0.00\ ;\(&quot;$&quot;#,##0.00\)"/>
    <numFmt numFmtId="188" formatCode="0.0%_);\(0.0%\)"/>
    <numFmt numFmtId="189" formatCode="0.000\ \x&quot;rate&quot;"/>
    <numFmt numFmtId="190" formatCode="#,##0.000_);[Red]\(#,##0.000\)"/>
    <numFmt numFmtId="191" formatCode="0.00_);\(0.00\);0.00"/>
    <numFmt numFmtId="192" formatCode="\C&quot;$&quot;#,##0.00_);[Red]\(&quot;$&quot;#,##0.00\)"/>
    <numFmt numFmtId="193" formatCode="#,##0%_);\(#,##0.0%\)"/>
    <numFmt numFmtId="194" formatCode="_(* #,##0.00000000_);_(* \(#,##0.00000000\);_(* &quot;-&quot;?_);_(@_)"/>
    <numFmt numFmtId="195" formatCode="mmm\-d\-yyyy"/>
    <numFmt numFmtId="196" formatCode="mmm\-yyyy"/>
    <numFmt numFmtId="197" formatCode="yyyy"/>
    <numFmt numFmtId="198" formatCode="0.00\x&quot;rate&quot;"/>
    <numFmt numFmtId="199" formatCode="0.0&quot;  &quot;"/>
    <numFmt numFmtId="200" formatCode="&quot;$&quot;#,##0.0\ ;[Red]\(&quot;$&quot;#,##0\)"/>
    <numFmt numFmtId="201" formatCode="_(&quot;$&quot;* #,##0.00_);_(&quot;$&quot;* \(#,##0.00\);_(&quot;$&quot;* &quot;-&quot;?_);_(@_)"/>
    <numFmt numFmtId="202" formatCode="&quot;$&quot;#,##0.000_);[Red]\(&quot;$&quot;#,##0.000\)"/>
    <numFmt numFmtId="203" formatCode="&quot;$&quot;#,##0.00&quot;A&quot;;[Red]\(&quot;$&quot;#,##0.00\)&quot;A&quot;"/>
    <numFmt numFmtId="204" formatCode="#,##0.0\ ;[Red]\(&quot;$&quot;#,##0\)"/>
    <numFmt numFmtId="205" formatCode="&quot;$&quot;#,##0.00&quot;E&quot;;[Red]\(&quot;$&quot;#,##0.00\)&quot;E&quot;"/>
    <numFmt numFmtId="206" formatCode="_([$€-2]* #,##0.00_);_([$€-2]* \(#,##0.00\);_([$€-2]* &quot;-&quot;??_)"/>
    <numFmt numFmtId="207" formatCode="#,##0.00;\(#,##0.00\)"/>
    <numFmt numFmtId="208" formatCode=".%\,\(0.0%%;\t"/>
    <numFmt numFmtId="209" formatCode="#,##0.0_);[Red]\(#,##0.0\)"/>
    <numFmt numFmtId="210" formatCode="0.0%_);[Red]\(0.0%\)"/>
    <numFmt numFmtId="211" formatCode="0.00_);\(0.00\);0.00_)"/>
    <numFmt numFmtId="212" formatCode="#,##0\x"/>
    <numFmt numFmtId="213" formatCode="&quot;TKR&quot;\ 0"/>
    <numFmt numFmtId="214" formatCode=".%\,\(0.%%;\t"/>
    <numFmt numFmtId="215" formatCode="&quot;$&quot;#,###.0\ \ "/>
    <numFmt numFmtId="216" formatCode="#,##0.00\x_);[Red]\(#,##0.00\x\)"/>
    <numFmt numFmtId="217" formatCode="#,##0.0_);\(#,##0.0\)"/>
    <numFmt numFmtId="218" formatCode="#,##0.00\x_);[Red]\(#,##0.00\x\);&quot;--  &quot;"/>
    <numFmt numFmtId="219" formatCode="_(* #,##0.0_);_(* \(#,##0.0\);_(* &quot;-&quot;??_);_(@_)"/>
    <numFmt numFmtId="220" formatCode="0.0\x_);[Red]\(0.0\x\)"/>
    <numFmt numFmtId="221" formatCode="0.0\ "/>
    <numFmt numFmtId="222" formatCode="&quot;$&quot;#,##0.0;\(&quot;$&quot;#,##0.00\)"/>
    <numFmt numFmtId="223" formatCode="#,##0.00%_);\(#,##0.00%\)"/>
    <numFmt numFmtId="224" formatCode="0.00\%;\-0.00\%;0.00\%"/>
    <numFmt numFmtId="225" formatCode="0.0%\ ;\(0.0%\)"/>
    <numFmt numFmtId="226" formatCode="_(&quot;$&quot;* #,##0_);_(&quot;$&quot;* \(#,##0\);_(&quot;$&quot;* &quot;-&quot;??_);_(@_)"/>
    <numFmt numFmtId="227" formatCode="&quot;$&quot;0.00\ "/>
    <numFmt numFmtId="228" formatCode="0.0\ \ \ \ \ "/>
    <numFmt numFmtId="229" formatCode="0.00\x;\-0.00\x;0.00\x"/>
    <numFmt numFmtId="230" formatCode="&quot;$&quot;#,##0.000_);\(&quot;$&quot;#,##0.000\)"/>
    <numFmt numFmtId="231" formatCode="#,##0.0_);\(#,##0.0\);_(* &quot;-&quot;_)"/>
    <numFmt numFmtId="232" formatCode="_(&quot;$&quot;* #,##0.00_);_(&quot;$&quot;* \(#,##0.00\);_(* &quot;-&quot;_);_(@_)"/>
    <numFmt numFmtId="233" formatCode="0.00%_);[Red]\(0.00%\)"/>
    <numFmt numFmtId="234" formatCode="#,##0.0\x_);\(#,##0.0\x\)"/>
    <numFmt numFmtId="235" formatCode="#,##0.00\x_);\(#,##0.00\x\)"/>
    <numFmt numFmtId="236" formatCode="###0&quot;E&quot;_)"/>
    <numFmt numFmtId="237" formatCode="0.0\x_);\(0.0\x\);@_)"/>
    <numFmt numFmtId="238" formatCode="#,##0.0_);\(#,##0.0\);\-_);@_)"/>
    <numFmt numFmtId="239" formatCode="#,##0.000"/>
    <numFmt numFmtId="240" formatCode="0.000%_);\(0.000%\);@_)"/>
    <numFmt numFmtId="241" formatCode="0.000%"/>
    <numFmt numFmtId="242" formatCode="0.000\x_);\(0.000\x\);@_)"/>
    <numFmt numFmtId="243" formatCode="#,##0.00_);\(#,##0.00\);\-_);@_)"/>
  </numFmts>
  <fonts count="85">
    <font>
      <sz val="11"/>
      <color theme="1"/>
      <name val="Calibri"/>
      <family val="2"/>
      <scheme val="minor"/>
    </font>
    <font>
      <b/>
      <sz val="11"/>
      <color theme="1"/>
      <name val="Calibri"/>
      <family val="2"/>
      <scheme val="minor"/>
    </font>
    <font>
      <b/>
      <sz val="20"/>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b/>
      <sz val="11"/>
      <color rgb="FF000000"/>
      <name val="Calibri"/>
      <family val="2"/>
      <scheme val="minor"/>
    </font>
    <font>
      <b/>
      <sz val="11"/>
      <color rgb="FF0000FF"/>
      <name val="Calibri"/>
      <family val="2"/>
      <scheme val="minor"/>
    </font>
    <font>
      <b/>
      <sz val="9"/>
      <color indexed="81"/>
      <name val="Tahoma"/>
      <family val="2"/>
    </font>
    <font>
      <sz val="9"/>
      <color indexed="81"/>
      <name val="Tahoma"/>
      <family val="2"/>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1"/>
      <name val="Calibri"/>
      <family val="2"/>
      <scheme val="minor"/>
    </font>
    <font>
      <sz val="11"/>
      <color rgb="FF008000"/>
      <name val="Calibri"/>
      <family val="2"/>
      <scheme val="minor"/>
    </font>
    <font>
      <b/>
      <sz val="11"/>
      <color indexed="8"/>
      <name val="Calibri"/>
      <family val="2"/>
      <scheme val="minor"/>
    </font>
    <font>
      <vertAlign val="superscript"/>
      <sz val="11"/>
      <color theme="1"/>
      <name val="Calibri"/>
      <family val="2"/>
      <scheme val="minor"/>
    </font>
    <font>
      <i/>
      <sz val="11"/>
      <color rgb="FF008000"/>
      <name val="Calibri"/>
      <family val="2"/>
      <scheme val="minor"/>
    </font>
    <font>
      <u val="singleAccounting"/>
      <sz val="11"/>
      <color theme="1"/>
      <name val="Calibri"/>
      <family val="2"/>
      <scheme val="minor"/>
    </font>
    <font>
      <sz val="8"/>
      <color theme="1"/>
      <name val="Calibri"/>
      <family val="2"/>
      <scheme val="minor"/>
    </font>
    <font>
      <b/>
      <sz val="8"/>
      <color rgb="FF0000FF"/>
      <name val="Calibri"/>
      <family val="2"/>
      <scheme val="minor"/>
    </font>
    <font>
      <i/>
      <sz val="10"/>
      <color rgb="FF0000FF"/>
      <name val="Calibri"/>
      <family val="2"/>
      <scheme val="minor"/>
    </font>
    <font>
      <u val="singleAccounting"/>
      <sz val="11"/>
      <color rgb="FF000000"/>
      <name val="Calibri"/>
      <family val="2"/>
      <scheme val="minor"/>
    </font>
    <font>
      <u val="singleAccounting"/>
      <sz val="9"/>
      <color theme="1"/>
      <name val="Calibri"/>
      <family val="2"/>
      <scheme val="minor"/>
    </font>
    <font>
      <u val="singleAccounting"/>
      <sz val="9"/>
      <color theme="1"/>
      <name val="Symbol"/>
      <family val="1"/>
      <charset val="2"/>
    </font>
    <font>
      <b/>
      <sz val="9"/>
      <color indexed="81"/>
      <name val="Tahoma"/>
      <charset val="1"/>
    </font>
    <font>
      <sz val="10"/>
      <color rgb="FF000000"/>
      <name val="Calibri"/>
      <family val="2"/>
      <scheme val="minor"/>
    </font>
  </fonts>
  <fills count="33">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rgb="FFFFFF99"/>
        <bgColor indexed="64"/>
      </patternFill>
    </fill>
    <fill>
      <patternFill patternType="solid">
        <fgColor rgb="FFCCFFFF"/>
        <bgColor indexed="64"/>
      </patternFill>
    </fill>
  </fills>
  <borders count="38">
    <border>
      <left/>
      <right/>
      <top/>
      <bottom/>
      <diagonal/>
    </border>
    <border>
      <left/>
      <right/>
      <top style="medium">
        <color rgb="FF000000"/>
      </top>
      <bottom style="medium">
        <color rgb="FF000000"/>
      </bottom>
      <diagonal/>
    </border>
    <border>
      <left/>
      <right/>
      <top/>
      <bottom style="thin">
        <color rgb="FF000000"/>
      </bottom>
      <diagonal/>
    </border>
    <border>
      <left/>
      <right/>
      <top/>
      <bottom style="medium">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right style="thin">
        <color indexed="64"/>
      </right>
      <top/>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auto="1"/>
      </right>
      <top/>
      <bottom style="thin">
        <color auto="1"/>
      </bottom>
      <diagonal/>
    </border>
  </borders>
  <cellStyleXfs count="186">
    <xf numFmtId="0" fontId="0" fillId="0" borderId="0"/>
    <xf numFmtId="0" fontId="10" fillId="0" borderId="0"/>
    <xf numFmtId="183" fontId="10" fillId="0" borderId="0">
      <alignment horizontal="right"/>
    </xf>
    <xf numFmtId="184" fontId="10" fillId="2" borderId="0"/>
    <xf numFmtId="185" fontId="10" fillId="2" borderId="0"/>
    <xf numFmtId="184" fontId="10" fillId="2" borderId="0"/>
    <xf numFmtId="186" fontId="10" fillId="2" borderId="0"/>
    <xf numFmtId="187" fontId="10" fillId="2" borderId="0">
      <alignment horizontal="right"/>
    </xf>
    <xf numFmtId="188" fontId="11" fillId="0" borderId="0" applyFont="0" applyFill="0" applyBorder="0" applyAlignment="0" applyProtection="0"/>
    <xf numFmtId="0" fontId="12" fillId="0" borderId="0" applyNumberFormat="0" applyFont="0" applyFill="0" applyBorder="0" applyAlignment="0" applyProtection="0"/>
    <xf numFmtId="189" fontId="13"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3" fillId="0" borderId="0"/>
    <xf numFmtId="0" fontId="16" fillId="4" borderId="0" applyNumberFormat="0" applyBorder="0" applyAlignment="0" applyProtection="0"/>
    <xf numFmtId="190" fontId="17" fillId="0" borderId="0" applyFont="0" applyFill="0" applyBorder="0" applyAlignment="0" applyProtection="0"/>
    <xf numFmtId="38" fontId="17" fillId="0" borderId="0" applyFill="0" applyBorder="0" applyAlignment="0" applyProtection="0">
      <protection locked="0"/>
    </xf>
    <xf numFmtId="0" fontId="18" fillId="0" borderId="0"/>
    <xf numFmtId="37" fontId="19" fillId="0" borderId="0">
      <alignment horizontal="centerContinuous"/>
    </xf>
    <xf numFmtId="0" fontId="20" fillId="21" borderId="9" applyNumberFormat="0" applyAlignment="0" applyProtection="0"/>
    <xf numFmtId="190" fontId="17" fillId="0" borderId="0" applyFont="0" applyFill="0" applyBorder="0" applyAlignment="0" applyProtection="0">
      <protection locked="0"/>
    </xf>
    <xf numFmtId="190" fontId="17" fillId="0" borderId="10" applyFont="0" applyFill="0" applyAlignment="0" applyProtection="0"/>
    <xf numFmtId="0" fontId="21" fillId="22" borderId="11" applyNumberFormat="0" applyAlignment="0" applyProtection="0"/>
    <xf numFmtId="0" fontId="12" fillId="0" borderId="0">
      <alignment horizontal="center" wrapText="1"/>
      <protection hidden="1"/>
    </xf>
    <xf numFmtId="0" fontId="22" fillId="0" borderId="12" applyNumberFormat="0" applyFill="0" applyBorder="0" applyProtection="0">
      <alignment horizontal="left" vertical="center"/>
    </xf>
    <xf numFmtId="0" fontId="22" fillId="0" borderId="12" applyNumberFormat="0" applyFill="0" applyBorder="0" applyProtection="0">
      <alignment horizontal="right" vertical="center"/>
    </xf>
    <xf numFmtId="43" fontId="12" fillId="0" borderId="0" applyFont="0" applyFill="0" applyBorder="0" applyAlignment="0" applyProtection="0"/>
    <xf numFmtId="37" fontId="23" fillId="0" borderId="0" applyFont="0" applyFill="0" applyBorder="0" applyAlignment="0" applyProtection="0"/>
    <xf numFmtId="39" fontId="23" fillId="0" borderId="0" applyFont="0" applyFill="0" applyBorder="0" applyAlignment="0" applyProtection="0"/>
    <xf numFmtId="0" fontId="24" fillId="23" borderId="0">
      <alignment horizontal="center" vertical="center" wrapText="1"/>
    </xf>
    <xf numFmtId="191" fontId="12" fillId="0" borderId="0" applyFill="0" applyBorder="0">
      <alignment horizontal="right"/>
      <protection locked="0"/>
    </xf>
    <xf numFmtId="0" fontId="25" fillId="0" borderId="0" applyFont="0" applyFill="0" applyBorder="0" applyAlignment="0"/>
    <xf numFmtId="7" fontId="26" fillId="0" borderId="0" applyFont="0" applyFill="0" applyBorder="0" applyAlignment="0" applyProtection="0"/>
    <xf numFmtId="5" fontId="23" fillId="0" borderId="0" applyFont="0" applyFill="0" applyBorder="0" applyAlignment="0" applyProtection="0"/>
    <xf numFmtId="192" fontId="13" fillId="0" borderId="0" applyFill="0" applyBorder="0" applyProtection="0">
      <alignment horizontal="right"/>
    </xf>
    <xf numFmtId="193" fontId="10" fillId="2" borderId="13">
      <alignment horizontal="right"/>
    </xf>
    <xf numFmtId="194" fontId="10" fillId="2" borderId="13">
      <alignment horizontal="right"/>
    </xf>
    <xf numFmtId="193" fontId="10" fillId="2" borderId="13">
      <alignment horizontal="right"/>
    </xf>
    <xf numFmtId="15" fontId="27" fillId="0" borderId="0" applyFill="0" applyBorder="0" applyAlignment="0"/>
    <xf numFmtId="195" fontId="25" fillId="24" borderId="0" applyFont="0" applyFill="0" applyBorder="0" applyAlignment="0" applyProtection="0"/>
    <xf numFmtId="196" fontId="27" fillId="0" borderId="12"/>
    <xf numFmtId="14" fontId="28" fillId="0" borderId="0" applyFont="0" applyFill="0" applyBorder="0" applyAlignment="0" applyProtection="0">
      <alignment horizontal="center"/>
    </xf>
    <xf numFmtId="197" fontId="28" fillId="0" borderId="0" applyFont="0" applyFill="0" applyBorder="0" applyAlignment="0" applyProtection="0">
      <alignment horizontal="center"/>
    </xf>
    <xf numFmtId="198" fontId="13" fillId="0" borderId="0" applyFont="0" applyFill="0" applyBorder="0" applyAlignment="0" applyProtection="0"/>
    <xf numFmtId="8" fontId="17" fillId="0" borderId="0" applyFont="0" applyFill="0" applyBorder="0" applyAlignment="0" applyProtection="0"/>
    <xf numFmtId="6" fontId="17" fillId="0" borderId="0" applyFont="0" applyFill="0" applyBorder="0" applyAlignment="0" applyProtection="0">
      <alignment horizontal="right"/>
    </xf>
    <xf numFmtId="6" fontId="17" fillId="0" borderId="0" applyFont="0" applyFill="0" applyBorder="0" applyAlignment="0" applyProtection="0"/>
    <xf numFmtId="39" fontId="10" fillId="25" borderId="0"/>
    <xf numFmtId="7" fontId="10" fillId="25" borderId="0" applyBorder="0"/>
    <xf numFmtId="199" fontId="10" fillId="25" borderId="0"/>
    <xf numFmtId="200" fontId="10" fillId="0" borderId="0"/>
    <xf numFmtId="201" fontId="10" fillId="25" borderId="0"/>
    <xf numFmtId="202" fontId="10" fillId="25" borderId="0"/>
    <xf numFmtId="203" fontId="18" fillId="0" borderId="0" applyFont="0" applyFill="0" applyBorder="0" applyProtection="0">
      <alignment horizontal="left"/>
      <protection locked="0"/>
    </xf>
    <xf numFmtId="204" fontId="10" fillId="0" borderId="0"/>
    <xf numFmtId="205" fontId="18" fillId="0" borderId="0" applyFont="0" applyFill="0" applyBorder="0" applyProtection="0">
      <alignment horizontal="left"/>
      <protection locked="0"/>
    </xf>
    <xf numFmtId="206" fontId="12" fillId="0" borderId="0" applyFont="0" applyFill="0" applyBorder="0" applyAlignment="0" applyProtection="0"/>
    <xf numFmtId="0" fontId="29" fillId="0" borderId="0" applyNumberFormat="0" applyFill="0" applyBorder="0" applyAlignment="0" applyProtection="0"/>
    <xf numFmtId="188" fontId="10" fillId="0" borderId="14"/>
    <xf numFmtId="207" fontId="10" fillId="2" borderId="13">
      <alignment horizontal="right"/>
    </xf>
    <xf numFmtId="208" fontId="10" fillId="2" borderId="13">
      <alignment horizontal="right"/>
    </xf>
    <xf numFmtId="207" fontId="10" fillId="2" borderId="13">
      <alignment horizontal="right"/>
    </xf>
    <xf numFmtId="209" fontId="17" fillId="0" borderId="0" applyFill="0" applyBorder="0" applyAlignment="0" applyProtection="0">
      <protection locked="0"/>
    </xf>
    <xf numFmtId="0" fontId="30" fillId="5" borderId="0" applyNumberFormat="0" applyBorder="0" applyAlignment="0" applyProtection="0"/>
    <xf numFmtId="210" fontId="31" fillId="0" borderId="0" applyFill="0" applyBorder="0" applyAlignment="0" applyProtection="0"/>
    <xf numFmtId="188" fontId="32" fillId="0" borderId="0" applyAlignment="0">
      <alignment horizontal="left"/>
      <protection locked="0"/>
    </xf>
    <xf numFmtId="209" fontId="13" fillId="26" borderId="15" applyNumberFormat="0" applyFont="0" applyAlignment="0" applyProtection="0"/>
    <xf numFmtId="0" fontId="33" fillId="0" borderId="16" applyNumberFormat="0" applyFill="0" applyAlignment="0" applyProtection="0"/>
    <xf numFmtId="0" fontId="34" fillId="0" borderId="17" applyNumberFormat="0" applyFill="0" applyAlignment="0" applyProtection="0"/>
    <xf numFmtId="0" fontId="35" fillId="0" borderId="18" applyNumberFormat="0" applyFill="0" applyAlignment="0" applyProtection="0"/>
    <xf numFmtId="0" fontId="35" fillId="0" borderId="0" applyNumberFormat="0" applyFill="0" applyBorder="0" applyAlignment="0" applyProtection="0"/>
    <xf numFmtId="209" fontId="36" fillId="0" borderId="0" applyNumberFormat="0" applyFill="0" applyBorder="0" applyAlignment="0" applyProtection="0"/>
    <xf numFmtId="0" fontId="37" fillId="0" borderId="0"/>
    <xf numFmtId="190" fontId="17" fillId="0" borderId="0" applyFont="0" applyFill="0" applyBorder="0" applyAlignment="0" applyProtection="0"/>
    <xf numFmtId="38" fontId="17" fillId="0" borderId="0" applyFill="0" applyBorder="0" applyAlignment="0" applyProtection="0">
      <alignment horizontal="right"/>
      <protection locked="0"/>
    </xf>
    <xf numFmtId="0" fontId="38" fillId="8" borderId="9" applyNumberFormat="0" applyAlignment="0" applyProtection="0"/>
    <xf numFmtId="0" fontId="25" fillId="24" borderId="0" applyFont="0" applyBorder="0" applyAlignment="0">
      <protection locked="0"/>
    </xf>
    <xf numFmtId="0" fontId="12" fillId="0" borderId="0" applyFill="0" applyBorder="0">
      <alignment horizontal="right"/>
      <protection locked="0"/>
    </xf>
    <xf numFmtId="17" fontId="39" fillId="27" borderId="0"/>
    <xf numFmtId="211" fontId="12" fillId="0" borderId="0" applyFill="0" applyBorder="0">
      <alignment horizontal="right"/>
      <protection locked="0"/>
    </xf>
    <xf numFmtId="0" fontId="40" fillId="28" borderId="19">
      <alignment horizontal="left" vertical="center" wrapText="1"/>
    </xf>
    <xf numFmtId="0" fontId="41" fillId="0" borderId="20" applyNumberFormat="0" applyFill="0" applyAlignment="0" applyProtection="0"/>
    <xf numFmtId="172" fontId="17" fillId="0" borderId="0" applyFont="0" applyFill="0" applyBorder="0" applyAlignment="0" applyProtection="0">
      <alignment horizontal="right"/>
    </xf>
    <xf numFmtId="212" fontId="10" fillId="0" borderId="0">
      <alignment horizontal="right"/>
    </xf>
    <xf numFmtId="213" fontId="10" fillId="25" borderId="0">
      <alignment horizontal="right"/>
    </xf>
    <xf numFmtId="214" fontId="10" fillId="0" borderId="0">
      <alignment horizontal="right"/>
    </xf>
    <xf numFmtId="212" fontId="10" fillId="0" borderId="0">
      <alignment horizontal="right"/>
    </xf>
    <xf numFmtId="188" fontId="42" fillId="0" borderId="0" applyFill="0" applyBorder="0" applyAlignment="0" applyProtection="0">
      <alignment horizontal="right"/>
    </xf>
    <xf numFmtId="188" fontId="42" fillId="0" borderId="0" applyFill="0" applyBorder="0" applyAlignment="0" applyProtection="0"/>
    <xf numFmtId="215" fontId="10" fillId="2" borderId="13">
      <alignment horizontal="right"/>
    </xf>
    <xf numFmtId="216" fontId="17" fillId="0" borderId="0" applyFont="0" applyFill="0" applyBorder="0" applyAlignment="0" applyProtection="0"/>
    <xf numFmtId="0" fontId="23" fillId="2" borderId="0" applyFont="0" applyBorder="0" applyAlignment="0" applyProtection="0">
      <alignment horizontal="right"/>
      <protection hidden="1"/>
    </xf>
    <xf numFmtId="0" fontId="43" fillId="26" borderId="0" applyNumberFormat="0" applyBorder="0" applyAlignment="0" applyProtection="0"/>
    <xf numFmtId="37" fontId="26" fillId="0" borderId="0" applyFont="0" applyFill="0" applyBorder="0" applyAlignment="0" applyProtection="0"/>
    <xf numFmtId="217" fontId="12" fillId="0" borderId="0" applyFont="0" applyFill="0" applyBorder="0" applyAlignment="0" applyProtection="0"/>
    <xf numFmtId="39" fontId="12" fillId="0" borderId="0" applyFont="0" applyFill="0" applyBorder="0" applyAlignment="0" applyProtection="0"/>
    <xf numFmtId="177" fontId="12" fillId="0" borderId="0" applyFont="0" applyFill="0" applyBorder="0" applyAlignment="0" applyProtection="0"/>
    <xf numFmtId="0" fontId="12" fillId="0" borderId="0"/>
    <xf numFmtId="0" fontId="27" fillId="0" borderId="0" applyNumberFormat="0" applyFill="0" applyBorder="0" applyAlignment="0" applyProtection="0"/>
    <xf numFmtId="0" fontId="25" fillId="0" borderId="0" applyFont="0" applyFill="0" applyBorder="0" applyAlignment="0" applyProtection="0"/>
    <xf numFmtId="218" fontId="25" fillId="0" borderId="0" applyFont="0" applyFill="0" applyBorder="0" applyAlignment="0" applyProtection="0"/>
    <xf numFmtId="0" fontId="14" fillId="29" borderId="21" applyNumberFormat="0" applyFont="0" applyAlignment="0" applyProtection="0"/>
    <xf numFmtId="0" fontId="23" fillId="0" borderId="0" applyFont="0" applyFill="0" applyBorder="0" applyAlignment="0" applyProtection="0"/>
    <xf numFmtId="219" fontId="12" fillId="0" borderId="0" applyFont="0" applyFill="0" applyBorder="0" applyAlignment="0" applyProtection="0"/>
    <xf numFmtId="0" fontId="23" fillId="0" borderId="0" applyFont="0" applyFill="0" applyBorder="0" applyAlignment="0" applyProtection="0"/>
    <xf numFmtId="0" fontId="44" fillId="21" borderId="22" applyNumberFormat="0" applyAlignment="0" applyProtection="0"/>
    <xf numFmtId="220" fontId="17" fillId="0" borderId="0" applyFont="0" applyFill="0" applyBorder="0" applyAlignment="0" applyProtection="0">
      <alignment horizontal="right"/>
    </xf>
    <xf numFmtId="0" fontId="45" fillId="0" borderId="0" applyNumberFormat="0" applyFill="0" applyBorder="0" applyAlignment="0" applyProtection="0"/>
    <xf numFmtId="0" fontId="25" fillId="0" borderId="0"/>
    <xf numFmtId="221" fontId="10" fillId="25" borderId="0"/>
    <xf numFmtId="9" fontId="17" fillId="0" borderId="0" applyFont="0" applyFill="0" applyBorder="0" applyAlignment="0" applyProtection="0">
      <alignment horizontal="right"/>
    </xf>
    <xf numFmtId="222" fontId="10" fillId="0" borderId="0"/>
    <xf numFmtId="0" fontId="12" fillId="0" borderId="0" applyFont="0" applyFill="0" applyBorder="0" applyAlignment="0"/>
    <xf numFmtId="184" fontId="12" fillId="0" borderId="0" applyFont="0" applyFill="0" applyBorder="0" applyAlignment="0" applyProtection="0"/>
    <xf numFmtId="223" fontId="12" fillId="0" borderId="0" applyFont="0" applyFill="0" applyBorder="0" applyAlignment="0" applyProtection="0"/>
    <xf numFmtId="224" fontId="12" fillId="0" borderId="0" applyFill="0" applyBorder="0">
      <alignment horizontal="right"/>
      <protection locked="0"/>
    </xf>
    <xf numFmtId="210" fontId="17" fillId="0" borderId="0" applyFont="0" applyFill="0" applyBorder="0" applyAlignment="0" applyProtection="0"/>
    <xf numFmtId="8" fontId="17" fillId="0" borderId="0" applyFont="0" applyFill="0" applyBorder="0" applyAlignment="0" applyProtection="0"/>
    <xf numFmtId="190" fontId="17" fillId="0" borderId="0" applyFont="0" applyFill="0" applyBorder="0" applyAlignment="0" applyProtection="0">
      <protection locked="0"/>
    </xf>
    <xf numFmtId="209" fontId="17" fillId="0" borderId="0" applyFill="0" applyBorder="0" applyAlignment="0" applyProtection="0"/>
    <xf numFmtId="38" fontId="17" fillId="0" borderId="0" applyFont="0" applyFill="0" applyBorder="0" applyAlignment="0" applyProtection="0"/>
    <xf numFmtId="186" fontId="10" fillId="2" borderId="23">
      <alignment horizontal="right"/>
    </xf>
    <xf numFmtId="225" fontId="46" fillId="2" borderId="0"/>
    <xf numFmtId="226" fontId="10" fillId="2" borderId="0"/>
    <xf numFmtId="0" fontId="47" fillId="0" borderId="0">
      <alignment horizontal="center"/>
    </xf>
    <xf numFmtId="0" fontId="10" fillId="0" borderId="12">
      <alignment horizontal="centerContinuous"/>
    </xf>
    <xf numFmtId="227" fontId="10" fillId="2" borderId="0">
      <alignment horizontal="right"/>
    </xf>
    <xf numFmtId="228" fontId="10" fillId="2" borderId="13">
      <alignment horizontal="right"/>
    </xf>
    <xf numFmtId="229" fontId="12" fillId="0" borderId="0">
      <alignment horizontal="right"/>
      <protection locked="0"/>
    </xf>
    <xf numFmtId="209" fontId="28" fillId="0" borderId="0" applyFont="0" applyFill="0" applyBorder="0" applyAlignment="0" applyProtection="0"/>
    <xf numFmtId="0" fontId="48" fillId="0" borderId="0" applyNumberFormat="0" applyFill="0" applyBorder="0" applyProtection="0">
      <alignment horizontal="right" vertical="center"/>
    </xf>
    <xf numFmtId="0" fontId="49" fillId="23" borderId="15">
      <alignment horizontal="center" vertical="center" wrapText="1"/>
      <protection hidden="1"/>
    </xf>
    <xf numFmtId="190" fontId="17" fillId="0" borderId="0" applyFill="0" applyBorder="0" applyAlignment="0" applyProtection="0">
      <protection locked="0"/>
    </xf>
    <xf numFmtId="230" fontId="28" fillId="0" borderId="0" applyFont="0" applyFill="0" applyBorder="0" applyAlignment="0" applyProtection="0">
      <alignment horizontal="right"/>
    </xf>
    <xf numFmtId="38" fontId="12" fillId="0" borderId="0" applyFont="0" applyFill="0" applyBorder="0" applyAlignment="0" applyProtection="0"/>
    <xf numFmtId="0" fontId="50" fillId="0" borderId="24" applyNumberFormat="0" applyFill="0" applyProtection="0">
      <alignment horizontal="left" vertical="top" wrapText="1"/>
    </xf>
    <xf numFmtId="0" fontId="37" fillId="0" borderId="0" applyNumberFormat="0" applyFill="0" applyBorder="0" applyProtection="0">
      <alignment horizontal="left" vertical="top" wrapText="1"/>
    </xf>
    <xf numFmtId="0" fontId="51" fillId="0" borderId="0" applyNumberFormat="0" applyFill="0" applyProtection="0">
      <alignment horizontal="left" vertical="top" wrapText="1"/>
    </xf>
    <xf numFmtId="0" fontId="52" fillId="0" borderId="0" applyNumberFormat="0" applyFill="0" applyBorder="0" applyProtection="0"/>
    <xf numFmtId="0" fontId="53" fillId="30" borderId="0" applyNumberFormat="0" applyBorder="0" applyProtection="0"/>
    <xf numFmtId="0" fontId="54" fillId="0" borderId="0" applyNumberFormat="0" applyFill="0" applyBorder="0" applyProtection="0">
      <alignment vertical="top"/>
    </xf>
    <xf numFmtId="231" fontId="55" fillId="0" borderId="0" applyFill="0" applyBorder="0" applyProtection="0">
      <alignment horizontal="right" wrapText="1"/>
    </xf>
    <xf numFmtId="232" fontId="55" fillId="0" borderId="0" applyFill="0" applyBorder="0" applyProtection="0">
      <alignment horizontal="right"/>
    </xf>
    <xf numFmtId="4" fontId="25" fillId="0" borderId="0" applyFill="0" applyBorder="0" applyProtection="0">
      <alignment horizontal="right"/>
    </xf>
    <xf numFmtId="202" fontId="56" fillId="0" borderId="0" applyFill="0" applyBorder="0" applyAlignment="0" applyProtection="0"/>
    <xf numFmtId="233" fontId="57" fillId="0" borderId="0" applyFill="0" applyBorder="0" applyAlignment="0" applyProtection="0">
      <alignment horizontal="left"/>
      <protection locked="0"/>
    </xf>
    <xf numFmtId="233" fontId="57" fillId="0" borderId="0" applyFill="0" applyBorder="0" applyAlignment="0" applyProtection="0"/>
    <xf numFmtId="233" fontId="58" fillId="0" borderId="0" applyFill="0" applyBorder="0" applyAlignment="0" applyProtection="0">
      <alignment horizontal="left"/>
      <protection locked="0"/>
    </xf>
    <xf numFmtId="233" fontId="58" fillId="0" borderId="0" applyFill="0" applyBorder="0" applyAlignment="0" applyProtection="0">
      <protection locked="0"/>
    </xf>
    <xf numFmtId="209" fontId="17" fillId="0" borderId="0" applyFill="0" applyBorder="0" applyAlignment="0" applyProtection="0">
      <protection locked="0"/>
    </xf>
    <xf numFmtId="209" fontId="56" fillId="0" borderId="0" applyFill="0" applyBorder="0" applyAlignment="0" applyProtection="0"/>
    <xf numFmtId="49" fontId="59" fillId="0" borderId="0"/>
    <xf numFmtId="234" fontId="12" fillId="0" borderId="0" applyFont="0" applyFill="0" applyBorder="0" applyAlignment="0" applyProtection="0"/>
    <xf numFmtId="235" fontId="12" fillId="0" borderId="0" applyFont="0" applyFill="0" applyBorder="0" applyAlignment="0" applyProtection="0"/>
    <xf numFmtId="0" fontId="60" fillId="0" borderId="0" applyNumberFormat="0" applyFill="0" applyBorder="0" applyAlignment="0" applyProtection="0"/>
    <xf numFmtId="0" fontId="61" fillId="1" borderId="0" applyNumberFormat="0" applyBorder="0" applyProtection="0">
      <alignment horizontal="left" vertical="center"/>
    </xf>
    <xf numFmtId="209" fontId="62" fillId="0" borderId="0" applyNumberFormat="0" applyFill="0" applyBorder="0" applyAlignment="0" applyProtection="0"/>
    <xf numFmtId="0" fontId="12" fillId="0" borderId="0" applyBorder="0"/>
    <xf numFmtId="38" fontId="63" fillId="0" borderId="0" applyFill="0" applyBorder="0" applyAlignment="0" applyProtection="0">
      <alignment horizontal="left"/>
    </xf>
    <xf numFmtId="0" fontId="64" fillId="0" borderId="0"/>
    <xf numFmtId="0" fontId="65" fillId="0" borderId="25" applyNumberFormat="0" applyFill="0" applyAlignment="0" applyProtection="0"/>
    <xf numFmtId="0" fontId="66" fillId="0" borderId="0" applyNumberFormat="0" applyFill="0" applyBorder="0" applyAlignment="0" applyProtection="0"/>
    <xf numFmtId="1" fontId="17" fillId="0" borderId="0" applyFont="0" applyFill="0" applyBorder="0" applyAlignment="0" applyProtection="0"/>
    <xf numFmtId="236" fontId="26" fillId="0" borderId="0" applyFont="0" applyFill="0" applyBorder="0" applyAlignment="0" applyProtection="0"/>
  </cellStyleXfs>
  <cellXfs count="236">
    <xf numFmtId="0" fontId="0" fillId="0" borderId="0" xfId="0"/>
    <xf numFmtId="0" fontId="2" fillId="0" borderId="1" xfId="0" applyFont="1" applyBorder="1"/>
    <xf numFmtId="14" fontId="3" fillId="0" borderId="0" xfId="0" applyNumberFormat="1" applyFont="1" applyFill="1" applyBorder="1" applyAlignment="1">
      <alignment horizontal="left"/>
    </xf>
    <xf numFmtId="0" fontId="4" fillId="0" borderId="0" xfId="0" applyFont="1" applyBorder="1"/>
    <xf numFmtId="0" fontId="5" fillId="0" borderId="0" xfId="0" applyFont="1" applyFill="1" applyBorder="1" applyAlignment="1">
      <alignment horizontal="right"/>
    </xf>
    <xf numFmtId="164" fontId="0" fillId="0" borderId="0" xfId="0" applyNumberFormat="1" applyFont="1" applyBorder="1"/>
    <xf numFmtId="165" fontId="5" fillId="0" borderId="0" xfId="0" applyNumberFormat="1" applyFont="1" applyFill="1" applyBorder="1" applyAlignment="1">
      <alignment horizontal="right"/>
    </xf>
    <xf numFmtId="0" fontId="6" fillId="0" borderId="0" xfId="0" applyFont="1" applyFill="1" applyBorder="1"/>
    <xf numFmtId="166" fontId="7" fillId="0" borderId="0" xfId="0" applyNumberFormat="1" applyFont="1" applyFill="1" applyBorder="1" applyAlignment="1">
      <alignment horizontal="right"/>
    </xf>
    <xf numFmtId="14" fontId="5" fillId="0" borderId="0" xfId="0" applyNumberFormat="1" applyFont="1" applyFill="1" applyBorder="1" applyAlignment="1">
      <alignment horizontal="right"/>
    </xf>
    <xf numFmtId="0" fontId="4" fillId="0" borderId="0" xfId="0" applyFont="1" applyFill="1" applyBorder="1"/>
    <xf numFmtId="166" fontId="5" fillId="0" borderId="0" xfId="0" applyNumberFormat="1" applyFont="1" applyFill="1" applyBorder="1" applyAlignment="1">
      <alignment horizontal="right"/>
    </xf>
    <xf numFmtId="176" fontId="0" fillId="0" borderId="0" xfId="0" applyNumberFormat="1" applyFont="1"/>
    <xf numFmtId="176" fontId="4" fillId="0" borderId="0" xfId="0" applyNumberFormat="1" applyFont="1"/>
    <xf numFmtId="171" fontId="0" fillId="0" borderId="0" xfId="0" applyNumberFormat="1" applyFont="1"/>
    <xf numFmtId="175" fontId="4" fillId="0" borderId="0" xfId="0" applyNumberFormat="1" applyFont="1"/>
    <xf numFmtId="171" fontId="4" fillId="0" borderId="0" xfId="0" applyNumberFormat="1" applyFont="1"/>
    <xf numFmtId="0" fontId="0" fillId="0" borderId="0" xfId="0" applyFont="1"/>
    <xf numFmtId="0" fontId="0" fillId="0" borderId="1" xfId="0" applyFont="1" applyBorder="1"/>
    <xf numFmtId="0" fontId="67" fillId="0" borderId="0" xfId="0" applyFont="1" applyBorder="1"/>
    <xf numFmtId="0" fontId="0" fillId="0" borderId="0" xfId="0" applyFont="1" applyBorder="1"/>
    <xf numFmtId="14" fontId="68" fillId="0" borderId="0" xfId="0" applyNumberFormat="1" applyFont="1" applyBorder="1"/>
    <xf numFmtId="0" fontId="1" fillId="0" borderId="2" xfId="0" applyFont="1" applyBorder="1"/>
    <xf numFmtId="0" fontId="67" fillId="0" borderId="2" xfId="0" applyFont="1" applyBorder="1"/>
    <xf numFmtId="0" fontId="0" fillId="0" borderId="2" xfId="0" applyFont="1" applyBorder="1"/>
    <xf numFmtId="167" fontId="1" fillId="0" borderId="0" xfId="0" applyNumberFormat="1" applyFont="1" applyBorder="1"/>
    <xf numFmtId="168" fontId="1" fillId="0" borderId="0" xfId="0" applyNumberFormat="1" applyFont="1" applyBorder="1"/>
    <xf numFmtId="0" fontId="68" fillId="0" borderId="2" xfId="0" applyFont="1" applyBorder="1"/>
    <xf numFmtId="169" fontId="69" fillId="0" borderId="2" xfId="0" applyNumberFormat="1" applyFont="1" applyBorder="1"/>
    <xf numFmtId="169" fontId="68" fillId="0" borderId="2" xfId="0" applyNumberFormat="1" applyFont="1" applyBorder="1"/>
    <xf numFmtId="0" fontId="68" fillId="0" borderId="0" xfId="0" applyFont="1" applyBorder="1"/>
    <xf numFmtId="169" fontId="69" fillId="0" borderId="0" xfId="0" applyNumberFormat="1" applyFont="1" applyBorder="1"/>
    <xf numFmtId="169" fontId="68" fillId="0" borderId="0" xfId="0" applyNumberFormat="1" applyFont="1" applyBorder="1"/>
    <xf numFmtId="37" fontId="5" fillId="0" borderId="0" xfId="0" applyNumberFormat="1" applyFont="1" applyFill="1" applyBorder="1"/>
    <xf numFmtId="37" fontId="4" fillId="0" borderId="0" xfId="0" applyNumberFormat="1" applyFont="1" applyBorder="1"/>
    <xf numFmtId="0" fontId="1" fillId="0" borderId="0" xfId="0" applyFont="1" applyBorder="1"/>
    <xf numFmtId="37" fontId="6" fillId="0" borderId="0" xfId="0" applyNumberFormat="1" applyFont="1" applyFill="1" applyBorder="1"/>
    <xf numFmtId="0" fontId="0" fillId="0" borderId="0" xfId="0" applyFont="1" applyFill="1" applyBorder="1"/>
    <xf numFmtId="37" fontId="0" fillId="0" borderId="0" xfId="0" applyNumberFormat="1" applyFont="1" applyBorder="1"/>
    <xf numFmtId="37" fontId="6" fillId="0" borderId="0" xfId="0" applyNumberFormat="1" applyFont="1" applyBorder="1"/>
    <xf numFmtId="3" fontId="5" fillId="0" borderId="0" xfId="0" applyNumberFormat="1" applyFont="1"/>
    <xf numFmtId="170" fontId="0" fillId="0" borderId="0" xfId="0" applyNumberFormat="1" applyFont="1"/>
    <xf numFmtId="3" fontId="4" fillId="0" borderId="0" xfId="0" applyNumberFormat="1" applyFont="1"/>
    <xf numFmtId="7" fontId="0" fillId="0" borderId="0" xfId="0" applyNumberFormat="1" applyFont="1"/>
    <xf numFmtId="0" fontId="1" fillId="0" borderId="0" xfId="0" applyFont="1"/>
    <xf numFmtId="7" fontId="1" fillId="0" borderId="0" xfId="0" applyNumberFormat="1" applyFont="1"/>
    <xf numFmtId="0" fontId="70" fillId="0" borderId="0" xfId="0" applyFont="1"/>
    <xf numFmtId="0" fontId="0" fillId="0" borderId="0" xfId="0" applyFont="1" applyBorder="1" applyAlignment="1">
      <alignment horizontal="left" indent="1"/>
    </xf>
    <xf numFmtId="171" fontId="0" fillId="0" borderId="0" xfId="0" applyNumberFormat="1" applyFont="1" applyBorder="1" applyAlignment="1">
      <alignment horizontal="right"/>
    </xf>
    <xf numFmtId="171" fontId="4" fillId="0" borderId="0" xfId="0" applyNumberFormat="1" applyFont="1" applyBorder="1"/>
    <xf numFmtId="171" fontId="4" fillId="0" borderId="0" xfId="0" applyNumberFormat="1" applyFont="1" applyFill="1" applyBorder="1"/>
    <xf numFmtId="0" fontId="0" fillId="0" borderId="0" xfId="0" applyFont="1" applyFill="1" applyBorder="1" applyAlignment="1">
      <alignment horizontal="left" indent="1"/>
    </xf>
    <xf numFmtId="0" fontId="70" fillId="0" borderId="0" xfId="0" applyFont="1" applyFill="1" applyBorder="1"/>
    <xf numFmtId="0" fontId="0" fillId="0" borderId="0" xfId="0" applyFont="1" applyAlignment="1">
      <alignment horizontal="left" indent="1"/>
    </xf>
    <xf numFmtId="0" fontId="1" fillId="0" borderId="0" xfId="0" applyFont="1" applyAlignment="1">
      <alignment horizontal="left" indent="1"/>
    </xf>
    <xf numFmtId="3" fontId="6" fillId="0" borderId="0" xfId="0" applyNumberFormat="1" applyFont="1"/>
    <xf numFmtId="3" fontId="0" fillId="0" borderId="0" xfId="0" applyNumberFormat="1" applyFont="1"/>
    <xf numFmtId="167" fontId="6" fillId="0" borderId="0" xfId="0" applyNumberFormat="1" applyFont="1" applyBorder="1"/>
    <xf numFmtId="168" fontId="6" fillId="0" borderId="0" xfId="0" applyNumberFormat="1" applyFont="1" applyBorder="1"/>
    <xf numFmtId="169" fontId="3" fillId="0" borderId="2" xfId="0" applyNumberFormat="1" applyFont="1" applyBorder="1"/>
    <xf numFmtId="37" fontId="4" fillId="0" borderId="0" xfId="0" applyNumberFormat="1" applyFont="1"/>
    <xf numFmtId="37" fontId="0" fillId="0" borderId="0" xfId="0" applyNumberFormat="1" applyFont="1"/>
    <xf numFmtId="171" fontId="5" fillId="0" borderId="0" xfId="0" applyNumberFormat="1" applyFont="1"/>
    <xf numFmtId="166" fontId="0" fillId="0" borderId="0" xfId="0" applyNumberFormat="1" applyFont="1"/>
    <xf numFmtId="14" fontId="68" fillId="0" borderId="0" xfId="0" applyNumberFormat="1" applyFont="1"/>
    <xf numFmtId="173" fontId="5" fillId="0" borderId="0" xfId="0" applyNumberFormat="1" applyFont="1" applyFill="1"/>
    <xf numFmtId="37" fontId="5" fillId="0" borderId="0" xfId="0" applyNumberFormat="1" applyFont="1" applyFill="1" applyAlignment="1"/>
    <xf numFmtId="166" fontId="5" fillId="0" borderId="0" xfId="0" applyNumberFormat="1" applyFont="1" applyFill="1" applyBorder="1"/>
    <xf numFmtId="37" fontId="5" fillId="0" borderId="0" xfId="0" applyNumberFormat="1" applyFont="1" applyFill="1" applyBorder="1" applyAlignment="1"/>
    <xf numFmtId="37" fontId="4" fillId="0" borderId="0" xfId="0" applyNumberFormat="1" applyFont="1" applyFill="1" applyBorder="1" applyAlignment="1"/>
    <xf numFmtId="0" fontId="0" fillId="0" borderId="0" xfId="0" applyFont="1" applyFill="1" applyBorder="1" applyAlignment="1">
      <alignment horizontal="left"/>
    </xf>
    <xf numFmtId="166" fontId="5" fillId="0" borderId="0" xfId="0" applyNumberFormat="1" applyFont="1" applyFill="1" applyBorder="1" applyAlignment="1">
      <alignment horizontal="left" indent="3"/>
    </xf>
    <xf numFmtId="0" fontId="1" fillId="0" borderId="0" xfId="0" applyFont="1" applyBorder="1" applyAlignment="1">
      <alignment horizontal="left"/>
    </xf>
    <xf numFmtId="173" fontId="6" fillId="0" borderId="0" xfId="0" applyNumberFormat="1" applyFont="1" applyFill="1" applyBorder="1" applyAlignment="1">
      <alignment horizontal="left" indent="3"/>
    </xf>
    <xf numFmtId="37" fontId="6" fillId="0" borderId="0" xfId="0" applyNumberFormat="1" applyFont="1" applyBorder="1" applyAlignment="1"/>
    <xf numFmtId="0" fontId="0" fillId="0" borderId="0" xfId="0" applyFont="1" applyBorder="1" applyAlignment="1">
      <alignment horizontal="left"/>
    </xf>
    <xf numFmtId="166" fontId="0" fillId="0" borderId="0" xfId="0" applyNumberFormat="1" applyFont="1" applyFill="1" applyBorder="1" applyAlignment="1">
      <alignment horizontal="left" indent="3"/>
    </xf>
    <xf numFmtId="37" fontId="0" fillId="0" borderId="0" xfId="0" applyNumberFormat="1" applyFont="1" applyFill="1" applyBorder="1" applyAlignment="1"/>
    <xf numFmtId="173" fontId="5" fillId="0" borderId="0" xfId="0" applyNumberFormat="1" applyFont="1" applyFill="1" applyBorder="1" applyAlignment="1">
      <alignment horizontal="left" indent="3"/>
    </xf>
    <xf numFmtId="170" fontId="0" fillId="0" borderId="0" xfId="0" applyNumberFormat="1" applyFont="1" applyBorder="1"/>
    <xf numFmtId="37" fontId="6" fillId="0" borderId="0" xfId="0" applyNumberFormat="1" applyFont="1" applyFill="1" applyBorder="1" applyAlignment="1"/>
    <xf numFmtId="173" fontId="1" fillId="0" borderId="0" xfId="0" applyNumberFormat="1" applyFont="1" applyFill="1" applyBorder="1" applyAlignment="1">
      <alignment horizontal="left" indent="3"/>
    </xf>
    <xf numFmtId="37" fontId="1" fillId="0" borderId="0" xfId="0" applyNumberFormat="1" applyFont="1" applyFill="1" applyBorder="1" applyAlignment="1"/>
    <xf numFmtId="166" fontId="0" fillId="0" borderId="0" xfId="0" applyNumberFormat="1" applyFont="1" applyFill="1" applyBorder="1"/>
    <xf numFmtId="37" fontId="0" fillId="0" borderId="0" xfId="0" applyNumberFormat="1" applyFont="1" applyBorder="1" applyAlignment="1"/>
    <xf numFmtId="166" fontId="68" fillId="0" borderId="0" xfId="0" applyNumberFormat="1" applyFont="1" applyFill="1" applyBorder="1"/>
    <xf numFmtId="37" fontId="68" fillId="0" borderId="0" xfId="0" applyNumberFormat="1" applyFont="1" applyBorder="1" applyAlignment="1"/>
    <xf numFmtId="174" fontId="0" fillId="0" borderId="0" xfId="0" applyNumberFormat="1" applyFont="1"/>
    <xf numFmtId="173" fontId="5" fillId="0" borderId="0" xfId="0" applyNumberFormat="1" applyFont="1" applyFill="1" applyBorder="1"/>
    <xf numFmtId="169" fontId="3" fillId="0" borderId="0" xfId="0" applyNumberFormat="1" applyFont="1" applyBorder="1"/>
    <xf numFmtId="0" fontId="0" fillId="0" borderId="0" xfId="0" quotePrefix="1" applyFont="1" applyBorder="1" applyAlignment="1">
      <alignment horizontal="left" indent="1"/>
    </xf>
    <xf numFmtId="173" fontId="1" fillId="0" borderId="0" xfId="0" applyNumberFormat="1" applyFont="1" applyBorder="1"/>
    <xf numFmtId="166" fontId="0" fillId="0" borderId="0" xfId="0" applyNumberFormat="1" applyFont="1" applyBorder="1"/>
    <xf numFmtId="171" fontId="0" fillId="0" borderId="0" xfId="0" applyNumberFormat="1" applyFont="1" applyBorder="1"/>
    <xf numFmtId="175" fontId="0" fillId="0" borderId="0" xfId="0" applyNumberFormat="1" applyFont="1"/>
    <xf numFmtId="175" fontId="71" fillId="0" borderId="0" xfId="0" applyNumberFormat="1" applyFont="1"/>
    <xf numFmtId="37" fontId="5" fillId="0" borderId="0" xfId="0" applyNumberFormat="1" applyFont="1"/>
    <xf numFmtId="0" fontId="1" fillId="0" borderId="0" xfId="0" applyFont="1" applyFill="1" applyBorder="1"/>
    <xf numFmtId="171" fontId="0" fillId="0" borderId="2" xfId="0" applyNumberFormat="1" applyFont="1" applyBorder="1"/>
    <xf numFmtId="9" fontId="5" fillId="0" borderId="2" xfId="0" applyNumberFormat="1" applyFont="1" applyBorder="1"/>
    <xf numFmtId="9" fontId="5" fillId="0" borderId="0" xfId="0" applyNumberFormat="1" applyFont="1"/>
    <xf numFmtId="9" fontId="0" fillId="0" borderId="0" xfId="0" applyNumberFormat="1" applyFont="1"/>
    <xf numFmtId="0" fontId="5" fillId="0" borderId="0" xfId="0" applyFont="1"/>
    <xf numFmtId="0" fontId="1" fillId="0" borderId="0" xfId="0" applyFont="1" applyFill="1" applyBorder="1" applyAlignment="1">
      <alignment horizontal="left"/>
    </xf>
    <xf numFmtId="3" fontId="0" fillId="0" borderId="0" xfId="0" applyNumberFormat="1" applyFont="1" applyBorder="1"/>
    <xf numFmtId="37" fontId="1" fillId="0" borderId="0" xfId="0" applyNumberFormat="1" applyFont="1" applyBorder="1"/>
    <xf numFmtId="37" fontId="1" fillId="0" borderId="0" xfId="0" applyNumberFormat="1" applyFont="1"/>
    <xf numFmtId="0" fontId="70" fillId="0" borderId="0" xfId="0" applyFont="1" applyBorder="1"/>
    <xf numFmtId="0" fontId="1" fillId="0" borderId="0" xfId="0" applyFont="1" applyBorder="1" applyAlignment="1">
      <alignment horizontal="left" indent="1"/>
    </xf>
    <xf numFmtId="0" fontId="0" fillId="0" borderId="0" xfId="0" quotePrefix="1" applyFont="1" applyBorder="1"/>
    <xf numFmtId="10" fontId="5" fillId="0" borderId="0" xfId="0" applyNumberFormat="1" applyFont="1"/>
    <xf numFmtId="178" fontId="5" fillId="0" borderId="0" xfId="0" applyNumberFormat="1" applyFont="1"/>
    <xf numFmtId="10" fontId="4" fillId="0" borderId="0" xfId="0" applyNumberFormat="1" applyFont="1"/>
    <xf numFmtId="37" fontId="0" fillId="0" borderId="0" xfId="0" applyNumberFormat="1" applyFont="1" applyFill="1"/>
    <xf numFmtId="39" fontId="0" fillId="0" borderId="0" xfId="0" applyNumberFormat="1" applyFont="1"/>
    <xf numFmtId="172" fontId="0" fillId="0" borderId="0" xfId="0" applyNumberFormat="1" applyFont="1"/>
    <xf numFmtId="165" fontId="0" fillId="0" borderId="0" xfId="0" applyNumberFormat="1" applyFont="1"/>
    <xf numFmtId="168" fontId="1" fillId="0" borderId="3" xfId="0" applyNumberFormat="1" applyFont="1" applyBorder="1"/>
    <xf numFmtId="0" fontId="0" fillId="0" borderId="3" xfId="0" applyFont="1" applyBorder="1"/>
    <xf numFmtId="0" fontId="0" fillId="0" borderId="0" xfId="0" applyFont="1" applyBorder="1" applyAlignment="1">
      <alignment horizontal="centerContinuous"/>
    </xf>
    <xf numFmtId="7" fontId="0" fillId="0" borderId="4" xfId="0" applyNumberFormat="1" applyFont="1" applyFill="1" applyBorder="1"/>
    <xf numFmtId="179" fontId="5" fillId="0" borderId="5" xfId="0" applyNumberFormat="1" applyFont="1" applyFill="1" applyBorder="1"/>
    <xf numFmtId="0" fontId="0" fillId="0" borderId="0" xfId="0" applyFont="1" applyAlignment="1">
      <alignment horizontal="right"/>
    </xf>
    <xf numFmtId="180" fontId="5" fillId="0" borderId="6" xfId="0" applyNumberFormat="1" applyFont="1" applyFill="1" applyBorder="1"/>
    <xf numFmtId="181" fontId="0" fillId="0" borderId="0" xfId="0" applyNumberFormat="1" applyFont="1" applyFill="1"/>
    <xf numFmtId="0" fontId="1" fillId="0" borderId="3" xfId="0" applyFont="1" applyBorder="1"/>
    <xf numFmtId="0" fontId="1" fillId="0" borderId="7" xfId="0" applyFont="1" applyFill="1" applyBorder="1"/>
    <xf numFmtId="14" fontId="7" fillId="0" borderId="8" xfId="0" applyNumberFormat="1" applyFont="1" applyFill="1" applyBorder="1" applyAlignment="1">
      <alignment horizontal="right"/>
    </xf>
    <xf numFmtId="0" fontId="0" fillId="0" borderId="0" xfId="0" applyFont="1" applyBorder="1" applyAlignment="1">
      <alignment horizontal="left" indent="2"/>
    </xf>
    <xf numFmtId="182" fontId="0" fillId="0" borderId="0" xfId="0" applyNumberFormat="1" applyFont="1"/>
    <xf numFmtId="171" fontId="5" fillId="0" borderId="0" xfId="0" applyNumberFormat="1" applyFont="1" applyBorder="1"/>
    <xf numFmtId="0" fontId="1" fillId="0" borderId="0" xfId="0" applyFont="1" applyFill="1" applyBorder="1" applyAlignment="1">
      <alignment horizontal="left" indent="1"/>
    </xf>
    <xf numFmtId="0" fontId="73" fillId="0" borderId="3" xfId="0" applyNumberFormat="1" applyFont="1" applyFill="1" applyBorder="1" applyAlignment="1"/>
    <xf numFmtId="37" fontId="72" fillId="0" borderId="0" xfId="0" applyNumberFormat="1" applyFont="1"/>
    <xf numFmtId="14" fontId="0" fillId="0" borderId="0" xfId="0" applyNumberFormat="1" applyFont="1"/>
    <xf numFmtId="14" fontId="1" fillId="0" borderId="3" xfId="0" applyNumberFormat="1" applyFont="1" applyBorder="1"/>
    <xf numFmtId="0" fontId="68" fillId="0" borderId="0" xfId="0" applyFont="1" applyAlignment="1">
      <alignment horizontal="left"/>
    </xf>
    <xf numFmtId="37" fontId="6" fillId="0" borderId="0" xfId="0" applyNumberFormat="1" applyFont="1"/>
    <xf numFmtId="0" fontId="68" fillId="0" borderId="0" xfId="0" applyFont="1"/>
    <xf numFmtId="0" fontId="0" fillId="0" borderId="0" xfId="0" applyFont="1" applyAlignment="1">
      <alignment horizontal="left"/>
    </xf>
    <xf numFmtId="165" fontId="1" fillId="0" borderId="0" xfId="0" applyNumberFormat="1" applyFont="1"/>
    <xf numFmtId="0" fontId="71" fillId="0" borderId="0" xfId="0" applyNumberFormat="1" applyFont="1" applyFill="1" applyBorder="1" applyAlignment="1"/>
    <xf numFmtId="172" fontId="5" fillId="0" borderId="0" xfId="0" applyNumberFormat="1" applyFont="1" applyFill="1"/>
    <xf numFmtId="39" fontId="5" fillId="0" borderId="0" xfId="0" applyNumberFormat="1" applyFont="1" applyFill="1"/>
    <xf numFmtId="172" fontId="5" fillId="0" borderId="0" xfId="0" applyNumberFormat="1" applyFont="1" applyFill="1" applyBorder="1"/>
    <xf numFmtId="172" fontId="4" fillId="0" borderId="0" xfId="0" applyNumberFormat="1" applyFont="1"/>
    <xf numFmtId="165" fontId="72" fillId="0" borderId="0" xfId="0" applyNumberFormat="1" applyFont="1"/>
    <xf numFmtId="0" fontId="0" fillId="0" borderId="0" xfId="0" applyFont="1" applyFill="1" applyBorder="1" applyAlignment="1">
      <alignment horizontal="left" indent="2"/>
    </xf>
    <xf numFmtId="0" fontId="68" fillId="0" borderId="0" xfId="0" applyFont="1" applyAlignment="1">
      <alignment horizontal="left" indent="1"/>
    </xf>
    <xf numFmtId="14" fontId="0" fillId="0" borderId="0" xfId="0" applyNumberFormat="1"/>
    <xf numFmtId="37" fontId="0" fillId="0" borderId="0" xfId="0" applyNumberFormat="1"/>
    <xf numFmtId="171" fontId="75" fillId="0" borderId="0" xfId="0" applyNumberFormat="1" applyFont="1"/>
    <xf numFmtId="182" fontId="0" fillId="0" borderId="0" xfId="0" applyNumberFormat="1"/>
    <xf numFmtId="171" fontId="0" fillId="0" borderId="0" xfId="0" applyNumberFormat="1"/>
    <xf numFmtId="238" fontId="0" fillId="0" borderId="0" xfId="0" applyNumberFormat="1" applyFont="1"/>
    <xf numFmtId="237" fontId="68" fillId="0" borderId="0" xfId="0" applyNumberFormat="1" applyFont="1"/>
    <xf numFmtId="237" fontId="0" fillId="0" borderId="0" xfId="0" applyNumberFormat="1" applyFont="1"/>
    <xf numFmtId="0" fontId="0" fillId="0" borderId="3" xfId="0" applyBorder="1"/>
    <xf numFmtId="0" fontId="76" fillId="0" borderId="0" xfId="0" applyFont="1" applyBorder="1"/>
    <xf numFmtId="239" fontId="0" fillId="0" borderId="0" xfId="0" applyNumberFormat="1"/>
    <xf numFmtId="165" fontId="0" fillId="0" borderId="29" xfId="0" applyNumberFormat="1" applyFont="1" applyBorder="1"/>
    <xf numFmtId="237" fontId="6" fillId="0" borderId="0" xfId="0" applyNumberFormat="1" applyFont="1"/>
    <xf numFmtId="0" fontId="78" fillId="31" borderId="34" xfId="0" applyFont="1" applyFill="1" applyBorder="1" applyAlignment="1">
      <alignment horizontal="center"/>
    </xf>
    <xf numFmtId="172" fontId="77" fillId="0" borderId="33" xfId="0" applyNumberFormat="1" applyFont="1" applyBorder="1" applyAlignment="1">
      <alignment horizontal="center"/>
    </xf>
    <xf numFmtId="165" fontId="0" fillId="0" borderId="0" xfId="0" applyNumberFormat="1" applyFont="1" applyBorder="1"/>
    <xf numFmtId="0" fontId="68" fillId="0" borderId="0" xfId="0" applyFont="1" applyFill="1" applyBorder="1"/>
    <xf numFmtId="0" fontId="1" fillId="0" borderId="3" xfId="0" applyFont="1" applyFill="1" applyBorder="1" applyAlignment="1">
      <alignment horizontal="left"/>
    </xf>
    <xf numFmtId="0" fontId="0" fillId="0" borderId="35" xfId="0" applyFont="1" applyBorder="1"/>
    <xf numFmtId="0" fontId="0" fillId="0" borderId="0" xfId="0" applyFont="1" applyBorder="1" applyAlignment="1">
      <alignment horizontal="right"/>
    </xf>
    <xf numFmtId="0" fontId="0" fillId="0" borderId="35" xfId="0" quotePrefix="1" applyFont="1" applyBorder="1"/>
    <xf numFmtId="0" fontId="0" fillId="0" borderId="36" xfId="0" applyFont="1" applyBorder="1"/>
    <xf numFmtId="0" fontId="0" fillId="0" borderId="32" xfId="0" applyFont="1" applyBorder="1"/>
    <xf numFmtId="0" fontId="0" fillId="0" borderId="26" xfId="0" applyFont="1" applyBorder="1"/>
    <xf numFmtId="0" fontId="0" fillId="0" borderId="31" xfId="0" applyFont="1" applyBorder="1"/>
    <xf numFmtId="37" fontId="5" fillId="0" borderId="2" xfId="0" applyNumberFormat="1" applyFont="1" applyBorder="1"/>
    <xf numFmtId="165" fontId="0" fillId="0" borderId="2" xfId="0" applyNumberFormat="1" applyFont="1" applyBorder="1" applyAlignment="1">
      <alignment horizontal="right"/>
    </xf>
    <xf numFmtId="0" fontId="76" fillId="0" borderId="0" xfId="0" applyFont="1" applyBorder="1" applyAlignment="1">
      <alignment horizontal="centerContinuous"/>
    </xf>
    <xf numFmtId="172" fontId="4" fillId="32" borderId="32" xfId="0" applyNumberFormat="1" applyFont="1" applyFill="1" applyBorder="1"/>
    <xf numFmtId="172" fontId="4" fillId="32" borderId="26" xfId="0" applyNumberFormat="1" applyFont="1" applyFill="1" applyBorder="1"/>
    <xf numFmtId="172" fontId="5" fillId="32" borderId="26" xfId="0" applyNumberFormat="1" applyFont="1" applyFill="1" applyBorder="1"/>
    <xf numFmtId="172" fontId="4" fillId="32" borderId="31" xfId="0" applyNumberFormat="1" applyFont="1" applyFill="1" applyBorder="1"/>
    <xf numFmtId="237" fontId="4" fillId="32" borderId="26" xfId="0" applyNumberFormat="1" applyFont="1" applyFill="1" applyBorder="1"/>
    <xf numFmtId="237" fontId="5" fillId="32" borderId="26" xfId="0" applyNumberFormat="1" applyFont="1" applyFill="1" applyBorder="1"/>
    <xf numFmtId="237" fontId="4" fillId="32" borderId="31" xfId="0" applyNumberFormat="1" applyFont="1" applyFill="1" applyBorder="1"/>
    <xf numFmtId="237" fontId="4" fillId="32" borderId="32" xfId="0" applyNumberFormat="1" applyFont="1" applyFill="1" applyBorder="1"/>
    <xf numFmtId="37" fontId="4" fillId="32" borderId="34" xfId="0" applyNumberFormat="1" applyFont="1" applyFill="1" applyBorder="1"/>
    <xf numFmtId="37" fontId="4" fillId="32" borderId="28" xfId="0" applyNumberFormat="1" applyFont="1" applyFill="1" applyBorder="1"/>
    <xf numFmtId="37" fontId="5" fillId="32" borderId="28" xfId="0" applyNumberFormat="1" applyFont="1" applyFill="1" applyBorder="1"/>
    <xf numFmtId="37" fontId="4" fillId="32" borderId="30" xfId="0" applyNumberFormat="1" applyFont="1" applyFill="1" applyBorder="1"/>
    <xf numFmtId="0" fontId="70" fillId="0" borderId="0" xfId="0" applyFont="1" applyAlignment="1">
      <alignment horizontal="right"/>
    </xf>
    <xf numFmtId="9" fontId="79" fillId="0" borderId="0" xfId="0" applyNumberFormat="1" applyFont="1" applyBorder="1" applyAlignment="1">
      <alignment horizontal="right"/>
    </xf>
    <xf numFmtId="37" fontId="1" fillId="0" borderId="0" xfId="0" applyNumberFormat="1" applyFont="1" applyFill="1" applyBorder="1" applyAlignment="1">
      <alignment vertical="center"/>
    </xf>
    <xf numFmtId="172" fontId="4" fillId="0" borderId="0" xfId="0" applyNumberFormat="1" applyFont="1" applyFill="1" applyBorder="1"/>
    <xf numFmtId="0" fontId="76" fillId="0" borderId="0" xfId="0" applyFont="1" applyAlignment="1">
      <alignment horizontal="right"/>
    </xf>
    <xf numFmtId="172" fontId="80" fillId="0" borderId="0" xfId="0" applyNumberFormat="1" applyFont="1" applyFill="1" applyBorder="1" applyAlignment="1">
      <alignment horizontal="right"/>
    </xf>
    <xf numFmtId="0" fontId="1" fillId="0" borderId="32" xfId="0" applyFont="1" applyBorder="1"/>
    <xf numFmtId="0" fontId="1" fillId="0" borderId="26" xfId="0" applyFont="1" applyBorder="1"/>
    <xf numFmtId="171" fontId="1" fillId="0" borderId="31" xfId="0" applyNumberFormat="1" applyFont="1" applyBorder="1"/>
    <xf numFmtId="240" fontId="68" fillId="0" borderId="0" xfId="0" applyNumberFormat="1" applyFont="1"/>
    <xf numFmtId="241" fontId="5" fillId="0" borderId="0" xfId="0" applyNumberFormat="1" applyFont="1"/>
    <xf numFmtId="242" fontId="68" fillId="0" borderId="0" xfId="0" applyNumberFormat="1" applyFont="1"/>
    <xf numFmtId="242" fontId="5" fillId="0" borderId="0" xfId="0" applyNumberFormat="1" applyFont="1"/>
    <xf numFmtId="181" fontId="0" fillId="0" borderId="0" xfId="0" applyNumberFormat="1" applyFont="1"/>
    <xf numFmtId="166" fontId="5" fillId="0" borderId="0" xfId="0" applyNumberFormat="1" applyFont="1"/>
    <xf numFmtId="39" fontId="0" fillId="0" borderId="0" xfId="0" applyNumberFormat="1" applyFont="1" applyBorder="1"/>
    <xf numFmtId="0" fontId="81" fillId="0" borderId="0" xfId="0" applyFont="1" applyBorder="1" applyAlignment="1">
      <alignment horizontal="center" vertical="center"/>
    </xf>
    <xf numFmtId="0" fontId="78" fillId="31" borderId="33" xfId="0" applyFont="1" applyFill="1" applyBorder="1" applyAlignment="1">
      <alignment horizontal="center"/>
    </xf>
    <xf numFmtId="39" fontId="4" fillId="0" borderId="0" xfId="0" applyNumberFormat="1" applyFont="1" applyFill="1"/>
    <xf numFmtId="172" fontId="4" fillId="32" borderId="28" xfId="0" applyNumberFormat="1" applyFont="1" applyFill="1" applyBorder="1" applyAlignment="1">
      <alignment horizontal="right"/>
    </xf>
    <xf numFmtId="172" fontId="5" fillId="32" borderId="28" xfId="0" applyNumberFormat="1" applyFont="1" applyFill="1" applyBorder="1" applyAlignment="1">
      <alignment horizontal="right"/>
    </xf>
    <xf numFmtId="172" fontId="4" fillId="32" borderId="30" xfId="0" applyNumberFormat="1" applyFont="1" applyFill="1" applyBorder="1" applyAlignment="1">
      <alignment horizontal="right"/>
    </xf>
    <xf numFmtId="243" fontId="0" fillId="0" borderId="0" xfId="0" applyNumberFormat="1" applyFont="1"/>
    <xf numFmtId="243" fontId="0" fillId="0" borderId="0" xfId="0" applyNumberFormat="1" applyFont="1" applyBorder="1"/>
    <xf numFmtId="39" fontId="0" fillId="0" borderId="27" xfId="0" applyNumberFormat="1" applyFont="1" applyBorder="1"/>
    <xf numFmtId="39" fontId="0" fillId="0" borderId="2" xfId="0" applyNumberFormat="1" applyFont="1" applyBorder="1"/>
    <xf numFmtId="37" fontId="1" fillId="0" borderId="0" xfId="0" applyNumberFormat="1" applyFont="1" applyBorder="1" applyAlignment="1"/>
    <xf numFmtId="171" fontId="68" fillId="0" borderId="0" xfId="0" applyNumberFormat="1" applyFont="1"/>
    <xf numFmtId="170" fontId="5" fillId="0" borderId="0" xfId="0" applyNumberFormat="1" applyFont="1"/>
    <xf numFmtId="37" fontId="0" fillId="0" borderId="0" xfId="0" applyNumberFormat="1" applyFont="1" applyFill="1" applyBorder="1"/>
    <xf numFmtId="170" fontId="4" fillId="0" borderId="0" xfId="0" applyNumberFormat="1" applyFont="1"/>
    <xf numFmtId="0" fontId="1" fillId="0" borderId="3" xfId="0" applyFont="1" applyFill="1" applyBorder="1"/>
    <xf numFmtId="0" fontId="0" fillId="0" borderId="3" xfId="0" applyFont="1" applyFill="1" applyBorder="1"/>
    <xf numFmtId="0" fontId="68" fillId="0" borderId="0" xfId="0" applyFont="1" applyFill="1"/>
    <xf numFmtId="239" fontId="0" fillId="0" borderId="0" xfId="0" applyNumberFormat="1" applyFill="1"/>
    <xf numFmtId="177" fontId="0" fillId="0" borderId="0" xfId="0" applyNumberFormat="1" applyFont="1" applyFill="1"/>
    <xf numFmtId="0" fontId="0" fillId="0" borderId="0" xfId="0" applyFill="1"/>
    <xf numFmtId="0" fontId="0" fillId="0" borderId="0" xfId="0" applyFont="1" applyFill="1"/>
    <xf numFmtId="177" fontId="0" fillId="0" borderId="0" xfId="0" applyNumberFormat="1" applyFill="1"/>
    <xf numFmtId="37" fontId="5" fillId="0" borderId="0" xfId="0" applyNumberFormat="1" applyFont="1" applyFill="1"/>
    <xf numFmtId="239" fontId="1" fillId="0" borderId="0" xfId="0" applyNumberFormat="1" applyFont="1" applyFill="1"/>
    <xf numFmtId="0" fontId="84" fillId="0" borderId="12" xfId="0" applyFont="1" applyBorder="1" applyAlignment="1">
      <alignment wrapText="1"/>
    </xf>
    <xf numFmtId="0" fontId="84" fillId="0" borderId="37" xfId="0" applyFont="1" applyBorder="1" applyAlignment="1">
      <alignment wrapText="1"/>
    </xf>
    <xf numFmtId="171" fontId="3" fillId="0" borderId="0" xfId="0" applyNumberFormat="1" applyFont="1" applyFill="1" applyBorder="1" applyAlignment="1"/>
    <xf numFmtId="171" fontId="5" fillId="0" borderId="0" xfId="0" applyNumberFormat="1" applyFont="1" applyFill="1" applyBorder="1" applyAlignment="1"/>
    <xf numFmtId="166" fontId="4" fillId="0" borderId="0" xfId="0" applyNumberFormat="1" applyFont="1" applyBorder="1"/>
    <xf numFmtId="166" fontId="5" fillId="0" borderId="0" xfId="0" applyNumberFormat="1" applyFont="1" applyBorder="1"/>
  </cellXfs>
  <cellStyles count="186">
    <cellStyle name="$" xfId="1"/>
    <cellStyle name="$m" xfId="2"/>
    <cellStyle name="$q" xfId="3"/>
    <cellStyle name="$q*" xfId="4"/>
    <cellStyle name="$q_valuation" xfId="5"/>
    <cellStyle name="$qA" xfId="6"/>
    <cellStyle name="$qRange" xfId="7"/>
    <cellStyle name="%" xfId="8"/>
    <cellStyle name="******************************************" xfId="9"/>
    <cellStyle name="2 Decimal Places_MA Software Comps - List_AccretionDilution OTGS v16.xls Chart 1" xfId="10"/>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AFE" xfId="35"/>
    <cellStyle name="Bad 2" xfId="36"/>
    <cellStyle name="Balance" xfId="37"/>
    <cellStyle name="BalanceSheet" xfId="38"/>
    <cellStyle name="Body_$Numeric" xfId="39"/>
    <cellStyle name="Bold Header" xfId="40"/>
    <cellStyle name="Calculation 2" xfId="41"/>
    <cellStyle name="CashFlow" xfId="42"/>
    <cellStyle name="Check" xfId="43"/>
    <cellStyle name="Check Cell 2" xfId="44"/>
    <cellStyle name="ColHeading" xfId="45"/>
    <cellStyle name="colheadleft" xfId="46"/>
    <cellStyle name="colheadright" xfId="47"/>
    <cellStyle name="Comma 2" xfId="48"/>
    <cellStyle name="Comma0" xfId="49"/>
    <cellStyle name="Comma2" xfId="50"/>
    <cellStyle name="Company" xfId="51"/>
    <cellStyle name="CurRatio" xfId="52"/>
    <cellStyle name="Currency [1]" xfId="53"/>
    <cellStyle name="Currency [2]" xfId="54"/>
    <cellStyle name="Currency0" xfId="55"/>
    <cellStyle name="Currency2" xfId="56"/>
    <cellStyle name="d_yield" xfId="57"/>
    <cellStyle name="d_yield_CW's MAKER MODEL" xfId="58"/>
    <cellStyle name="d_yield_valuation" xfId="59"/>
    <cellStyle name="Date [d-mmm-yy]" xfId="60"/>
    <cellStyle name="Date [mmm-d-yyyy]" xfId="61"/>
    <cellStyle name="Date [mmm-yyyy]" xfId="62"/>
    <cellStyle name="Dates" xfId="63"/>
    <cellStyle name="DateYear" xfId="64"/>
    <cellStyle name="Dezimal_Capital expenditure planning FY 2000" xfId="65"/>
    <cellStyle name="Dollar" xfId="66"/>
    <cellStyle name="Dollars" xfId="67"/>
    <cellStyle name="DollarWhole" xfId="68"/>
    <cellStyle name="eps" xfId="69"/>
    <cellStyle name="eps$" xfId="70"/>
    <cellStyle name="eps$A" xfId="71"/>
    <cellStyle name="eps$E" xfId="72"/>
    <cellStyle name="eps_CW's MAKER MODEL" xfId="73"/>
    <cellStyle name="epsA" xfId="74"/>
    <cellStyle name="EPSActual" xfId="75"/>
    <cellStyle name="epsE" xfId="76"/>
    <cellStyle name="EPSEstimate" xfId="77"/>
    <cellStyle name="Euro" xfId="78"/>
    <cellStyle name="Explanatory Text 2" xfId="79"/>
    <cellStyle name="fy_eps$" xfId="80"/>
    <cellStyle name="g_rate" xfId="81"/>
    <cellStyle name="g_rate_CW's MAKER MODEL" xfId="82"/>
    <cellStyle name="g_rate_valuation" xfId="83"/>
    <cellStyle name="General" xfId="84"/>
    <cellStyle name="Good 2" xfId="85"/>
    <cellStyle name="GrowthRate" xfId="86"/>
    <cellStyle name="GrowthSeq" xfId="87"/>
    <cellStyle name="Hard Number Input" xfId="88"/>
    <cellStyle name="Heading 1 2" xfId="89"/>
    <cellStyle name="Heading 2 2" xfId="90"/>
    <cellStyle name="Heading 3 2" xfId="91"/>
    <cellStyle name="Heading 4 2" xfId="92"/>
    <cellStyle name="Historical Number" xfId="93"/>
    <cellStyle name="iemens" xfId="94"/>
    <cellStyle name="Income" xfId="95"/>
    <cellStyle name="IncomeStatement" xfId="96"/>
    <cellStyle name="Input 2" xfId="97"/>
    <cellStyle name="Input Fixed [0]" xfId="98"/>
    <cellStyle name="Integer" xfId="99"/>
    <cellStyle name="Inverse Header" xfId="100"/>
    <cellStyle name="Item" xfId="101"/>
    <cellStyle name="ItemTypeClass" xfId="102"/>
    <cellStyle name="Linked Cell 2" xfId="103"/>
    <cellStyle name="LTGR" xfId="104"/>
    <cellStyle name="m" xfId="105"/>
    <cellStyle name="m$" xfId="106"/>
    <cellStyle name="m_CW's MAKER MODEL" xfId="107"/>
    <cellStyle name="m_valuation" xfId="108"/>
    <cellStyle name="Margin" xfId="109"/>
    <cellStyle name="Margins" xfId="110"/>
    <cellStyle name="mm" xfId="111"/>
    <cellStyle name="Multiple" xfId="112"/>
    <cellStyle name="NA is zero" xfId="113"/>
    <cellStyle name="Neutral 2" xfId="114"/>
    <cellStyle name="Normal" xfId="0" builtinId="0"/>
    <cellStyle name="Normal [0]" xfId="115"/>
    <cellStyle name="Normal [1]" xfId="116"/>
    <cellStyle name="Normal [2]" xfId="117"/>
    <cellStyle name="Normal [3]" xfId="118"/>
    <cellStyle name="Normal 2" xfId="119"/>
    <cellStyle name="Normal Bold" xfId="120"/>
    <cellStyle name="Normal Pct" xfId="121"/>
    <cellStyle name="NormalX" xfId="122"/>
    <cellStyle name="Note 2" xfId="123"/>
    <cellStyle name="NPPESalesPct" xfId="124"/>
    <cellStyle name="Number" xfId="125"/>
    <cellStyle name="NWI%S" xfId="126"/>
    <cellStyle name="Output 2" xfId="127"/>
    <cellStyle name="P/E" xfId="128"/>
    <cellStyle name="Palatino" xfId="129"/>
    <cellStyle name="pc1" xfId="130"/>
    <cellStyle name="pe" xfId="131"/>
    <cellStyle name="PE/LTGR" xfId="132"/>
    <cellStyle name="PEG" xfId="133"/>
    <cellStyle name="Percent [0]" xfId="134"/>
    <cellStyle name="Percent [1]" xfId="135"/>
    <cellStyle name="Percent [2]" xfId="136"/>
    <cellStyle name="PercentChange" xfId="137"/>
    <cellStyle name="PercentPresentation" xfId="138"/>
    <cellStyle name="PerShare" xfId="139"/>
    <cellStyle name="POPS" xfId="140"/>
    <cellStyle name="Presentation" xfId="141"/>
    <cellStyle name="PresentationZero" xfId="142"/>
    <cellStyle name="price" xfId="143"/>
    <cellStyle name="q" xfId="144"/>
    <cellStyle name="q_CW's MAKER MODEL" xfId="145"/>
    <cellStyle name="QEPS-h" xfId="146"/>
    <cellStyle name="QEPS-H1" xfId="147"/>
    <cellStyle name="qRange" xfId="148"/>
    <cellStyle name="range" xfId="149"/>
    <cellStyle name="RatioX" xfId="150"/>
    <cellStyle name="Report" xfId="151"/>
    <cellStyle name="Right" xfId="152"/>
    <cellStyle name="SectionHeading" xfId="153"/>
    <cellStyle name="Shares" xfId="154"/>
    <cellStyle name="StockPrice" xfId="155"/>
    <cellStyle name="Style 1" xfId="156"/>
    <cellStyle name="Style 21" xfId="157"/>
    <cellStyle name="Style 22" xfId="158"/>
    <cellStyle name="Style 23" xfId="159"/>
    <cellStyle name="Style 24" xfId="160"/>
    <cellStyle name="Style 26" xfId="161"/>
    <cellStyle name="Style 27" xfId="162"/>
    <cellStyle name="Style 34" xfId="163"/>
    <cellStyle name="Style 37" xfId="164"/>
    <cellStyle name="Style 63" xfId="165"/>
    <cellStyle name="SubDollar" xfId="166"/>
    <cellStyle name="SubGrowth" xfId="167"/>
    <cellStyle name="SubGrowthRate" xfId="168"/>
    <cellStyle name="SubMargins" xfId="169"/>
    <cellStyle name="SubPenetration" xfId="170"/>
    <cellStyle name="Subscribers" xfId="171"/>
    <cellStyle name="SubVariable" xfId="172"/>
    <cellStyle name="tcn" xfId="173"/>
    <cellStyle name="Times [1]" xfId="174"/>
    <cellStyle name="Times [2]" xfId="175"/>
    <cellStyle name="Title 2" xfId="176"/>
    <cellStyle name="title2" xfId="177"/>
    <cellStyle name="TitleII" xfId="178"/>
    <cellStyle name="Titles" xfId="179"/>
    <cellStyle name="TitleSub" xfId="180"/>
    <cellStyle name="tn" xfId="181"/>
    <cellStyle name="Total 2" xfId="182"/>
    <cellStyle name="Warning Text 2" xfId="183"/>
    <cellStyle name="WholeNumber" xfId="184"/>
    <cellStyle name="Year&quot;E&quot;" xfId="185"/>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Valuation Summary</a:t>
            </a:r>
          </a:p>
        </c:rich>
      </c:tx>
      <c:layout>
        <c:manualLayout>
          <c:xMode val="edge"/>
          <c:yMode val="edge"/>
          <c:x val="0.31291626892699836"/>
          <c:y val="0"/>
        </c:manualLayout>
      </c:layout>
      <c:overlay val="0"/>
    </c:title>
    <c:autoTitleDeleted val="0"/>
    <c:plotArea>
      <c:layout/>
      <c:barChart>
        <c:barDir val="col"/>
        <c:grouping val="stacked"/>
        <c:varyColors val="0"/>
        <c:ser>
          <c:idx val="0"/>
          <c:order val="0"/>
          <c:tx>
            <c:strRef>
              <c:f>DCF!$C$129</c:f>
              <c:strCache>
                <c:ptCount val="1"/>
                <c:pt idx="0">
                  <c:v>Low</c:v>
                </c:pt>
              </c:strCache>
            </c:strRef>
          </c:tx>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DCF!$B$130:$B$132</c:f>
              <c:strCache>
                <c:ptCount val="3"/>
                <c:pt idx="0">
                  <c:v>DCF Value at 10.4x-14.4x Exit EBITDA Range</c:v>
                </c:pt>
                <c:pt idx="1">
                  <c:v>DCF Value at 3.0%-5.0% Perpetuity Range</c:v>
                </c:pt>
                <c:pt idx="2">
                  <c:v>52 Week Market High/Low</c:v>
                </c:pt>
              </c:strCache>
            </c:strRef>
          </c:cat>
          <c:val>
            <c:numRef>
              <c:f>DCF!$C$130:$C$132</c:f>
              <c:numCache>
                <c:formatCode>#,##0.00_);\(#,##0.00\)</c:formatCode>
                <c:ptCount val="3"/>
                <c:pt idx="0">
                  <c:v>55.628785436828132</c:v>
                </c:pt>
                <c:pt idx="1">
                  <c:v>68.604238491777465</c:v>
                </c:pt>
                <c:pt idx="2" formatCode="General">
                  <c:v>53.01</c:v>
                </c:pt>
              </c:numCache>
            </c:numRef>
          </c:val>
          <c:extLst>
            <c:ext xmlns:c16="http://schemas.microsoft.com/office/drawing/2014/chart" uri="{C3380CC4-5D6E-409C-BE32-E72D297353CC}">
              <c16:uniqueId val="{00000000-A90A-4D3A-A250-33030BED34C3}"/>
            </c:ext>
          </c:extLst>
        </c:ser>
        <c:ser>
          <c:idx val="1"/>
          <c:order val="1"/>
          <c:tx>
            <c:strRef>
              <c:f>DCF!$D$129</c:f>
              <c:strCache>
                <c:ptCount val="1"/>
                <c:pt idx="0">
                  <c:v>Diff.</c:v>
                </c:pt>
              </c:strCache>
            </c:strRef>
          </c:tx>
          <c:invertIfNegative val="0"/>
          <c:cat>
            <c:strRef>
              <c:f>DCF!$B$130:$B$132</c:f>
              <c:strCache>
                <c:ptCount val="3"/>
                <c:pt idx="0">
                  <c:v>DCF Value at 10.4x-14.4x Exit EBITDA Range</c:v>
                </c:pt>
                <c:pt idx="1">
                  <c:v>DCF Value at 3.0%-5.0% Perpetuity Range</c:v>
                </c:pt>
                <c:pt idx="2">
                  <c:v>52 Week Market High/Low</c:v>
                </c:pt>
              </c:strCache>
            </c:strRef>
          </c:cat>
          <c:val>
            <c:numRef>
              <c:f>DCF!$D$130:$D$132</c:f>
              <c:numCache>
                <c:formatCode>#,##0.00_);\(#,##0.00\)</c:formatCode>
                <c:ptCount val="3"/>
                <c:pt idx="0">
                  <c:v>17.232338939091711</c:v>
                </c:pt>
                <c:pt idx="1">
                  <c:v>44.752649002103581</c:v>
                </c:pt>
                <c:pt idx="2">
                  <c:v>10.420000000000002</c:v>
                </c:pt>
              </c:numCache>
            </c:numRef>
          </c:val>
          <c:extLst>
            <c:ext xmlns:c16="http://schemas.microsoft.com/office/drawing/2014/chart" uri="{C3380CC4-5D6E-409C-BE32-E72D297353CC}">
              <c16:uniqueId val="{00000001-A90A-4D3A-A250-33030BED34C3}"/>
            </c:ext>
          </c:extLst>
        </c:ser>
        <c:ser>
          <c:idx val="2"/>
          <c:order val="2"/>
          <c:tx>
            <c:strRef>
              <c:f>DCF!$E$129</c:f>
              <c:strCache>
                <c:ptCount val="1"/>
                <c:pt idx="0">
                  <c:v>High</c:v>
                </c:pt>
              </c:strCache>
            </c:strRef>
          </c:tx>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DCF!$B$130:$B$132</c:f>
              <c:strCache>
                <c:ptCount val="3"/>
                <c:pt idx="0">
                  <c:v>DCF Value at 10.4x-14.4x Exit EBITDA Range</c:v>
                </c:pt>
                <c:pt idx="1">
                  <c:v>DCF Value at 3.0%-5.0% Perpetuity Range</c:v>
                </c:pt>
                <c:pt idx="2">
                  <c:v>52 Week Market High/Low</c:v>
                </c:pt>
              </c:strCache>
            </c:strRef>
          </c:cat>
          <c:val>
            <c:numRef>
              <c:f>DCF!$E$130:$E$132</c:f>
              <c:numCache>
                <c:formatCode>#,##0.00_);\(#,##0.00\)</c:formatCode>
                <c:ptCount val="3"/>
                <c:pt idx="0">
                  <c:v>72.861124375919843</c:v>
                </c:pt>
                <c:pt idx="1">
                  <c:v>113.35688749388105</c:v>
                </c:pt>
                <c:pt idx="2" formatCode="General">
                  <c:v>63.43</c:v>
                </c:pt>
              </c:numCache>
            </c:numRef>
          </c:val>
          <c:extLst>
            <c:ext xmlns:c16="http://schemas.microsoft.com/office/drawing/2014/chart" uri="{C3380CC4-5D6E-409C-BE32-E72D297353CC}">
              <c16:uniqueId val="{00000002-A90A-4D3A-A250-33030BED34C3}"/>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120"/>
          <c:min val="40"/>
        </c:scaling>
        <c:delete val="0"/>
        <c:axPos val="l"/>
        <c:numFmt formatCode="#,##0.00_);\(#,##0.00\)" sourceLinked="1"/>
        <c:majorTickMark val="out"/>
        <c:minorTickMark val="none"/>
        <c:tickLblPos val="nextTo"/>
        <c:crossAx val="99639680"/>
        <c:crosses val="autoZero"/>
        <c:crossBetween val="between"/>
        <c:majorUnit val="10"/>
        <c:minorUnit val="5"/>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53578</xdr:colOff>
      <xdr:row>108</xdr:row>
      <xdr:rowOff>149424</xdr:rowOff>
    </xdr:from>
    <xdr:to>
      <xdr:col>4</xdr:col>
      <xdr:colOff>654844</xdr:colOff>
      <xdr:row>127</xdr:row>
      <xdr:rowOff>53578</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Owner/LOCALS~1/Temp/Rar$DI00.921/Valuation_2010_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kumar.WSP/Downloads/DataSet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Data"/>
      <sheetName val="Forecast Drivers"/>
      <sheetName val="Results"/>
      <sheetName val="Valuation Summary"/>
    </sheetNames>
    <sheetDataSet>
      <sheetData sheetId="0" refreshError="1"/>
      <sheetData sheetId="1">
        <row r="25">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row>
        <row r="330">
          <cell r="D330">
            <v>1</v>
          </cell>
        </row>
      </sheetData>
      <sheetData sheetId="2">
        <row r="142">
          <cell r="F142">
            <v>0</v>
          </cell>
        </row>
        <row r="145">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row>
        <row r="182">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rc_ans"/>
      <sheetName val="Circ"/>
      <sheetName val="Reg 0"/>
      <sheetName val="Reg_ans"/>
      <sheetName val="CF"/>
      <sheetName val="CF_ans"/>
      <sheetName val="BoostToolkitClipBoard2010"/>
      <sheetName val="DS0"/>
      <sheetName val="DS0_ans"/>
      <sheetName val="Data Set1"/>
      <sheetName val="DataSet2"/>
      <sheetName val="DataSet3"/>
      <sheetName val="Other"/>
      <sheetName val="DataSet4"/>
      <sheetName val="Array0"/>
      <sheetName val="Array1"/>
      <sheetName val="Array2"/>
      <sheetName val="Array3"/>
      <sheetName val="Array4"/>
      <sheetName val="Array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
          <cell r="B5" t="str">
            <v>iPad</v>
          </cell>
          <cell r="C5">
            <v>500</v>
          </cell>
        </row>
        <row r="6">
          <cell r="B6" t="str">
            <v>iPod</v>
          </cell>
          <cell r="C6">
            <v>200</v>
          </cell>
        </row>
        <row r="7">
          <cell r="B7" t="str">
            <v>iPhone</v>
          </cell>
          <cell r="C7">
            <v>400</v>
          </cell>
        </row>
      </sheetData>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54"/>
  <sheetViews>
    <sheetView tabSelected="1" topLeftCell="A54" zoomScaleNormal="100" workbookViewId="0">
      <selection activeCell="F78" sqref="F78"/>
    </sheetView>
  </sheetViews>
  <sheetFormatPr defaultColWidth="9.109375" defaultRowHeight="14.4"/>
  <cols>
    <col min="1" max="1" width="1.6640625" style="17" customWidth="1"/>
    <col min="2" max="2" width="50.88671875" style="17" customWidth="1"/>
    <col min="3" max="10" width="12.33203125" style="17" customWidth="1"/>
    <col min="11" max="11" width="20.33203125" style="17" customWidth="1"/>
    <col min="12" max="12" width="10.88671875" style="17" bestFit="1" customWidth="1"/>
    <col min="13" max="16384" width="9.109375" style="17"/>
  </cols>
  <sheetData>
    <row r="1" spans="1:11" ht="15" thickBot="1"/>
    <row r="2" spans="1:11" ht="26.4" thickBot="1">
      <c r="B2" s="1" t="str">
        <f>"Financial Statement Model for "&amp;'Financial Statement Model'!C5</f>
        <v>Financial Statement Model for Starbucks</v>
      </c>
      <c r="C2" s="18"/>
      <c r="D2" s="18"/>
      <c r="E2" s="18"/>
      <c r="F2" s="18"/>
      <c r="G2" s="18"/>
      <c r="H2" s="18"/>
      <c r="I2" s="18"/>
      <c r="J2" s="18"/>
    </row>
    <row r="3" spans="1:11">
      <c r="B3" s="2" t="s">
        <v>0</v>
      </c>
      <c r="C3" s="19"/>
      <c r="F3" s="20"/>
      <c r="G3" s="20"/>
      <c r="H3" s="20"/>
      <c r="I3" s="20"/>
      <c r="J3" s="20"/>
      <c r="K3" s="17" t="s">
        <v>249</v>
      </c>
    </row>
    <row r="4" spans="1:11">
      <c r="B4" s="21"/>
      <c r="C4" s="19"/>
      <c r="F4" s="20"/>
      <c r="K4" s="17" t="s">
        <v>250</v>
      </c>
    </row>
    <row r="5" spans="1:11">
      <c r="B5" s="3" t="s">
        <v>1</v>
      </c>
      <c r="C5" s="4" t="s">
        <v>236</v>
      </c>
      <c r="F5" s="20"/>
    </row>
    <row r="6" spans="1:11">
      <c r="B6" s="3" t="s">
        <v>2</v>
      </c>
      <c r="C6" s="4" t="s">
        <v>237</v>
      </c>
      <c r="F6" s="20"/>
    </row>
    <row r="7" spans="1:11">
      <c r="B7" s="5" t="s">
        <v>3</v>
      </c>
      <c r="C7" s="6">
        <v>53.84</v>
      </c>
      <c r="E7" s="63"/>
      <c r="F7" s="20"/>
      <c r="G7" s="7"/>
      <c r="H7" s="20"/>
      <c r="I7" s="8"/>
      <c r="J7" s="20"/>
    </row>
    <row r="8" spans="1:11">
      <c r="B8" s="3" t="s">
        <v>4</v>
      </c>
      <c r="C8" s="9">
        <v>42646</v>
      </c>
      <c r="F8" s="20"/>
      <c r="G8" s="20"/>
      <c r="H8" s="20"/>
      <c r="I8" s="20"/>
      <c r="J8" s="20"/>
    </row>
    <row r="9" spans="1:11">
      <c r="B9" s="3" t="s">
        <v>5</v>
      </c>
      <c r="C9" s="9">
        <v>42645</v>
      </c>
      <c r="F9" s="20"/>
      <c r="G9" s="20"/>
      <c r="H9" s="20"/>
      <c r="I9" s="20"/>
      <c r="J9" s="20"/>
    </row>
    <row r="10" spans="1:11">
      <c r="B10" s="10" t="s">
        <v>6</v>
      </c>
      <c r="C10" s="11" t="s">
        <v>7</v>
      </c>
      <c r="E10" s="20"/>
      <c r="F10" s="20"/>
      <c r="G10" s="20"/>
      <c r="H10" s="20"/>
      <c r="I10" s="20"/>
      <c r="J10" s="20"/>
    </row>
    <row r="11" spans="1:11">
      <c r="D11" s="20"/>
      <c r="E11" s="20"/>
      <c r="F11" s="20"/>
      <c r="G11" s="20"/>
      <c r="H11" s="20"/>
      <c r="I11" s="20"/>
      <c r="J11" s="20"/>
    </row>
    <row r="12" spans="1:11">
      <c r="A12" s="17" t="s">
        <v>195</v>
      </c>
      <c r="B12" s="22" t="s">
        <v>8</v>
      </c>
      <c r="C12" s="23"/>
      <c r="D12" s="24"/>
      <c r="E12" s="24"/>
      <c r="F12" s="24"/>
      <c r="G12" s="24"/>
      <c r="H12" s="24"/>
      <c r="I12" s="24"/>
      <c r="J12" s="24"/>
    </row>
    <row r="13" spans="1:11">
      <c r="B13" s="20" t="s">
        <v>9</v>
      </c>
      <c r="C13" s="25">
        <f>D13-1</f>
        <v>2014</v>
      </c>
      <c r="D13" s="25">
        <f>E13-1</f>
        <v>2015</v>
      </c>
      <c r="E13" s="25">
        <f>YEAR('Financial Statement Model'!C9)</f>
        <v>2016</v>
      </c>
      <c r="F13" s="26">
        <f>E13+1</f>
        <v>2017</v>
      </c>
      <c r="G13" s="26">
        <f>F13+1</f>
        <v>2018</v>
      </c>
      <c r="H13" s="26">
        <f>G13+1</f>
        <v>2019</v>
      </c>
      <c r="I13" s="26">
        <f>H13+1</f>
        <v>2020</v>
      </c>
      <c r="J13" s="26">
        <f>I13+1</f>
        <v>2021</v>
      </c>
    </row>
    <row r="14" spans="1:11">
      <c r="B14" s="27" t="s">
        <v>10</v>
      </c>
      <c r="C14" s="28">
        <v>41910</v>
      </c>
      <c r="D14" s="28">
        <v>42274</v>
      </c>
      <c r="E14" s="29">
        <f>'Financial Statement Model'!C9</f>
        <v>42645</v>
      </c>
      <c r="F14" s="29">
        <f>EOMONTH(E14,12)</f>
        <v>43039</v>
      </c>
      <c r="G14" s="29">
        <f>EOMONTH(F14,12)</f>
        <v>43404</v>
      </c>
      <c r="H14" s="29">
        <f>EOMONTH(G14,12)</f>
        <v>43769</v>
      </c>
      <c r="I14" s="29">
        <f>EOMONTH(H14,12)</f>
        <v>44135</v>
      </c>
      <c r="J14" s="29">
        <f>EOMONTH(I14,12)</f>
        <v>44500</v>
      </c>
    </row>
    <row r="15" spans="1:11">
      <c r="B15" s="30"/>
      <c r="C15" s="31"/>
      <c r="D15" s="31"/>
      <c r="E15" s="32"/>
      <c r="F15" s="32"/>
      <c r="G15" s="32"/>
      <c r="H15" s="32"/>
      <c r="I15" s="32"/>
      <c r="J15" s="32"/>
    </row>
    <row r="16" spans="1:11">
      <c r="B16" s="20" t="s">
        <v>11</v>
      </c>
      <c r="C16" s="33">
        <v>16447.8</v>
      </c>
      <c r="D16" s="33">
        <v>19162.7</v>
      </c>
      <c r="E16" s="33">
        <v>21315.9</v>
      </c>
      <c r="F16" s="34">
        <f ca="1">E16*(1+F40)</f>
        <v>22701.433499999999</v>
      </c>
      <c r="G16" s="34">
        <f ca="1">F16*(1+G40)</f>
        <v>25016.979717000002</v>
      </c>
      <c r="H16" s="34">
        <f ca="1">G16*(1+H40)</f>
        <v>27568.711648134005</v>
      </c>
      <c r="I16" s="34">
        <f ca="1">H16*(1+I40)</f>
        <v>30325.582812947407</v>
      </c>
      <c r="J16" s="34">
        <f ca="1">I16*(1+J40)</f>
        <v>33358.14109424215</v>
      </c>
    </row>
    <row r="17" spans="2:10">
      <c r="B17" s="20" t="s">
        <v>12</v>
      </c>
      <c r="C17" s="33">
        <v>-6858.8</v>
      </c>
      <c r="D17" s="33">
        <v>-7787.5</v>
      </c>
      <c r="E17" s="33">
        <v>-8511.1</v>
      </c>
      <c r="F17" s="34">
        <f ca="1">F18-F16</f>
        <v>-8898.9619320000002</v>
      </c>
      <c r="G17" s="34">
        <f t="shared" ref="G17:J17" ca="1" si="0">G18-G16</f>
        <v>-9606.5202113280011</v>
      </c>
      <c r="H17" s="34">
        <f t="shared" ca="1" si="0"/>
        <v>-10365.835579698385</v>
      </c>
      <c r="I17" s="34">
        <f t="shared" ca="1" si="0"/>
        <v>-11159.814475164647</v>
      </c>
      <c r="J17" s="34">
        <f t="shared" ca="1" si="0"/>
        <v>-12008.930793927175</v>
      </c>
    </row>
    <row r="18" spans="2:10">
      <c r="B18" s="35" t="s">
        <v>13</v>
      </c>
      <c r="C18" s="36">
        <f>SUM(C16:C17)</f>
        <v>9589</v>
      </c>
      <c r="D18" s="36">
        <f t="shared" ref="D18:E18" si="1">SUM(D16:D17)</f>
        <v>11375.2</v>
      </c>
      <c r="E18" s="36">
        <f t="shared" si="1"/>
        <v>12804.800000000001</v>
      </c>
      <c r="F18" s="36">
        <f ca="1">F16*F41</f>
        <v>13802.471567999999</v>
      </c>
      <c r="G18" s="36">
        <f ca="1">G16*G41</f>
        <v>15410.459505672001</v>
      </c>
      <c r="H18" s="36">
        <f ca="1">H16*H41</f>
        <v>17202.87606843562</v>
      </c>
      <c r="I18" s="36">
        <f ca="1">I16*I41</f>
        <v>19165.76833778276</v>
      </c>
      <c r="J18" s="36">
        <f ca="1">J16*J41</f>
        <v>21349.210300314975</v>
      </c>
    </row>
    <row r="19" spans="2:10">
      <c r="B19" s="37" t="s">
        <v>14</v>
      </c>
      <c r="C19" s="33">
        <v>0</v>
      </c>
      <c r="D19" s="33">
        <v>0</v>
      </c>
      <c r="E19" s="33">
        <v>0</v>
      </c>
      <c r="F19" s="33">
        <v>0</v>
      </c>
      <c r="G19" s="33">
        <v>0</v>
      </c>
      <c r="H19" s="33">
        <v>0</v>
      </c>
      <c r="I19" s="33">
        <v>0</v>
      </c>
      <c r="J19" s="33">
        <v>0</v>
      </c>
    </row>
    <row r="20" spans="2:10">
      <c r="B20" s="37" t="s">
        <v>15</v>
      </c>
      <c r="C20" s="33">
        <f>-(4638.2+457.3+709.6+991.3-20.2)</f>
        <v>-6776.2000000000007</v>
      </c>
      <c r="D20" s="33">
        <f>-(5411.1+522.4+893.9+1196.7)</f>
        <v>-8024.0999999999995</v>
      </c>
      <c r="E20" s="33">
        <f>-(6064.3+545.4+980.8+1360.6)</f>
        <v>-8951.1</v>
      </c>
      <c r="F20" s="34">
        <f ca="1">-(F43*F16)</f>
        <v>-9534.602069999999</v>
      </c>
      <c r="G20" s="34">
        <f ca="1">-(G43*G16)</f>
        <v>-10482.114501423001</v>
      </c>
      <c r="H20" s="34">
        <f ca="1">-(H43*H16)</f>
        <v>-12268.076683419633</v>
      </c>
      <c r="I20" s="34">
        <f ca="1">-(I43*I16)</f>
        <v>-12979.34944394149</v>
      </c>
      <c r="J20" s="34">
        <f ca="1">-(J43*J16)</f>
        <v>-14377.358811618366</v>
      </c>
    </row>
    <row r="21" spans="2:10">
      <c r="B21" s="37" t="s">
        <v>238</v>
      </c>
      <c r="C21" s="33">
        <v>268.3</v>
      </c>
      <c r="D21" s="33">
        <v>249.9</v>
      </c>
      <c r="E21" s="33">
        <v>318.2</v>
      </c>
      <c r="F21" s="34">
        <f>AVERAGE(C21:E21)</f>
        <v>278.8</v>
      </c>
      <c r="G21" s="34">
        <f>F21</f>
        <v>278.8</v>
      </c>
      <c r="H21" s="34">
        <f t="shared" ref="H21:J21" si="2">G21</f>
        <v>278.8</v>
      </c>
      <c r="I21" s="34">
        <f t="shared" si="2"/>
        <v>278.8</v>
      </c>
      <c r="J21" s="34">
        <f t="shared" si="2"/>
        <v>278.8</v>
      </c>
    </row>
    <row r="22" spans="2:10">
      <c r="B22" s="35" t="s">
        <v>16</v>
      </c>
      <c r="C22" s="36">
        <f>SUM(C18:C21)</f>
        <v>3081.0999999999995</v>
      </c>
      <c r="D22" s="36">
        <f t="shared" ref="D22:E22" si="3">SUM(D18:D21)</f>
        <v>3601.0000000000014</v>
      </c>
      <c r="E22" s="36">
        <f t="shared" si="3"/>
        <v>4171.9000000000005</v>
      </c>
      <c r="F22" s="36">
        <f ca="1">SUM(F18:F21)</f>
        <v>4546.6694980000002</v>
      </c>
      <c r="G22" s="36">
        <f t="shared" ref="G22:J22" ca="1" si="4">SUM(G18:G21)</f>
        <v>5207.1450042490005</v>
      </c>
      <c r="H22" s="36">
        <f t="shared" ca="1" si="4"/>
        <v>5213.5993850159875</v>
      </c>
      <c r="I22" s="36">
        <f t="shared" ca="1" si="4"/>
        <v>6465.2188938412701</v>
      </c>
      <c r="J22" s="36">
        <f t="shared" ca="1" si="4"/>
        <v>7250.6514886966097</v>
      </c>
    </row>
    <row r="23" spans="2:10">
      <c r="B23" s="20" t="s">
        <v>246</v>
      </c>
      <c r="C23" s="33">
        <v>142.69999999999999</v>
      </c>
      <c r="D23" s="33">
        <v>43</v>
      </c>
      <c r="E23" s="33">
        <v>108</v>
      </c>
      <c r="F23" s="218">
        <f ca="1">F297</f>
        <v>104.58538341760034</v>
      </c>
      <c r="G23" s="218">
        <f t="shared" ref="G23:J23" ca="1" si="5">G297</f>
        <v>111.05683042716345</v>
      </c>
      <c r="H23" s="218">
        <f t="shared" ca="1" si="5"/>
        <v>128.75734325387762</v>
      </c>
      <c r="I23" s="218">
        <f t="shared" ca="1" si="5"/>
        <v>162.21826459631774</v>
      </c>
      <c r="J23" s="218">
        <f t="shared" ca="1" si="5"/>
        <v>209.12433964157302</v>
      </c>
    </row>
    <row r="24" spans="2:10">
      <c r="B24" s="20" t="s">
        <v>18</v>
      </c>
      <c r="C24" s="33">
        <v>-64.099999999999994</v>
      </c>
      <c r="D24" s="33">
        <v>-70.5</v>
      </c>
      <c r="E24" s="33">
        <v>-81.3</v>
      </c>
      <c r="F24" s="96">
        <f>-(350*0.02+500*0.021+250*0.021+500*0.027+750*0.0385+500*0.0245+350*0.043)</f>
        <v>-92.424999999999997</v>
      </c>
      <c r="G24" s="96">
        <f>-(350*0.02+500*0.021+250*0.021+500*0.027+750*0.0385+500*0.0245+350*0.043)</f>
        <v>-92.424999999999997</v>
      </c>
      <c r="H24" s="96">
        <f>-(500*0.021+250*0.021+500*0.027+750*0.0385+500*0.0245+350*0.043)</f>
        <v>-85.424999999999997</v>
      </c>
      <c r="I24" s="96">
        <f>-(500*0.021+250*0.021+500*0.027+750*0.0385+500*0.0245+350*0.043)</f>
        <v>-85.424999999999997</v>
      </c>
      <c r="J24" s="96">
        <f>-(500*0.027+750*0.0385+500*0.0245+350*0.043)</f>
        <v>-69.674999999999997</v>
      </c>
    </row>
    <row r="25" spans="2:10">
      <c r="B25" s="37" t="s">
        <v>19</v>
      </c>
      <c r="C25" s="33">
        <v>0</v>
      </c>
      <c r="D25" s="33">
        <f>-61.1+390.6</f>
        <v>329.5</v>
      </c>
      <c r="E25" s="33">
        <v>0</v>
      </c>
      <c r="F25" s="38">
        <v>0</v>
      </c>
      <c r="G25" s="38">
        <v>0</v>
      </c>
      <c r="H25" s="38">
        <v>0</v>
      </c>
      <c r="I25" s="38">
        <v>0</v>
      </c>
      <c r="J25" s="38">
        <v>0</v>
      </c>
    </row>
    <row r="26" spans="2:10">
      <c r="B26" s="35" t="s">
        <v>20</v>
      </c>
      <c r="C26" s="36">
        <f t="shared" ref="C26:J26" si="6">SUM(C22:C25)</f>
        <v>3159.6999999999994</v>
      </c>
      <c r="D26" s="36">
        <f t="shared" si="6"/>
        <v>3903.0000000000014</v>
      </c>
      <c r="E26" s="36">
        <f t="shared" si="6"/>
        <v>4198.6000000000004</v>
      </c>
      <c r="F26" s="36">
        <f t="shared" ca="1" si="6"/>
        <v>4558.8298814176005</v>
      </c>
      <c r="G26" s="36">
        <f t="shared" ca="1" si="6"/>
        <v>5225.7768346761641</v>
      </c>
      <c r="H26" s="36">
        <f t="shared" ca="1" si="6"/>
        <v>5256.9317282698648</v>
      </c>
      <c r="I26" s="36">
        <f t="shared" ca="1" si="6"/>
        <v>6542.0121584375875</v>
      </c>
      <c r="J26" s="36">
        <f t="shared" ca="1" si="6"/>
        <v>7390.1008283381825</v>
      </c>
    </row>
    <row r="27" spans="2:10">
      <c r="B27" s="20" t="s">
        <v>21</v>
      </c>
      <c r="C27" s="33">
        <v>-1092</v>
      </c>
      <c r="D27" s="33">
        <v>-1143.7</v>
      </c>
      <c r="E27" s="33">
        <v>-1379.7</v>
      </c>
      <c r="F27" s="34">
        <f ca="1">-(F26*F44)</f>
        <v>-1416.9767307641894</v>
      </c>
      <c r="G27" s="34">
        <f ca="1">-(G26*G44)</f>
        <v>-1624.2773622866769</v>
      </c>
      <c r="H27" s="34">
        <f ca="1">-(H26*H44)</f>
        <v>-1633.9609346988989</v>
      </c>
      <c r="I27" s="34">
        <f ca="1">-(I26*I44)</f>
        <v>-2033.3899798866669</v>
      </c>
      <c r="J27" s="34">
        <f ca="1">-(J26*J44)</f>
        <v>-2296.9931285306366</v>
      </c>
    </row>
    <row r="28" spans="2:10">
      <c r="B28" s="35" t="s">
        <v>22</v>
      </c>
      <c r="C28" s="39">
        <f>SUM(C26:C27)</f>
        <v>2067.6999999999994</v>
      </c>
      <c r="D28" s="39">
        <f t="shared" ref="D28:E28" si="7">SUM(D26:D27)</f>
        <v>2759.3000000000011</v>
      </c>
      <c r="E28" s="39">
        <f t="shared" si="7"/>
        <v>2818.9000000000005</v>
      </c>
      <c r="F28" s="39">
        <f ca="1">SUM(F26:F27)</f>
        <v>3141.8531506534109</v>
      </c>
      <c r="G28" s="39">
        <f t="shared" ref="G28:J28" ca="1" si="8">SUM(G26:G27)</f>
        <v>3601.499472389487</v>
      </c>
      <c r="H28" s="39">
        <f t="shared" ca="1" si="8"/>
        <v>3622.9707935709657</v>
      </c>
      <c r="I28" s="39">
        <f t="shared" ca="1" si="8"/>
        <v>4508.6221785509206</v>
      </c>
      <c r="J28" s="39">
        <f t="shared" ca="1" si="8"/>
        <v>5093.1076998075459</v>
      </c>
    </row>
    <row r="29" spans="2:10">
      <c r="B29" s="37" t="s">
        <v>239</v>
      </c>
      <c r="C29" s="34">
        <v>-0.4</v>
      </c>
      <c r="D29" s="34">
        <v>1.9</v>
      </c>
      <c r="E29" s="34">
        <v>1.2</v>
      </c>
      <c r="F29" s="39">
        <f>AVERAGE(C29:E29)</f>
        <v>0.9</v>
      </c>
      <c r="G29" s="39">
        <f>F29</f>
        <v>0.9</v>
      </c>
      <c r="H29" s="39">
        <f t="shared" ref="H29:J29" si="9">G29</f>
        <v>0.9</v>
      </c>
      <c r="I29" s="39">
        <f t="shared" si="9"/>
        <v>0.9</v>
      </c>
      <c r="J29" s="39">
        <f t="shared" si="9"/>
        <v>0.9</v>
      </c>
    </row>
    <row r="30" spans="2:10">
      <c r="B30" s="97" t="s">
        <v>240</v>
      </c>
      <c r="C30" s="106">
        <f>C28-C29</f>
        <v>2068.0999999999995</v>
      </c>
      <c r="D30" s="106">
        <f t="shared" ref="D30:E30" si="10">D28-D29</f>
        <v>2757.400000000001</v>
      </c>
      <c r="E30" s="106">
        <f t="shared" si="10"/>
        <v>2817.7000000000007</v>
      </c>
      <c r="F30" s="106">
        <f t="shared" ref="F30" ca="1" si="11">F28-F29</f>
        <v>3140.9531506534108</v>
      </c>
      <c r="G30" s="106">
        <f t="shared" ref="G30" ca="1" si="12">G28-G29</f>
        <v>3600.5994723894869</v>
      </c>
      <c r="H30" s="106">
        <f t="shared" ref="H30" ca="1" si="13">H28-H29</f>
        <v>3622.0707935709656</v>
      </c>
      <c r="I30" s="106">
        <f t="shared" ref="I30" ca="1" si="14">I28-I29</f>
        <v>4507.7221785509209</v>
      </c>
      <c r="J30" s="106">
        <f t="shared" ref="J30" ca="1" si="15">J28-J29</f>
        <v>5092.2076998075463</v>
      </c>
    </row>
    <row r="31" spans="2:10">
      <c r="B31" s="97"/>
    </row>
    <row r="32" spans="2:10">
      <c r="B32" s="37" t="s">
        <v>23</v>
      </c>
      <c r="C32" s="40">
        <v>1506.3</v>
      </c>
      <c r="D32" s="40">
        <v>1495.9</v>
      </c>
      <c r="E32" s="40">
        <v>1471.6</v>
      </c>
      <c r="F32" s="219">
        <f>AVERAGE(F304,F307)</f>
        <v>1442.3938681600489</v>
      </c>
      <c r="G32" s="219">
        <f t="shared" ref="G32:J32" si="16">AVERAGE(G304,G307)</f>
        <v>1418.1014235664211</v>
      </c>
      <c r="H32" s="219">
        <f t="shared" si="16"/>
        <v>1396.8272234201106</v>
      </c>
      <c r="I32" s="219">
        <f t="shared" si="16"/>
        <v>1378.0004976269151</v>
      </c>
      <c r="J32" s="219">
        <f t="shared" si="16"/>
        <v>1361.3396783409016</v>
      </c>
    </row>
    <row r="33" spans="2:11">
      <c r="B33" s="37" t="s">
        <v>24</v>
      </c>
      <c r="C33" s="42">
        <f>C34-C32</f>
        <v>20</v>
      </c>
      <c r="D33" s="42">
        <f t="shared" ref="D33:E33" si="17">D34-D32</f>
        <v>17.5</v>
      </c>
      <c r="E33" s="42">
        <f t="shared" si="17"/>
        <v>15.100000000000136</v>
      </c>
      <c r="F33" s="42">
        <f>E33</f>
        <v>15.100000000000136</v>
      </c>
      <c r="G33" s="42">
        <f t="shared" ref="G33:J33" si="18">F33</f>
        <v>15.100000000000136</v>
      </c>
      <c r="H33" s="42">
        <f t="shared" si="18"/>
        <v>15.100000000000136</v>
      </c>
      <c r="I33" s="42">
        <f t="shared" si="18"/>
        <v>15.100000000000136</v>
      </c>
      <c r="J33" s="42">
        <f t="shared" si="18"/>
        <v>15.100000000000136</v>
      </c>
    </row>
    <row r="34" spans="2:11">
      <c r="B34" s="17" t="s">
        <v>25</v>
      </c>
      <c r="C34" s="40">
        <v>1526.3</v>
      </c>
      <c r="D34" s="40">
        <v>1513.4</v>
      </c>
      <c r="E34" s="40">
        <v>1486.7</v>
      </c>
      <c r="F34" s="219">
        <f>SUM(F32:F33)</f>
        <v>1457.493868160049</v>
      </c>
      <c r="G34" s="219">
        <f t="shared" ref="G34:J34" si="19">SUM(G32:G33)</f>
        <v>1433.2014235664212</v>
      </c>
      <c r="H34" s="219">
        <f t="shared" si="19"/>
        <v>1411.9272234201107</v>
      </c>
      <c r="I34" s="219">
        <f t="shared" si="19"/>
        <v>1393.1004976269153</v>
      </c>
      <c r="J34" s="219">
        <f t="shared" si="19"/>
        <v>1376.4396783409018</v>
      </c>
    </row>
    <row r="36" spans="2:11">
      <c r="B36" s="17" t="s">
        <v>26</v>
      </c>
      <c r="C36" s="43">
        <f>C30/C32</f>
        <v>1.3729668724689634</v>
      </c>
      <c r="D36" s="43">
        <f t="shared" ref="D36:E36" si="20">D30/D32</f>
        <v>1.8433050337589416</v>
      </c>
      <c r="E36" s="43">
        <f t="shared" si="20"/>
        <v>1.9147186735525965</v>
      </c>
      <c r="F36" s="43">
        <f t="shared" ref="F36:J36" ca="1" si="21">F30/F32</f>
        <v>2.1775974094094588</v>
      </c>
      <c r="G36" s="43">
        <f t="shared" ca="1" si="21"/>
        <v>2.5390281770779435</v>
      </c>
      <c r="H36" s="43">
        <f t="shared" ca="1" si="21"/>
        <v>2.5930700181389503</v>
      </c>
      <c r="I36" s="43">
        <f t="shared" ca="1" si="21"/>
        <v>3.271205044057508</v>
      </c>
      <c r="J36" s="43">
        <f t="shared" ca="1" si="21"/>
        <v>3.7405856751443149</v>
      </c>
    </row>
    <row r="37" spans="2:11">
      <c r="B37" s="44" t="s">
        <v>27</v>
      </c>
      <c r="C37" s="45">
        <f>C30/C34</f>
        <v>1.3549760859595097</v>
      </c>
      <c r="D37" s="45">
        <f t="shared" ref="D37:E37" si="22">D30/D34</f>
        <v>1.8219902206951242</v>
      </c>
      <c r="E37" s="45">
        <f t="shared" si="22"/>
        <v>1.8952714064707075</v>
      </c>
      <c r="F37" s="45">
        <f t="shared" ref="F37:J37" ca="1" si="23">F30/F34</f>
        <v>2.1550369571150054</v>
      </c>
      <c r="G37" s="45">
        <f t="shared" ca="1" si="23"/>
        <v>2.5122773485876451</v>
      </c>
      <c r="H37" s="45">
        <f t="shared" ca="1" si="23"/>
        <v>2.5653381657995267</v>
      </c>
      <c r="I37" s="45">
        <f t="shared" ca="1" si="23"/>
        <v>3.2357480212157164</v>
      </c>
      <c r="J37" s="45">
        <f t="shared" ca="1" si="23"/>
        <v>3.6995502090912282</v>
      </c>
    </row>
    <row r="39" spans="2:11">
      <c r="B39" s="46" t="s">
        <v>28</v>
      </c>
      <c r="K39" s="17" t="s">
        <v>244</v>
      </c>
    </row>
    <row r="40" spans="2:11">
      <c r="B40" s="47" t="s">
        <v>29</v>
      </c>
      <c r="C40" s="48" t="s">
        <v>30</v>
      </c>
      <c r="D40" s="49">
        <f>D16/C16-1</f>
        <v>0.16506158878391042</v>
      </c>
      <c r="E40" s="49">
        <f>E16/D16-1</f>
        <v>0.11236412405349983</v>
      </c>
      <c r="F40" s="232">
        <f ca="1">OFFSET(F$336,MATCH($E$329,$B$337:$B$339,0)+MATCH($B40,$B$336:$B$351,0)-1,0)</f>
        <v>6.5000000000000002E-2</v>
      </c>
      <c r="G40" s="232">
        <f ca="1">OFFSET(G$336,MATCH($E$329,$B$337:$B$339,0)+MATCH($B40,$B$336:$B$351,0)-1,0)</f>
        <v>0.10199999999999999</v>
      </c>
      <c r="H40" s="232">
        <f ca="1">OFFSET(H$336,MATCH($E$329,$B$337:$B$339,0)+MATCH($B40,$B$336:$B$351,0)-1,0)</f>
        <v>0.10199999999999999</v>
      </c>
      <c r="I40" s="232">
        <f ca="1">OFFSET(I$336,MATCH($E$329,$B$337:$B$339,0)+MATCH($B40,$B$336:$B$351,0)-1,0)</f>
        <v>0.1</v>
      </c>
      <c r="J40" s="232">
        <f ca="1">OFFSET(J$336,MATCH($E$329,$B$337:$B$339,0)+MATCH($B40,$B$336:$B$351,0)-1,0)</f>
        <v>0.1</v>
      </c>
      <c r="K40" s="50"/>
    </row>
    <row r="41" spans="2:11">
      <c r="B41" s="47" t="s">
        <v>31</v>
      </c>
      <c r="C41" s="49">
        <f>C18/C16</f>
        <v>0.58299590218752662</v>
      </c>
      <c r="D41" s="49">
        <f>D18/D16</f>
        <v>0.59361154743329492</v>
      </c>
      <c r="E41" s="49">
        <f>E18/E16</f>
        <v>0.60071589752250665</v>
      </c>
      <c r="F41" s="232">
        <f ca="1">OFFSET(F$336,MATCH($E$329,$B$337:$B$339,0)+MATCH($B41,$B$336:$B$351,0)-1,0)</f>
        <v>0.60799999999999998</v>
      </c>
      <c r="G41" s="232">
        <f ca="1">OFFSET(G$336,MATCH($E$329,$B$337:$B$339,0)+MATCH($B41,$B$336:$B$351,0)-1,0)</f>
        <v>0.61599999999999999</v>
      </c>
      <c r="H41" s="232">
        <f ca="1">OFFSET(H$336,MATCH($E$329,$B$337:$B$339,0)+MATCH($B41,$B$336:$B$351,0)-1,0)</f>
        <v>0.624</v>
      </c>
      <c r="I41" s="232">
        <f ca="1">OFFSET(I$336,MATCH($E$329,$B$337:$B$339,0)+MATCH($B41,$B$336:$B$351,0)-1,0)</f>
        <v>0.63200000000000001</v>
      </c>
      <c r="J41" s="232">
        <f ca="1">OFFSET(J$336,MATCH($E$329,$B$337:$B$339,0)+MATCH($B41,$B$336:$B$351,0)-1,0)</f>
        <v>0.64</v>
      </c>
      <c r="K41" s="216">
        <v>7.4999999999999997E-3</v>
      </c>
    </row>
    <row r="42" spans="2:11">
      <c r="B42" s="51" t="s">
        <v>32</v>
      </c>
      <c r="C42" s="49">
        <f t="shared" ref="C42:E42" si="24">-C19/C$16</f>
        <v>0</v>
      </c>
      <c r="D42" s="49">
        <f t="shared" si="24"/>
        <v>0</v>
      </c>
      <c r="E42" s="49">
        <f t="shared" si="24"/>
        <v>0</v>
      </c>
      <c r="F42" s="232">
        <f ca="1">OFFSET(F$336,MATCH($E$329,$B$337:$B$339,0)+MATCH($B42,$B$336:$B$351,0)-1,0)</f>
        <v>0</v>
      </c>
      <c r="G42" s="232">
        <f ca="1">OFFSET(G$336,MATCH($E$329,$B$337:$B$339,0)+MATCH($B42,$B$336:$B$351,0)-1,0)</f>
        <v>0</v>
      </c>
      <c r="H42" s="232">
        <f ca="1">OFFSET(H$336,MATCH($E$329,$B$337:$B$339,0)+MATCH($B42,$B$336:$B$351,0)-1,0)</f>
        <v>0</v>
      </c>
      <c r="I42" s="232">
        <f ca="1">OFFSET(I$336,MATCH($E$329,$B$337:$B$339,0)+MATCH($B42,$B$336:$B$351,0)-1,0)</f>
        <v>0</v>
      </c>
      <c r="J42" s="232">
        <f ca="1">OFFSET(J$336,MATCH($E$329,$B$337:$B$339,0)+MATCH($B42,$B$336:$B$351,0)-1,0)</f>
        <v>0</v>
      </c>
    </row>
    <row r="43" spans="2:11">
      <c r="B43" s="47" t="s">
        <v>33</v>
      </c>
      <c r="C43" s="49">
        <f>-C20/C$16</f>
        <v>0.41198214958839485</v>
      </c>
      <c r="D43" s="49">
        <f>-D20/D$16</f>
        <v>0.41873535566491149</v>
      </c>
      <c r="E43" s="49">
        <f>-E20/E$16</f>
        <v>0.41992597075422572</v>
      </c>
      <c r="F43" s="232">
        <f ca="1">OFFSET(F$336,MATCH($E$329,$B$337:$B$339,0)+MATCH($B43,$B$336:$B$351,0)-1,0)</f>
        <v>0.42</v>
      </c>
      <c r="G43" s="232">
        <f ca="1">OFFSET(G$336,MATCH($E$329,$B$337:$B$339,0)+MATCH($B43,$B$336:$B$351,0)-1,0)</f>
        <v>0.41899999999999998</v>
      </c>
      <c r="H43" s="232">
        <f ca="1">OFFSET(H$336,MATCH($E$329,$B$337:$B$339,0)+MATCH($B43,$B$336:$B$351,0)-1,0)</f>
        <v>0.44500000000000001</v>
      </c>
      <c r="I43" s="232">
        <f ca="1">OFFSET(I$336,MATCH($E$329,$B$337:$B$339,0)+MATCH($B43,$B$336:$B$351,0)-1,0)</f>
        <v>0.42799999999999999</v>
      </c>
      <c r="J43" s="232">
        <f ca="1">OFFSET(J$336,MATCH($E$329,$B$337:$B$339,0)+MATCH($B43,$B$336:$B$351,0)-1,0)</f>
        <v>0.43099999999999999</v>
      </c>
    </row>
    <row r="44" spans="2:11">
      <c r="B44" s="47" t="s">
        <v>34</v>
      </c>
      <c r="C44" s="49">
        <f>-C27/C26</f>
        <v>0.34560243061050105</v>
      </c>
      <c r="D44" s="49">
        <f>-D27/D26</f>
        <v>0.29303100179349212</v>
      </c>
      <c r="E44" s="49">
        <f>-E27/E26</f>
        <v>0.32860953651217073</v>
      </c>
      <c r="F44" s="233">
        <f>AVERAGE(D44:E44)</f>
        <v>0.31082026915283145</v>
      </c>
      <c r="G44" s="233">
        <f>F44</f>
        <v>0.31082026915283145</v>
      </c>
      <c r="H44" s="233">
        <f>G44</f>
        <v>0.31082026915283145</v>
      </c>
      <c r="I44" s="233">
        <f>H44</f>
        <v>0.31082026915283145</v>
      </c>
      <c r="J44" s="233">
        <f>I44</f>
        <v>0.31082026915283145</v>
      </c>
    </row>
    <row r="46" spans="2:11">
      <c r="B46" s="52" t="s">
        <v>35</v>
      </c>
    </row>
    <row r="47" spans="2:11">
      <c r="B47" s="53" t="s">
        <v>36</v>
      </c>
      <c r="C47" s="40">
        <v>748.4</v>
      </c>
      <c r="D47" s="40">
        <v>933.8</v>
      </c>
      <c r="E47" s="40">
        <v>1030.0999999999999</v>
      </c>
      <c r="F47" s="41">
        <f ca="1">-(F136+F149)</f>
        <v>1102.0749071230769</v>
      </c>
      <c r="G47" s="41">
        <f ca="1">-(G136+G149)</f>
        <v>1171.3886895991541</v>
      </c>
      <c r="H47" s="41">
        <f ca="1">-(H136+H149)</f>
        <v>1362.1216253743319</v>
      </c>
      <c r="I47" s="41">
        <f ca="1">-(I136+I149)</f>
        <v>1477.1209965052913</v>
      </c>
      <c r="J47" s="41">
        <f ca="1">-(J136+J149)</f>
        <v>1565.0386762257147</v>
      </c>
    </row>
    <row r="48" spans="2:11">
      <c r="B48" s="53" t="s">
        <v>37</v>
      </c>
      <c r="C48" s="40">
        <v>183.2</v>
      </c>
      <c r="D48" s="40">
        <v>209.8</v>
      </c>
      <c r="E48" s="40">
        <v>218.1</v>
      </c>
      <c r="F48" s="41">
        <f ca="1">F204</f>
        <v>240.8319628560927</v>
      </c>
      <c r="G48" s="41">
        <f t="shared" ref="G48:J48" ca="1" si="25">G204</f>
        <v>262.45523266395764</v>
      </c>
      <c r="H48" s="41">
        <f t="shared" ca="1" si="25"/>
        <v>295.70893164489956</v>
      </c>
      <c r="I48" s="41">
        <f t="shared" ca="1" si="25"/>
        <v>315.37483623419502</v>
      </c>
      <c r="J48" s="41">
        <f t="shared" ca="1" si="25"/>
        <v>344.73322237107175</v>
      </c>
    </row>
    <row r="49" spans="1:10">
      <c r="B49" s="54" t="s">
        <v>38</v>
      </c>
      <c r="C49" s="55">
        <f t="shared" ref="C49:J49" si="26">C22+C47+C48</f>
        <v>4012.6999999999994</v>
      </c>
      <c r="D49" s="55">
        <f t="shared" si="26"/>
        <v>4744.6000000000013</v>
      </c>
      <c r="E49" s="55">
        <f t="shared" si="26"/>
        <v>5420.1</v>
      </c>
      <c r="F49" s="55">
        <f t="shared" ca="1" si="26"/>
        <v>5889.5763679791698</v>
      </c>
      <c r="G49" s="55">
        <f t="shared" ca="1" si="26"/>
        <v>6640.9889265121119</v>
      </c>
      <c r="H49" s="55">
        <f t="shared" ca="1" si="26"/>
        <v>6871.429942035219</v>
      </c>
      <c r="I49" s="55">
        <f t="shared" ca="1" si="26"/>
        <v>8257.7147265807562</v>
      </c>
      <c r="J49" s="55">
        <f t="shared" ca="1" si="26"/>
        <v>9160.4233872933946</v>
      </c>
    </row>
    <row r="50" spans="1:10">
      <c r="C50" s="56"/>
      <c r="D50" s="56"/>
      <c r="E50" s="56"/>
    </row>
    <row r="51" spans="1:10">
      <c r="C51" s="56"/>
      <c r="D51" s="56"/>
      <c r="E51" s="56"/>
    </row>
    <row r="52" spans="1:10">
      <c r="B52" s="22" t="s">
        <v>40</v>
      </c>
      <c r="C52" s="29"/>
      <c r="D52" s="29"/>
      <c r="E52" s="29"/>
      <c r="F52" s="24"/>
      <c r="G52" s="24"/>
      <c r="H52" s="24"/>
      <c r="I52" s="24"/>
      <c r="J52" s="24"/>
    </row>
    <row r="53" spans="1:10">
      <c r="A53" s="17" t="s">
        <v>195</v>
      </c>
      <c r="B53" s="64" t="str">
        <f>B13</f>
        <v xml:space="preserve">Fiscal year  </v>
      </c>
      <c r="C53" s="57"/>
      <c r="D53" s="57">
        <f t="shared" ref="D53:F54" si="27">D13</f>
        <v>2015</v>
      </c>
      <c r="E53" s="57">
        <f t="shared" si="27"/>
        <v>2016</v>
      </c>
      <c r="F53" s="58">
        <f t="shared" si="27"/>
        <v>2017</v>
      </c>
      <c r="G53" s="58">
        <f t="shared" ref="G53:J53" si="28">G13</f>
        <v>2018</v>
      </c>
      <c r="H53" s="58">
        <f t="shared" si="28"/>
        <v>2019</v>
      </c>
      <c r="I53" s="58">
        <f t="shared" si="28"/>
        <v>2020</v>
      </c>
      <c r="J53" s="58">
        <f t="shared" si="28"/>
        <v>2021</v>
      </c>
    </row>
    <row r="54" spans="1:10">
      <c r="B54" s="24" t="str">
        <f>B14</f>
        <v>Fiscal year end date</v>
      </c>
      <c r="C54" s="59"/>
      <c r="D54" s="59">
        <f t="shared" si="27"/>
        <v>42274</v>
      </c>
      <c r="E54" s="59">
        <f t="shared" si="27"/>
        <v>42645</v>
      </c>
      <c r="F54" s="59">
        <f t="shared" si="27"/>
        <v>43039</v>
      </c>
      <c r="G54" s="59">
        <f>G14</f>
        <v>43404</v>
      </c>
      <c r="H54" s="59">
        <f>H14</f>
        <v>43769</v>
      </c>
      <c r="I54" s="59">
        <f>I14</f>
        <v>44135</v>
      </c>
      <c r="J54" s="59">
        <f>J14</f>
        <v>44500</v>
      </c>
    </row>
    <row r="55" spans="1:10">
      <c r="B55" s="17" t="s">
        <v>41</v>
      </c>
      <c r="C55" s="65"/>
      <c r="D55" s="66">
        <f>1530.1+81.3+312.5</f>
        <v>1923.8999999999999</v>
      </c>
      <c r="E55" s="66">
        <f>2128.8+134.4+1141.7</f>
        <v>3404.9000000000005</v>
      </c>
      <c r="F55" s="38">
        <f ca="1">E55+F267</f>
        <v>3189.5957777555664</v>
      </c>
      <c r="G55" s="38">
        <f ca="1">F55+G267</f>
        <v>3812.9487021781251</v>
      </c>
      <c r="H55" s="38">
        <f ca="1">G55+H267</f>
        <v>4305.6786696801646</v>
      </c>
      <c r="I55" s="38">
        <f ca="1">H55+I267</f>
        <v>5922.7837196953105</v>
      </c>
      <c r="J55" s="38">
        <f ca="1">I55+J267</f>
        <v>7263.2804234677933</v>
      </c>
    </row>
    <row r="56" spans="1:10">
      <c r="B56" s="20" t="s">
        <v>42</v>
      </c>
      <c r="C56" s="67"/>
      <c r="D56" s="68">
        <v>719</v>
      </c>
      <c r="E56" s="68">
        <v>768.8</v>
      </c>
      <c r="F56" s="69">
        <f ca="1">F98</f>
        <v>835.27407126605317</v>
      </c>
      <c r="G56" s="69">
        <f ca="1">G98</f>
        <v>920.47202653519059</v>
      </c>
      <c r="H56" s="69">
        <f ca="1">H98</f>
        <v>1014.3601732417802</v>
      </c>
      <c r="I56" s="69">
        <f ca="1">I98</f>
        <v>1115.7961905659583</v>
      </c>
      <c r="J56" s="69">
        <f ca="1">J98</f>
        <v>1227.3758096225542</v>
      </c>
    </row>
    <row r="57" spans="1:10">
      <c r="B57" s="20" t="s">
        <v>43</v>
      </c>
      <c r="C57" s="67"/>
      <c r="D57" s="68">
        <v>1306.4000000000001</v>
      </c>
      <c r="E57" s="68">
        <v>1378.5</v>
      </c>
      <c r="F57" s="69">
        <f ca="1">F106</f>
        <v>1467.0872364470433</v>
      </c>
      <c r="G57" s="69">
        <f ca="1">G106</f>
        <v>1583.7356420225065</v>
      </c>
      <c r="H57" s="69">
        <f ca="1">H106</f>
        <v>1708.9167467273687</v>
      </c>
      <c r="I57" s="69">
        <f ca="1">I106</f>
        <v>1839.8124975405292</v>
      </c>
      <c r="J57" s="69">
        <f ca="1">J106</f>
        <v>1979.7982310490479</v>
      </c>
    </row>
    <row r="58" spans="1:10">
      <c r="B58" s="37" t="s">
        <v>44</v>
      </c>
      <c r="C58" s="67"/>
      <c r="D58" s="68">
        <v>1180.8</v>
      </c>
      <c r="E58" s="68">
        <v>885.4</v>
      </c>
      <c r="F58" s="69">
        <f>F169</f>
        <v>885.4</v>
      </c>
      <c r="G58" s="69">
        <f>G169</f>
        <v>885.4</v>
      </c>
      <c r="H58" s="69">
        <f>H169</f>
        <v>885.4</v>
      </c>
      <c r="I58" s="69">
        <f>I169</f>
        <v>885.4</v>
      </c>
      <c r="J58" s="69">
        <f>J169</f>
        <v>885.4</v>
      </c>
    </row>
    <row r="59" spans="1:10">
      <c r="B59" s="20" t="s">
        <v>45</v>
      </c>
      <c r="C59" s="67"/>
      <c r="D59" s="68">
        <v>334.2</v>
      </c>
      <c r="E59" s="68">
        <v>350</v>
      </c>
      <c r="F59" s="69">
        <f>F164</f>
        <v>350</v>
      </c>
      <c r="G59" s="69">
        <f>G164</f>
        <v>350</v>
      </c>
      <c r="H59" s="69">
        <f>H164</f>
        <v>350</v>
      </c>
      <c r="I59" s="69">
        <f>I164</f>
        <v>350</v>
      </c>
      <c r="J59" s="69">
        <f>J164</f>
        <v>350</v>
      </c>
    </row>
    <row r="60" spans="1:10">
      <c r="B60" s="37" t="s">
        <v>46</v>
      </c>
      <c r="C60" s="67"/>
      <c r="D60" s="68">
        <v>4088.3</v>
      </c>
      <c r="E60" s="68">
        <v>4533.8</v>
      </c>
      <c r="F60" s="69">
        <f ca="1">F145</f>
        <v>5082.8254378769234</v>
      </c>
      <c r="G60" s="69">
        <f ca="1">G145</f>
        <v>5669.1786346700301</v>
      </c>
      <c r="H60" s="69">
        <f ca="1">H145</f>
        <v>6103.3858431281406</v>
      </c>
      <c r="I60" s="69">
        <f ca="1">I145</f>
        <v>6353.5719013349571</v>
      </c>
      <c r="J60" s="69">
        <f ca="1">J145</f>
        <v>6523.6984209155926</v>
      </c>
    </row>
    <row r="61" spans="1:10">
      <c r="B61" s="37" t="s">
        <v>47</v>
      </c>
      <c r="C61" s="67"/>
      <c r="D61" s="68">
        <f>520.4+1575.4</f>
        <v>2095.8000000000002</v>
      </c>
      <c r="E61" s="68">
        <f>1719.6+516.3</f>
        <v>2235.8999999999996</v>
      </c>
      <c r="F61" s="69">
        <f>F133</f>
        <v>2173.8999999999996</v>
      </c>
      <c r="G61" s="69">
        <f>G133</f>
        <v>2113.2999999999997</v>
      </c>
      <c r="H61" s="69">
        <f>H133</f>
        <v>2053.7999999999997</v>
      </c>
      <c r="I61" s="69">
        <f>I133</f>
        <v>1994.3999999999996</v>
      </c>
      <c r="J61" s="69">
        <f>J133</f>
        <v>1960.4999999999995</v>
      </c>
    </row>
    <row r="62" spans="1:10">
      <c r="B62" s="37" t="s">
        <v>241</v>
      </c>
      <c r="C62" s="67"/>
      <c r="D62" s="68">
        <v>352</v>
      </c>
      <c r="E62" s="68">
        <v>354.5</v>
      </c>
      <c r="F62" s="69">
        <f>F158</f>
        <v>0</v>
      </c>
      <c r="G62" s="69">
        <f t="shared" ref="G62:J62" si="29">G158</f>
        <v>0</v>
      </c>
      <c r="H62" s="69">
        <f t="shared" si="29"/>
        <v>0</v>
      </c>
      <c r="I62" s="69">
        <f t="shared" si="29"/>
        <v>0</v>
      </c>
      <c r="J62" s="69">
        <f t="shared" si="29"/>
        <v>0</v>
      </c>
    </row>
    <row r="63" spans="1:10">
      <c r="B63" s="70" t="s">
        <v>48</v>
      </c>
      <c r="C63" s="71"/>
      <c r="D63" s="68">
        <v>415.9</v>
      </c>
      <c r="E63" s="68">
        <v>417.7</v>
      </c>
      <c r="F63" s="69">
        <f>F174</f>
        <v>417.7</v>
      </c>
      <c r="G63" s="69">
        <f>G174</f>
        <v>417.7</v>
      </c>
      <c r="H63" s="69">
        <f>H174</f>
        <v>417.7</v>
      </c>
      <c r="I63" s="69">
        <f>I174</f>
        <v>417.7</v>
      </c>
      <c r="J63" s="69">
        <f>J174</f>
        <v>417.7</v>
      </c>
    </row>
    <row r="64" spans="1:10">
      <c r="B64" s="72" t="s">
        <v>49</v>
      </c>
      <c r="C64" s="73"/>
      <c r="D64" s="74">
        <f t="shared" ref="D64:J64" si="30">SUM(D55:D63)</f>
        <v>12416.299999999997</v>
      </c>
      <c r="E64" s="74">
        <f t="shared" si="30"/>
        <v>14329.500000000002</v>
      </c>
      <c r="F64" s="74">
        <f t="shared" ca="1" si="30"/>
        <v>14401.782523345586</v>
      </c>
      <c r="G64" s="74">
        <f t="shared" ca="1" si="30"/>
        <v>15752.735005405852</v>
      </c>
      <c r="H64" s="74">
        <f t="shared" ca="1" si="30"/>
        <v>16839.241432777453</v>
      </c>
      <c r="I64" s="74">
        <f t="shared" ca="1" si="30"/>
        <v>18879.464309136758</v>
      </c>
      <c r="J64" s="74">
        <f t="shared" ca="1" si="30"/>
        <v>20607.75288505499</v>
      </c>
    </row>
    <row r="65" spans="2:10">
      <c r="B65" s="75"/>
      <c r="C65" s="76"/>
      <c r="D65" s="77"/>
      <c r="E65" s="77"/>
    </row>
    <row r="66" spans="2:10">
      <c r="B66" s="75" t="s">
        <v>50</v>
      </c>
      <c r="C66" s="78"/>
      <c r="D66" s="68">
        <v>684.2</v>
      </c>
      <c r="E66" s="68">
        <v>730.6</v>
      </c>
      <c r="F66" s="61">
        <f ca="1">F114</f>
        <v>772.873024525304</v>
      </c>
      <c r="G66" s="61">
        <f ca="1">G114</f>
        <v>834.32431643449968</v>
      </c>
      <c r="H66" s="61">
        <f ca="1">H114</f>
        <v>900.27070094600992</v>
      </c>
      <c r="I66" s="61">
        <f ca="1">I114</f>
        <v>969.22760569932154</v>
      </c>
      <c r="J66" s="61">
        <f ca="1">J114</f>
        <v>1042.9731843938353</v>
      </c>
    </row>
    <row r="67" spans="2:10">
      <c r="B67" s="75" t="s">
        <v>51</v>
      </c>
      <c r="C67" s="78"/>
      <c r="D67" s="68">
        <f>1755.3+983.8</f>
        <v>2739.1</v>
      </c>
      <c r="E67" s="68">
        <f>1999.1+1171.2</f>
        <v>3170.3</v>
      </c>
      <c r="F67" s="61">
        <f ca="1">F122</f>
        <v>3310.6465246938064</v>
      </c>
      <c r="G67" s="61">
        <f ca="1">G122</f>
        <v>3648.3324702125751</v>
      </c>
      <c r="H67" s="61">
        <f ca="1">H122</f>
        <v>4020.462382174258</v>
      </c>
      <c r="I67" s="61">
        <f ca="1">I122</f>
        <v>4422.5086203916835</v>
      </c>
      <c r="J67" s="61">
        <f ca="1">J122</f>
        <v>4864.7594824308526</v>
      </c>
    </row>
    <row r="68" spans="2:10">
      <c r="B68" s="75" t="s">
        <v>52</v>
      </c>
      <c r="C68" s="78"/>
      <c r="D68" s="68">
        <v>0</v>
      </c>
      <c r="E68" s="68">
        <v>0</v>
      </c>
      <c r="F68" s="79">
        <f ca="1">F276</f>
        <v>0</v>
      </c>
      <c r="G68" s="79">
        <f ca="1">G276</f>
        <v>0</v>
      </c>
      <c r="H68" s="79">
        <f ca="1">H276</f>
        <v>0</v>
      </c>
      <c r="I68" s="79">
        <f ca="1">I276</f>
        <v>0</v>
      </c>
      <c r="J68" s="79">
        <f ca="1">J276</f>
        <v>0</v>
      </c>
    </row>
    <row r="69" spans="2:10">
      <c r="B69" s="75" t="s">
        <v>242</v>
      </c>
      <c r="C69" s="78"/>
      <c r="D69" s="68">
        <v>224.8</v>
      </c>
      <c r="E69" s="68">
        <v>246</v>
      </c>
      <c r="F69" s="79"/>
      <c r="G69" s="79"/>
      <c r="H69" s="79"/>
      <c r="I69" s="79"/>
      <c r="J69" s="79"/>
    </row>
    <row r="70" spans="2:10">
      <c r="B70" s="75" t="s">
        <v>53</v>
      </c>
      <c r="C70" s="73"/>
      <c r="D70" s="68">
        <f>2347.5</f>
        <v>2347.5</v>
      </c>
      <c r="E70" s="68">
        <f>3202.2+400</f>
        <v>3602.2</v>
      </c>
      <c r="F70" s="61">
        <f>F189</f>
        <v>3202.2</v>
      </c>
      <c r="G70" s="61">
        <f>G189</f>
        <v>3202.2</v>
      </c>
      <c r="H70" s="61">
        <f>H189</f>
        <v>2852.2</v>
      </c>
      <c r="I70" s="61">
        <f>I189</f>
        <v>2852.2</v>
      </c>
      <c r="J70" s="61">
        <f>J189</f>
        <v>2102.1999999999998</v>
      </c>
    </row>
    <row r="71" spans="2:10">
      <c r="B71" s="70" t="s">
        <v>54</v>
      </c>
      <c r="C71" s="73"/>
      <c r="D71" s="68">
        <v>600.9</v>
      </c>
      <c r="E71" s="68">
        <v>689.7</v>
      </c>
      <c r="F71" s="61">
        <f>F179</f>
        <v>689.7</v>
      </c>
      <c r="G71" s="61">
        <f>G179</f>
        <v>689.7</v>
      </c>
      <c r="H71" s="61">
        <f>H179</f>
        <v>689.7</v>
      </c>
      <c r="I71" s="61">
        <f>I179</f>
        <v>689.7</v>
      </c>
      <c r="J71" s="61">
        <f>J179</f>
        <v>689.7</v>
      </c>
    </row>
    <row r="72" spans="2:10">
      <c r="B72" s="72" t="s">
        <v>55</v>
      </c>
      <c r="C72" s="73"/>
      <c r="D72" s="80">
        <f>SUM(D66:D71)</f>
        <v>6596.5</v>
      </c>
      <c r="E72" s="80">
        <f>SUM(E66:E71)</f>
        <v>8438.7999999999993</v>
      </c>
      <c r="F72" s="80">
        <f t="shared" ref="F72:J72" ca="1" si="31">SUM(F66:F71)</f>
        <v>7975.4195492191102</v>
      </c>
      <c r="G72" s="80">
        <f ca="1">SUM(G66:G71)</f>
        <v>8374.5567866470756</v>
      </c>
      <c r="H72" s="80">
        <f t="shared" ca="1" si="31"/>
        <v>8462.6330831202686</v>
      </c>
      <c r="I72" s="80">
        <f t="shared" ca="1" si="31"/>
        <v>8933.6362260910064</v>
      </c>
      <c r="J72" s="80">
        <f t="shared" ca="1" si="31"/>
        <v>8699.6326668246875</v>
      </c>
    </row>
    <row r="73" spans="2:10">
      <c r="B73" s="72"/>
      <c r="C73" s="73"/>
      <c r="D73" s="80"/>
      <c r="E73" s="80"/>
    </row>
    <row r="74" spans="2:10">
      <c r="B74" s="75" t="s">
        <v>56</v>
      </c>
      <c r="C74" s="78"/>
      <c r="D74" s="68">
        <f>1.5+41.1</f>
        <v>42.6</v>
      </c>
      <c r="E74" s="68">
        <f>1.5+41.1</f>
        <v>42.6</v>
      </c>
      <c r="F74" s="61">
        <f ca="1">F205</f>
        <v>447.49862952275936</v>
      </c>
      <c r="G74" s="61">
        <f ca="1">G205</f>
        <v>874.02052885338367</v>
      </c>
      <c r="H74" s="61">
        <f ca="1">H205</f>
        <v>1333.7961271649499</v>
      </c>
      <c r="I74" s="61">
        <f ca="1">I205</f>
        <v>1813.2376300658116</v>
      </c>
      <c r="J74" s="61">
        <f ca="1">J205</f>
        <v>2322.03751910355</v>
      </c>
    </row>
    <row r="75" spans="2:10">
      <c r="B75" s="75" t="s">
        <v>57</v>
      </c>
      <c r="C75" s="78"/>
      <c r="D75" s="68"/>
      <c r="E75" s="68"/>
      <c r="F75" s="41">
        <f>F214</f>
        <v>-1715.85</v>
      </c>
      <c r="G75" s="41">
        <f>G214</f>
        <v>-3431.7</v>
      </c>
      <c r="H75" s="41">
        <f>H214</f>
        <v>-5147.5499999999993</v>
      </c>
      <c r="I75" s="41">
        <f>I214</f>
        <v>-6863.4</v>
      </c>
      <c r="J75" s="41">
        <f>J214</f>
        <v>-8579.25</v>
      </c>
    </row>
    <row r="76" spans="2:10">
      <c r="B76" s="75" t="s">
        <v>58</v>
      </c>
      <c r="C76" s="71"/>
      <c r="D76" s="68">
        <v>5974.8</v>
      </c>
      <c r="E76" s="68">
        <v>5949.8</v>
      </c>
      <c r="F76" s="61">
        <f ca="1">F226</f>
        <v>7904.9143446025482</v>
      </c>
      <c r="G76" s="61">
        <f ca="1">G226</f>
        <v>10146.057689940128</v>
      </c>
      <c r="H76" s="61">
        <f ca="1">H226</f>
        <v>12400.562222263929</v>
      </c>
      <c r="I76" s="61">
        <f ca="1">I226</f>
        <v>15206.190453840678</v>
      </c>
      <c r="J76" s="61">
        <f ca="1">J226</f>
        <v>18375.532693585043</v>
      </c>
    </row>
    <row r="77" spans="2:10">
      <c r="B77" s="75" t="s">
        <v>59</v>
      </c>
      <c r="C77" s="71"/>
      <c r="D77" s="68">
        <v>-199.4</v>
      </c>
      <c r="E77" s="68">
        <v>-108.4</v>
      </c>
      <c r="F77" s="61">
        <f>F235</f>
        <v>-108.4</v>
      </c>
      <c r="G77" s="61">
        <f>G235</f>
        <v>-108.4</v>
      </c>
      <c r="H77" s="61">
        <f>H235</f>
        <v>-108.4</v>
      </c>
      <c r="I77" s="61">
        <f>I235</f>
        <v>-108.4</v>
      </c>
      <c r="J77" s="61">
        <f>J235</f>
        <v>-108.4</v>
      </c>
    </row>
    <row r="78" spans="2:10">
      <c r="B78" s="72" t="s">
        <v>60</v>
      </c>
      <c r="C78" s="81"/>
      <c r="D78" s="82">
        <f>SUM(D74:D77)</f>
        <v>5818.0000000000009</v>
      </c>
      <c r="E78" s="82">
        <f>SUM(E74:E77)</f>
        <v>5884.0000000000009</v>
      </c>
      <c r="F78" s="82">
        <f t="shared" ref="F78:J78" ca="1" si="32">SUM(F74:F77)</f>
        <v>6528.1629741253082</v>
      </c>
      <c r="G78" s="82">
        <f t="shared" ca="1" si="32"/>
        <v>7479.9782187935116</v>
      </c>
      <c r="H78" s="82">
        <f t="shared" ca="1" si="32"/>
        <v>8478.4083494288807</v>
      </c>
      <c r="I78" s="82">
        <f t="shared" ca="1" si="32"/>
        <v>10047.628083906491</v>
      </c>
      <c r="J78" s="82">
        <f t="shared" ca="1" si="32"/>
        <v>12009.920212688592</v>
      </c>
    </row>
    <row r="79" spans="2:10">
      <c r="B79" s="72"/>
      <c r="C79" s="81"/>
      <c r="D79" s="82"/>
      <c r="E79" s="82"/>
      <c r="F79" s="82"/>
      <c r="G79" s="82"/>
      <c r="H79" s="82"/>
      <c r="I79" s="82"/>
      <c r="J79" s="82"/>
    </row>
    <row r="80" spans="2:10">
      <c r="B80" s="103" t="s">
        <v>243</v>
      </c>
      <c r="C80" s="83"/>
      <c r="D80" s="215">
        <v>1.8</v>
      </c>
      <c r="E80" s="215">
        <v>6.7</v>
      </c>
    </row>
    <row r="81" spans="1:10">
      <c r="B81" s="103"/>
      <c r="C81" s="83"/>
      <c r="D81" s="84"/>
      <c r="E81" s="84"/>
    </row>
    <row r="82" spans="1:10">
      <c r="B82" s="30" t="s">
        <v>61</v>
      </c>
      <c r="C82" s="85"/>
      <c r="D82" s="86">
        <f>ROUND(D64-D72-D78-D80,3)</f>
        <v>0</v>
      </c>
      <c r="E82" s="86">
        <f t="shared" ref="E82:J82" si="33">ROUND(E64-E72-E78-E80,3)</f>
        <v>0</v>
      </c>
      <c r="F82" s="86">
        <f t="shared" ca="1" si="33"/>
        <v>-101.8</v>
      </c>
      <c r="G82" s="86">
        <f t="shared" ca="1" si="33"/>
        <v>-101.8</v>
      </c>
      <c r="H82" s="86">
        <f t="shared" ca="1" si="33"/>
        <v>-101.8</v>
      </c>
      <c r="I82" s="86">
        <f t="shared" ca="1" si="33"/>
        <v>-101.8</v>
      </c>
      <c r="J82" s="86">
        <f t="shared" ca="1" si="33"/>
        <v>-101.8</v>
      </c>
    </row>
    <row r="83" spans="1:10">
      <c r="C83" s="14"/>
      <c r="D83" s="14"/>
      <c r="E83" s="14"/>
    </row>
    <row r="84" spans="1:10">
      <c r="B84" s="44" t="s">
        <v>62</v>
      </c>
      <c r="C84" s="14"/>
      <c r="D84" s="14"/>
      <c r="E84" s="14"/>
    </row>
    <row r="85" spans="1:10">
      <c r="B85" s="17" t="s">
        <v>63</v>
      </c>
      <c r="C85" s="14"/>
      <c r="D85" s="61">
        <f>D70+D68-D55</f>
        <v>423.60000000000014</v>
      </c>
      <c r="E85" s="61">
        <f t="shared" ref="E85:J85" si="34">E70+E68-E55</f>
        <v>197.29999999999927</v>
      </c>
      <c r="F85" s="61">
        <f t="shared" ca="1" si="34"/>
        <v>12.604222244433458</v>
      </c>
      <c r="G85" s="61">
        <f t="shared" ca="1" si="34"/>
        <v>-610.74870217812531</v>
      </c>
      <c r="H85" s="61">
        <f t="shared" ca="1" si="34"/>
        <v>-1453.4786696801648</v>
      </c>
      <c r="I85" s="61">
        <f t="shared" ca="1" si="34"/>
        <v>-3070.5837196953107</v>
      </c>
      <c r="J85" s="61">
        <f t="shared" ca="1" si="34"/>
        <v>-5161.0804234677935</v>
      </c>
    </row>
    <row r="86" spans="1:10">
      <c r="B86" s="17" t="s">
        <v>64</v>
      </c>
      <c r="C86" s="14"/>
      <c r="D86" s="87">
        <f t="shared" ref="D86:J86" si="35">D16/D64</f>
        <v>1.5433502734308937</v>
      </c>
      <c r="E86" s="87">
        <f t="shared" si="35"/>
        <v>1.4875536480686695</v>
      </c>
      <c r="F86" s="87">
        <f t="shared" ca="1" si="35"/>
        <v>1.5762933139144761</v>
      </c>
      <c r="G86" s="87">
        <f t="shared" ca="1" si="35"/>
        <v>1.5881038885257035</v>
      </c>
      <c r="H86" s="87">
        <f t="shared" ca="1" si="35"/>
        <v>1.6371706384868216</v>
      </c>
      <c r="I86" s="87">
        <f t="shared" ca="1" si="35"/>
        <v>1.6062734787592079</v>
      </c>
      <c r="J86" s="87">
        <f t="shared" ca="1" si="35"/>
        <v>1.6187180271573378</v>
      </c>
    </row>
    <row r="87" spans="1:10">
      <c r="B87" s="17" t="s">
        <v>65</v>
      </c>
      <c r="C87" s="14"/>
      <c r="D87" s="14">
        <f t="shared" ref="D87:J87" si="36">D28/D16</f>
        <v>0.14399327860896435</v>
      </c>
      <c r="E87" s="14">
        <f t="shared" si="36"/>
        <v>0.1322440056483658</v>
      </c>
      <c r="F87" s="14">
        <f t="shared" ca="1" si="36"/>
        <v>0.13839888792280061</v>
      </c>
      <c r="G87" s="14">
        <f t="shared" ca="1" si="36"/>
        <v>0.14396220139804203</v>
      </c>
      <c r="H87" s="14">
        <f t="shared" ca="1" si="36"/>
        <v>0.13141603567884491</v>
      </c>
      <c r="I87" s="14">
        <f t="shared" ca="1" si="36"/>
        <v>0.14867388390721972</v>
      </c>
      <c r="J87" s="14">
        <f t="shared" ca="1" si="36"/>
        <v>0.1526796018224964</v>
      </c>
    </row>
    <row r="88" spans="1:10">
      <c r="B88" s="17" t="s">
        <v>66</v>
      </c>
      <c r="C88" s="14"/>
      <c r="D88" s="14">
        <f t="shared" ref="D88:J88" si="37">D28/D64</f>
        <v>0.22223206591335595</v>
      </c>
      <c r="E88" s="14">
        <f t="shared" si="37"/>
        <v>0.19672005303744025</v>
      </c>
      <c r="F88" s="14">
        <f t="shared" ca="1" si="37"/>
        <v>0.21815724168590953</v>
      </c>
      <c r="G88" s="14">
        <f t="shared" ca="1" si="37"/>
        <v>0.22862693184095104</v>
      </c>
      <c r="H88" s="14">
        <f t="shared" ca="1" si="37"/>
        <v>0.21515047503974147</v>
      </c>
      <c r="I88" s="14">
        <f t="shared" ca="1" si="37"/>
        <v>0.23881091670429244</v>
      </c>
      <c r="J88" s="14">
        <f t="shared" ca="1" si="37"/>
        <v>0.24714522384927926</v>
      </c>
    </row>
    <row r="89" spans="1:10">
      <c r="B89" s="17" t="s">
        <v>67</v>
      </c>
      <c r="C89" s="14"/>
      <c r="D89" s="14">
        <f t="shared" ref="D89:J89" si="38">D28/D78</f>
        <v>0.47426950842213833</v>
      </c>
      <c r="E89" s="14">
        <f t="shared" si="38"/>
        <v>0.4790788579197825</v>
      </c>
      <c r="F89" s="14">
        <f t="shared" ca="1" si="38"/>
        <v>0.48127676393899765</v>
      </c>
      <c r="G89" s="14">
        <f t="shared" ca="1" si="38"/>
        <v>0.48148528873261792</v>
      </c>
      <c r="H89" s="14">
        <f t="shared" ca="1" si="38"/>
        <v>0.42731732705644154</v>
      </c>
      <c r="I89" s="14">
        <f t="shared" ca="1" si="38"/>
        <v>0.44872502653362345</v>
      </c>
      <c r="J89" s="14">
        <f t="shared" ca="1" si="38"/>
        <v>0.42407506541355955</v>
      </c>
    </row>
    <row r="91" spans="1:10">
      <c r="B91" s="22" t="s">
        <v>68</v>
      </c>
      <c r="C91" s="29"/>
      <c r="D91" s="29"/>
      <c r="E91" s="29"/>
      <c r="F91" s="24"/>
      <c r="G91" s="24"/>
      <c r="H91" s="24"/>
      <c r="I91" s="24"/>
      <c r="J91" s="24"/>
    </row>
    <row r="92" spans="1:10">
      <c r="A92" s="17" t="s">
        <v>195</v>
      </c>
      <c r="B92" s="64" t="str">
        <f>B13</f>
        <v xml:space="preserve">Fiscal year  </v>
      </c>
      <c r="C92" s="57"/>
      <c r="D92" s="57">
        <f t="shared" ref="D92:J93" si="39">D13</f>
        <v>2015</v>
      </c>
      <c r="E92" s="57">
        <f t="shared" si="39"/>
        <v>2016</v>
      </c>
      <c r="F92" s="58">
        <f t="shared" si="39"/>
        <v>2017</v>
      </c>
      <c r="G92" s="58">
        <f t="shared" si="39"/>
        <v>2018</v>
      </c>
      <c r="H92" s="58">
        <f t="shared" si="39"/>
        <v>2019</v>
      </c>
      <c r="I92" s="58">
        <f t="shared" si="39"/>
        <v>2020</v>
      </c>
      <c r="J92" s="58">
        <f t="shared" si="39"/>
        <v>2021</v>
      </c>
    </row>
    <row r="93" spans="1:10">
      <c r="B93" s="24" t="str">
        <f>B14</f>
        <v>Fiscal year end date</v>
      </c>
      <c r="C93" s="59"/>
      <c r="D93" s="59">
        <f t="shared" si="39"/>
        <v>42274</v>
      </c>
      <c r="E93" s="59">
        <f t="shared" si="39"/>
        <v>42645</v>
      </c>
      <c r="F93" s="59">
        <f t="shared" si="39"/>
        <v>43039</v>
      </c>
      <c r="G93" s="59">
        <f t="shared" si="39"/>
        <v>43404</v>
      </c>
      <c r="H93" s="59">
        <f t="shared" si="39"/>
        <v>43769</v>
      </c>
      <c r="I93" s="59">
        <f t="shared" si="39"/>
        <v>44135</v>
      </c>
      <c r="J93" s="59">
        <f t="shared" si="39"/>
        <v>44500</v>
      </c>
    </row>
    <row r="94" spans="1:10">
      <c r="B94" s="20"/>
      <c r="C94" s="88"/>
      <c r="D94" s="89"/>
      <c r="E94" s="89"/>
    </row>
    <row r="95" spans="1:10">
      <c r="B95" s="35" t="s">
        <v>42</v>
      </c>
      <c r="C95" s="35"/>
      <c r="D95" s="35"/>
      <c r="E95" s="35"/>
    </row>
    <row r="96" spans="1:10">
      <c r="B96" s="47" t="s">
        <v>69</v>
      </c>
      <c r="C96" s="20"/>
      <c r="D96" s="20"/>
      <c r="E96" s="20"/>
      <c r="F96" s="61">
        <f>E98</f>
        <v>768.8</v>
      </c>
      <c r="G96" s="61">
        <f ca="1">F98</f>
        <v>835.27407126605317</v>
      </c>
      <c r="H96" s="61">
        <f ca="1">G98</f>
        <v>920.47202653519059</v>
      </c>
      <c r="I96" s="61">
        <f ca="1">H98</f>
        <v>1014.3601732417802</v>
      </c>
      <c r="J96" s="61">
        <f ca="1">I98</f>
        <v>1115.7961905659583</v>
      </c>
    </row>
    <row r="97" spans="2:10">
      <c r="B97" s="90" t="s">
        <v>70</v>
      </c>
      <c r="C97" s="20"/>
      <c r="D97" s="20"/>
      <c r="E97" s="20"/>
      <c r="F97" s="61">
        <f ca="1">F98-F96</f>
        <v>66.474071266053215</v>
      </c>
      <c r="G97" s="61">
        <f ca="1">G98-G96</f>
        <v>85.197955269137424</v>
      </c>
      <c r="H97" s="61">
        <f ca="1">H98-H96</f>
        <v>93.888146706589623</v>
      </c>
      <c r="I97" s="61">
        <f ca="1">I98-I96</f>
        <v>101.43601732417812</v>
      </c>
      <c r="J97" s="61">
        <f ca="1">J98-J96</f>
        <v>111.5796190565959</v>
      </c>
    </row>
    <row r="98" spans="2:10">
      <c r="B98" s="47" t="s">
        <v>71</v>
      </c>
      <c r="C98" s="91"/>
      <c r="D98" s="61">
        <f>D56</f>
        <v>719</v>
      </c>
      <c r="E98" s="61">
        <f>E56</f>
        <v>768.8</v>
      </c>
      <c r="F98" s="61">
        <f ca="1">IF(F100,F100*F16,E98*(1+F40))</f>
        <v>835.27407126605317</v>
      </c>
      <c r="G98" s="61">
        <f ca="1">IF(G100,G100*G16,F98*(1+G40))</f>
        <v>920.47202653519059</v>
      </c>
      <c r="H98" s="61">
        <f ca="1">IF(H100,H100*H16,G98*(1+H40))</f>
        <v>1014.3601732417802</v>
      </c>
      <c r="I98" s="61">
        <f ca="1">IF(I100,I100*I16,H98*(1+I40))</f>
        <v>1115.7961905659583</v>
      </c>
      <c r="J98" s="61">
        <f ca="1">IF(J100,J100*J16,I98*(1+J40))</f>
        <v>1227.3758096225542</v>
      </c>
    </row>
    <row r="99" spans="2:10">
      <c r="B99" s="20"/>
      <c r="C99" s="92"/>
    </row>
    <row r="100" spans="2:10">
      <c r="B100" s="47" t="s">
        <v>72</v>
      </c>
      <c r="C100" s="93"/>
      <c r="D100" s="14">
        <f>D98/D16</f>
        <v>3.7520808654312801E-2</v>
      </c>
      <c r="E100" s="14">
        <f>E98/E16</f>
        <v>3.6066973479890595E-2</v>
      </c>
      <c r="F100" s="62">
        <f>AVERAGE(D100:E100)</f>
        <v>3.6793891067101694E-2</v>
      </c>
      <c r="G100" s="62">
        <f>F100</f>
        <v>3.6793891067101694E-2</v>
      </c>
      <c r="H100" s="62">
        <f t="shared" ref="H100:J100" si="40">G100</f>
        <v>3.6793891067101694E-2</v>
      </c>
      <c r="I100" s="62">
        <f t="shared" si="40"/>
        <v>3.6793891067101694E-2</v>
      </c>
      <c r="J100" s="62">
        <f t="shared" si="40"/>
        <v>3.6793891067101694E-2</v>
      </c>
    </row>
    <row r="101" spans="2:10">
      <c r="B101" s="51" t="s">
        <v>73</v>
      </c>
      <c r="C101" s="93"/>
      <c r="D101" s="94">
        <f t="shared" ref="D101:J101" si="41">D100*365</f>
        <v>13.695095158824172</v>
      </c>
      <c r="E101" s="94">
        <f t="shared" si="41"/>
        <v>13.164445320160066</v>
      </c>
      <c r="F101" s="95">
        <f t="shared" si="41"/>
        <v>13.429770239492118</v>
      </c>
      <c r="G101" s="95">
        <f t="shared" si="41"/>
        <v>13.429770239492118</v>
      </c>
      <c r="H101" s="95">
        <f t="shared" si="41"/>
        <v>13.429770239492118</v>
      </c>
      <c r="I101" s="95">
        <f t="shared" si="41"/>
        <v>13.429770239492118</v>
      </c>
      <c r="J101" s="95">
        <f t="shared" si="41"/>
        <v>13.429770239492118</v>
      </c>
    </row>
    <row r="102" spans="2:10">
      <c r="B102" s="20"/>
      <c r="C102" s="93"/>
    </row>
    <row r="103" spans="2:10">
      <c r="B103" s="35" t="s">
        <v>74</v>
      </c>
      <c r="C103" s="35"/>
    </row>
    <row r="104" spans="2:10">
      <c r="B104" s="47" t="s">
        <v>69</v>
      </c>
      <c r="C104" s="20"/>
      <c r="F104" s="61">
        <f>E106</f>
        <v>1378.5</v>
      </c>
      <c r="G104" s="61">
        <f ca="1">F106</f>
        <v>1467.0872364470433</v>
      </c>
      <c r="H104" s="61">
        <f ca="1">G106</f>
        <v>1583.7356420225065</v>
      </c>
      <c r="I104" s="61">
        <f ca="1">H106</f>
        <v>1708.9167467273687</v>
      </c>
      <c r="J104" s="61">
        <f ca="1">I106</f>
        <v>1839.8124975405292</v>
      </c>
    </row>
    <row r="105" spans="2:10">
      <c r="B105" s="90" t="s">
        <v>70</v>
      </c>
      <c r="C105" s="20"/>
      <c r="F105" s="61">
        <f ca="1">F106-F104</f>
        <v>88.587236447043324</v>
      </c>
      <c r="G105" s="61">
        <f ca="1">G106-G104</f>
        <v>116.64840557546313</v>
      </c>
      <c r="H105" s="61">
        <f ca="1">H106-H104</f>
        <v>125.18110470486226</v>
      </c>
      <c r="I105" s="61">
        <f ca="1">I106-I104</f>
        <v>130.89575081316048</v>
      </c>
      <c r="J105" s="61">
        <f ca="1">J106-J104</f>
        <v>139.98573350851871</v>
      </c>
    </row>
    <row r="106" spans="2:10">
      <c r="B106" s="47" t="s">
        <v>71</v>
      </c>
      <c r="C106" s="91"/>
      <c r="D106" s="61">
        <f>D57</f>
        <v>1306.4000000000001</v>
      </c>
      <c r="E106" s="61">
        <f>E57</f>
        <v>1378.5</v>
      </c>
      <c r="F106" s="61">
        <f ca="1">IF(F108,-(F108*F17),E106*F17/E17)</f>
        <v>1467.0872364470433</v>
      </c>
      <c r="G106" s="61">
        <f ca="1">IF(G108,-(G108*G17),F106*G17/F17)</f>
        <v>1583.7356420225065</v>
      </c>
      <c r="H106" s="61">
        <f ca="1">IF(H108,-(H108*H17),G106*H17/G17)</f>
        <v>1708.9167467273687</v>
      </c>
      <c r="I106" s="61">
        <f ca="1">IF(I108,-(I108*I17),H106*I17/H17)</f>
        <v>1839.8124975405292</v>
      </c>
      <c r="J106" s="61">
        <f ca="1">IF(J108,-(J108*J17),I106*J17/I17)</f>
        <v>1979.7982310490479</v>
      </c>
    </row>
    <row r="107" spans="2:10">
      <c r="B107" s="20"/>
      <c r="C107" s="92"/>
    </row>
    <row r="108" spans="2:10">
      <c r="B108" s="47" t="s">
        <v>75</v>
      </c>
      <c r="C108" s="93"/>
      <c r="D108" s="14">
        <f>-(D106/D17)</f>
        <v>0.16775601926163725</v>
      </c>
      <c r="E108" s="14">
        <f>-(E106/E17)</f>
        <v>0.16196496340073549</v>
      </c>
      <c r="F108" s="62">
        <f>AVERAGE(D108:E108)</f>
        <v>0.16486049133118635</v>
      </c>
      <c r="G108" s="62">
        <f>F108</f>
        <v>0.16486049133118635</v>
      </c>
      <c r="H108" s="62">
        <f t="shared" ref="H108:J108" si="42">G108</f>
        <v>0.16486049133118635</v>
      </c>
      <c r="I108" s="62">
        <f t="shared" si="42"/>
        <v>0.16486049133118635</v>
      </c>
      <c r="J108" s="62">
        <f t="shared" si="42"/>
        <v>0.16486049133118635</v>
      </c>
    </row>
    <row r="109" spans="2:10">
      <c r="B109" s="47" t="s">
        <v>76</v>
      </c>
      <c r="C109" s="93"/>
      <c r="D109" s="12">
        <f t="shared" ref="D109:J109" si="43">-(D17/D106)</f>
        <v>5.9610379669320261</v>
      </c>
      <c r="E109" s="12">
        <f t="shared" si="43"/>
        <v>6.1741748277112807</v>
      </c>
      <c r="F109" s="13">
        <f t="shared" ca="1" si="43"/>
        <v>6.0657346822478617</v>
      </c>
      <c r="G109" s="13">
        <f t="shared" ca="1" si="43"/>
        <v>6.0657346822478617</v>
      </c>
      <c r="H109" s="13">
        <f t="shared" ca="1" si="43"/>
        <v>6.0657346822478617</v>
      </c>
      <c r="I109" s="13">
        <f t="shared" ca="1" si="43"/>
        <v>6.0657346822478617</v>
      </c>
      <c r="J109" s="13">
        <f t="shared" ca="1" si="43"/>
        <v>6.0657346822478617</v>
      </c>
    </row>
    <row r="110" spans="2:10">
      <c r="B110" s="20"/>
      <c r="C110" s="93"/>
    </row>
    <row r="111" spans="2:10">
      <c r="B111" s="35" t="s">
        <v>50</v>
      </c>
      <c r="C111" s="35"/>
    </row>
    <row r="112" spans="2:10">
      <c r="B112" s="47" t="s">
        <v>69</v>
      </c>
      <c r="C112" s="20"/>
      <c r="F112" s="61">
        <f>E114</f>
        <v>730.6</v>
      </c>
      <c r="G112" s="61">
        <f ca="1">F114</f>
        <v>772.873024525304</v>
      </c>
      <c r="H112" s="61">
        <f ca="1">G114</f>
        <v>834.32431643449968</v>
      </c>
      <c r="I112" s="61">
        <f ca="1">H114</f>
        <v>900.27070094600992</v>
      </c>
      <c r="J112" s="61">
        <f ca="1">I114</f>
        <v>969.22760569932154</v>
      </c>
    </row>
    <row r="113" spans="1:10">
      <c r="B113" s="90" t="s">
        <v>70</v>
      </c>
      <c r="C113" s="20"/>
      <c r="F113" s="61">
        <f ca="1">F114-F112</f>
        <v>42.273024525303981</v>
      </c>
      <c r="G113" s="61">
        <f ca="1">G114-G112</f>
        <v>61.451291909195675</v>
      </c>
      <c r="H113" s="61">
        <f ca="1">H114-H112</f>
        <v>65.946384511510246</v>
      </c>
      <c r="I113" s="61">
        <f ca="1">I114-I112</f>
        <v>68.956904753311619</v>
      </c>
      <c r="J113" s="61">
        <f ca="1">J114-J112</f>
        <v>73.745578694513711</v>
      </c>
    </row>
    <row r="114" spans="1:10">
      <c r="B114" s="47" t="s">
        <v>71</v>
      </c>
      <c r="C114" s="91"/>
      <c r="D114" s="61">
        <f>D66</f>
        <v>684.2</v>
      </c>
      <c r="E114" s="61">
        <f>E66</f>
        <v>730.6</v>
      </c>
      <c r="F114" s="61">
        <f ca="1">IF(F116,-(F116*F17),E114*F17/E17)</f>
        <v>772.873024525304</v>
      </c>
      <c r="G114" s="61">
        <f ca="1">IF(G116,-(G116*G17),F114*G17/F17)</f>
        <v>834.32431643449968</v>
      </c>
      <c r="H114" s="61">
        <f ca="1">IF(H116,-(H116*H17),G114*H17/G17)</f>
        <v>900.27070094600992</v>
      </c>
      <c r="I114" s="61">
        <f ca="1">IF(I116,-(I116*I17),H114*I17/H17)</f>
        <v>969.22760569932154</v>
      </c>
      <c r="J114" s="61">
        <f ca="1">IF(J116,-(J116*J17),I114*J17/I17)</f>
        <v>1042.9731843938353</v>
      </c>
    </row>
    <row r="115" spans="1:10">
      <c r="B115" s="20"/>
      <c r="C115" s="93"/>
    </row>
    <row r="116" spans="1:10">
      <c r="B116" s="47" t="s">
        <v>77</v>
      </c>
      <c r="C116" s="93"/>
      <c r="D116" s="14">
        <f>-(D114/D17)</f>
        <v>8.7858747993579456E-2</v>
      </c>
      <c r="E116" s="14">
        <f>-(E114/E17)</f>
        <v>8.5840843134259964E-2</v>
      </c>
      <c r="F116" s="62">
        <f>AVERAGE(D116:E116)</f>
        <v>8.684979556391971E-2</v>
      </c>
      <c r="G116" s="62">
        <f>F116</f>
        <v>8.684979556391971E-2</v>
      </c>
      <c r="H116" s="62">
        <f t="shared" ref="H116:J116" si="44">G116</f>
        <v>8.684979556391971E-2</v>
      </c>
      <c r="I116" s="62">
        <f t="shared" si="44"/>
        <v>8.684979556391971E-2</v>
      </c>
      <c r="J116" s="62">
        <f t="shared" si="44"/>
        <v>8.684979556391971E-2</v>
      </c>
    </row>
    <row r="117" spans="1:10">
      <c r="B117" s="47" t="s">
        <v>78</v>
      </c>
      <c r="C117" s="93"/>
      <c r="D117" s="94">
        <f t="shared" ref="D117:J117" si="45">D116*365</f>
        <v>32.068443017656499</v>
      </c>
      <c r="E117" s="94">
        <f t="shared" si="45"/>
        <v>31.331907744004887</v>
      </c>
      <c r="F117" s="15">
        <f t="shared" si="45"/>
        <v>31.700175380830693</v>
      </c>
      <c r="G117" s="15">
        <f t="shared" si="45"/>
        <v>31.700175380830693</v>
      </c>
      <c r="H117" s="15">
        <f t="shared" si="45"/>
        <v>31.700175380830693</v>
      </c>
      <c r="I117" s="15">
        <f t="shared" si="45"/>
        <v>31.700175380830693</v>
      </c>
      <c r="J117" s="15">
        <f t="shared" si="45"/>
        <v>31.700175380830693</v>
      </c>
    </row>
    <row r="118" spans="1:10">
      <c r="B118" s="20"/>
      <c r="C118" s="93"/>
    </row>
    <row r="119" spans="1:10">
      <c r="B119" s="35" t="s">
        <v>79</v>
      </c>
      <c r="C119" s="93"/>
    </row>
    <row r="120" spans="1:10">
      <c r="B120" s="47" t="s">
        <v>69</v>
      </c>
      <c r="C120" s="93"/>
      <c r="F120" s="61">
        <f>E122</f>
        <v>3170.3</v>
      </c>
      <c r="G120" s="61">
        <f ca="1">F122</f>
        <v>3310.6465246938064</v>
      </c>
      <c r="H120" s="61">
        <f ca="1">G122</f>
        <v>3648.3324702125751</v>
      </c>
      <c r="I120" s="61">
        <f ca="1">H122</f>
        <v>4020.462382174258</v>
      </c>
      <c r="J120" s="61">
        <f ca="1">I122</f>
        <v>4422.5086203916835</v>
      </c>
    </row>
    <row r="121" spans="1:10">
      <c r="B121" s="90" t="s">
        <v>70</v>
      </c>
      <c r="C121" s="93"/>
      <c r="F121" s="61">
        <f ca="1">F122-F120</f>
        <v>140.34652469380626</v>
      </c>
      <c r="G121" s="61">
        <f ca="1">G122-G120</f>
        <v>337.68594551876868</v>
      </c>
      <c r="H121" s="61">
        <f ca="1">H122-H120</f>
        <v>372.12991196168286</v>
      </c>
      <c r="I121" s="61">
        <f ca="1">I122-I120</f>
        <v>402.04623821742553</v>
      </c>
      <c r="J121" s="61">
        <f ca="1">J122-J120</f>
        <v>442.25086203916908</v>
      </c>
    </row>
    <row r="122" spans="1:10">
      <c r="B122" s="47" t="s">
        <v>71</v>
      </c>
      <c r="C122" s="93"/>
      <c r="D122" s="61">
        <f>D67</f>
        <v>2739.1</v>
      </c>
      <c r="E122" s="61">
        <f>E67</f>
        <v>3170.3</v>
      </c>
      <c r="F122" s="61">
        <f ca="1">IF(F124,F124*F16,E122*(1+F40))</f>
        <v>3310.6465246938064</v>
      </c>
      <c r="G122" s="61">
        <f ca="1">IF(G124,G124*G16,F122*(1+G40))</f>
        <v>3648.3324702125751</v>
      </c>
      <c r="H122" s="61">
        <f ca="1">IF(H124,H124*H16,G122*(1+H40))</f>
        <v>4020.462382174258</v>
      </c>
      <c r="I122" s="61">
        <f ca="1">IF(I124,I124*I16,H122*(1+I40))</f>
        <v>4422.5086203916835</v>
      </c>
      <c r="J122" s="61">
        <f ca="1">IF(J124,J124*J16,I122*(1+J40))</f>
        <v>4864.7594824308526</v>
      </c>
    </row>
    <row r="123" spans="1:10">
      <c r="B123" s="20"/>
      <c r="C123" s="93"/>
    </row>
    <row r="124" spans="1:10">
      <c r="B124" s="47" t="s">
        <v>80</v>
      </c>
      <c r="C124" s="93"/>
      <c r="D124" s="14">
        <f>D122/D16</f>
        <v>0.14293914740615882</v>
      </c>
      <c r="E124" s="16">
        <f>E122/E16</f>
        <v>0.14872935226755615</v>
      </c>
      <c r="F124" s="62">
        <f>AVERAGE(D124:E124)</f>
        <v>0.1458342498368575</v>
      </c>
      <c r="G124" s="62">
        <f>F124</f>
        <v>0.1458342498368575</v>
      </c>
      <c r="H124" s="62">
        <f t="shared" ref="H124:J124" si="46">G124</f>
        <v>0.1458342498368575</v>
      </c>
      <c r="I124" s="62">
        <f t="shared" si="46"/>
        <v>0.1458342498368575</v>
      </c>
      <c r="J124" s="62">
        <f t="shared" si="46"/>
        <v>0.1458342498368575</v>
      </c>
    </row>
    <row r="126" spans="1:10">
      <c r="B126" s="22" t="s">
        <v>81</v>
      </c>
      <c r="C126" s="24"/>
      <c r="D126" s="24"/>
      <c r="E126" s="24"/>
      <c r="F126" s="24"/>
      <c r="G126" s="24"/>
      <c r="H126" s="24"/>
      <c r="I126" s="24"/>
      <c r="J126" s="24"/>
    </row>
    <row r="127" spans="1:10">
      <c r="A127" s="17" t="s">
        <v>195</v>
      </c>
      <c r="B127" s="64" t="str">
        <f t="shared" ref="B127:J127" si="47">B13</f>
        <v xml:space="preserve">Fiscal year  </v>
      </c>
      <c r="C127" s="57">
        <f t="shared" si="47"/>
        <v>2014</v>
      </c>
      <c r="D127" s="57">
        <f t="shared" si="47"/>
        <v>2015</v>
      </c>
      <c r="E127" s="57">
        <f t="shared" si="47"/>
        <v>2016</v>
      </c>
      <c r="F127" s="58">
        <f t="shared" si="47"/>
        <v>2017</v>
      </c>
      <c r="G127" s="58">
        <f t="shared" si="47"/>
        <v>2018</v>
      </c>
      <c r="H127" s="58">
        <f t="shared" si="47"/>
        <v>2019</v>
      </c>
      <c r="I127" s="58">
        <f t="shared" si="47"/>
        <v>2020</v>
      </c>
      <c r="J127" s="58">
        <f t="shared" si="47"/>
        <v>2021</v>
      </c>
    </row>
    <row r="128" spans="1:10">
      <c r="B128" s="24" t="str">
        <f t="shared" ref="B128:J128" si="48">B14</f>
        <v>Fiscal year end date</v>
      </c>
      <c r="C128" s="59">
        <f t="shared" si="48"/>
        <v>41910</v>
      </c>
      <c r="D128" s="59">
        <f t="shared" si="48"/>
        <v>42274</v>
      </c>
      <c r="E128" s="59">
        <f t="shared" si="48"/>
        <v>42645</v>
      </c>
      <c r="F128" s="59">
        <f t="shared" si="48"/>
        <v>43039</v>
      </c>
      <c r="G128" s="59">
        <f t="shared" si="48"/>
        <v>43404</v>
      </c>
      <c r="H128" s="59">
        <f t="shared" si="48"/>
        <v>43769</v>
      </c>
      <c r="I128" s="59">
        <f t="shared" si="48"/>
        <v>44135</v>
      </c>
      <c r="J128" s="59">
        <f t="shared" si="48"/>
        <v>44500</v>
      </c>
    </row>
    <row r="129" spans="2:10">
      <c r="B129" s="20"/>
    </row>
    <row r="130" spans="2:10">
      <c r="B130" s="47" t="s">
        <v>69</v>
      </c>
      <c r="F130" s="61">
        <f>E133</f>
        <v>2235.8999999999996</v>
      </c>
      <c r="G130" s="61">
        <f>F133</f>
        <v>2173.8999999999996</v>
      </c>
      <c r="H130" s="61">
        <f>G133</f>
        <v>2113.2999999999997</v>
      </c>
      <c r="I130" s="61">
        <f>H133</f>
        <v>2053.7999999999997</v>
      </c>
      <c r="J130" s="61">
        <f>I133</f>
        <v>1994.3999999999996</v>
      </c>
    </row>
    <row r="131" spans="2:10">
      <c r="B131" s="90" t="s">
        <v>82</v>
      </c>
      <c r="F131" s="61">
        <f>F135</f>
        <v>0</v>
      </c>
      <c r="G131" s="61">
        <f t="shared" ref="G131:J132" si="49">G135</f>
        <v>0</v>
      </c>
      <c r="H131" s="61">
        <f t="shared" si="49"/>
        <v>0</v>
      </c>
      <c r="I131" s="61">
        <f t="shared" si="49"/>
        <v>0</v>
      </c>
      <c r="J131" s="61">
        <f t="shared" si="49"/>
        <v>0</v>
      </c>
    </row>
    <row r="132" spans="2:10">
      <c r="B132" s="90" t="s">
        <v>83</v>
      </c>
      <c r="D132" s="61"/>
      <c r="E132" s="61"/>
      <c r="F132" s="61">
        <f>F136</f>
        <v>-62</v>
      </c>
      <c r="G132" s="61">
        <f t="shared" si="49"/>
        <v>-60.6</v>
      </c>
      <c r="H132" s="61">
        <f t="shared" si="49"/>
        <v>-59.5</v>
      </c>
      <c r="I132" s="61">
        <f t="shared" si="49"/>
        <v>-59.4</v>
      </c>
      <c r="J132" s="61">
        <f t="shared" si="49"/>
        <v>-33.9</v>
      </c>
    </row>
    <row r="133" spans="2:10">
      <c r="B133" s="47" t="s">
        <v>71</v>
      </c>
      <c r="D133" s="61">
        <f>D61</f>
        <v>2095.8000000000002</v>
      </c>
      <c r="E133" s="61">
        <f>E61</f>
        <v>2235.8999999999996</v>
      </c>
      <c r="F133" s="61">
        <f>SUM(F130:F132)</f>
        <v>2173.8999999999996</v>
      </c>
      <c r="G133" s="61">
        <f>SUM(G130:G132)</f>
        <v>2113.2999999999997</v>
      </c>
      <c r="H133" s="61">
        <f>SUM(H130:H132)</f>
        <v>2053.7999999999997</v>
      </c>
      <c r="I133" s="61">
        <f>SUM(I130:I132)</f>
        <v>1994.3999999999996</v>
      </c>
      <c r="J133" s="61">
        <f>SUM(J130:J132)</f>
        <v>1960.4999999999995</v>
      </c>
    </row>
    <row r="134" spans="2:10">
      <c r="B134" s="20"/>
      <c r="E134" s="61"/>
    </row>
    <row r="135" spans="2:10">
      <c r="B135" s="51" t="s">
        <v>84</v>
      </c>
      <c r="C135" s="96"/>
      <c r="D135" s="96"/>
      <c r="E135" s="96"/>
      <c r="F135" s="96">
        <v>0</v>
      </c>
      <c r="G135" s="96">
        <v>0</v>
      </c>
      <c r="H135" s="96">
        <v>0</v>
      </c>
      <c r="I135" s="96">
        <v>0</v>
      </c>
      <c r="J135" s="96">
        <v>0</v>
      </c>
    </row>
    <row r="136" spans="2:10">
      <c r="B136" s="51" t="s">
        <v>85</v>
      </c>
      <c r="C136" s="96">
        <v>-8.6999999999999993</v>
      </c>
      <c r="D136" s="96">
        <v>-50</v>
      </c>
      <c r="E136" s="96">
        <f>-57.3</f>
        <v>-57.3</v>
      </c>
      <c r="F136" s="96">
        <v>-62</v>
      </c>
      <c r="G136" s="96">
        <v>-60.6</v>
      </c>
      <c r="H136" s="96">
        <v>-59.5</v>
      </c>
      <c r="I136" s="96">
        <v>-59.4</v>
      </c>
      <c r="J136" s="96">
        <v>-33.9</v>
      </c>
    </row>
    <row r="137" spans="2:10">
      <c r="B137" s="20"/>
    </row>
    <row r="138" spans="2:10">
      <c r="B138" s="22" t="s">
        <v>86</v>
      </c>
      <c r="C138" s="24"/>
      <c r="D138" s="24"/>
      <c r="E138" s="24"/>
      <c r="F138" s="24"/>
      <c r="G138" s="24"/>
      <c r="H138" s="24"/>
      <c r="I138" s="24"/>
      <c r="J138" s="24"/>
    </row>
    <row r="139" spans="2:10">
      <c r="B139" s="64" t="str">
        <f t="shared" ref="B139:J139" si="50">B13</f>
        <v xml:space="preserve">Fiscal year  </v>
      </c>
      <c r="C139" s="57">
        <f t="shared" si="50"/>
        <v>2014</v>
      </c>
      <c r="D139" s="57">
        <f t="shared" si="50"/>
        <v>2015</v>
      </c>
      <c r="E139" s="57">
        <f t="shared" si="50"/>
        <v>2016</v>
      </c>
      <c r="F139" s="58">
        <f t="shared" si="50"/>
        <v>2017</v>
      </c>
      <c r="G139" s="58">
        <f t="shared" si="50"/>
        <v>2018</v>
      </c>
      <c r="H139" s="58">
        <f t="shared" si="50"/>
        <v>2019</v>
      </c>
      <c r="I139" s="58">
        <f t="shared" si="50"/>
        <v>2020</v>
      </c>
      <c r="J139" s="58">
        <f t="shared" si="50"/>
        <v>2021</v>
      </c>
    </row>
    <row r="140" spans="2:10">
      <c r="B140" s="24" t="str">
        <f t="shared" ref="B140:J140" si="51">B14</f>
        <v>Fiscal year end date</v>
      </c>
      <c r="C140" s="59">
        <f t="shared" si="51"/>
        <v>41910</v>
      </c>
      <c r="D140" s="59">
        <f t="shared" si="51"/>
        <v>42274</v>
      </c>
      <c r="E140" s="59">
        <f t="shared" si="51"/>
        <v>42645</v>
      </c>
      <c r="F140" s="59">
        <f t="shared" si="51"/>
        <v>43039</v>
      </c>
      <c r="G140" s="59">
        <f t="shared" si="51"/>
        <v>43404</v>
      </c>
      <c r="H140" s="59">
        <f t="shared" si="51"/>
        <v>43769</v>
      </c>
      <c r="I140" s="59">
        <f t="shared" si="51"/>
        <v>44135</v>
      </c>
      <c r="J140" s="59">
        <f t="shared" si="51"/>
        <v>44500</v>
      </c>
    </row>
    <row r="141" spans="2:10">
      <c r="B141" s="35"/>
    </row>
    <row r="142" spans="2:10">
      <c r="B142" s="47" t="s">
        <v>69</v>
      </c>
      <c r="F142" s="61">
        <f>E145</f>
        <v>4533.8</v>
      </c>
      <c r="G142" s="61">
        <f ca="1">F145</f>
        <v>5082.8254378769234</v>
      </c>
      <c r="H142" s="61">
        <f ca="1">G145</f>
        <v>5669.1786346700301</v>
      </c>
      <c r="I142" s="61">
        <f ca="1">H145</f>
        <v>6103.3858431281406</v>
      </c>
      <c r="J142" s="61">
        <f ca="1">I145</f>
        <v>6353.5719013349571</v>
      </c>
    </row>
    <row r="143" spans="2:10">
      <c r="B143" s="90" t="s">
        <v>87</v>
      </c>
      <c r="F143" s="61">
        <f ca="1">F147</f>
        <v>1589.1003450000001</v>
      </c>
      <c r="G143" s="61">
        <f ca="1">G147</f>
        <v>1697.1418863922606</v>
      </c>
      <c r="H143" s="61">
        <f ca="1">H147</f>
        <v>1736.8288338324423</v>
      </c>
      <c r="I143" s="61">
        <f ca="1">I147</f>
        <v>1667.9070547121073</v>
      </c>
      <c r="J143" s="61">
        <f ca="1">J147</f>
        <v>1701.2651958063495</v>
      </c>
    </row>
    <row r="144" spans="2:10">
      <c r="B144" s="90" t="s">
        <v>88</v>
      </c>
      <c r="F144" s="61">
        <f ca="1">F149</f>
        <v>-1040.0749071230769</v>
      </c>
      <c r="G144" s="61">
        <f ca="1">G149</f>
        <v>-1110.7886895991542</v>
      </c>
      <c r="H144" s="61">
        <f ca="1">H149</f>
        <v>-1302.6216253743319</v>
      </c>
      <c r="I144" s="61">
        <f ca="1">I149</f>
        <v>-1417.7209965052912</v>
      </c>
      <c r="J144" s="61">
        <f ca="1">J149</f>
        <v>-1531.1386762257146</v>
      </c>
    </row>
    <row r="145" spans="1:10">
      <c r="B145" s="47" t="s">
        <v>71</v>
      </c>
      <c r="D145" s="61">
        <f>D60</f>
        <v>4088.3</v>
      </c>
      <c r="E145" s="61">
        <f>E60</f>
        <v>4533.8</v>
      </c>
      <c r="F145" s="61">
        <f ca="1">SUM(F142:F144)</f>
        <v>5082.8254378769234</v>
      </c>
      <c r="G145" s="61">
        <f ca="1">SUM(G142:G144)</f>
        <v>5669.1786346700301</v>
      </c>
      <c r="H145" s="61">
        <f ca="1">SUM(H142:H144)</f>
        <v>6103.3858431281406</v>
      </c>
      <c r="I145" s="61">
        <f ca="1">SUM(I142:I144)</f>
        <v>6353.5719013349571</v>
      </c>
      <c r="J145" s="61">
        <f ca="1">SUM(J142:J144)</f>
        <v>6523.6984209155926</v>
      </c>
    </row>
    <row r="146" spans="1:10">
      <c r="B146" s="47"/>
    </row>
    <row r="147" spans="1:10">
      <c r="B147" s="51" t="s">
        <v>89</v>
      </c>
      <c r="C147" s="96"/>
      <c r="D147" s="96">
        <v>1300</v>
      </c>
      <c r="E147" s="96">
        <v>1400</v>
      </c>
      <c r="F147" s="61">
        <f ca="1">F148*F16</f>
        <v>1589.1003450000001</v>
      </c>
      <c r="G147" s="61">
        <f ca="1">G148*G16</f>
        <v>1697.1418863922606</v>
      </c>
      <c r="H147" s="61">
        <f ca="1">H148*H16</f>
        <v>1736.8288338324423</v>
      </c>
      <c r="I147" s="61">
        <f ca="1">I148*I16</f>
        <v>1667.9070547121073</v>
      </c>
      <c r="J147" s="61">
        <f ca="1">J148*J16</f>
        <v>1701.2651958063495</v>
      </c>
    </row>
    <row r="148" spans="1:10">
      <c r="B148" s="47" t="s">
        <v>90</v>
      </c>
      <c r="C148" s="14"/>
      <c r="D148" s="14">
        <f>D147/D16</f>
        <v>6.784012691322204E-2</v>
      </c>
      <c r="E148" s="14">
        <f>E147/E16</f>
        <v>6.5678671789603058E-2</v>
      </c>
      <c r="F148" s="62">
        <v>7.0000000000000007E-2</v>
      </c>
      <c r="G148" s="62">
        <f>AVERAGE(D148:F148)</f>
        <v>6.7839599567608364E-2</v>
      </c>
      <c r="H148" s="62">
        <v>6.3E-2</v>
      </c>
      <c r="I148" s="62">
        <v>5.5E-2</v>
      </c>
      <c r="J148" s="62">
        <v>5.0999999999999997E-2</v>
      </c>
    </row>
    <row r="149" spans="1:10">
      <c r="B149" s="51" t="s">
        <v>91</v>
      </c>
      <c r="C149" s="96"/>
      <c r="D149" s="96">
        <v>-843.9</v>
      </c>
      <c r="E149" s="96">
        <v>-923.8</v>
      </c>
      <c r="F149" s="61">
        <f ca="1">-(F150*F147)</f>
        <v>-1040.0749071230769</v>
      </c>
      <c r="G149" s="61">
        <f ca="1">-(G150*G147)</f>
        <v>-1110.7886895991542</v>
      </c>
      <c r="H149" s="61">
        <f ca="1">-(H150*H147)</f>
        <v>-1302.6216253743319</v>
      </c>
      <c r="I149" s="61">
        <f ca="1">-(I150*I147)</f>
        <v>-1417.7209965052912</v>
      </c>
      <c r="J149" s="61">
        <f ca="1">-(J150*J147)</f>
        <v>-1531.1386762257146</v>
      </c>
    </row>
    <row r="150" spans="1:10">
      <c r="B150" s="47" t="s">
        <v>92</v>
      </c>
      <c r="C150" s="14"/>
      <c r="D150" s="14">
        <f>-(D149/D147)</f>
        <v>0.64915384615384608</v>
      </c>
      <c r="E150" s="14">
        <f>-(E149/E147)</f>
        <v>0.65985714285714281</v>
      </c>
      <c r="F150" s="62">
        <f>AVERAGE(D150:E150)</f>
        <v>0.65450549450549445</v>
      </c>
      <c r="G150" s="62">
        <f>F150</f>
        <v>0.65450549450549445</v>
      </c>
      <c r="H150" s="62">
        <v>0.75</v>
      </c>
      <c r="I150" s="62">
        <v>0.85</v>
      </c>
      <c r="J150" s="62">
        <v>0.9</v>
      </c>
    </row>
    <row r="152" spans="1:10">
      <c r="B152" s="22" t="s">
        <v>93</v>
      </c>
      <c r="C152" s="24"/>
      <c r="D152" s="24"/>
      <c r="E152" s="24"/>
      <c r="F152" s="24"/>
      <c r="G152" s="24"/>
      <c r="H152" s="24"/>
      <c r="I152" s="24"/>
      <c r="J152" s="24"/>
    </row>
    <row r="153" spans="1:10">
      <c r="A153" s="17" t="s">
        <v>195</v>
      </c>
      <c r="B153" s="64" t="str">
        <f t="shared" ref="B153:J153" si="52">B13</f>
        <v xml:space="preserve">Fiscal year  </v>
      </c>
      <c r="C153" s="57">
        <f t="shared" si="52"/>
        <v>2014</v>
      </c>
      <c r="D153" s="57">
        <f t="shared" si="52"/>
        <v>2015</v>
      </c>
      <c r="E153" s="57">
        <f t="shared" si="52"/>
        <v>2016</v>
      </c>
      <c r="F153" s="58">
        <f t="shared" si="52"/>
        <v>2017</v>
      </c>
      <c r="G153" s="58">
        <f t="shared" si="52"/>
        <v>2018</v>
      </c>
      <c r="H153" s="58">
        <f t="shared" si="52"/>
        <v>2019</v>
      </c>
      <c r="I153" s="58">
        <f t="shared" si="52"/>
        <v>2020</v>
      </c>
      <c r="J153" s="58">
        <f t="shared" si="52"/>
        <v>2021</v>
      </c>
    </row>
    <row r="154" spans="1:10">
      <c r="B154" s="24" t="str">
        <f t="shared" ref="B154:J154" si="53">B14</f>
        <v>Fiscal year end date</v>
      </c>
      <c r="C154" s="59">
        <f t="shared" si="53"/>
        <v>41910</v>
      </c>
      <c r="D154" s="59">
        <f t="shared" si="53"/>
        <v>42274</v>
      </c>
      <c r="E154" s="59">
        <f t="shared" si="53"/>
        <v>42645</v>
      </c>
      <c r="F154" s="59">
        <f t="shared" si="53"/>
        <v>43039</v>
      </c>
      <c r="G154" s="59">
        <f t="shared" si="53"/>
        <v>43404</v>
      </c>
      <c r="H154" s="59">
        <f t="shared" si="53"/>
        <v>43769</v>
      </c>
      <c r="I154" s="59">
        <f t="shared" si="53"/>
        <v>44135</v>
      </c>
      <c r="J154" s="59">
        <f t="shared" si="53"/>
        <v>44500</v>
      </c>
    </row>
    <row r="155" spans="1:10">
      <c r="B155" s="20"/>
      <c r="C155" s="89"/>
      <c r="D155" s="89"/>
      <c r="E155" s="89"/>
      <c r="F155" s="89"/>
      <c r="G155" s="89"/>
      <c r="H155" s="89"/>
      <c r="I155" s="89"/>
      <c r="J155" s="89"/>
    </row>
    <row r="156" spans="1:10">
      <c r="B156" s="35" t="s">
        <v>252</v>
      </c>
      <c r="C156" s="89"/>
      <c r="D156" s="89"/>
      <c r="E156" s="89"/>
      <c r="F156" s="89"/>
      <c r="G156" s="89"/>
      <c r="H156" s="89"/>
      <c r="I156" s="89"/>
      <c r="J156" s="89"/>
    </row>
    <row r="157" spans="1:10">
      <c r="B157" s="20" t="s">
        <v>69</v>
      </c>
      <c r="C157" s="89"/>
      <c r="D157" s="89"/>
      <c r="E157" s="89"/>
      <c r="F157" s="234">
        <f>E159</f>
        <v>354.5</v>
      </c>
      <c r="G157" s="234">
        <f t="shared" ref="G157:J157" si="54">F159</f>
        <v>354.5</v>
      </c>
      <c r="H157" s="234">
        <f t="shared" si="54"/>
        <v>354.5</v>
      </c>
      <c r="I157" s="234">
        <f t="shared" si="54"/>
        <v>354.5</v>
      </c>
      <c r="J157" s="234">
        <f t="shared" si="54"/>
        <v>354.5</v>
      </c>
    </row>
    <row r="158" spans="1:10">
      <c r="B158" s="20" t="s">
        <v>70</v>
      </c>
      <c r="C158" s="89"/>
      <c r="D158" s="89"/>
      <c r="E158" s="89"/>
      <c r="F158" s="235">
        <v>0</v>
      </c>
      <c r="G158" s="235">
        <v>0</v>
      </c>
      <c r="H158" s="235">
        <v>0</v>
      </c>
      <c r="I158" s="235">
        <v>0</v>
      </c>
      <c r="J158" s="235">
        <v>0</v>
      </c>
    </row>
    <row r="159" spans="1:10">
      <c r="B159" s="37" t="s">
        <v>71</v>
      </c>
      <c r="C159" s="89"/>
      <c r="D159" s="234">
        <f>D62</f>
        <v>352</v>
      </c>
      <c r="E159" s="234">
        <f t="shared" ref="E159:J159" si="55">E62</f>
        <v>354.5</v>
      </c>
      <c r="F159" s="234">
        <f>SUM(F157:F158)</f>
        <v>354.5</v>
      </c>
      <c r="G159" s="234">
        <f t="shared" ref="G159:J159" si="56">SUM(G157:G158)</f>
        <v>354.5</v>
      </c>
      <c r="H159" s="234">
        <f t="shared" si="56"/>
        <v>354.5</v>
      </c>
      <c r="I159" s="234">
        <f t="shared" si="56"/>
        <v>354.5</v>
      </c>
      <c r="J159" s="234">
        <f t="shared" si="56"/>
        <v>354.5</v>
      </c>
    </row>
    <row r="160" spans="1:10">
      <c r="B160" s="35"/>
    </row>
    <row r="161" spans="2:10">
      <c r="B161" s="35" t="s">
        <v>45</v>
      </c>
    </row>
    <row r="162" spans="2:10">
      <c r="B162" s="47" t="s">
        <v>69</v>
      </c>
      <c r="F162" s="61">
        <f>E164</f>
        <v>350</v>
      </c>
      <c r="G162" s="61">
        <f>F164</f>
        <v>350</v>
      </c>
      <c r="H162" s="61">
        <f>G164</f>
        <v>350</v>
      </c>
      <c r="I162" s="61">
        <f>H164</f>
        <v>350</v>
      </c>
      <c r="J162" s="61">
        <f>I164</f>
        <v>350</v>
      </c>
    </row>
    <row r="163" spans="2:10">
      <c r="B163" s="90" t="s">
        <v>70</v>
      </c>
      <c r="F163" s="96">
        <v>0</v>
      </c>
      <c r="G163" s="96">
        <v>0</v>
      </c>
      <c r="H163" s="96">
        <v>0</v>
      </c>
      <c r="I163" s="96">
        <v>0</v>
      </c>
      <c r="J163" s="96">
        <v>0</v>
      </c>
    </row>
    <row r="164" spans="2:10">
      <c r="B164" s="47" t="s">
        <v>71</v>
      </c>
      <c r="D164" s="61">
        <f>D59</f>
        <v>334.2</v>
      </c>
      <c r="E164" s="61">
        <f>E59</f>
        <v>350</v>
      </c>
      <c r="F164" s="61">
        <f>SUM(F162:F163)</f>
        <v>350</v>
      </c>
      <c r="G164" s="61">
        <f>SUM(G162:G163)</f>
        <v>350</v>
      </c>
      <c r="H164" s="61">
        <f>SUM(H162:H163)</f>
        <v>350</v>
      </c>
      <c r="I164" s="61">
        <f>SUM(I162:I163)</f>
        <v>350</v>
      </c>
      <c r="J164" s="61">
        <f>SUM(J162:J163)</f>
        <v>350</v>
      </c>
    </row>
    <row r="165" spans="2:10">
      <c r="B165" s="20"/>
    </row>
    <row r="166" spans="2:10">
      <c r="B166" s="97" t="s">
        <v>94</v>
      </c>
    </row>
    <row r="167" spans="2:10">
      <c r="B167" s="47" t="s">
        <v>69</v>
      </c>
      <c r="F167" s="61">
        <f>E169</f>
        <v>885.4</v>
      </c>
      <c r="G167" s="61">
        <f>F169</f>
        <v>885.4</v>
      </c>
      <c r="H167" s="61">
        <f>G169</f>
        <v>885.4</v>
      </c>
      <c r="I167" s="61">
        <f>H169</f>
        <v>885.4</v>
      </c>
      <c r="J167" s="61">
        <f>I169</f>
        <v>885.4</v>
      </c>
    </row>
    <row r="168" spans="2:10">
      <c r="B168" s="90" t="s">
        <v>70</v>
      </c>
      <c r="F168" s="96">
        <v>0</v>
      </c>
      <c r="G168" s="96">
        <v>0</v>
      </c>
      <c r="H168" s="96">
        <v>0</v>
      </c>
      <c r="I168" s="96">
        <v>0</v>
      </c>
      <c r="J168" s="96">
        <v>0</v>
      </c>
    </row>
    <row r="169" spans="2:10">
      <c r="B169" s="47" t="s">
        <v>71</v>
      </c>
      <c r="D169" s="61">
        <f>D58</f>
        <v>1180.8</v>
      </c>
      <c r="E169" s="61">
        <f>E58</f>
        <v>885.4</v>
      </c>
      <c r="F169" s="61">
        <f>SUM(F167:F168)</f>
        <v>885.4</v>
      </c>
      <c r="G169" s="61">
        <f>SUM(G167:G168)</f>
        <v>885.4</v>
      </c>
      <c r="H169" s="61">
        <f>SUM(H167:H168)</f>
        <v>885.4</v>
      </c>
      <c r="I169" s="61">
        <f>SUM(I167:I168)</f>
        <v>885.4</v>
      </c>
      <c r="J169" s="61">
        <f>SUM(J167:J168)</f>
        <v>885.4</v>
      </c>
    </row>
    <row r="170" spans="2:10">
      <c r="B170" s="20"/>
    </row>
    <row r="171" spans="2:10">
      <c r="B171" s="97" t="s">
        <v>48</v>
      </c>
    </row>
    <row r="172" spans="2:10">
      <c r="B172" s="47" t="s">
        <v>69</v>
      </c>
      <c r="F172" s="61">
        <f>E174</f>
        <v>417.7</v>
      </c>
      <c r="G172" s="61">
        <f>F174</f>
        <v>417.7</v>
      </c>
      <c r="H172" s="61">
        <f>G174</f>
        <v>417.7</v>
      </c>
      <c r="I172" s="61">
        <f>H174</f>
        <v>417.7</v>
      </c>
      <c r="J172" s="61">
        <f>I174</f>
        <v>417.7</v>
      </c>
    </row>
    <row r="173" spans="2:10">
      <c r="B173" s="90" t="s">
        <v>70</v>
      </c>
      <c r="F173" s="96">
        <v>0</v>
      </c>
      <c r="G173" s="96">
        <v>0</v>
      </c>
      <c r="H173" s="96">
        <v>0</v>
      </c>
      <c r="I173" s="96">
        <v>0</v>
      </c>
      <c r="J173" s="96">
        <v>0</v>
      </c>
    </row>
    <row r="174" spans="2:10">
      <c r="B174" s="47" t="s">
        <v>71</v>
      </c>
      <c r="D174" s="61">
        <f>D63</f>
        <v>415.9</v>
      </c>
      <c r="E174" s="61">
        <f>E63</f>
        <v>417.7</v>
      </c>
      <c r="F174" s="61">
        <f>SUM(F172:F173)</f>
        <v>417.7</v>
      </c>
      <c r="G174" s="61">
        <f>SUM(G172:G173)</f>
        <v>417.7</v>
      </c>
      <c r="H174" s="61">
        <f>SUM(H172:H173)</f>
        <v>417.7</v>
      </c>
      <c r="I174" s="61">
        <f>SUM(I172:I173)</f>
        <v>417.7</v>
      </c>
      <c r="J174" s="61">
        <f>SUM(J172:J173)</f>
        <v>417.7</v>
      </c>
    </row>
    <row r="175" spans="2:10">
      <c r="B175" s="20"/>
    </row>
    <row r="176" spans="2:10">
      <c r="B176" s="35" t="s">
        <v>95</v>
      </c>
    </row>
    <row r="177" spans="1:10">
      <c r="B177" s="47" t="s">
        <v>69</v>
      </c>
      <c r="F177" s="61">
        <f>E179</f>
        <v>689.7</v>
      </c>
      <c r="G177" s="61">
        <f>F179</f>
        <v>689.7</v>
      </c>
      <c r="H177" s="61">
        <f>G179</f>
        <v>689.7</v>
      </c>
      <c r="I177" s="61">
        <f>H179</f>
        <v>689.7</v>
      </c>
      <c r="J177" s="61">
        <f>I179</f>
        <v>689.7</v>
      </c>
    </row>
    <row r="178" spans="1:10">
      <c r="B178" s="90" t="s">
        <v>70</v>
      </c>
      <c r="F178" s="96">
        <v>0</v>
      </c>
      <c r="G178" s="96">
        <v>0</v>
      </c>
      <c r="H178" s="96">
        <v>0</v>
      </c>
      <c r="I178" s="96">
        <v>0</v>
      </c>
      <c r="J178" s="96">
        <v>0</v>
      </c>
    </row>
    <row r="179" spans="1:10">
      <c r="B179" s="47" t="s">
        <v>71</v>
      </c>
      <c r="D179" s="61">
        <f>D71</f>
        <v>600.9</v>
      </c>
      <c r="E179" s="61">
        <f>E71</f>
        <v>689.7</v>
      </c>
      <c r="F179" s="61">
        <f>SUM(F177:F178)</f>
        <v>689.7</v>
      </c>
      <c r="G179" s="61">
        <f>SUM(G177:G178)</f>
        <v>689.7</v>
      </c>
      <c r="H179" s="61">
        <f>SUM(H177:H178)</f>
        <v>689.7</v>
      </c>
      <c r="I179" s="61">
        <f>SUM(I177:I178)</f>
        <v>689.7</v>
      </c>
      <c r="J179" s="61">
        <f>SUM(J177:J178)</f>
        <v>689.7</v>
      </c>
    </row>
    <row r="181" spans="1:10">
      <c r="B181" s="22" t="s">
        <v>96</v>
      </c>
      <c r="C181" s="98"/>
      <c r="D181" s="98"/>
      <c r="E181" s="98"/>
      <c r="F181" s="99"/>
      <c r="G181" s="99"/>
      <c r="H181" s="99"/>
      <c r="I181" s="99"/>
      <c r="J181" s="99"/>
    </row>
    <row r="182" spans="1:10">
      <c r="A182" s="17" t="s">
        <v>195</v>
      </c>
      <c r="B182" s="64" t="str">
        <f>B13</f>
        <v xml:space="preserve">Fiscal year  </v>
      </c>
      <c r="C182" s="57"/>
      <c r="D182" s="57">
        <f>D13</f>
        <v>2015</v>
      </c>
      <c r="E182" s="57">
        <f>E13</f>
        <v>2016</v>
      </c>
      <c r="F182" s="58">
        <f>F13</f>
        <v>2017</v>
      </c>
      <c r="G182" s="58">
        <f>G13</f>
        <v>2018</v>
      </c>
      <c r="H182" s="58">
        <f>H13</f>
        <v>2019</v>
      </c>
      <c r="I182" s="58">
        <f>I13</f>
        <v>2020</v>
      </c>
      <c r="J182" s="58">
        <f>J13</f>
        <v>2021</v>
      </c>
    </row>
    <row r="183" spans="1:10">
      <c r="B183" s="24" t="str">
        <f>B14</f>
        <v>Fiscal year end date</v>
      </c>
      <c r="C183" s="59"/>
      <c r="D183" s="59">
        <f>D14</f>
        <v>42274</v>
      </c>
      <c r="E183" s="59">
        <f>E14</f>
        <v>42645</v>
      </c>
      <c r="F183" s="59">
        <f>F14</f>
        <v>43039</v>
      </c>
      <c r="G183" s="59">
        <f>G14</f>
        <v>43404</v>
      </c>
      <c r="H183" s="59">
        <f>H14</f>
        <v>43769</v>
      </c>
      <c r="I183" s="59">
        <f>I14</f>
        <v>44135</v>
      </c>
      <c r="J183" s="59">
        <f>J14</f>
        <v>44500</v>
      </c>
    </row>
    <row r="184" spans="1:10">
      <c r="B184" s="20"/>
    </row>
    <row r="185" spans="1:10">
      <c r="B185" s="72" t="s">
        <v>97</v>
      </c>
    </row>
    <row r="186" spans="1:10">
      <c r="B186" s="47" t="s">
        <v>69</v>
      </c>
      <c r="F186" s="61">
        <f>E189</f>
        <v>3602.2</v>
      </c>
      <c r="G186" s="61">
        <f>F189</f>
        <v>3202.2</v>
      </c>
      <c r="H186" s="61">
        <f>G189</f>
        <v>3202.2</v>
      </c>
      <c r="I186" s="61">
        <f>H189</f>
        <v>2852.2</v>
      </c>
      <c r="J186" s="61">
        <f>I189</f>
        <v>2852.2</v>
      </c>
    </row>
    <row r="187" spans="1:10">
      <c r="B187" s="47" t="s">
        <v>98</v>
      </c>
      <c r="F187" s="96">
        <v>-400</v>
      </c>
      <c r="G187" s="96">
        <v>0</v>
      </c>
      <c r="H187" s="96">
        <v>-350</v>
      </c>
      <c r="I187" s="96">
        <v>0</v>
      </c>
      <c r="J187" s="96">
        <v>-750</v>
      </c>
    </row>
    <row r="188" spans="1:10">
      <c r="B188" s="47" t="s">
        <v>99</v>
      </c>
      <c r="F188" s="61">
        <f>F195*F191</f>
        <v>0</v>
      </c>
      <c r="G188" s="61">
        <f>G195*G191</f>
        <v>0</v>
      </c>
      <c r="H188" s="61">
        <f>H195*H191</f>
        <v>0</v>
      </c>
      <c r="I188" s="61">
        <f>I195*I191</f>
        <v>0</v>
      </c>
      <c r="J188" s="61">
        <f>J195*J191</f>
        <v>0</v>
      </c>
    </row>
    <row r="189" spans="1:10">
      <c r="B189" s="47" t="s">
        <v>71</v>
      </c>
      <c r="D189" s="61">
        <f>D70</f>
        <v>2347.5</v>
      </c>
      <c r="E189" s="61">
        <f>E70</f>
        <v>3602.2</v>
      </c>
      <c r="F189" s="61">
        <f>SUM(F186:F188)</f>
        <v>3202.2</v>
      </c>
      <c r="G189" s="61">
        <f>SUM(G186:G188)</f>
        <v>3202.2</v>
      </c>
      <c r="H189" s="61">
        <f>SUM(H186:H188)</f>
        <v>2852.2</v>
      </c>
      <c r="I189" s="61">
        <f>SUM(I186:I188)</f>
        <v>2852.2</v>
      </c>
      <c r="J189" s="61">
        <f>SUM(J186:J188)</f>
        <v>2102.1999999999998</v>
      </c>
    </row>
    <row r="190" spans="1:10">
      <c r="B190" s="20"/>
    </row>
    <row r="191" spans="1:10">
      <c r="B191" s="47" t="s">
        <v>100</v>
      </c>
      <c r="F191" s="96">
        <f>350*0.02+500*0.021+250*0.021+500*0.027+750*0.0385+500*0.0245+350*0.043</f>
        <v>92.424999999999997</v>
      </c>
      <c r="G191" s="96">
        <f t="shared" ref="G191" si="57">350*0.02+500*0.021+250*0.021+500*0.027+750*0.0385+500*0.0245+350*0.043</f>
        <v>92.424999999999997</v>
      </c>
      <c r="H191" s="96">
        <f>500*0.021+250*0.021+500*0.027+750*0.0385+500*0.0245+350*0.043</f>
        <v>85.424999999999997</v>
      </c>
      <c r="I191" s="96">
        <f t="shared" ref="I191" si="58">500*0.021+250*0.021+500*0.027+750*0.0385+500*0.0245+350*0.043</f>
        <v>85.424999999999997</v>
      </c>
      <c r="J191" s="96">
        <f>500*0.027+750*0.0385+500*0.0245+350*0.043</f>
        <v>69.674999999999997</v>
      </c>
    </row>
    <row r="192" spans="1:10">
      <c r="B192" s="47" t="s">
        <v>101</v>
      </c>
      <c r="F192" s="14">
        <f>F191/AVERAGE(E189:F189)</f>
        <v>2.7166245370642526E-2</v>
      </c>
      <c r="G192" s="14">
        <f>G191/AVERAGE(F189:G189)</f>
        <v>2.8862969208669039E-2</v>
      </c>
      <c r="H192" s="14">
        <f>H191/AVERAGE(G189:H189)</f>
        <v>2.8219146405919663E-2</v>
      </c>
      <c r="I192" s="14">
        <f>I191/AVERAGE(H189:I189)</f>
        <v>2.9950564476544424E-2</v>
      </c>
      <c r="J192" s="14">
        <f>J191/AVERAGE(I189:J189)</f>
        <v>2.81265138059099E-2</v>
      </c>
    </row>
    <row r="193" spans="1:10">
      <c r="B193" s="47"/>
    </row>
    <row r="194" spans="1:10">
      <c r="B194" s="47" t="s">
        <v>102</v>
      </c>
      <c r="F194" s="100">
        <v>1</v>
      </c>
      <c r="G194" s="100">
        <v>1</v>
      </c>
      <c r="H194" s="100">
        <v>1</v>
      </c>
      <c r="I194" s="100">
        <v>1</v>
      </c>
      <c r="J194" s="100">
        <v>1</v>
      </c>
    </row>
    <row r="195" spans="1:10">
      <c r="B195" s="47" t="s">
        <v>103</v>
      </c>
      <c r="F195" s="101">
        <f>1-F194</f>
        <v>0</v>
      </c>
      <c r="G195" s="101">
        <f>1-G194</f>
        <v>0</v>
      </c>
      <c r="H195" s="101">
        <f>1-H194</f>
        <v>0</v>
      </c>
      <c r="I195" s="101">
        <f>1-I194</f>
        <v>0</v>
      </c>
      <c r="J195" s="101">
        <f>1-J194</f>
        <v>0</v>
      </c>
    </row>
    <row r="197" spans="1:10">
      <c r="B197" s="22" t="s">
        <v>104</v>
      </c>
      <c r="C197" s="24"/>
      <c r="D197" s="24"/>
      <c r="E197" s="24"/>
      <c r="F197" s="24"/>
      <c r="G197" s="24"/>
      <c r="H197" s="24"/>
      <c r="I197" s="24"/>
      <c r="J197" s="24"/>
    </row>
    <row r="198" spans="1:10">
      <c r="A198" s="17" t="s">
        <v>195</v>
      </c>
      <c r="B198" s="64" t="str">
        <f>B13</f>
        <v xml:space="preserve">Fiscal year  </v>
      </c>
      <c r="C198" s="57"/>
      <c r="D198" s="57">
        <f>D13</f>
        <v>2015</v>
      </c>
      <c r="E198" s="57">
        <f>E13</f>
        <v>2016</v>
      </c>
      <c r="F198" s="58">
        <f>F13</f>
        <v>2017</v>
      </c>
      <c r="G198" s="58">
        <f>G13</f>
        <v>2018</v>
      </c>
      <c r="H198" s="58">
        <f>H13</f>
        <v>2019</v>
      </c>
      <c r="I198" s="58">
        <f>I13</f>
        <v>2020</v>
      </c>
      <c r="J198" s="58">
        <f>J13</f>
        <v>2021</v>
      </c>
    </row>
    <row r="199" spans="1:10">
      <c r="B199" s="24" t="str">
        <f>B14</f>
        <v>Fiscal year end date</v>
      </c>
      <c r="C199" s="59"/>
      <c r="D199" s="59">
        <f>D14</f>
        <v>42274</v>
      </c>
      <c r="E199" s="59">
        <f>E14</f>
        <v>42645</v>
      </c>
      <c r="F199" s="59">
        <f>F14</f>
        <v>43039</v>
      </c>
      <c r="G199" s="59">
        <f>G14</f>
        <v>43404</v>
      </c>
      <c r="H199" s="59">
        <f>H14</f>
        <v>43769</v>
      </c>
      <c r="I199" s="59">
        <f>I14</f>
        <v>44135</v>
      </c>
      <c r="J199" s="59">
        <f>J14</f>
        <v>44500</v>
      </c>
    </row>
    <row r="200" spans="1:10">
      <c r="B200" s="20"/>
    </row>
    <row r="201" spans="1:10">
      <c r="B201" s="35" t="s">
        <v>105</v>
      </c>
    </row>
    <row r="202" spans="1:10">
      <c r="B202" s="47" t="s">
        <v>69</v>
      </c>
      <c r="F202" s="61">
        <f>E205</f>
        <v>42.6</v>
      </c>
      <c r="G202" s="61">
        <f ca="1">F205</f>
        <v>447.49862952275936</v>
      </c>
      <c r="H202" s="61">
        <f ca="1">G205</f>
        <v>874.02052885338367</v>
      </c>
      <c r="I202" s="61">
        <f ca="1">H205</f>
        <v>1333.7961271649499</v>
      </c>
      <c r="J202" s="61">
        <f ca="1">I205</f>
        <v>1813.2376300658116</v>
      </c>
    </row>
    <row r="203" spans="1:10">
      <c r="B203" s="90" t="s">
        <v>106</v>
      </c>
      <c r="F203" s="61">
        <f>F207</f>
        <v>164.06666666666666</v>
      </c>
      <c r="G203" s="61">
        <f t="shared" ref="G203:J204" si="59">G207</f>
        <v>164.06666666666666</v>
      </c>
      <c r="H203" s="61">
        <f t="shared" si="59"/>
        <v>164.06666666666666</v>
      </c>
      <c r="I203" s="61">
        <f t="shared" si="59"/>
        <v>164.06666666666666</v>
      </c>
      <c r="J203" s="61">
        <f t="shared" si="59"/>
        <v>164.06666666666666</v>
      </c>
    </row>
    <row r="204" spans="1:10">
      <c r="B204" s="90" t="s">
        <v>107</v>
      </c>
      <c r="F204" s="61">
        <f ca="1">F208</f>
        <v>240.8319628560927</v>
      </c>
      <c r="G204" s="61">
        <f t="shared" ca="1" si="59"/>
        <v>262.45523266395764</v>
      </c>
      <c r="H204" s="61">
        <f t="shared" ca="1" si="59"/>
        <v>295.70893164489956</v>
      </c>
      <c r="I204" s="61">
        <f t="shared" ca="1" si="59"/>
        <v>315.37483623419502</v>
      </c>
      <c r="J204" s="61">
        <f t="shared" ca="1" si="59"/>
        <v>344.73322237107175</v>
      </c>
    </row>
    <row r="205" spans="1:10">
      <c r="B205" s="47" t="s">
        <v>71</v>
      </c>
      <c r="D205" s="61">
        <f>D74</f>
        <v>42.6</v>
      </c>
      <c r="E205" s="61">
        <f>E74</f>
        <v>42.6</v>
      </c>
      <c r="F205" s="61">
        <f ca="1">SUM(F202:F204)</f>
        <v>447.49862952275936</v>
      </c>
      <c r="G205" s="61">
        <f ca="1">SUM(G202:G204)</f>
        <v>874.02052885338367</v>
      </c>
      <c r="H205" s="61">
        <f ca="1">SUM(H202:H204)</f>
        <v>1333.7961271649499</v>
      </c>
      <c r="I205" s="61">
        <f ca="1">SUM(I202:I204)</f>
        <v>1813.2376300658116</v>
      </c>
      <c r="J205" s="61">
        <f ca="1">SUM(J202:J204)</f>
        <v>2322.03751910355</v>
      </c>
    </row>
    <row r="206" spans="1:10">
      <c r="B206" s="47"/>
    </row>
    <row r="207" spans="1:10">
      <c r="B207" s="47" t="s">
        <v>108</v>
      </c>
      <c r="C207" s="102">
        <v>139.69999999999999</v>
      </c>
      <c r="D207" s="102">
        <v>191.8</v>
      </c>
      <c r="E207" s="102">
        <v>160.69999999999999</v>
      </c>
      <c r="F207" s="203">
        <f>AVERAGE(C207:E207)</f>
        <v>164.06666666666666</v>
      </c>
      <c r="G207" s="203">
        <f>F207</f>
        <v>164.06666666666666</v>
      </c>
      <c r="H207" s="203">
        <f t="shared" ref="H207:J207" si="60">G207</f>
        <v>164.06666666666666</v>
      </c>
      <c r="I207" s="203">
        <f t="shared" si="60"/>
        <v>164.06666666666666</v>
      </c>
      <c r="J207" s="203">
        <f t="shared" si="60"/>
        <v>164.06666666666666</v>
      </c>
    </row>
    <row r="208" spans="1:10">
      <c r="B208" s="47" t="s">
        <v>37</v>
      </c>
      <c r="C208" s="56">
        <f>C48</f>
        <v>183.2</v>
      </c>
      <c r="D208" s="56">
        <f>D48</f>
        <v>209.8</v>
      </c>
      <c r="E208" s="56">
        <f>E48</f>
        <v>218.1</v>
      </c>
      <c r="F208" s="61">
        <f ca="1">-(F209*SUM(F17,F19,F20))</f>
        <v>240.8319628560927</v>
      </c>
      <c r="G208" s="61">
        <f ca="1">-(G209*SUM(G17,G19,G20))</f>
        <v>262.45523266395764</v>
      </c>
      <c r="H208" s="61">
        <f ca="1">-(H209*SUM(H17,H19,H20))</f>
        <v>295.70893164489956</v>
      </c>
      <c r="I208" s="61">
        <f ca="1">-(I209*SUM(I17,I19,I20))</f>
        <v>315.37483623419502</v>
      </c>
      <c r="J208" s="61">
        <f ca="1">-(J209*SUM(J17,J19,J20))</f>
        <v>344.73322237107175</v>
      </c>
    </row>
    <row r="209" spans="2:10">
      <c r="B209" s="47" t="s">
        <v>109</v>
      </c>
      <c r="C209" s="14">
        <f>-(C208/SUM(C17,C19,C20))</f>
        <v>1.3436010267693435E-2</v>
      </c>
      <c r="D209" s="14">
        <f>-(D208/SUM(D17,D19,D20))</f>
        <v>1.3268739406511677E-2</v>
      </c>
      <c r="E209" s="14">
        <f>-(E208/SUM(E17,E19,E20))</f>
        <v>1.2489835186860761E-2</v>
      </c>
      <c r="F209" s="62">
        <f>AVERAGE(C209:E209)</f>
        <v>1.3064861620355292E-2</v>
      </c>
      <c r="G209" s="62">
        <f>F209</f>
        <v>1.3064861620355292E-2</v>
      </c>
      <c r="H209" s="62">
        <f t="shared" ref="H209:J209" si="61">G209</f>
        <v>1.3064861620355292E-2</v>
      </c>
      <c r="I209" s="62">
        <f t="shared" si="61"/>
        <v>1.3064861620355292E-2</v>
      </c>
      <c r="J209" s="62">
        <f t="shared" si="61"/>
        <v>1.3064861620355292E-2</v>
      </c>
    </row>
    <row r="210" spans="2:10">
      <c r="B210" s="47"/>
    </row>
    <row r="211" spans="2:10">
      <c r="B211" s="35" t="s">
        <v>57</v>
      </c>
    </row>
    <row r="212" spans="2:10">
      <c r="B212" s="47" t="s">
        <v>69</v>
      </c>
      <c r="F212" s="41">
        <f>E214</f>
        <v>0</v>
      </c>
      <c r="G212" s="41">
        <f>F214</f>
        <v>-1715.85</v>
      </c>
      <c r="H212" s="41">
        <f>G214</f>
        <v>-3431.7</v>
      </c>
      <c r="I212" s="41">
        <f>H214</f>
        <v>-5147.5499999999993</v>
      </c>
      <c r="J212" s="41">
        <f>I214</f>
        <v>-6863.4</v>
      </c>
    </row>
    <row r="213" spans="2:10">
      <c r="B213" s="90" t="s">
        <v>110</v>
      </c>
      <c r="F213" s="41">
        <f>F216</f>
        <v>-1715.85</v>
      </c>
      <c r="G213" s="41">
        <f>G216</f>
        <v>-1715.85</v>
      </c>
      <c r="H213" s="41">
        <f>H216</f>
        <v>-1715.85</v>
      </c>
      <c r="I213" s="41">
        <f>I216</f>
        <v>-1715.85</v>
      </c>
      <c r="J213" s="41">
        <f>J216</f>
        <v>-1715.85</v>
      </c>
    </row>
    <row r="214" spans="2:10">
      <c r="B214" s="47" t="s">
        <v>71</v>
      </c>
      <c r="D214" s="61">
        <f>D75</f>
        <v>0</v>
      </c>
      <c r="E214" s="61">
        <f>E75</f>
        <v>0</v>
      </c>
      <c r="F214" s="41">
        <f>SUM(F212:F213)</f>
        <v>-1715.85</v>
      </c>
      <c r="G214" s="41">
        <f>SUM(G212:G213)</f>
        <v>-3431.7</v>
      </c>
      <c r="H214" s="41">
        <f>SUM(H212:H213)</f>
        <v>-5147.5499999999993</v>
      </c>
      <c r="I214" s="41">
        <f>SUM(I212:I213)</f>
        <v>-6863.4</v>
      </c>
      <c r="J214" s="41">
        <f>SUM(J212:J213)</f>
        <v>-8579.25</v>
      </c>
    </row>
    <row r="215" spans="2:10">
      <c r="B215" s="20"/>
    </row>
    <row r="216" spans="2:10">
      <c r="B216" s="90" t="s">
        <v>111</v>
      </c>
      <c r="C216" s="96">
        <v>-758.6</v>
      </c>
      <c r="D216" s="96">
        <v>-1436.1</v>
      </c>
      <c r="E216" s="217">
        <v>-1995.6</v>
      </c>
      <c r="F216" s="96">
        <f>AVERAGE(D216:E216)</f>
        <v>-1715.85</v>
      </c>
      <c r="G216" s="96">
        <f>F216</f>
        <v>-1715.85</v>
      </c>
      <c r="H216" s="96">
        <f t="shared" ref="H216:J216" si="62">G216</f>
        <v>-1715.85</v>
      </c>
      <c r="I216" s="96">
        <f t="shared" si="62"/>
        <v>-1715.85</v>
      </c>
      <c r="J216" s="96">
        <f t="shared" si="62"/>
        <v>-1715.85</v>
      </c>
    </row>
    <row r="218" spans="2:10">
      <c r="B218" s="22" t="s">
        <v>112</v>
      </c>
      <c r="C218" s="24"/>
      <c r="D218" s="24"/>
      <c r="E218" s="24"/>
      <c r="F218" s="24"/>
      <c r="G218" s="24"/>
      <c r="H218" s="24"/>
      <c r="I218" s="24"/>
      <c r="J218" s="24"/>
    </row>
    <row r="219" spans="2:10">
      <c r="B219" s="64" t="str">
        <f>B13</f>
        <v xml:space="preserve">Fiscal year  </v>
      </c>
      <c r="C219" s="57">
        <f>C13</f>
        <v>2014</v>
      </c>
      <c r="D219" s="57">
        <f>D13</f>
        <v>2015</v>
      </c>
      <c r="E219" s="57">
        <f>E13</f>
        <v>2016</v>
      </c>
      <c r="F219" s="58">
        <f>F13</f>
        <v>2017</v>
      </c>
      <c r="G219" s="58">
        <f>G13</f>
        <v>2018</v>
      </c>
      <c r="H219" s="58">
        <f>H13</f>
        <v>2019</v>
      </c>
      <c r="I219" s="58">
        <f>I13</f>
        <v>2020</v>
      </c>
      <c r="J219" s="58">
        <f>J13</f>
        <v>2021</v>
      </c>
    </row>
    <row r="220" spans="2:10">
      <c r="B220" s="24" t="str">
        <f>B14</f>
        <v>Fiscal year end date</v>
      </c>
      <c r="C220" s="59">
        <f>C14</f>
        <v>41910</v>
      </c>
      <c r="D220" s="59">
        <f>D14</f>
        <v>42274</v>
      </c>
      <c r="E220" s="59">
        <f>E14</f>
        <v>42645</v>
      </c>
      <c r="F220" s="59">
        <f>F14</f>
        <v>43039</v>
      </c>
      <c r="G220" s="59">
        <f>G14</f>
        <v>43404</v>
      </c>
      <c r="H220" s="59">
        <f>H14</f>
        <v>43769</v>
      </c>
      <c r="I220" s="59">
        <f>I14</f>
        <v>44135</v>
      </c>
      <c r="J220" s="59">
        <f>J14</f>
        <v>44500</v>
      </c>
    </row>
    <row r="221" spans="2:10">
      <c r="B221" s="20"/>
    </row>
    <row r="222" spans="2:10">
      <c r="B222" s="35" t="s">
        <v>113</v>
      </c>
    </row>
    <row r="223" spans="2:10">
      <c r="B223" s="47" t="s">
        <v>69</v>
      </c>
      <c r="F223" s="61">
        <f>E226</f>
        <v>5949.8</v>
      </c>
      <c r="G223" s="61">
        <f ca="1">F226</f>
        <v>7904.9143446025482</v>
      </c>
      <c r="H223" s="61">
        <f ca="1">G226</f>
        <v>10146.057689940128</v>
      </c>
      <c r="I223" s="61">
        <f ca="1">H226</f>
        <v>12400.562222263929</v>
      </c>
      <c r="J223" s="61">
        <f ca="1">I226</f>
        <v>15206.190453840678</v>
      </c>
    </row>
    <row r="224" spans="2:10">
      <c r="B224" s="90" t="s">
        <v>114</v>
      </c>
      <c r="F224" s="61">
        <f ca="1">F228</f>
        <v>3141.8531506536319</v>
      </c>
      <c r="G224" s="61">
        <f ca="1">G228</f>
        <v>3601.4994723842992</v>
      </c>
      <c r="H224" s="61">
        <f ca="1">H228</f>
        <v>3622.9707936176628</v>
      </c>
      <c r="I224" s="61">
        <f ca="1">I228</f>
        <v>4508.6221785220878</v>
      </c>
      <c r="J224" s="61">
        <f ca="1">J228</f>
        <v>5093.1076996131596</v>
      </c>
    </row>
    <row r="225" spans="2:10">
      <c r="B225" s="90" t="s">
        <v>115</v>
      </c>
      <c r="F225" s="61">
        <f ca="1">F230</f>
        <v>-1186.7388060503572</v>
      </c>
      <c r="G225" s="61">
        <f ca="1">G230</f>
        <v>-1360.3561270707901</v>
      </c>
      <c r="H225" s="61">
        <f ca="1">H230</f>
        <v>-1368.4662610913774</v>
      </c>
      <c r="I225" s="61">
        <f ca="1">I230</f>
        <v>-1702.9939480011442</v>
      </c>
      <c r="J225" s="61">
        <f ca="1">J230</f>
        <v>-1923.7654532858633</v>
      </c>
    </row>
    <row r="226" spans="2:10">
      <c r="B226" s="47" t="s">
        <v>71</v>
      </c>
      <c r="D226" s="61">
        <f>D76</f>
        <v>5974.8</v>
      </c>
      <c r="E226" s="61">
        <f>E76</f>
        <v>5949.8</v>
      </c>
      <c r="F226" s="61">
        <f ca="1">SUM(F223:F225)</f>
        <v>7904.9143446032749</v>
      </c>
      <c r="G226" s="61">
        <f ca="1">SUM(G223:G225)</f>
        <v>10146.057689916057</v>
      </c>
      <c r="H226" s="61">
        <f ca="1">SUM(H223:H225)</f>
        <v>12400.562222466415</v>
      </c>
      <c r="I226" s="61">
        <f ca="1">SUM(I223:I225)</f>
        <v>15206.190452784873</v>
      </c>
      <c r="J226" s="61">
        <f ca="1">SUM(J223:J225)</f>
        <v>18375.532700167976</v>
      </c>
    </row>
    <row r="227" spans="2:10">
      <c r="B227" s="20"/>
    </row>
    <row r="228" spans="2:10">
      <c r="B228" s="51" t="s">
        <v>22</v>
      </c>
      <c r="C228" s="61">
        <f>C28</f>
        <v>2067.6999999999994</v>
      </c>
      <c r="D228" s="61">
        <f>D28</f>
        <v>2759.3000000000011</v>
      </c>
      <c r="E228" s="61">
        <f>E28</f>
        <v>2818.9000000000005</v>
      </c>
      <c r="F228" s="61">
        <f ca="1">F28</f>
        <v>3141.8531506534109</v>
      </c>
      <c r="G228" s="61">
        <f ca="1">G28</f>
        <v>3601.499472389487</v>
      </c>
      <c r="H228" s="61">
        <f ca="1">H28</f>
        <v>3622.9707935709657</v>
      </c>
      <c r="I228" s="61">
        <f ca="1">I28</f>
        <v>4508.6221785509206</v>
      </c>
      <c r="J228" s="61">
        <f ca="1">J28</f>
        <v>5093.1076998075459</v>
      </c>
    </row>
    <row r="229" spans="2:10">
      <c r="B229" s="47" t="s">
        <v>116</v>
      </c>
      <c r="C229" s="14">
        <f>-(C230/C228)</f>
        <v>0.37872998984378792</v>
      </c>
      <c r="D229" s="14">
        <f>-(D230/D228)</f>
        <v>0.33653462834776926</v>
      </c>
      <c r="E229" s="14">
        <f>-(E230/E228)</f>
        <v>0.41789350455851565</v>
      </c>
      <c r="F229" s="62">
        <f>AVERAGE(C229:E229)</f>
        <v>0.37771937425002428</v>
      </c>
      <c r="G229" s="62">
        <f>F229</f>
        <v>0.37771937425002428</v>
      </c>
      <c r="H229" s="62">
        <f t="shared" ref="H229:J229" si="63">G229</f>
        <v>0.37771937425002428</v>
      </c>
      <c r="I229" s="62">
        <f t="shared" si="63"/>
        <v>0.37771937425002428</v>
      </c>
      <c r="J229" s="62">
        <f t="shared" si="63"/>
        <v>0.37771937425002428</v>
      </c>
    </row>
    <row r="230" spans="2:10">
      <c r="B230" s="51" t="s">
        <v>117</v>
      </c>
      <c r="C230" s="96">
        <v>-783.1</v>
      </c>
      <c r="D230" s="96">
        <v>-928.6</v>
      </c>
      <c r="E230" s="96">
        <v>-1178</v>
      </c>
      <c r="F230" s="61">
        <f ca="1">-(F229*F228)</f>
        <v>-1186.7388060502735</v>
      </c>
      <c r="G230" s="61">
        <f ca="1">-(G229*G228)</f>
        <v>-1360.3561270727496</v>
      </c>
      <c r="H230" s="61">
        <f ca="1">-(H229*H228)</f>
        <v>-1368.4662610737391</v>
      </c>
      <c r="I230" s="61">
        <f ca="1">-(I229*I228)</f>
        <v>-1702.9939480120349</v>
      </c>
      <c r="J230" s="61">
        <f ca="1">-(J229*J228)</f>
        <v>-1923.7654533592868</v>
      </c>
    </row>
    <row r="231" spans="2:10">
      <c r="B231" s="20"/>
    </row>
    <row r="232" spans="2:10">
      <c r="B232" s="103" t="s">
        <v>59</v>
      </c>
    </row>
    <row r="233" spans="2:10">
      <c r="B233" s="47" t="s">
        <v>69</v>
      </c>
      <c r="F233" s="61">
        <f>E235</f>
        <v>-108.4</v>
      </c>
      <c r="G233" s="61">
        <f>F235</f>
        <v>-108.4</v>
      </c>
      <c r="H233" s="61">
        <f>G235</f>
        <v>-108.4</v>
      </c>
      <c r="I233" s="61">
        <f>H235</f>
        <v>-108.4</v>
      </c>
      <c r="J233" s="61">
        <f>I235</f>
        <v>-108.4</v>
      </c>
    </row>
    <row r="234" spans="2:10">
      <c r="B234" s="90" t="s">
        <v>118</v>
      </c>
      <c r="F234" s="96">
        <v>0</v>
      </c>
      <c r="G234" s="96">
        <v>0</v>
      </c>
      <c r="H234" s="96">
        <v>0</v>
      </c>
      <c r="I234" s="96">
        <v>0</v>
      </c>
      <c r="J234" s="96">
        <v>0</v>
      </c>
    </row>
    <row r="235" spans="2:10">
      <c r="B235" s="47" t="s">
        <v>71</v>
      </c>
      <c r="D235" s="61">
        <f>D77</f>
        <v>-199.4</v>
      </c>
      <c r="E235" s="61">
        <f>E77</f>
        <v>-108.4</v>
      </c>
      <c r="F235" s="61">
        <f>SUM(F233:F234)</f>
        <v>-108.4</v>
      </c>
      <c r="G235" s="61">
        <f>SUM(G233:G234)</f>
        <v>-108.4</v>
      </c>
      <c r="H235" s="61">
        <f>SUM(H233:H234)</f>
        <v>-108.4</v>
      </c>
      <c r="I235" s="61">
        <f>SUM(I233:I234)</f>
        <v>-108.4</v>
      </c>
      <c r="J235" s="61">
        <f>SUM(J233:J234)</f>
        <v>-108.4</v>
      </c>
    </row>
    <row r="236" spans="2:10">
      <c r="E236" s="61"/>
    </row>
    <row r="237" spans="2:10">
      <c r="B237" s="22" t="s">
        <v>119</v>
      </c>
      <c r="C237" s="29"/>
      <c r="D237" s="29"/>
      <c r="E237" s="29"/>
      <c r="F237" s="29"/>
      <c r="G237" s="29"/>
      <c r="H237" s="29"/>
      <c r="I237" s="29"/>
      <c r="J237" s="29"/>
    </row>
    <row r="238" spans="2:10">
      <c r="B238" s="64" t="str">
        <f>B13</f>
        <v xml:space="preserve">Fiscal year  </v>
      </c>
      <c r="C238" s="57"/>
      <c r="D238" s="57">
        <f>D13</f>
        <v>2015</v>
      </c>
      <c r="E238" s="57">
        <f>E13</f>
        <v>2016</v>
      </c>
      <c r="F238" s="58">
        <f>F13</f>
        <v>2017</v>
      </c>
      <c r="G238" s="58">
        <f>G13</f>
        <v>2018</v>
      </c>
      <c r="H238" s="58">
        <f>H13</f>
        <v>2019</v>
      </c>
      <c r="I238" s="58">
        <f>I13</f>
        <v>2020</v>
      </c>
      <c r="J238" s="58">
        <f>J13</f>
        <v>2021</v>
      </c>
    </row>
    <row r="239" spans="2:10">
      <c r="B239" s="24" t="str">
        <f>B14</f>
        <v>Fiscal year end date</v>
      </c>
      <c r="C239" s="59"/>
      <c r="D239" s="59">
        <f>D14</f>
        <v>42274</v>
      </c>
      <c r="E239" s="59">
        <f>E14</f>
        <v>42645</v>
      </c>
      <c r="F239" s="59">
        <f>F14</f>
        <v>43039</v>
      </c>
      <c r="G239" s="59">
        <f>G14</f>
        <v>43404</v>
      </c>
      <c r="H239" s="59">
        <f>H14</f>
        <v>43769</v>
      </c>
      <c r="I239" s="59">
        <f>I14</f>
        <v>44135</v>
      </c>
      <c r="J239" s="59">
        <f>J14</f>
        <v>44500</v>
      </c>
    </row>
    <row r="241" spans="2:10">
      <c r="B241" s="20" t="s">
        <v>22</v>
      </c>
      <c r="C241" s="104"/>
      <c r="D241" s="104"/>
      <c r="E241" s="104"/>
      <c r="F241" s="38">
        <f ca="1">F28</f>
        <v>3141.8531506534109</v>
      </c>
      <c r="G241" s="38">
        <f ca="1">G28</f>
        <v>3601.499472389487</v>
      </c>
      <c r="H241" s="38">
        <f ca="1">H28</f>
        <v>3622.9707935709657</v>
      </c>
      <c r="I241" s="38">
        <f ca="1">I28</f>
        <v>4508.6221785509206</v>
      </c>
      <c r="J241" s="38">
        <f ca="1">J28</f>
        <v>5093.1076998075459</v>
      </c>
    </row>
    <row r="242" spans="2:10">
      <c r="B242" s="20" t="s">
        <v>120</v>
      </c>
      <c r="C242" s="104"/>
      <c r="D242" s="104"/>
      <c r="E242" s="104"/>
      <c r="F242" s="79">
        <f ca="1">F47</f>
        <v>1102.0749071230769</v>
      </c>
      <c r="G242" s="79">
        <f ca="1">G47</f>
        <v>1171.3886895991541</v>
      </c>
      <c r="H242" s="79">
        <f ca="1">H47</f>
        <v>1362.1216253743319</v>
      </c>
      <c r="I242" s="79">
        <f ca="1">I47</f>
        <v>1477.1209965052913</v>
      </c>
      <c r="J242" s="79">
        <f ca="1">J47</f>
        <v>1565.0386762257147</v>
      </c>
    </row>
    <row r="243" spans="2:10">
      <c r="B243" s="20" t="s">
        <v>37</v>
      </c>
      <c r="C243" s="104"/>
      <c r="D243" s="104"/>
      <c r="E243" s="104"/>
      <c r="F243" s="38">
        <f ca="1">F204</f>
        <v>240.8319628560927</v>
      </c>
      <c r="G243" s="38">
        <f ca="1">G204</f>
        <v>262.45523266395764</v>
      </c>
      <c r="H243" s="38">
        <f ca="1">H204</f>
        <v>295.70893164489956</v>
      </c>
      <c r="I243" s="38">
        <f ca="1">I204</f>
        <v>315.37483623419502</v>
      </c>
      <c r="J243" s="38">
        <f ca="1">J204</f>
        <v>344.73322237107175</v>
      </c>
    </row>
    <row r="244" spans="2:10">
      <c r="B244" s="20" t="s">
        <v>42</v>
      </c>
      <c r="C244" s="38"/>
      <c r="D244" s="38"/>
      <c r="E244" s="38"/>
      <c r="F244" s="38">
        <f ca="1">-(F97)</f>
        <v>-66.474071266053215</v>
      </c>
      <c r="G244" s="38">
        <f ca="1">-(G97)</f>
        <v>-85.197955269137424</v>
      </c>
      <c r="H244" s="38">
        <f ca="1">-(H97)</f>
        <v>-93.888146706589623</v>
      </c>
      <c r="I244" s="38">
        <f ca="1">-(I97)</f>
        <v>-101.43601732417812</v>
      </c>
      <c r="J244" s="38">
        <f ca="1">-(J97)</f>
        <v>-111.5796190565959</v>
      </c>
    </row>
    <row r="245" spans="2:10">
      <c r="B245" s="20" t="s">
        <v>43</v>
      </c>
      <c r="E245" s="61"/>
      <c r="F245" s="38">
        <f ca="1">-(F105)</f>
        <v>-88.587236447043324</v>
      </c>
      <c r="G245" s="38">
        <f ca="1">-(G105)</f>
        <v>-116.64840557546313</v>
      </c>
      <c r="H245" s="38">
        <f ca="1">-(H105)</f>
        <v>-125.18110470486226</v>
      </c>
      <c r="I245" s="38">
        <f ca="1">-(I105)</f>
        <v>-130.89575081316048</v>
      </c>
      <c r="J245" s="38">
        <f ca="1">-(J105)</f>
        <v>-139.98573350851871</v>
      </c>
    </row>
    <row r="246" spans="2:10">
      <c r="B246" s="20" t="s">
        <v>50</v>
      </c>
      <c r="F246" s="38">
        <f ca="1">F113</f>
        <v>42.273024525303981</v>
      </c>
      <c r="G246" s="38">
        <f ca="1">G113</f>
        <v>61.451291909195675</v>
      </c>
      <c r="H246" s="38">
        <f ca="1">H113</f>
        <v>65.946384511510246</v>
      </c>
      <c r="I246" s="38">
        <f ca="1">I113</f>
        <v>68.956904753311619</v>
      </c>
      <c r="J246" s="38">
        <f ca="1">J113</f>
        <v>73.745578694513711</v>
      </c>
    </row>
    <row r="247" spans="2:10">
      <c r="B247" s="20" t="s">
        <v>79</v>
      </c>
      <c r="F247" s="38">
        <f ca="1">F121</f>
        <v>140.34652469380626</v>
      </c>
      <c r="G247" s="38">
        <f ca="1">G121</f>
        <v>337.68594551876868</v>
      </c>
      <c r="H247" s="38">
        <f ca="1">H121</f>
        <v>372.12991196168286</v>
      </c>
      <c r="I247" s="38">
        <f ca="1">I121</f>
        <v>402.04623821742553</v>
      </c>
      <c r="J247" s="38">
        <f ca="1">J121</f>
        <v>442.25086203916908</v>
      </c>
    </row>
    <row r="248" spans="2:10">
      <c r="B248" s="20" t="s">
        <v>45</v>
      </c>
      <c r="F248" s="38">
        <f>-(F163)</f>
        <v>0</v>
      </c>
      <c r="G248" s="38">
        <f>-(G163)</f>
        <v>0</v>
      </c>
      <c r="H248" s="38">
        <f>-(H163)</f>
        <v>0</v>
      </c>
      <c r="I248" s="38">
        <f>-(I163)</f>
        <v>0</v>
      </c>
      <c r="J248" s="38">
        <f>-(J163)</f>
        <v>0</v>
      </c>
    </row>
    <row r="249" spans="2:10">
      <c r="B249" s="37" t="s">
        <v>94</v>
      </c>
      <c r="F249" s="38">
        <f>-(F168)</f>
        <v>0</v>
      </c>
      <c r="G249" s="38">
        <f>-(G168)</f>
        <v>0</v>
      </c>
      <c r="H249" s="38">
        <f>-(H168)</f>
        <v>0</v>
      </c>
      <c r="I249" s="38">
        <f>-(I168)</f>
        <v>0</v>
      </c>
      <c r="J249" s="38">
        <f>-(J168)</f>
        <v>0</v>
      </c>
    </row>
    <row r="250" spans="2:10">
      <c r="B250" s="37" t="s">
        <v>48</v>
      </c>
      <c r="F250" s="38">
        <f>-(F173)</f>
        <v>0</v>
      </c>
      <c r="G250" s="38">
        <f>-(G173)</f>
        <v>0</v>
      </c>
      <c r="H250" s="38">
        <f>-(H173)</f>
        <v>0</v>
      </c>
      <c r="I250" s="38">
        <f>-(I173)</f>
        <v>0</v>
      </c>
      <c r="J250" s="38">
        <f>-(J173)</f>
        <v>0</v>
      </c>
    </row>
    <row r="251" spans="2:10">
      <c r="B251" s="20" t="s">
        <v>95</v>
      </c>
      <c r="F251" s="38">
        <f>F178</f>
        <v>0</v>
      </c>
      <c r="G251" s="38">
        <f>G178</f>
        <v>0</v>
      </c>
      <c r="H251" s="38">
        <f>H178</f>
        <v>0</v>
      </c>
      <c r="I251" s="38">
        <f>I178</f>
        <v>0</v>
      </c>
      <c r="J251" s="38">
        <f>J178</f>
        <v>0</v>
      </c>
    </row>
    <row r="252" spans="2:10">
      <c r="B252" s="20" t="s">
        <v>121</v>
      </c>
      <c r="F252" s="38">
        <f>F188</f>
        <v>0</v>
      </c>
      <c r="G252" s="38">
        <f>G188</f>
        <v>0</v>
      </c>
      <c r="H252" s="38">
        <f>H188</f>
        <v>0</v>
      </c>
      <c r="I252" s="38">
        <f>I188</f>
        <v>0</v>
      </c>
      <c r="J252" s="38">
        <f>J188</f>
        <v>0</v>
      </c>
    </row>
    <row r="253" spans="2:10">
      <c r="B253" s="35" t="s">
        <v>122</v>
      </c>
      <c r="F253" s="105">
        <f ca="1">SUM(F241:F252)</f>
        <v>4512.3182621385949</v>
      </c>
      <c r="G253" s="105">
        <f ca="1">SUM(G241:G252)</f>
        <v>5232.6342712359628</v>
      </c>
      <c r="H253" s="105">
        <f ca="1">SUM(H241:H252)</f>
        <v>5499.8083956519386</v>
      </c>
      <c r="I253" s="105">
        <f ca="1">SUM(I241:I252)</f>
        <v>6539.7893861238044</v>
      </c>
      <c r="J253" s="105">
        <f ca="1">SUM(J241:J252)</f>
        <v>7267.3106865729005</v>
      </c>
    </row>
    <row r="254" spans="2:10">
      <c r="B254" s="20"/>
    </row>
    <row r="255" spans="2:10">
      <c r="B255" s="20" t="s">
        <v>123</v>
      </c>
      <c r="F255" s="61">
        <f ca="1">-(F143)</f>
        <v>-1589.1003450000001</v>
      </c>
      <c r="G255" s="61">
        <f ca="1">-(G143)</f>
        <v>-1697.1418863922606</v>
      </c>
      <c r="H255" s="61">
        <f ca="1">-(H143)</f>
        <v>-1736.8288338324423</v>
      </c>
      <c r="I255" s="61">
        <f ca="1">-(I143)</f>
        <v>-1667.9070547121073</v>
      </c>
      <c r="J255" s="61">
        <f ca="1">-(J143)</f>
        <v>-1701.2651958063495</v>
      </c>
    </row>
    <row r="256" spans="2:10">
      <c r="B256" s="20" t="s">
        <v>124</v>
      </c>
      <c r="F256" s="61">
        <f>-(F131)</f>
        <v>0</v>
      </c>
      <c r="G256" s="61">
        <f>-(G131)</f>
        <v>0</v>
      </c>
      <c r="H256" s="61">
        <f>-(H131)</f>
        <v>0</v>
      </c>
      <c r="I256" s="61">
        <f>-(I131)</f>
        <v>0</v>
      </c>
      <c r="J256" s="61">
        <f>-(J131)</f>
        <v>0</v>
      </c>
    </row>
    <row r="257" spans="2:10">
      <c r="B257" s="35" t="s">
        <v>125</v>
      </c>
      <c r="F257" s="106">
        <f ca="1">SUM(F255:F256)</f>
        <v>-1589.1003450000001</v>
      </c>
      <c r="G257" s="106">
        <f ca="1">SUM(G255:G256)</f>
        <v>-1697.1418863922606</v>
      </c>
      <c r="H257" s="106">
        <f ca="1">SUM(H255:H256)</f>
        <v>-1736.8288338324423</v>
      </c>
      <c r="I257" s="106">
        <f ca="1">SUM(I255:I256)</f>
        <v>-1667.9070547121073</v>
      </c>
      <c r="J257" s="106">
        <f ca="1">SUM(J255:J256)</f>
        <v>-1701.2651958063495</v>
      </c>
    </row>
    <row r="258" spans="2:10">
      <c r="B258" s="20"/>
    </row>
    <row r="259" spans="2:10">
      <c r="B259" s="20" t="s">
        <v>53</v>
      </c>
      <c r="F259" s="61">
        <f>F187</f>
        <v>-400</v>
      </c>
      <c r="G259" s="61">
        <f>G187</f>
        <v>0</v>
      </c>
      <c r="H259" s="61">
        <f>H187</f>
        <v>-350</v>
      </c>
      <c r="I259" s="61">
        <f>I187</f>
        <v>0</v>
      </c>
      <c r="J259" s="61">
        <f>J187</f>
        <v>-750</v>
      </c>
    </row>
    <row r="260" spans="2:10">
      <c r="B260" s="20" t="s">
        <v>117</v>
      </c>
      <c r="F260" s="61">
        <f ca="1">F225</f>
        <v>-1186.7388060503572</v>
      </c>
      <c r="G260" s="61">
        <f ca="1">G225</f>
        <v>-1360.3561270707901</v>
      </c>
      <c r="H260" s="61">
        <f ca="1">H225</f>
        <v>-1368.4662610913774</v>
      </c>
      <c r="I260" s="61">
        <f ca="1">I225</f>
        <v>-1702.9939480011442</v>
      </c>
      <c r="J260" s="61">
        <f ca="1">J225</f>
        <v>-1923.7654532858633</v>
      </c>
    </row>
    <row r="261" spans="2:10">
      <c r="B261" s="37" t="s">
        <v>126</v>
      </c>
      <c r="F261" s="61">
        <f>F203</f>
        <v>164.06666666666666</v>
      </c>
      <c r="G261" s="61">
        <f>G203</f>
        <v>164.06666666666666</v>
      </c>
      <c r="H261" s="61">
        <f>H203</f>
        <v>164.06666666666666</v>
      </c>
      <c r="I261" s="61">
        <f>I203</f>
        <v>164.06666666666666</v>
      </c>
      <c r="J261" s="61">
        <f>J203</f>
        <v>164.06666666666666</v>
      </c>
    </row>
    <row r="262" spans="2:10">
      <c r="B262" s="37" t="s">
        <v>127</v>
      </c>
      <c r="F262" s="41">
        <f>F213</f>
        <v>-1715.85</v>
      </c>
      <c r="G262" s="41">
        <f>G213</f>
        <v>-1715.85</v>
      </c>
      <c r="H262" s="41">
        <f>H213</f>
        <v>-1715.85</v>
      </c>
      <c r="I262" s="41">
        <f>I213</f>
        <v>-1715.85</v>
      </c>
      <c r="J262" s="41">
        <f>J213</f>
        <v>-1715.85</v>
      </c>
    </row>
    <row r="263" spans="2:10">
      <c r="B263" s="37" t="s">
        <v>59</v>
      </c>
      <c r="F263" s="61">
        <f>F234</f>
        <v>0</v>
      </c>
      <c r="G263" s="61">
        <f>G234</f>
        <v>0</v>
      </c>
      <c r="H263" s="61">
        <f>H234</f>
        <v>0</v>
      </c>
      <c r="I263" s="61">
        <f>I234</f>
        <v>0</v>
      </c>
      <c r="J263" s="61">
        <f>J234</f>
        <v>0</v>
      </c>
    </row>
    <row r="264" spans="2:10">
      <c r="B264" s="20" t="s">
        <v>52</v>
      </c>
      <c r="F264" s="38">
        <f ca="1">F275</f>
        <v>0</v>
      </c>
      <c r="G264" s="38">
        <f ca="1">G275</f>
        <v>0</v>
      </c>
      <c r="H264" s="38">
        <f ca="1">H275</f>
        <v>0</v>
      </c>
      <c r="I264" s="38">
        <f ca="1">I275</f>
        <v>0</v>
      </c>
      <c r="J264" s="38">
        <f ca="1">J275</f>
        <v>0</v>
      </c>
    </row>
    <row r="265" spans="2:10">
      <c r="B265" s="35" t="s">
        <v>128</v>
      </c>
      <c r="F265" s="106">
        <f ca="1">SUM(F259:F264)</f>
        <v>-3138.5221393836905</v>
      </c>
      <c r="G265" s="106">
        <f ca="1">SUM(G259:G264)</f>
        <v>-2912.1394604041234</v>
      </c>
      <c r="H265" s="106">
        <f ca="1">SUM(H259:H264)</f>
        <v>-3270.2495944247107</v>
      </c>
      <c r="I265" s="106">
        <f ca="1">SUM(I259:I264)</f>
        <v>-3254.7772813344773</v>
      </c>
      <c r="J265" s="106">
        <f ca="1">SUM(J259:J264)</f>
        <v>-4225.5487866191961</v>
      </c>
    </row>
    <row r="267" spans="2:10">
      <c r="B267" s="44" t="s">
        <v>129</v>
      </c>
      <c r="F267" s="106">
        <f ca="1">F253+F257+F265</f>
        <v>-215.30422224509539</v>
      </c>
      <c r="G267" s="106">
        <f ca="1">G253+G257+G265</f>
        <v>623.3529244395786</v>
      </c>
      <c r="H267" s="106">
        <f ca="1">H253+H257+H265</f>
        <v>492.72996739478549</v>
      </c>
      <c r="I267" s="106">
        <f ca="1">I253+I257+I265</f>
        <v>1617.1050500772199</v>
      </c>
      <c r="J267" s="106">
        <f ca="1">J253+J257+J265</f>
        <v>1340.4967041473546</v>
      </c>
    </row>
    <row r="269" spans="2:10">
      <c r="B269" s="22" t="s">
        <v>130</v>
      </c>
      <c r="C269" s="24"/>
      <c r="D269" s="24"/>
      <c r="E269" s="24"/>
      <c r="F269" s="24"/>
      <c r="G269" s="24"/>
      <c r="H269" s="24"/>
      <c r="I269" s="24"/>
      <c r="J269" s="24"/>
    </row>
    <row r="270" spans="2:10">
      <c r="B270" s="64" t="str">
        <f>B13</f>
        <v xml:space="preserve">Fiscal year  </v>
      </c>
      <c r="C270" s="57"/>
      <c r="D270" s="57">
        <f>D13</f>
        <v>2015</v>
      </c>
      <c r="E270" s="57">
        <f>E13</f>
        <v>2016</v>
      </c>
      <c r="F270" s="58">
        <f>F13</f>
        <v>2017</v>
      </c>
      <c r="G270" s="58">
        <f>G13</f>
        <v>2018</v>
      </c>
      <c r="H270" s="58">
        <f>H13</f>
        <v>2019</v>
      </c>
      <c r="I270" s="58">
        <f>I13</f>
        <v>2020</v>
      </c>
      <c r="J270" s="58">
        <f>J13</f>
        <v>2021</v>
      </c>
    </row>
    <row r="271" spans="2:10">
      <c r="B271" s="24" t="str">
        <f>B14</f>
        <v>Fiscal year end date</v>
      </c>
      <c r="C271" s="59"/>
      <c r="D271" s="59">
        <f>D14</f>
        <v>42274</v>
      </c>
      <c r="E271" s="59">
        <f>E14</f>
        <v>42645</v>
      </c>
      <c r="F271" s="59">
        <f>F14</f>
        <v>43039</v>
      </c>
      <c r="G271" s="59">
        <f>G14</f>
        <v>43404</v>
      </c>
      <c r="H271" s="59">
        <f>H14</f>
        <v>43769</v>
      </c>
      <c r="I271" s="59">
        <f>I14</f>
        <v>44135</v>
      </c>
      <c r="J271" s="59">
        <f>J14</f>
        <v>44500</v>
      </c>
    </row>
    <row r="272" spans="2:10">
      <c r="B272" s="35"/>
    </row>
    <row r="273" spans="2:10">
      <c r="B273" s="35" t="s">
        <v>52</v>
      </c>
    </row>
    <row r="274" spans="2:10">
      <c r="B274" s="47" t="s">
        <v>69</v>
      </c>
      <c r="F274" s="61">
        <f>E276</f>
        <v>0</v>
      </c>
      <c r="G274" s="61">
        <f ca="1">F276</f>
        <v>0</v>
      </c>
      <c r="H274" s="61">
        <f ca="1">G276</f>
        <v>0</v>
      </c>
      <c r="I274" s="61">
        <f ca="1">H276</f>
        <v>0</v>
      </c>
      <c r="J274" s="61">
        <f ca="1">I276</f>
        <v>0</v>
      </c>
    </row>
    <row r="275" spans="2:10">
      <c r="B275" s="90" t="s">
        <v>70</v>
      </c>
      <c r="F275" s="61">
        <f ca="1">-MIN(F286,F274)</f>
        <v>0</v>
      </c>
      <c r="G275" s="61">
        <f ca="1">-MIN(G286,G274)</f>
        <v>0</v>
      </c>
      <c r="H275" s="61">
        <f ca="1">-MIN(H286,H274)</f>
        <v>0</v>
      </c>
      <c r="I275" s="61">
        <f ca="1">-MIN(I286,I274)</f>
        <v>0</v>
      </c>
      <c r="J275" s="61">
        <f ca="1">-MIN(J286,J274)</f>
        <v>0</v>
      </c>
    </row>
    <row r="276" spans="2:10">
      <c r="B276" s="47" t="s">
        <v>71</v>
      </c>
      <c r="D276" s="61">
        <f>D68</f>
        <v>0</v>
      </c>
      <c r="E276" s="61">
        <f>E68</f>
        <v>0</v>
      </c>
      <c r="F276" s="61">
        <f ca="1">SUM(F274:F275)</f>
        <v>0</v>
      </c>
      <c r="G276" s="61">
        <f ca="1">SUM(G274:G275)</f>
        <v>0</v>
      </c>
      <c r="H276" s="61">
        <f ca="1">SUM(H274:H275)</f>
        <v>0</v>
      </c>
      <c r="I276" s="61">
        <f ca="1">SUM(I274:I275)</f>
        <v>0</v>
      </c>
      <c r="J276" s="61">
        <f ca="1">SUM(J274:J275)</f>
        <v>0</v>
      </c>
    </row>
    <row r="277" spans="2:10">
      <c r="B277" s="47"/>
    </row>
    <row r="278" spans="2:10">
      <c r="B278" s="47" t="s">
        <v>131</v>
      </c>
      <c r="F278" s="61">
        <f ca="1">F56+F57</f>
        <v>2302.3613077130967</v>
      </c>
      <c r="G278" s="61">
        <f ca="1">G56+G57</f>
        <v>2504.2076685576972</v>
      </c>
      <c r="H278" s="61">
        <f ca="1">H56+H57</f>
        <v>2723.2769199691488</v>
      </c>
      <c r="I278" s="61">
        <f ca="1">I56+I57</f>
        <v>2955.6086881064875</v>
      </c>
      <c r="J278" s="61">
        <f ca="1">J56+J57</f>
        <v>3207.1740406716021</v>
      </c>
    </row>
    <row r="279" spans="2:10">
      <c r="B279" s="47" t="s">
        <v>132</v>
      </c>
      <c r="F279" s="17" t="str">
        <f ca="1">IF(F276&gt;F278,"OVERDRAWN","OK")</f>
        <v>OK</v>
      </c>
      <c r="G279" s="17" t="str">
        <f ca="1">IF(G276&gt;G278,"OVERDRAWN","OK")</f>
        <v>OK</v>
      </c>
      <c r="H279" s="17" t="str">
        <f ca="1">IF(H276&gt;H278,"OVERDRAWN","OK")</f>
        <v>OK</v>
      </c>
      <c r="I279" s="17" t="str">
        <f ca="1">IF(I276&gt;I278,"OVERDRAWN","OK")</f>
        <v>OK</v>
      </c>
      <c r="J279" s="17" t="str">
        <f ca="1">IF(J276&gt;J278,"OVERDRAWN","OK")</f>
        <v>OK</v>
      </c>
    </row>
    <row r="280" spans="2:10">
      <c r="B280" s="20"/>
    </row>
    <row r="281" spans="2:10">
      <c r="B281" s="107" t="s">
        <v>133</v>
      </c>
    </row>
    <row r="282" spans="2:10">
      <c r="B282" s="47" t="s">
        <v>69</v>
      </c>
      <c r="F282" s="61">
        <f>E55</f>
        <v>3404.9000000000005</v>
      </c>
      <c r="G282" s="61">
        <f ca="1">F55</f>
        <v>3189.5957777555664</v>
      </c>
      <c r="H282" s="61">
        <f ca="1">G55</f>
        <v>3812.9487021781251</v>
      </c>
      <c r="I282" s="61">
        <f ca="1">H55</f>
        <v>4305.6786696801646</v>
      </c>
      <c r="J282" s="61">
        <f ca="1">I55</f>
        <v>5922.7837196953105</v>
      </c>
    </row>
    <row r="283" spans="2:10">
      <c r="B283" s="47" t="s">
        <v>134</v>
      </c>
      <c r="F283" s="96">
        <v>250</v>
      </c>
      <c r="G283" s="96">
        <v>250</v>
      </c>
      <c r="H283" s="96">
        <v>250</v>
      </c>
      <c r="I283" s="96">
        <v>250</v>
      </c>
      <c r="J283" s="96">
        <v>250</v>
      </c>
    </row>
    <row r="284" spans="2:10">
      <c r="B284" s="47" t="s">
        <v>135</v>
      </c>
      <c r="F284" s="61">
        <f>F282-F283</f>
        <v>3154.9000000000005</v>
      </c>
      <c r="G284" s="61">
        <f ca="1">G282-G283</f>
        <v>2939.5957777555664</v>
      </c>
      <c r="H284" s="61">
        <f ca="1">H282-H283</f>
        <v>3562.9487021781251</v>
      </c>
      <c r="I284" s="61">
        <f ca="1">I282-I283</f>
        <v>4055.6786696801646</v>
      </c>
      <c r="J284" s="61">
        <f ca="1">J282-J283</f>
        <v>5672.7837196953105</v>
      </c>
    </row>
    <row r="285" spans="2:10">
      <c r="B285" s="47" t="s">
        <v>136</v>
      </c>
      <c r="F285" s="61">
        <f ca="1">SUM(F253,F257,F259:F263)</f>
        <v>-215.30422224509539</v>
      </c>
      <c r="G285" s="61">
        <f ca="1">SUM(G253,G257,G259:G263)</f>
        <v>623.3529244395786</v>
      </c>
      <c r="H285" s="61">
        <f ca="1">SUM(H253,H257,H259:H263)</f>
        <v>492.72996739478549</v>
      </c>
      <c r="I285" s="61">
        <f ca="1">SUM(I253,I257,I259:I263)</f>
        <v>1617.1050500772194</v>
      </c>
      <c r="J285" s="61">
        <f ca="1">SUM(J253,J257,J259:J263)</f>
        <v>1340.4967041473542</v>
      </c>
    </row>
    <row r="286" spans="2:10">
      <c r="B286" s="108" t="s">
        <v>137</v>
      </c>
      <c r="F286" s="61">
        <f ca="1">SUM(F284:F285)</f>
        <v>2939.5957777549052</v>
      </c>
      <c r="G286" s="61">
        <f ca="1">SUM(G284:G285)</f>
        <v>3562.948702195145</v>
      </c>
      <c r="H286" s="61">
        <f ca="1">SUM(H284:H285)</f>
        <v>4055.6786695729106</v>
      </c>
      <c r="I286" s="61">
        <f ca="1">SUM(I284:I285)</f>
        <v>5672.7837197573845</v>
      </c>
      <c r="J286" s="61">
        <f ca="1">SUM(J284:J285)</f>
        <v>7013.2804238426652</v>
      </c>
    </row>
    <row r="287" spans="2:10">
      <c r="B287" s="20"/>
    </row>
    <row r="288" spans="2:10">
      <c r="B288" s="47" t="s">
        <v>138</v>
      </c>
      <c r="F288" s="100">
        <v>0.02</v>
      </c>
      <c r="G288" s="100">
        <v>0.02</v>
      </c>
      <c r="H288" s="100">
        <v>0.02</v>
      </c>
      <c r="I288" s="100">
        <v>0.02</v>
      </c>
      <c r="J288" s="100">
        <v>0.02</v>
      </c>
    </row>
    <row r="289" spans="2:10">
      <c r="B289" s="47" t="s">
        <v>139</v>
      </c>
      <c r="F289" s="41">
        <f ca="1">IF($C$10="OFF",F288*AVERAGE(F274,F276),0)</f>
        <v>0</v>
      </c>
      <c r="G289" s="41">
        <f ca="1">IF($C$10="OFF",G288*AVERAGE(G274,G276),0)</f>
        <v>0</v>
      </c>
      <c r="H289" s="41">
        <f ca="1">IF($C$10="OFF",H288*AVERAGE(H274,H276),0)</f>
        <v>0</v>
      </c>
      <c r="I289" s="41">
        <f ca="1">IF($C$10="OFF",I288*AVERAGE(I274,I276),0)</f>
        <v>0</v>
      </c>
      <c r="J289" s="41">
        <f ca="1">IF($C$10="OFF",J288*AVERAGE(J274,J276),0)</f>
        <v>0</v>
      </c>
    </row>
    <row r="291" spans="2:10">
      <c r="B291" s="72" t="s">
        <v>140</v>
      </c>
    </row>
    <row r="292" spans="2:10">
      <c r="B292" s="47" t="s">
        <v>69</v>
      </c>
      <c r="F292" s="61">
        <f>E294</f>
        <v>3404.9000000000005</v>
      </c>
      <c r="G292" s="61">
        <f ca="1">F294</f>
        <v>3189.5957777516192</v>
      </c>
      <c r="H292" s="61">
        <f ca="1">G294</f>
        <v>3812.9487022550061</v>
      </c>
      <c r="I292" s="61">
        <f ca="1">H294</f>
        <v>4305.6786693188533</v>
      </c>
      <c r="J292" s="61">
        <f ca="1">I294</f>
        <v>5922.7837197867511</v>
      </c>
    </row>
    <row r="293" spans="2:10">
      <c r="B293" s="109" t="s">
        <v>141</v>
      </c>
      <c r="F293" s="61">
        <f ca="1">F294-F292</f>
        <v>-215.30422224838139</v>
      </c>
      <c r="G293" s="61">
        <f ca="1">G294-G292</f>
        <v>623.35292450338693</v>
      </c>
      <c r="H293" s="61">
        <f ca="1">H294-H292</f>
        <v>492.7299670638472</v>
      </c>
      <c r="I293" s="61">
        <f ca="1">I294-I292</f>
        <v>1617.1050504678979</v>
      </c>
      <c r="J293" s="61">
        <f ca="1">J294-J292</f>
        <v>1340.4967062680444</v>
      </c>
    </row>
    <row r="294" spans="2:10">
      <c r="B294" s="47" t="s">
        <v>71</v>
      </c>
      <c r="D294" s="61">
        <f>D55</f>
        <v>1923.8999999999999</v>
      </c>
      <c r="E294" s="61">
        <f>E55</f>
        <v>3404.9000000000005</v>
      </c>
      <c r="F294" s="61">
        <f ca="1">F55</f>
        <v>3189.5957777555664</v>
      </c>
      <c r="G294" s="61">
        <f ca="1">G55</f>
        <v>3812.9487021781251</v>
      </c>
      <c r="H294" s="61">
        <f ca="1">H55</f>
        <v>4305.6786696801646</v>
      </c>
      <c r="I294" s="61">
        <f ca="1">I55</f>
        <v>5922.7837196953105</v>
      </c>
      <c r="J294" s="61">
        <f ca="1">J55</f>
        <v>7263.2804234677933</v>
      </c>
    </row>
    <row r="295" spans="2:10">
      <c r="B295" s="47"/>
    </row>
    <row r="296" spans="2:10">
      <c r="B296" s="47" t="s">
        <v>245</v>
      </c>
      <c r="D296" s="110"/>
      <c r="E296" s="111">
        <f>E297/E294</f>
        <v>3.1718993215659783E-2</v>
      </c>
      <c r="F296" s="112">
        <f>E296</f>
        <v>3.1718993215659783E-2</v>
      </c>
      <c r="G296" s="112">
        <f>F296</f>
        <v>3.1718993215659783E-2</v>
      </c>
      <c r="H296" s="112">
        <f>G296</f>
        <v>3.1718993215659783E-2</v>
      </c>
      <c r="I296" s="112">
        <f>H296</f>
        <v>3.1718993215659783E-2</v>
      </c>
      <c r="J296" s="112">
        <f>I296</f>
        <v>3.1718993215659783E-2</v>
      </c>
    </row>
    <row r="297" spans="2:10">
      <c r="B297" s="47" t="s">
        <v>17</v>
      </c>
      <c r="C297" s="61">
        <f>C23</f>
        <v>142.69999999999999</v>
      </c>
      <c r="D297" s="61">
        <f>D23</f>
        <v>43</v>
      </c>
      <c r="E297" s="61">
        <f>E23</f>
        <v>108</v>
      </c>
      <c r="F297" s="113">
        <f ca="1">IF($C$10="OFF",AVERAGE(F292,F294)*F296,0)</f>
        <v>104.58538341766295</v>
      </c>
      <c r="G297" s="113">
        <f ca="1">IF($C$10="OFF",AVERAGE(G292,G294)*G296,0)</f>
        <v>111.0568304256237</v>
      </c>
      <c r="H297" s="113">
        <f ca="1">IF($C$10="OFF",AVERAGE(H292,H294)*H296,0)</f>
        <v>128.75734326544074</v>
      </c>
      <c r="I297" s="113">
        <f ca="1">IF($C$10="OFF",AVERAGE(I292,I294)*I296,0)</f>
        <v>162.21826456188575</v>
      </c>
      <c r="J297" s="113">
        <f ca="1">IF($C$10="OFF",AVERAGE(J292,J294)*J296,0)</f>
        <v>209.12433955057281</v>
      </c>
    </row>
    <row r="299" spans="2:10">
      <c r="B299" s="22" t="s">
        <v>142</v>
      </c>
      <c r="C299" s="22"/>
      <c r="D299" s="22"/>
      <c r="E299" s="22"/>
      <c r="F299" s="22"/>
      <c r="G299" s="22"/>
      <c r="H299" s="22"/>
      <c r="I299" s="22"/>
      <c r="J299" s="22"/>
    </row>
    <row r="300" spans="2:10">
      <c r="B300" s="64" t="str">
        <f>B13</f>
        <v xml:space="preserve">Fiscal year  </v>
      </c>
      <c r="C300" s="57"/>
      <c r="D300" s="57">
        <f>D13</f>
        <v>2015</v>
      </c>
      <c r="E300" s="57">
        <f>E13</f>
        <v>2016</v>
      </c>
      <c r="F300" s="58">
        <f>F13</f>
        <v>2017</v>
      </c>
      <c r="G300" s="58">
        <f>G13</f>
        <v>2018</v>
      </c>
      <c r="H300" s="58">
        <f>H13</f>
        <v>2019</v>
      </c>
      <c r="I300" s="58">
        <f>I13</f>
        <v>2020</v>
      </c>
      <c r="J300" s="58">
        <f>J13</f>
        <v>2021</v>
      </c>
    </row>
    <row r="301" spans="2:10">
      <c r="B301" s="24" t="str">
        <f>B14</f>
        <v>Fiscal year end date</v>
      </c>
      <c r="C301" s="59"/>
      <c r="D301" s="59">
        <f>D14</f>
        <v>42274</v>
      </c>
      <c r="E301" s="59">
        <f>E14</f>
        <v>42645</v>
      </c>
      <c r="F301" s="59">
        <f>F14</f>
        <v>43039</v>
      </c>
      <c r="G301" s="59">
        <f>G14</f>
        <v>43404</v>
      </c>
      <c r="H301" s="59">
        <f>H14</f>
        <v>43769</v>
      </c>
      <c r="I301" s="59">
        <f>I14</f>
        <v>44135</v>
      </c>
      <c r="J301" s="59">
        <f>J14</f>
        <v>44500</v>
      </c>
    </row>
    <row r="303" spans="2:10">
      <c r="B303" s="35" t="s">
        <v>23</v>
      </c>
    </row>
    <row r="304" spans="2:10">
      <c r="B304" s="20" t="s">
        <v>69</v>
      </c>
      <c r="F304" s="56">
        <f>E307</f>
        <v>1455.4</v>
      </c>
      <c r="G304" s="56">
        <f>F307</f>
        <v>1429.3877363200977</v>
      </c>
      <c r="H304" s="56">
        <f>G307</f>
        <v>1406.8151108127447</v>
      </c>
      <c r="I304" s="56">
        <f>H307</f>
        <v>1386.8393360274765</v>
      </c>
      <c r="J304" s="56">
        <f>I307</f>
        <v>1369.161659226354</v>
      </c>
    </row>
    <row r="305" spans="2:10">
      <c r="B305" s="109" t="s">
        <v>143</v>
      </c>
      <c r="F305" s="219">
        <f>F207/F311</f>
        <v>2.7502198939387785</v>
      </c>
      <c r="G305" s="219">
        <f>G207/G311</f>
        <v>2.3865544534179484</v>
      </c>
      <c r="H305" s="219">
        <f>H207/H311</f>
        <v>2.1119950915203085</v>
      </c>
      <c r="I305" s="219">
        <f>I207/I311</f>
        <v>1.869022204885229</v>
      </c>
      <c r="J305" s="219">
        <f>J207/J311</f>
        <v>1.6540019512258666</v>
      </c>
    </row>
    <row r="306" spans="2:10">
      <c r="B306" s="109" t="s">
        <v>144</v>
      </c>
      <c r="F306" s="61">
        <f>F216/F311</f>
        <v>-28.762483573841038</v>
      </c>
      <c r="G306" s="61">
        <f>G216/G311</f>
        <v>-24.959179960771152</v>
      </c>
      <c r="H306" s="61">
        <f>H216/H311</f>
        <v>-22.087769876788631</v>
      </c>
      <c r="I306" s="61">
        <f>I216/I311</f>
        <v>-19.546699006007639</v>
      </c>
      <c r="J306" s="61">
        <f>J216/J311</f>
        <v>-17.297963722130657</v>
      </c>
    </row>
    <row r="307" spans="2:10">
      <c r="B307" s="20" t="s">
        <v>71</v>
      </c>
      <c r="E307" s="40">
        <v>1455.4</v>
      </c>
      <c r="F307" s="56">
        <f>SUM(F304:F306)</f>
        <v>1429.3877363200977</v>
      </c>
      <c r="G307" s="56">
        <f>SUM(G304:G306)</f>
        <v>1406.8151108127447</v>
      </c>
      <c r="H307" s="56">
        <f>SUM(H304:H306)</f>
        <v>1386.8393360274765</v>
      </c>
      <c r="I307" s="56">
        <f>SUM(I304:I306)</f>
        <v>1369.161659226354</v>
      </c>
      <c r="J307" s="56">
        <f>SUM(J304:J306)</f>
        <v>1353.5176974554493</v>
      </c>
    </row>
    <row r="308" spans="2:10">
      <c r="B308" s="35"/>
    </row>
    <row r="309" spans="2:10">
      <c r="B309" s="47" t="s">
        <v>145</v>
      </c>
      <c r="C309" s="43">
        <f>C37</f>
        <v>1.3549760859595097</v>
      </c>
      <c r="D309" s="43">
        <f>D37</f>
        <v>1.8219902206951242</v>
      </c>
      <c r="E309" s="43">
        <f>E37</f>
        <v>1.8952714064707075</v>
      </c>
      <c r="F309" s="17">
        <v>2.1</v>
      </c>
      <c r="G309" s="17">
        <v>2.42</v>
      </c>
      <c r="H309" s="114">
        <f>G309*(1+H310)</f>
        <v>2.7345999999999995</v>
      </c>
      <c r="I309" s="114">
        <f>H309*(1+I310)</f>
        <v>3.0900979999999989</v>
      </c>
      <c r="J309" s="114">
        <f>I309*(1+J310)</f>
        <v>3.4918107399999982</v>
      </c>
    </row>
    <row r="310" spans="2:10">
      <c r="B310" s="47" t="s">
        <v>146</v>
      </c>
      <c r="D310" s="14">
        <f>D309/C309-1</f>
        <v>0.34466596095303337</v>
      </c>
      <c r="E310" s="14">
        <f>E309/D309-1</f>
        <v>4.0220405654880498E-2</v>
      </c>
      <c r="F310" s="14">
        <f>F309/E309-1</f>
        <v>0.10802072612414348</v>
      </c>
      <c r="G310" s="14">
        <f>G309/F309-1</f>
        <v>0.15238095238095228</v>
      </c>
      <c r="H310" s="115">
        <v>0.13</v>
      </c>
      <c r="I310" s="115">
        <v>0.13</v>
      </c>
      <c r="J310" s="115">
        <v>0.13</v>
      </c>
    </row>
    <row r="311" spans="2:10">
      <c r="B311" s="47" t="s">
        <v>147</v>
      </c>
      <c r="E311" s="6">
        <f>C7</f>
        <v>53.84</v>
      </c>
      <c r="F311" s="116">
        <f>E311*(1+F310)</f>
        <v>59.655835894523889</v>
      </c>
      <c r="G311" s="116">
        <f>F311*(1+G310)</f>
        <v>68.746248983213235</v>
      </c>
      <c r="H311" s="116">
        <f>G311*(1+H310)</f>
        <v>77.68326135103095</v>
      </c>
      <c r="I311" s="116">
        <f>H311*(1+I310)</f>
        <v>87.782085326664969</v>
      </c>
      <c r="J311" s="116">
        <f>I311*(1+J310)</f>
        <v>99.193756419131404</v>
      </c>
    </row>
    <row r="313" spans="2:10">
      <c r="B313" s="22" t="s">
        <v>148</v>
      </c>
      <c r="C313" s="22"/>
      <c r="D313" s="22"/>
      <c r="E313" s="22"/>
      <c r="F313" s="22"/>
      <c r="G313" s="22"/>
      <c r="H313" s="22"/>
      <c r="I313" s="22"/>
      <c r="J313" s="22"/>
    </row>
    <row r="314" spans="2:10">
      <c r="B314" s="44"/>
    </row>
    <row r="315" spans="2:10" ht="15" thickBot="1">
      <c r="B315" s="117" t="s">
        <v>251</v>
      </c>
      <c r="C315" s="117"/>
      <c r="D315" s="118"/>
      <c r="E315" s="118"/>
      <c r="F315" s="118"/>
      <c r="G315" s="118"/>
      <c r="H315" s="118"/>
    </row>
    <row r="316" spans="2:10">
      <c r="D316" s="119" t="s">
        <v>149</v>
      </c>
      <c r="E316" s="119"/>
      <c r="F316" s="119"/>
      <c r="G316" s="119"/>
      <c r="H316" s="119"/>
    </row>
    <row r="317" spans="2:10" ht="15" thickBot="1">
      <c r="C317" s="120">
        <f ca="1">F37</f>
        <v>2.1550369571150054</v>
      </c>
      <c r="D317" s="121">
        <f>E317-0.02</f>
        <v>2.4999999999999998E-2</v>
      </c>
      <c r="E317" s="121">
        <f>F317-0.02</f>
        <v>4.4999999999999998E-2</v>
      </c>
      <c r="F317" s="121">
        <v>6.5000000000000002E-2</v>
      </c>
      <c r="G317" s="121">
        <f>F317+0.02</f>
        <v>8.5000000000000006E-2</v>
      </c>
      <c r="H317" s="121">
        <f>G317+0.02</f>
        <v>0.10500000000000001</v>
      </c>
    </row>
    <row r="318" spans="2:10">
      <c r="B318" s="122" t="s">
        <v>150</v>
      </c>
      <c r="C318" s="123">
        <f>C320-0.01</f>
        <v>0.59799999999999998</v>
      </c>
      <c r="D318" s="124">
        <f t="dataTable" ref="D318:H323" dt2D="1" dtr="1" r1="F40" r2="F41" ca="1"/>
        <v>1.9741767639857857</v>
      </c>
      <c r="E318" s="124">
        <v>2.0105114885629649</v>
      </c>
      <c r="F318" s="124">
        <v>2.0468462131441059</v>
      </c>
      <c r="G318" s="124">
        <v>2.0831809377252473</v>
      </c>
      <c r="H318" s="124">
        <v>2.1195156623063904</v>
      </c>
    </row>
    <row r="319" spans="2:10">
      <c r="B319" s="122" t="s">
        <v>151</v>
      </c>
      <c r="C319" s="123">
        <f>C320-0.005</f>
        <v>0.60299999999999998</v>
      </c>
      <c r="D319" s="124">
        <v>2.0262403849090567</v>
      </c>
      <c r="E319" s="124">
        <v>2.0635909850178225</v>
      </c>
      <c r="F319" s="124">
        <v>2.1009415851292017</v>
      </c>
      <c r="G319" s="124">
        <v>2.1382921852405805</v>
      </c>
      <c r="H319" s="124">
        <v>2.1756427853519602</v>
      </c>
    </row>
    <row r="320" spans="2:10">
      <c r="B320" s="122" t="s">
        <v>152</v>
      </c>
      <c r="C320" s="123">
        <v>0.60799999999999998</v>
      </c>
      <c r="D320" s="124">
        <v>2.078304005833767</v>
      </c>
      <c r="E320" s="124">
        <v>2.1166704814726818</v>
      </c>
      <c r="F320" s="124">
        <v>2.1550369571142967</v>
      </c>
      <c r="G320" s="124">
        <v>2.1934034327559133</v>
      </c>
      <c r="H320" s="124">
        <v>2.2317699083975295</v>
      </c>
    </row>
    <row r="321" spans="2:10">
      <c r="B321" s="122"/>
      <c r="C321" s="123">
        <f>C320+0.005</f>
        <v>0.61299999999999999</v>
      </c>
      <c r="D321" s="124">
        <v>2.1303676267584764</v>
      </c>
      <c r="E321" s="124">
        <v>2.1697499779275398</v>
      </c>
      <c r="F321" s="124">
        <v>2.2091323290993925</v>
      </c>
      <c r="G321" s="124">
        <v>2.2485146802712448</v>
      </c>
      <c r="H321" s="124">
        <v>2.2878970314430989</v>
      </c>
    </row>
    <row r="322" spans="2:10">
      <c r="C322" s="123">
        <f t="shared" ref="C322:C323" si="64">C321+0.005</f>
        <v>0.61799999999999999</v>
      </c>
      <c r="D322" s="124">
        <v>2.1824312476831853</v>
      </c>
      <c r="E322" s="124">
        <v>2.2228294743823991</v>
      </c>
      <c r="F322" s="124">
        <v>2.2632277010844879</v>
      </c>
      <c r="G322" s="124">
        <v>2.303625927786578</v>
      </c>
      <c r="H322" s="124">
        <v>2.3440241544886677</v>
      </c>
    </row>
    <row r="323" spans="2:10">
      <c r="C323" s="123">
        <f t="shared" si="64"/>
        <v>0.623</v>
      </c>
      <c r="D323" s="124">
        <v>2.2344948686078951</v>
      </c>
      <c r="E323" s="124">
        <v>2.275908970837258</v>
      </c>
      <c r="F323" s="124">
        <v>2.3173230730695837</v>
      </c>
      <c r="G323" s="124">
        <v>2.35873717530191</v>
      </c>
      <c r="H323" s="124">
        <v>2.4001512775342366</v>
      </c>
    </row>
    <row r="325" spans="2:10">
      <c r="B325" s="22" t="s">
        <v>153</v>
      </c>
      <c r="C325" s="22"/>
      <c r="D325" s="22"/>
      <c r="E325" s="22"/>
      <c r="F325" s="22"/>
      <c r="G325" s="22"/>
      <c r="H325" s="22"/>
      <c r="I325" s="22"/>
      <c r="J325" s="22"/>
    </row>
    <row r="326" spans="2:10">
      <c r="B326" s="64" t="s">
        <v>9</v>
      </c>
      <c r="C326" s="57"/>
      <c r="D326" s="57">
        <v>2012</v>
      </c>
      <c r="E326" s="57">
        <v>2013</v>
      </c>
      <c r="F326" s="58">
        <v>2014</v>
      </c>
      <c r="G326" s="58">
        <v>2015</v>
      </c>
      <c r="H326" s="58">
        <v>2016</v>
      </c>
      <c r="I326" s="58">
        <v>2017</v>
      </c>
      <c r="J326" s="58">
        <v>2018</v>
      </c>
    </row>
    <row r="327" spans="2:10">
      <c r="B327" s="24" t="s">
        <v>10</v>
      </c>
      <c r="C327" s="59"/>
      <c r="D327" s="59">
        <v>41181</v>
      </c>
      <c r="E327" s="59">
        <v>41545</v>
      </c>
      <c r="F327" s="59">
        <v>41912</v>
      </c>
      <c r="G327" s="59">
        <v>42277</v>
      </c>
      <c r="H327" s="59">
        <v>42643</v>
      </c>
      <c r="I327" s="59">
        <v>43008</v>
      </c>
      <c r="J327" s="59">
        <v>43373</v>
      </c>
    </row>
    <row r="328" spans="2:10" ht="15" thickBot="1"/>
    <row r="329" spans="2:10" ht="15" thickBot="1">
      <c r="B329" s="126" t="s">
        <v>154</v>
      </c>
      <c r="C329" s="18"/>
      <c r="D329" s="18"/>
      <c r="E329" s="127" t="s">
        <v>155</v>
      </c>
    </row>
    <row r="330" spans="2:10">
      <c r="F330" s="20"/>
      <c r="G330" s="20"/>
      <c r="H330" s="20"/>
      <c r="I330" s="20"/>
      <c r="J330" s="20"/>
    </row>
    <row r="331" spans="2:10">
      <c r="B331" s="47" t="s">
        <v>29</v>
      </c>
      <c r="F331" s="93">
        <f t="shared" ref="F331:J334" ca="1" si="65">OFFSET(F$336,MATCH($E$329,$B$337:$B$339,0)+MATCH($B331,$B$336:$B$351,0)-1,0)</f>
        <v>6.5000000000000002E-2</v>
      </c>
      <c r="G331" s="93">
        <f t="shared" ca="1" si="65"/>
        <v>0.10199999999999999</v>
      </c>
      <c r="H331" s="93">
        <f t="shared" ca="1" si="65"/>
        <v>0.10199999999999999</v>
      </c>
      <c r="I331" s="93">
        <f t="shared" ca="1" si="65"/>
        <v>0.1</v>
      </c>
      <c r="J331" s="93">
        <f t="shared" ca="1" si="65"/>
        <v>0.1</v>
      </c>
    </row>
    <row r="332" spans="2:10">
      <c r="B332" s="47" t="s">
        <v>31</v>
      </c>
      <c r="F332" s="93">
        <f t="shared" ca="1" si="65"/>
        <v>0.60799999999999998</v>
      </c>
      <c r="G332" s="93">
        <f t="shared" ca="1" si="65"/>
        <v>0.61599999999999999</v>
      </c>
      <c r="H332" s="93">
        <f t="shared" ca="1" si="65"/>
        <v>0.624</v>
      </c>
      <c r="I332" s="93">
        <f t="shared" ca="1" si="65"/>
        <v>0.63200000000000001</v>
      </c>
      <c r="J332" s="93">
        <f t="shared" ca="1" si="65"/>
        <v>0.64</v>
      </c>
    </row>
    <row r="333" spans="2:10">
      <c r="B333" s="51" t="s">
        <v>32</v>
      </c>
      <c r="F333" s="93">
        <f t="shared" ca="1" si="65"/>
        <v>0</v>
      </c>
      <c r="G333" s="93">
        <f t="shared" ca="1" si="65"/>
        <v>0</v>
      </c>
      <c r="H333" s="93">
        <f t="shared" ca="1" si="65"/>
        <v>0</v>
      </c>
      <c r="I333" s="93">
        <f t="shared" ca="1" si="65"/>
        <v>0</v>
      </c>
      <c r="J333" s="93">
        <f t="shared" ca="1" si="65"/>
        <v>0</v>
      </c>
    </row>
    <row r="334" spans="2:10">
      <c r="B334" s="47" t="s">
        <v>33</v>
      </c>
      <c r="F334" s="93">
        <f t="shared" ca="1" si="65"/>
        <v>0.42</v>
      </c>
      <c r="G334" s="93">
        <f t="shared" ca="1" si="65"/>
        <v>0.41899999999999998</v>
      </c>
      <c r="H334" s="93">
        <f t="shared" ca="1" si="65"/>
        <v>0.44500000000000001</v>
      </c>
      <c r="I334" s="93">
        <f t="shared" ca="1" si="65"/>
        <v>0.42799999999999999</v>
      </c>
      <c r="J334" s="93">
        <f t="shared" ca="1" si="65"/>
        <v>0.43099999999999999</v>
      </c>
    </row>
    <row r="336" spans="2:10">
      <c r="B336" s="108" t="s">
        <v>29</v>
      </c>
    </row>
    <row r="337" spans="2:10">
      <c r="B337" s="128" t="s">
        <v>156</v>
      </c>
      <c r="F337" s="62">
        <v>0.11</v>
      </c>
      <c r="G337" s="62">
        <v>0.11</v>
      </c>
      <c r="H337" s="62">
        <v>0.11</v>
      </c>
      <c r="I337" s="62">
        <v>0.11</v>
      </c>
      <c r="J337" s="62">
        <v>0.11</v>
      </c>
    </row>
    <row r="338" spans="2:10">
      <c r="B338" s="128" t="s">
        <v>155</v>
      </c>
      <c r="F338" s="62">
        <v>6.5000000000000002E-2</v>
      </c>
      <c r="G338" s="62">
        <v>0.10199999999999999</v>
      </c>
      <c r="H338" s="62">
        <v>0.10199999999999999</v>
      </c>
      <c r="I338" s="62">
        <v>0.1</v>
      </c>
      <c r="J338" s="62">
        <v>0.1</v>
      </c>
    </row>
    <row r="339" spans="2:10">
      <c r="B339" s="128" t="s">
        <v>157</v>
      </c>
      <c r="F339" s="62">
        <v>7.0000000000000007E-2</v>
      </c>
      <c r="G339" s="62">
        <v>7.0000000000000007E-2</v>
      </c>
      <c r="H339" s="62">
        <v>7.0000000000000007E-2</v>
      </c>
      <c r="I339" s="62">
        <v>7.0000000000000007E-2</v>
      </c>
      <c r="J339" s="62">
        <v>7.0000000000000007E-2</v>
      </c>
    </row>
    <row r="340" spans="2:10">
      <c r="B340" s="108" t="s">
        <v>31</v>
      </c>
      <c r="F340" s="129"/>
      <c r="G340" s="129"/>
      <c r="H340" s="129"/>
      <c r="I340" s="129"/>
      <c r="J340" s="129"/>
    </row>
    <row r="341" spans="2:10">
      <c r="B341" s="128" t="s">
        <v>156</v>
      </c>
      <c r="F341" s="62">
        <v>0.62</v>
      </c>
      <c r="G341" s="62">
        <v>0.62</v>
      </c>
      <c r="H341" s="62">
        <v>0.65</v>
      </c>
      <c r="I341" s="62">
        <v>0.65</v>
      </c>
      <c r="J341" s="62">
        <v>0.65</v>
      </c>
    </row>
    <row r="342" spans="2:10">
      <c r="B342" s="128" t="s">
        <v>155</v>
      </c>
      <c r="F342" s="130">
        <v>0.60799999999999998</v>
      </c>
      <c r="G342" s="62">
        <f>F342+0.008</f>
        <v>0.61599999999999999</v>
      </c>
      <c r="H342" s="62">
        <f t="shared" ref="H342:J342" si="66">G342+0.008</f>
        <v>0.624</v>
      </c>
      <c r="I342" s="62">
        <f t="shared" si="66"/>
        <v>0.63200000000000001</v>
      </c>
      <c r="J342" s="62">
        <f t="shared" si="66"/>
        <v>0.64</v>
      </c>
    </row>
    <row r="343" spans="2:10">
      <c r="B343" s="128" t="s">
        <v>157</v>
      </c>
      <c r="F343" s="62">
        <v>0.61</v>
      </c>
      <c r="G343" s="62">
        <v>0.61</v>
      </c>
      <c r="H343" s="62">
        <v>0.61</v>
      </c>
      <c r="I343" s="62">
        <v>0.61</v>
      </c>
      <c r="J343" s="62">
        <v>0.61</v>
      </c>
    </row>
    <row r="344" spans="2:10">
      <c r="B344" s="131" t="s">
        <v>32</v>
      </c>
      <c r="F344" s="129"/>
      <c r="G344" s="129"/>
      <c r="H344" s="129"/>
      <c r="I344" s="129"/>
      <c r="J344" s="129"/>
    </row>
    <row r="345" spans="2:10">
      <c r="B345" s="128" t="s">
        <v>156</v>
      </c>
      <c r="F345" s="62">
        <v>0</v>
      </c>
      <c r="G345" s="62">
        <f>F345</f>
        <v>0</v>
      </c>
      <c r="H345" s="62">
        <f t="shared" ref="H345:J345" si="67">G345</f>
        <v>0</v>
      </c>
      <c r="I345" s="62">
        <f t="shared" si="67"/>
        <v>0</v>
      </c>
      <c r="J345" s="62">
        <f t="shared" si="67"/>
        <v>0</v>
      </c>
    </row>
    <row r="346" spans="2:10">
      <c r="B346" s="128" t="s">
        <v>155</v>
      </c>
      <c r="F346" s="62">
        <v>0</v>
      </c>
      <c r="G346" s="62">
        <v>0</v>
      </c>
      <c r="H346" s="62">
        <v>0</v>
      </c>
      <c r="I346" s="62">
        <v>0</v>
      </c>
      <c r="J346" s="62">
        <v>0</v>
      </c>
    </row>
    <row r="347" spans="2:10">
      <c r="B347" s="128" t="s">
        <v>157</v>
      </c>
      <c r="F347" s="62">
        <v>0</v>
      </c>
      <c r="G347" s="62">
        <v>0</v>
      </c>
      <c r="H347" s="62">
        <v>0</v>
      </c>
      <c r="I347" s="62">
        <v>0</v>
      </c>
      <c r="J347" s="62">
        <v>0</v>
      </c>
    </row>
    <row r="348" spans="2:10">
      <c r="B348" s="108" t="s">
        <v>33</v>
      </c>
      <c r="F348" s="129"/>
      <c r="G348" s="129"/>
      <c r="H348" s="129"/>
      <c r="I348" s="129"/>
      <c r="J348" s="129"/>
    </row>
    <row r="349" spans="2:10">
      <c r="B349" s="128" t="s">
        <v>156</v>
      </c>
      <c r="F349" s="62">
        <v>0.41</v>
      </c>
      <c r="G349" s="62">
        <v>0.41</v>
      </c>
      <c r="H349" s="62">
        <v>0.41</v>
      </c>
      <c r="I349" s="62">
        <v>0.41</v>
      </c>
      <c r="J349" s="62">
        <v>0.41</v>
      </c>
    </row>
    <row r="350" spans="2:10">
      <c r="B350" s="128" t="s">
        <v>155</v>
      </c>
      <c r="F350" s="130">
        <v>0.42</v>
      </c>
      <c r="G350" s="130">
        <v>0.41899999999999998</v>
      </c>
      <c r="H350" s="130">
        <v>0.44500000000000001</v>
      </c>
      <c r="I350" s="130">
        <v>0.42799999999999999</v>
      </c>
      <c r="J350" s="130">
        <v>0.43099999999999999</v>
      </c>
    </row>
    <row r="351" spans="2:10">
      <c r="B351" s="128" t="s">
        <v>157</v>
      </c>
      <c r="F351" s="130">
        <v>0.43</v>
      </c>
      <c r="G351" s="130">
        <v>0.43</v>
      </c>
      <c r="H351" s="130">
        <v>0.43</v>
      </c>
      <c r="I351" s="130">
        <v>0.43</v>
      </c>
      <c r="J351" s="130">
        <v>0.43</v>
      </c>
    </row>
    <row r="354" spans="2:2">
      <c r="B354" s="147"/>
    </row>
  </sheetData>
  <conditionalFormatting sqref="D318:H323">
    <cfRule type="cellIs" dxfId="3" priority="1" operator="lessThan">
      <formula>2.16</formula>
    </cfRule>
  </conditionalFormatting>
  <dataValidations count="3">
    <dataValidation type="list" allowBlank="1" showInputMessage="1" showErrorMessage="1" sqref="E329">
      <formula1>$B$337:$B$339</formula1>
    </dataValidation>
    <dataValidation type="list" allowBlank="1" showInputMessage="1" showErrorMessage="1" sqref="B3">
      <formula1>"$ bns except per share, $ mm except per share,$ in thousands except per share"</formula1>
    </dataValidation>
    <dataValidation type="list" allowBlank="1" showInputMessage="1" showErrorMessage="1" sqref="I7 C10">
      <formula1>"ON,OFF"</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L132"/>
  <sheetViews>
    <sheetView topLeftCell="A31" zoomScaleNormal="100" workbookViewId="0">
      <selection activeCell="K62" sqref="K62"/>
    </sheetView>
  </sheetViews>
  <sheetFormatPr defaultColWidth="9.109375" defaultRowHeight="14.4"/>
  <cols>
    <col min="1" max="1" width="1.6640625" style="17" customWidth="1"/>
    <col min="2" max="2" width="40.33203125" style="17" customWidth="1"/>
    <col min="3" max="10" width="12.33203125" style="17" customWidth="1"/>
    <col min="11" max="11" width="12.109375" style="17" bestFit="1" customWidth="1"/>
    <col min="12" max="12" width="9.109375" style="17"/>
    <col min="13" max="13" width="9.109375" style="17" customWidth="1"/>
    <col min="14" max="16384" width="9.109375" style="17"/>
  </cols>
  <sheetData>
    <row r="1" spans="2:10" ht="15" thickBot="1"/>
    <row r="2" spans="2:10" ht="26.4" thickBot="1">
      <c r="B2" s="1" t="str">
        <f>"Discounted Cash Flow Model for "&amp;'Financial Statement Model'!C5</f>
        <v>Discounted Cash Flow Model for Starbucks</v>
      </c>
      <c r="C2" s="18"/>
      <c r="D2" s="18"/>
      <c r="E2" s="18"/>
      <c r="F2" s="18"/>
      <c r="G2" s="18"/>
      <c r="H2" s="18"/>
      <c r="I2" s="18"/>
      <c r="J2" s="18"/>
    </row>
    <row r="4" spans="2:10" ht="15" thickBot="1">
      <c r="B4" s="132" t="s">
        <v>158</v>
      </c>
      <c r="C4" s="118"/>
    </row>
    <row r="5" spans="2:10">
      <c r="B5" s="20" t="s">
        <v>3</v>
      </c>
      <c r="C5" s="146">
        <f>'Financial Statement Model'!C7</f>
        <v>53.84</v>
      </c>
    </row>
    <row r="6" spans="2:10">
      <c r="B6" s="134" t="s">
        <v>4</v>
      </c>
      <c r="C6" s="149">
        <f>'Financial Statement Model'!C8</f>
        <v>42646</v>
      </c>
    </row>
    <row r="7" spans="2:10">
      <c r="B7" s="134" t="s">
        <v>159</v>
      </c>
      <c r="C7" s="203">
        <v>1455.4</v>
      </c>
    </row>
    <row r="8" spans="2:10">
      <c r="B8" s="134" t="s">
        <v>160</v>
      </c>
      <c r="C8" s="145">
        <f>J75</f>
        <v>7.6841702038984716E-2</v>
      </c>
    </row>
    <row r="10" spans="2:10" ht="15" thickBot="1">
      <c r="B10" s="135" t="s">
        <v>161</v>
      </c>
      <c r="C10" s="118"/>
      <c r="D10" s="118"/>
      <c r="E10" s="118"/>
      <c r="F10" s="118"/>
      <c r="G10" s="118"/>
      <c r="H10" s="118"/>
      <c r="I10" s="118"/>
      <c r="J10" s="118"/>
    </row>
    <row r="11" spans="2:10">
      <c r="B11" s="20" t="s">
        <v>9</v>
      </c>
      <c r="C11" s="25">
        <f>D11-1</f>
        <v>2014</v>
      </c>
      <c r="D11" s="25">
        <f>E11-1</f>
        <v>2015</v>
      </c>
      <c r="E11" s="25">
        <f>YEAR(E12)</f>
        <v>2016</v>
      </c>
      <c r="F11" s="26">
        <f>E11+1</f>
        <v>2017</v>
      </c>
      <c r="G11" s="26">
        <f>F11+1</f>
        <v>2018</v>
      </c>
      <c r="H11" s="26">
        <f>G11+1</f>
        <v>2019</v>
      </c>
      <c r="I11" s="26">
        <f>H11+1</f>
        <v>2020</v>
      </c>
      <c r="J11" s="26">
        <f>I11+1</f>
        <v>2021</v>
      </c>
    </row>
    <row r="12" spans="2:10">
      <c r="B12" s="27" t="s">
        <v>10</v>
      </c>
      <c r="C12" s="59">
        <f>'Financial Statement Model'!C14</f>
        <v>41910</v>
      </c>
      <c r="D12" s="59">
        <f>'Financial Statement Model'!D14</f>
        <v>42274</v>
      </c>
      <c r="E12" s="59">
        <f>'Financial Statement Model'!E14</f>
        <v>42645</v>
      </c>
      <c r="F12" s="59">
        <f>'Financial Statement Model'!F14</f>
        <v>43039</v>
      </c>
      <c r="G12" s="59">
        <f>'Financial Statement Model'!G14</f>
        <v>43404</v>
      </c>
      <c r="H12" s="59">
        <f>'Financial Statement Model'!H14</f>
        <v>43769</v>
      </c>
      <c r="I12" s="59">
        <f>'Financial Statement Model'!I14</f>
        <v>44135</v>
      </c>
      <c r="J12" s="59">
        <f>'Financial Statement Model'!J14</f>
        <v>44500</v>
      </c>
    </row>
    <row r="13" spans="2:10">
      <c r="B13" s="136"/>
      <c r="F13" s="14"/>
      <c r="G13" s="14"/>
      <c r="H13" s="14"/>
      <c r="I13" s="14"/>
      <c r="J13" s="14"/>
    </row>
    <row r="14" spans="2:10">
      <c r="B14" s="20" t="s">
        <v>38</v>
      </c>
      <c r="C14" s="133">
        <f>'Financial Statement Model'!C49</f>
        <v>4012.6999999999994</v>
      </c>
      <c r="D14" s="133">
        <f>'Financial Statement Model'!D49</f>
        <v>4744.6000000000013</v>
      </c>
      <c r="E14" s="133">
        <f>'Financial Statement Model'!E49</f>
        <v>5420.1</v>
      </c>
      <c r="F14" s="133">
        <f ca="1">'Financial Statement Model'!F49</f>
        <v>5889.5763679791698</v>
      </c>
      <c r="G14" s="133">
        <f ca="1">'Financial Statement Model'!G49</f>
        <v>6640.9889265121119</v>
      </c>
      <c r="H14" s="133">
        <f ca="1">'Financial Statement Model'!H49</f>
        <v>6871.429942035219</v>
      </c>
      <c r="I14" s="133">
        <f ca="1">'Financial Statement Model'!I49</f>
        <v>8257.7147265807562</v>
      </c>
      <c r="J14" s="133">
        <f ca="1">'Financial Statement Model'!J49</f>
        <v>9160.4233872933946</v>
      </c>
    </row>
    <row r="15" spans="2:10">
      <c r="B15" s="20" t="s">
        <v>162</v>
      </c>
      <c r="C15" s="133">
        <f>'Financial Statement Model'!C22</f>
        <v>3081.0999999999995</v>
      </c>
      <c r="D15" s="133">
        <f>'Financial Statement Model'!D22</f>
        <v>3601.0000000000014</v>
      </c>
      <c r="E15" s="133">
        <f>'Financial Statement Model'!E22</f>
        <v>4171.9000000000005</v>
      </c>
      <c r="F15" s="133">
        <f ca="1">'Financial Statement Model'!F22</f>
        <v>4546.6694980000002</v>
      </c>
      <c r="G15" s="133">
        <f ca="1">'Financial Statement Model'!G22</f>
        <v>5207.1450042490005</v>
      </c>
      <c r="H15" s="133">
        <f ca="1">'Financial Statement Model'!H22</f>
        <v>5213.5993850159875</v>
      </c>
      <c r="I15" s="133">
        <f ca="1">'Financial Statement Model'!I22</f>
        <v>6465.2188938412701</v>
      </c>
      <c r="J15" s="133">
        <f ca="1">'Financial Statement Model'!J22</f>
        <v>7250.6514886966097</v>
      </c>
    </row>
    <row r="16" spans="2:10">
      <c r="B16" s="20" t="s">
        <v>163</v>
      </c>
      <c r="C16" s="151">
        <f>'Financial Statement Model'!C44</f>
        <v>0.34560243061050105</v>
      </c>
      <c r="D16" s="151">
        <f>'Financial Statement Model'!D44</f>
        <v>0.29303100179349212</v>
      </c>
      <c r="E16" s="151">
        <f>'Financial Statement Model'!E44</f>
        <v>0.32860953651217073</v>
      </c>
      <c r="F16" s="151">
        <f>'Financial Statement Model'!F44</f>
        <v>0.31082026915283145</v>
      </c>
      <c r="G16" s="151">
        <f>'Financial Statement Model'!G44</f>
        <v>0.31082026915283145</v>
      </c>
      <c r="H16" s="151">
        <f>'Financial Statement Model'!H44</f>
        <v>0.31082026915283145</v>
      </c>
      <c r="I16" s="151">
        <f>'Financial Statement Model'!I44</f>
        <v>0.31082026915283145</v>
      </c>
      <c r="J16" s="151">
        <f>'Financial Statement Model'!J44</f>
        <v>0.31082026915283145</v>
      </c>
    </row>
    <row r="17" spans="2:10">
      <c r="B17" s="35" t="s">
        <v>164</v>
      </c>
      <c r="C17" s="137">
        <f>C15*(1-C16)</f>
        <v>2016.264351045985</v>
      </c>
      <c r="D17" s="137">
        <f t="shared" ref="D17:J17" si="0">D15*(1-D16)</f>
        <v>2545.7953625416362</v>
      </c>
      <c r="E17" s="137">
        <f t="shared" si="0"/>
        <v>2800.9738746248754</v>
      </c>
      <c r="F17" s="137">
        <f t="shared" ca="1" si="0"/>
        <v>3133.4724608826709</v>
      </c>
      <c r="G17" s="137">
        <f t="shared" ca="1" si="0"/>
        <v>3588.6587925105046</v>
      </c>
      <c r="H17" s="137">
        <f t="shared" ca="1" si="0"/>
        <v>3593.1070209102818</v>
      </c>
      <c r="I17" s="137">
        <f t="shared" ca="1" si="0"/>
        <v>4455.697817125555</v>
      </c>
      <c r="J17" s="137">
        <f t="shared" ca="1" si="0"/>
        <v>4997.0020414465516</v>
      </c>
    </row>
    <row r="18" spans="2:10">
      <c r="B18" s="35"/>
      <c r="C18"/>
      <c r="D18"/>
      <c r="E18"/>
      <c r="F18"/>
      <c r="G18"/>
      <c r="H18"/>
      <c r="I18"/>
      <c r="J18"/>
    </row>
    <row r="19" spans="2:10">
      <c r="B19" s="47" t="s">
        <v>120</v>
      </c>
      <c r="F19" s="133">
        <f ca="1">'Financial Statement Model'!F242</f>
        <v>1102.0749071230769</v>
      </c>
      <c r="G19" s="133">
        <f ca="1">'Financial Statement Model'!G242</f>
        <v>1171.3886895991541</v>
      </c>
      <c r="H19" s="133">
        <f ca="1">'Financial Statement Model'!H242</f>
        <v>1362.1216253743319</v>
      </c>
      <c r="I19" s="133">
        <f ca="1">'Financial Statement Model'!I242</f>
        <v>1477.1209965052913</v>
      </c>
      <c r="J19" s="133">
        <f ca="1">'Financial Statement Model'!J242</f>
        <v>1565.0386762257147</v>
      </c>
    </row>
    <row r="20" spans="2:10">
      <c r="B20" s="47" t="s">
        <v>37</v>
      </c>
      <c r="F20" s="133">
        <f ca="1">'Financial Statement Model'!F243</f>
        <v>240.8319628560927</v>
      </c>
      <c r="G20" s="133">
        <f ca="1">'Financial Statement Model'!G243</f>
        <v>262.45523266395764</v>
      </c>
      <c r="H20" s="133">
        <f ca="1">'Financial Statement Model'!H243</f>
        <v>295.70893164489956</v>
      </c>
      <c r="I20" s="133">
        <f ca="1">'Financial Statement Model'!I243</f>
        <v>315.37483623419502</v>
      </c>
      <c r="J20" s="133">
        <f ca="1">'Financial Statement Model'!J243</f>
        <v>344.73322237107175</v>
      </c>
    </row>
    <row r="21" spans="2:10">
      <c r="B21" s="47" t="s">
        <v>42</v>
      </c>
      <c r="F21" s="133">
        <f ca="1">'Financial Statement Model'!F244</f>
        <v>-66.474071266053215</v>
      </c>
      <c r="G21" s="133">
        <f ca="1">'Financial Statement Model'!G244</f>
        <v>-85.197955269137424</v>
      </c>
      <c r="H21" s="133">
        <f ca="1">'Financial Statement Model'!H244</f>
        <v>-93.888146706589623</v>
      </c>
      <c r="I21" s="133">
        <f ca="1">'Financial Statement Model'!I244</f>
        <v>-101.43601732417812</v>
      </c>
      <c r="J21" s="133">
        <f ca="1">'Financial Statement Model'!J244</f>
        <v>-111.5796190565959</v>
      </c>
    </row>
    <row r="22" spans="2:10">
      <c r="B22" s="47" t="s">
        <v>43</v>
      </c>
      <c r="F22" s="133">
        <f ca="1">'Financial Statement Model'!F245</f>
        <v>-88.587236447043324</v>
      </c>
      <c r="G22" s="133">
        <f ca="1">'Financial Statement Model'!G245</f>
        <v>-116.64840557546313</v>
      </c>
      <c r="H22" s="133">
        <f ca="1">'Financial Statement Model'!H245</f>
        <v>-125.18110470486226</v>
      </c>
      <c r="I22" s="133">
        <f ca="1">'Financial Statement Model'!I245</f>
        <v>-130.89575081316048</v>
      </c>
      <c r="J22" s="133">
        <f ca="1">'Financial Statement Model'!J245</f>
        <v>-139.98573350851871</v>
      </c>
    </row>
    <row r="23" spans="2:10">
      <c r="B23" s="47" t="s">
        <v>50</v>
      </c>
      <c r="F23" s="133">
        <f ca="1">'Financial Statement Model'!F246</f>
        <v>42.273024525303981</v>
      </c>
      <c r="G23" s="133">
        <f ca="1">'Financial Statement Model'!G246</f>
        <v>61.451291909195675</v>
      </c>
      <c r="H23" s="133">
        <f ca="1">'Financial Statement Model'!H246</f>
        <v>65.946384511510246</v>
      </c>
      <c r="I23" s="133">
        <f ca="1">'Financial Statement Model'!I246</f>
        <v>68.956904753311619</v>
      </c>
      <c r="J23" s="133">
        <f ca="1">'Financial Statement Model'!J246</f>
        <v>73.745578694513711</v>
      </c>
    </row>
    <row r="24" spans="2:10">
      <c r="B24" s="47" t="s">
        <v>79</v>
      </c>
      <c r="F24" s="133">
        <f ca="1">'Financial Statement Model'!F247</f>
        <v>140.34652469380626</v>
      </c>
      <c r="G24" s="133">
        <f ca="1">'Financial Statement Model'!G247</f>
        <v>337.68594551876868</v>
      </c>
      <c r="H24" s="133">
        <f ca="1">'Financial Statement Model'!H247</f>
        <v>372.12991196168286</v>
      </c>
      <c r="I24" s="133">
        <f ca="1">'Financial Statement Model'!I247</f>
        <v>402.04623821742553</v>
      </c>
      <c r="J24" s="133">
        <f ca="1">'Financial Statement Model'!J247</f>
        <v>442.25086203916908</v>
      </c>
    </row>
    <row r="25" spans="2:10">
      <c r="B25" s="47" t="s">
        <v>45</v>
      </c>
      <c r="F25" s="133">
        <f>'Financial Statement Model'!F248</f>
        <v>0</v>
      </c>
      <c r="G25" s="133">
        <f>'Financial Statement Model'!G248</f>
        <v>0</v>
      </c>
      <c r="H25" s="133">
        <f>'Financial Statement Model'!H248</f>
        <v>0</v>
      </c>
      <c r="I25" s="133">
        <f>'Financial Statement Model'!I248</f>
        <v>0</v>
      </c>
      <c r="J25" s="133">
        <f>'Financial Statement Model'!J248</f>
        <v>0</v>
      </c>
    </row>
    <row r="26" spans="2:10">
      <c r="B26" s="51" t="s">
        <v>94</v>
      </c>
      <c r="F26" s="133">
        <f>'Financial Statement Model'!F249</f>
        <v>0</v>
      </c>
      <c r="G26" s="133">
        <f>'Financial Statement Model'!G249</f>
        <v>0</v>
      </c>
      <c r="H26" s="133">
        <f>'Financial Statement Model'!H249</f>
        <v>0</v>
      </c>
      <c r="I26" s="133">
        <f>'Financial Statement Model'!I249</f>
        <v>0</v>
      </c>
      <c r="J26" s="133">
        <f>'Financial Statement Model'!J249</f>
        <v>0</v>
      </c>
    </row>
    <row r="27" spans="2:10">
      <c r="B27" s="51" t="s">
        <v>48</v>
      </c>
      <c r="F27" s="133">
        <f>'Financial Statement Model'!F250</f>
        <v>0</v>
      </c>
      <c r="G27" s="133">
        <f>'Financial Statement Model'!G250</f>
        <v>0</v>
      </c>
      <c r="H27" s="133">
        <f>'Financial Statement Model'!H250</f>
        <v>0</v>
      </c>
      <c r="I27" s="133">
        <f>'Financial Statement Model'!I250</f>
        <v>0</v>
      </c>
      <c r="J27" s="133">
        <f>'Financial Statement Model'!J250</f>
        <v>0</v>
      </c>
    </row>
    <row r="28" spans="2:10">
      <c r="B28" s="47" t="s">
        <v>95</v>
      </c>
      <c r="F28" s="133">
        <f>'Financial Statement Model'!F251</f>
        <v>0</v>
      </c>
      <c r="G28" s="133">
        <f>'Financial Statement Model'!G251</f>
        <v>0</v>
      </c>
      <c r="H28" s="133">
        <f>'Financial Statement Model'!H251</f>
        <v>0</v>
      </c>
      <c r="I28" s="133">
        <f>'Financial Statement Model'!I251</f>
        <v>0</v>
      </c>
      <c r="J28" s="133">
        <f>'Financial Statement Model'!J251</f>
        <v>0</v>
      </c>
    </row>
    <row r="29" spans="2:10">
      <c r="B29" s="35" t="s">
        <v>165</v>
      </c>
      <c r="C29"/>
      <c r="D29"/>
      <c r="E29"/>
      <c r="F29" s="106">
        <f ca="1">F17+SUM(F19:F28)</f>
        <v>4503.937572367854</v>
      </c>
      <c r="G29" s="106">
        <f t="shared" ref="G29:J29" ca="1" si="1">G17+SUM(G19:G28)</f>
        <v>5219.79359135698</v>
      </c>
      <c r="H29" s="106">
        <f t="shared" ca="1" si="1"/>
        <v>5469.9446229912546</v>
      </c>
      <c r="I29" s="106">
        <f t="shared" ca="1" si="1"/>
        <v>6486.8650246984398</v>
      </c>
      <c r="J29" s="106">
        <f t="shared" ca="1" si="1"/>
        <v>7171.2050282119062</v>
      </c>
    </row>
    <row r="30" spans="2:10">
      <c r="B30" s="53" t="s">
        <v>166</v>
      </c>
      <c r="C30"/>
      <c r="D30"/>
      <c r="E30"/>
      <c r="F30" s="133">
        <f ca="1">'Financial Statement Model'!F255</f>
        <v>-1589.1003450000001</v>
      </c>
      <c r="G30" s="133">
        <f ca="1">'Financial Statement Model'!G255</f>
        <v>-1697.1418863922606</v>
      </c>
      <c r="H30" s="133">
        <f ca="1">'Financial Statement Model'!H255</f>
        <v>-1736.8288338324423</v>
      </c>
      <c r="I30" s="133">
        <f ca="1">'Financial Statement Model'!I255</f>
        <v>-1667.9070547121073</v>
      </c>
      <c r="J30" s="133">
        <f ca="1">'Financial Statement Model'!J255</f>
        <v>-1701.2651958063495</v>
      </c>
    </row>
    <row r="31" spans="2:10">
      <c r="B31" s="47" t="s">
        <v>167</v>
      </c>
      <c r="C31"/>
      <c r="D31"/>
      <c r="E31"/>
      <c r="F31" s="133">
        <f>'Financial Statement Model'!F256</f>
        <v>0</v>
      </c>
      <c r="G31" s="133">
        <f>'Financial Statement Model'!G256</f>
        <v>0</v>
      </c>
      <c r="H31" s="133">
        <f>'Financial Statement Model'!H256</f>
        <v>0</v>
      </c>
      <c r="I31" s="133">
        <f>'Financial Statement Model'!I256</f>
        <v>0</v>
      </c>
      <c r="J31" s="133">
        <f>'Financial Statement Model'!J256</f>
        <v>0</v>
      </c>
    </row>
    <row r="32" spans="2:10">
      <c r="B32" s="44" t="s">
        <v>168</v>
      </c>
      <c r="C32"/>
      <c r="D32"/>
      <c r="E32"/>
      <c r="F32" s="106">
        <f ca="1">SUM(F29:F31)</f>
        <v>2914.8372273678542</v>
      </c>
      <c r="G32" s="106">
        <f t="shared" ref="G32:J32" ca="1" si="2">SUM(G29:G31)</f>
        <v>3522.6517049647191</v>
      </c>
      <c r="H32" s="106">
        <f t="shared" ca="1" si="2"/>
        <v>3733.1157891588123</v>
      </c>
      <c r="I32" s="106">
        <f t="shared" ca="1" si="2"/>
        <v>4818.9579699863325</v>
      </c>
      <c r="J32" s="106">
        <f t="shared" ca="1" si="2"/>
        <v>5469.9398324055564</v>
      </c>
    </row>
    <row r="33" spans="2:11">
      <c r="B33" s="148" t="s">
        <v>39</v>
      </c>
      <c r="C33"/>
      <c r="D33"/>
      <c r="E33"/>
      <c r="F33"/>
      <c r="G33" s="153">
        <f ca="1">G32/F32-1</f>
        <v>0.20852432921125108</v>
      </c>
      <c r="H33" s="153">
        <f t="shared" ref="H33:J33" ca="1" si="3">H32/G32-1</f>
        <v>5.9745924894440083E-2</v>
      </c>
      <c r="I33" s="153">
        <f t="shared" ca="1" si="3"/>
        <v>0.29086753322274905</v>
      </c>
      <c r="J33" s="153">
        <f t="shared" ca="1" si="3"/>
        <v>0.13508768212416467</v>
      </c>
    </row>
    <row r="34" spans="2:11">
      <c r="B34" s="148"/>
      <c r="C34"/>
      <c r="D34"/>
      <c r="E34"/>
      <c r="F34"/>
      <c r="G34" s="153"/>
      <c r="H34" s="153"/>
      <c r="I34" s="153"/>
      <c r="J34" s="153"/>
    </row>
    <row r="35" spans="2:11">
      <c r="B35" s="139" t="s">
        <v>169</v>
      </c>
      <c r="C35"/>
      <c r="D35"/>
      <c r="E35"/>
      <c r="F35" s="129">
        <f>YEARFRAC($C$6,F12)-0.08</f>
        <v>0.99777777777777776</v>
      </c>
      <c r="G35" s="129">
        <f t="shared" ref="G35:J35" si="4">YEARFRAC($C$6,G12)-0.08</f>
        <v>1.9977777777777779</v>
      </c>
      <c r="H35" s="129">
        <f t="shared" si="4"/>
        <v>2.9977777777777779</v>
      </c>
      <c r="I35" s="129">
        <f t="shared" si="4"/>
        <v>3.9977777777777774</v>
      </c>
      <c r="J35" s="129">
        <f t="shared" si="4"/>
        <v>4.9977777777777774</v>
      </c>
    </row>
    <row r="36" spans="2:11">
      <c r="B36" s="20" t="s">
        <v>209</v>
      </c>
      <c r="C36" s="162" t="s">
        <v>71</v>
      </c>
      <c r="E36"/>
    </row>
    <row r="37" spans="2:11">
      <c r="B37" s="17" t="s">
        <v>210</v>
      </c>
      <c r="C37" s="163">
        <f>IF(C36="Middle of period",(1+C8)^0.5,1)</f>
        <v>1</v>
      </c>
      <c r="F37" s="202">
        <f>F35-E35</f>
        <v>0.99777777777777776</v>
      </c>
      <c r="G37" s="63">
        <f>G35-F35</f>
        <v>1</v>
      </c>
      <c r="H37" s="63">
        <f>H35-G35</f>
        <v>1</v>
      </c>
      <c r="I37" s="63">
        <f>I35-H35</f>
        <v>0.99999999999999956</v>
      </c>
      <c r="J37" s="63">
        <f>J35-I35</f>
        <v>1</v>
      </c>
    </row>
    <row r="38" spans="2:11">
      <c r="B38" s="139" t="s">
        <v>170</v>
      </c>
      <c r="D38"/>
      <c r="E38"/>
      <c r="F38" s="191">
        <f ca="1">IF($C$36="End of period",F32/(1+$C$8)^F35,F32/(1+$C$8)^(F35-0.5*F37))</f>
        <v>2707.2844597283215</v>
      </c>
      <c r="G38" s="191">
        <f t="shared" ref="G38:J38" ca="1" si="5">IF($C$36="End of period",G32/(1+$C$8)^G35,G32/(1+$C$8)^(G35-0.5*G37))</f>
        <v>3038.3473536380234</v>
      </c>
      <c r="H38" s="191">
        <f t="shared" ca="1" si="5"/>
        <v>2990.1110073420364</v>
      </c>
      <c r="I38" s="191">
        <f t="shared" ca="1" si="5"/>
        <v>3584.405407778373</v>
      </c>
      <c r="J38" s="191">
        <f t="shared" ca="1" si="5"/>
        <v>3778.2846061817727</v>
      </c>
    </row>
    <row r="39" spans="2:11">
      <c r="B39" s="44"/>
      <c r="C39" s="153"/>
      <c r="D39" s="61"/>
      <c r="E39"/>
      <c r="F39" s="191"/>
      <c r="G39" s="191"/>
      <c r="H39" s="191"/>
      <c r="I39" s="191"/>
      <c r="J39" s="191"/>
    </row>
    <row r="40" spans="2:11" ht="15" thickBot="1">
      <c r="B40" s="125" t="s">
        <v>171</v>
      </c>
      <c r="C40" s="118"/>
      <c r="D40"/>
      <c r="E40" s="125" t="s">
        <v>172</v>
      </c>
      <c r="F40" s="118"/>
      <c r="G40" s="118"/>
      <c r="H40" s="118"/>
      <c r="I40" s="118"/>
      <c r="J40" s="118"/>
    </row>
    <row r="41" spans="2:11">
      <c r="B41" s="17" t="s">
        <v>233</v>
      </c>
      <c r="C41" s="61">
        <f ca="1">J17+SUM(J20:J27)</f>
        <v>5606.1663519861913</v>
      </c>
      <c r="D41"/>
      <c r="E41" s="17" t="s">
        <v>173</v>
      </c>
      <c r="J41" s="150">
        <f ca="1">J14</f>
        <v>9160.4233872933946</v>
      </c>
    </row>
    <row r="42" spans="2:11" ht="16.2">
      <c r="B42" s="17" t="s">
        <v>232</v>
      </c>
      <c r="C42" s="60">
        <f ca="1">C41*(1+C43)</f>
        <v>5830.4130060656389</v>
      </c>
      <c r="D42"/>
      <c r="E42" s="17" t="s">
        <v>174</v>
      </c>
      <c r="J42" s="201">
        <v>12.4</v>
      </c>
      <c r="K42" s="156"/>
    </row>
    <row r="43" spans="2:11">
      <c r="B43" s="17" t="s">
        <v>175</v>
      </c>
      <c r="C43" s="199">
        <v>0.04</v>
      </c>
      <c r="D43"/>
      <c r="E43" s="17" t="s">
        <v>176</v>
      </c>
      <c r="J43" s="61">
        <f ca="1">J41*J42</f>
        <v>113589.2500024381</v>
      </c>
    </row>
    <row r="44" spans="2:11">
      <c r="B44" s="17" t="s">
        <v>176</v>
      </c>
      <c r="C44" s="61">
        <f ca="1">C37*C42/(C8-C43)</f>
        <v>158255.79936280038</v>
      </c>
      <c r="D44"/>
      <c r="E44" s="20" t="s">
        <v>177</v>
      </c>
      <c r="J44" s="61">
        <f ca="1">J43/(1+C8)^J35</f>
        <v>78460.189300328071</v>
      </c>
    </row>
    <row r="45" spans="2:11">
      <c r="B45" s="20" t="s">
        <v>177</v>
      </c>
      <c r="C45" s="61">
        <f ca="1">C44/(1+C8)^J35</f>
        <v>109312.98494895898</v>
      </c>
      <c r="D45"/>
      <c r="E45" s="37" t="s">
        <v>178</v>
      </c>
      <c r="J45" s="150">
        <f ca="1">C46</f>
        <v>16098.432834668527</v>
      </c>
    </row>
    <row r="46" spans="2:11">
      <c r="B46" s="37" t="s">
        <v>178</v>
      </c>
      <c r="C46" s="150">
        <f ca="1">SUM(F38:J38)</f>
        <v>16098.432834668527</v>
      </c>
      <c r="D46"/>
      <c r="E46" s="35" t="s">
        <v>179</v>
      </c>
      <c r="J46" s="106">
        <f ca="1">SUM(J44:J45)</f>
        <v>94558.622134996593</v>
      </c>
    </row>
    <row r="47" spans="2:11">
      <c r="B47" s="35" t="s">
        <v>179</v>
      </c>
      <c r="C47" s="106">
        <f ca="1">SUM(C45:C46)</f>
        <v>125411.4177836275</v>
      </c>
      <c r="E47" s="165" t="s">
        <v>213</v>
      </c>
      <c r="F47" s="138"/>
      <c r="G47" s="138"/>
      <c r="H47" s="138"/>
      <c r="I47" s="138"/>
      <c r="J47" s="198">
        <f ca="1">(C8-(C41*(1+C8)^0.5)/J43)/(1+(C41*(1+C8)^0.5)/J43)</f>
        <v>2.4377311494941184E-2</v>
      </c>
    </row>
    <row r="48" spans="2:11">
      <c r="B48" s="165" t="s">
        <v>212</v>
      </c>
      <c r="C48" s="200">
        <f ca="1">C44/J41</f>
        <v>17.276035470404146</v>
      </c>
      <c r="E48" s="37"/>
      <c r="J48" s="153"/>
    </row>
    <row r="49" spans="2:10">
      <c r="B49" s="165"/>
      <c r="C49" s="155"/>
      <c r="E49" s="37"/>
      <c r="J49" s="153"/>
    </row>
    <row r="50" spans="2:10" ht="15" thickBot="1">
      <c r="B50" s="125" t="s">
        <v>196</v>
      </c>
      <c r="C50" s="157"/>
      <c r="D50"/>
      <c r="E50" s="125" t="s">
        <v>199</v>
      </c>
      <c r="F50" s="157"/>
      <c r="G50" s="157"/>
      <c r="H50" s="157"/>
      <c r="I50" s="157"/>
      <c r="J50" s="157"/>
    </row>
    <row r="51" spans="2:10" ht="16.2">
      <c r="B51" s="17" t="s">
        <v>248</v>
      </c>
      <c r="C51" s="96">
        <f>2128.8+134.4+1141.7</f>
        <v>3404.9000000000005</v>
      </c>
      <c r="D51"/>
      <c r="E51"/>
      <c r="F51"/>
      <c r="G51"/>
      <c r="I51" s="158" t="s">
        <v>197</v>
      </c>
      <c r="J51" s="158" t="s">
        <v>38</v>
      </c>
    </row>
    <row r="52" spans="2:10">
      <c r="B52" s="37" t="s">
        <v>97</v>
      </c>
      <c r="C52" s="96">
        <f>'Financial Statement Model'!E70+6.7</f>
        <v>3608.8999999999996</v>
      </c>
      <c r="D52"/>
      <c r="E52" t="s">
        <v>198</v>
      </c>
      <c r="F52"/>
      <c r="G52"/>
      <c r="I52" s="150">
        <f ca="1">C47</f>
        <v>125411.4177836275</v>
      </c>
      <c r="J52" s="150">
        <f ca="1">J46</f>
        <v>94558.622134996593</v>
      </c>
    </row>
    <row r="53" spans="2:10">
      <c r="B53" s="97" t="s">
        <v>63</v>
      </c>
      <c r="C53" s="137">
        <f>C52-C51</f>
        <v>203.99999999999909</v>
      </c>
      <c r="D53"/>
      <c r="E53" t="s">
        <v>180</v>
      </c>
      <c r="F53"/>
      <c r="G53"/>
      <c r="I53" s="150">
        <f>-C53</f>
        <v>-203.99999999999909</v>
      </c>
      <c r="J53" s="150">
        <f>-C53</f>
        <v>-203.99999999999909</v>
      </c>
    </row>
    <row r="54" spans="2:10">
      <c r="B54" s="37"/>
      <c r="C54" s="96"/>
      <c r="D54"/>
      <c r="E54"/>
      <c r="F54"/>
      <c r="G54"/>
      <c r="I54" s="150"/>
      <c r="J54" s="150"/>
    </row>
    <row r="55" spans="2:10">
      <c r="D55"/>
      <c r="E55" s="44" t="s">
        <v>181</v>
      </c>
      <c r="F55" s="44"/>
      <c r="G55" s="44"/>
      <c r="I55" s="106">
        <f ca="1">I52+I53+I54</f>
        <v>125207.4177836275</v>
      </c>
      <c r="J55" s="106">
        <f ca="1">J52+J53+J54</f>
        <v>94354.622134996593</v>
      </c>
    </row>
    <row r="56" spans="2:10" ht="15" thickBot="1">
      <c r="B56" s="220" t="s">
        <v>219</v>
      </c>
      <c r="C56" s="221"/>
      <c r="D56" s="20"/>
      <c r="E56" s="37" t="s">
        <v>182</v>
      </c>
      <c r="I56" s="159">
        <f>$C$65</f>
        <v>1467.6563707280834</v>
      </c>
      <c r="J56" s="159">
        <f>$C$65</f>
        <v>1467.6563707280834</v>
      </c>
    </row>
    <row r="57" spans="2:10">
      <c r="B57" s="222" t="s">
        <v>23</v>
      </c>
      <c r="C57" s="223">
        <f>C7</f>
        <v>1455.4</v>
      </c>
      <c r="D57" s="20"/>
      <c r="E57" s="44" t="s">
        <v>183</v>
      </c>
      <c r="I57" s="140">
        <f ca="1">I55/I56</f>
        <v>85.311126146997125</v>
      </c>
      <c r="J57" s="140">
        <f t="shared" ref="J57" ca="1" si="6">J55/J56</f>
        <v>64.289314594933828</v>
      </c>
    </row>
    <row r="58" spans="2:10">
      <c r="B58" s="70" t="s">
        <v>201</v>
      </c>
      <c r="C58" s="224">
        <v>20.100000000000001</v>
      </c>
      <c r="D58" s="20"/>
      <c r="E58" s="138" t="s">
        <v>200</v>
      </c>
      <c r="I58" s="153">
        <f ca="1">$C$5/I57-1</f>
        <v>-0.3688982617902633</v>
      </c>
      <c r="J58" s="153">
        <f t="shared" ref="J58" ca="1" si="7">$C$5/J57-1</f>
        <v>-0.16253579091286907</v>
      </c>
    </row>
    <row r="59" spans="2:10">
      <c r="B59" s="70" t="s">
        <v>202</v>
      </c>
      <c r="C59" s="225">
        <v>21.01</v>
      </c>
      <c r="D59"/>
      <c r="E59"/>
      <c r="F59"/>
      <c r="G59"/>
      <c r="H59"/>
      <c r="I59"/>
      <c r="J59"/>
    </row>
    <row r="60" spans="2:10" ht="15" thickBot="1">
      <c r="B60" s="226" t="s">
        <v>203</v>
      </c>
      <c r="C60" s="224">
        <f>IF(C59&lt;C5,C58,0)</f>
        <v>20.100000000000001</v>
      </c>
      <c r="D60"/>
      <c r="E60" s="125" t="s">
        <v>184</v>
      </c>
      <c r="F60" s="118"/>
      <c r="G60" s="118"/>
      <c r="H60" s="118"/>
      <c r="I60" s="118"/>
      <c r="J60" s="118"/>
    </row>
    <row r="61" spans="2:10">
      <c r="B61" s="70" t="s">
        <v>190</v>
      </c>
      <c r="C61" s="113">
        <f>C60*C59</f>
        <v>422.30100000000004</v>
      </c>
      <c r="D61"/>
      <c r="E61" s="141" t="s">
        <v>185</v>
      </c>
      <c r="J61" s="142">
        <f>-('Financial Statement Model'!E24/DCF!C52)</f>
        <v>2.2527640001108372E-2</v>
      </c>
    </row>
    <row r="62" spans="2:10">
      <c r="B62" s="70" t="s">
        <v>191</v>
      </c>
      <c r="C62" s="224">
        <f>C61/C5</f>
        <v>7.8436292719167904</v>
      </c>
      <c r="D62"/>
      <c r="E62" s="20" t="s">
        <v>34</v>
      </c>
      <c r="J62" s="153">
        <f>J16</f>
        <v>0.31082026915283145</v>
      </c>
    </row>
    <row r="63" spans="2:10">
      <c r="B63" s="70" t="s">
        <v>192</v>
      </c>
      <c r="C63" s="227">
        <f>C60-C62</f>
        <v>12.256370728083212</v>
      </c>
      <c r="D63"/>
      <c r="E63" s="17" t="s">
        <v>226</v>
      </c>
      <c r="J63" s="14">
        <f>J61*(1-J62)</f>
        <v>1.5525592872585776E-2</v>
      </c>
    </row>
    <row r="64" spans="2:10">
      <c r="B64" s="70" t="s">
        <v>193</v>
      </c>
      <c r="C64" s="228">
        <v>0</v>
      </c>
    </row>
    <row r="65" spans="2:12">
      <c r="B65" s="103" t="s">
        <v>194</v>
      </c>
      <c r="C65" s="229">
        <f>C57+C63+C64</f>
        <v>1467.6563707280834</v>
      </c>
      <c r="E65" s="17" t="s">
        <v>186</v>
      </c>
      <c r="J65" s="142">
        <v>2.5000000000000001E-2</v>
      </c>
      <c r="K65" s="205" t="s">
        <v>234</v>
      </c>
      <c r="L65" s="205" t="s">
        <v>235</v>
      </c>
    </row>
    <row r="66" spans="2:12">
      <c r="E66" s="17" t="s">
        <v>187</v>
      </c>
      <c r="J66" s="207">
        <f>IF(L66="Observed",K66,#REF!)</f>
        <v>0.65</v>
      </c>
      <c r="K66" s="143">
        <v>0.65</v>
      </c>
      <c r="L66" s="206" t="s">
        <v>247</v>
      </c>
    </row>
    <row r="67" spans="2:12">
      <c r="E67" s="20" t="s">
        <v>188</v>
      </c>
      <c r="J67" s="144">
        <v>0.08</v>
      </c>
    </row>
    <row r="68" spans="2:12">
      <c r="E68" s="37" t="s">
        <v>227</v>
      </c>
      <c r="J68" s="192">
        <f>J65+J66*J67</f>
        <v>7.7000000000000013E-2</v>
      </c>
    </row>
    <row r="70" spans="2:12">
      <c r="E70" s="24" t="s">
        <v>228</v>
      </c>
      <c r="F70" s="24"/>
      <c r="G70" s="24"/>
      <c r="H70" s="24"/>
      <c r="I70" s="24"/>
      <c r="J70" s="24"/>
    </row>
    <row r="71" spans="2:12" ht="16.2">
      <c r="I71" s="193" t="s">
        <v>229</v>
      </c>
      <c r="J71" s="194" t="s">
        <v>230</v>
      </c>
    </row>
    <row r="72" spans="2:12">
      <c r="E72" s="37" t="s">
        <v>231</v>
      </c>
      <c r="I72" s="63">
        <f>C65*C5</f>
        <v>79018.619000000021</v>
      </c>
      <c r="J72" s="14">
        <f>I72/(I72+I73)</f>
        <v>0.99742497783366646</v>
      </c>
    </row>
    <row r="73" spans="2:12">
      <c r="E73" s="37" t="s">
        <v>63</v>
      </c>
      <c r="I73" s="63">
        <f>C53</f>
        <v>203.99999999999909</v>
      </c>
      <c r="J73" s="14">
        <f>1-J72</f>
        <v>2.5750221663335404E-3</v>
      </c>
    </row>
    <row r="75" spans="2:12">
      <c r="E75" s="195" t="s">
        <v>189</v>
      </c>
      <c r="F75" s="196"/>
      <c r="G75" s="196"/>
      <c r="H75" s="196"/>
      <c r="I75" s="196"/>
      <c r="J75" s="197">
        <f>J63*J73+J68*J72</f>
        <v>7.6841702038984716E-2</v>
      </c>
    </row>
    <row r="76" spans="2:12">
      <c r="E76" s="37"/>
      <c r="J76" s="152"/>
    </row>
    <row r="77" spans="2:12" ht="15" thickBot="1">
      <c r="B77" s="125"/>
      <c r="C77" s="118"/>
      <c r="D77" s="118"/>
      <c r="E77" s="118"/>
      <c r="F77" s="118"/>
      <c r="G77" s="118"/>
      <c r="H77" s="118"/>
      <c r="I77" s="118"/>
      <c r="J77" s="118"/>
    </row>
    <row r="78" spans="2:12">
      <c r="E78" s="37"/>
      <c r="J78" s="152"/>
    </row>
    <row r="79" spans="2:12" ht="15" thickBot="1">
      <c r="B79" s="125" t="s">
        <v>204</v>
      </c>
      <c r="C79" s="118"/>
      <c r="D79" s="118"/>
      <c r="E79" s="118"/>
      <c r="F79" s="118"/>
      <c r="G79" s="118"/>
      <c r="H79" s="118"/>
      <c r="I79" s="118"/>
      <c r="J79" s="118"/>
    </row>
    <row r="80" spans="2:12">
      <c r="B80" s="35"/>
      <c r="C80" s="20"/>
      <c r="D80" s="20"/>
      <c r="E80" s="20"/>
      <c r="F80" s="20"/>
      <c r="G80" s="20"/>
      <c r="H80" s="20"/>
    </row>
    <row r="81" spans="2:8" ht="16.2">
      <c r="B81" s="35"/>
      <c r="C81" s="176" t="s">
        <v>183</v>
      </c>
      <c r="D81" s="176"/>
      <c r="E81" s="176"/>
      <c r="F81" s="176"/>
      <c r="G81" s="176"/>
      <c r="H81" s="176"/>
    </row>
    <row r="82" spans="2:8">
      <c r="B82" s="20"/>
      <c r="C82" s="75"/>
      <c r="D82" s="119" t="s">
        <v>225</v>
      </c>
      <c r="E82" s="119"/>
      <c r="F82" s="119"/>
      <c r="G82" s="119"/>
      <c r="H82" s="119"/>
    </row>
    <row r="83" spans="2:8">
      <c r="B83" s="168"/>
      <c r="C83" s="175">
        <f ca="1">I57</f>
        <v>85.311126146997125</v>
      </c>
      <c r="D83" s="177">
        <f>E83-0.005</f>
        <v>3.0000000000000002E-2</v>
      </c>
      <c r="E83" s="178">
        <f>F83-0.005</f>
        <v>3.5000000000000003E-2</v>
      </c>
      <c r="F83" s="179">
        <v>0.04</v>
      </c>
      <c r="G83" s="178">
        <f>F83+0.005</f>
        <v>4.4999999999999998E-2</v>
      </c>
      <c r="H83" s="180">
        <f>G83+0.005</f>
        <v>4.9999999999999996E-2</v>
      </c>
    </row>
    <row r="84" spans="2:8">
      <c r="B84" s="20"/>
      <c r="C84" s="208">
        <f t="shared" ref="C84" si="8">C85+0.01</f>
        <v>9.6999999999999989E-2</v>
      </c>
      <c r="D84" s="211">
        <f t="dataTable" ref="D84:H88" dt2D="1" dtr="1" r1="C43" r2="J75" ca="1"/>
        <v>47.178983111069869</v>
      </c>
      <c r="E84" s="211">
        <v>50.354452614907395</v>
      </c>
      <c r="F84" s="211">
        <v>54.087022031698893</v>
      </c>
      <c r="G84" s="211">
        <v>58.537393259411829</v>
      </c>
      <c r="H84" s="211">
        <v>63.934651982382825</v>
      </c>
    </row>
    <row r="85" spans="2:8">
      <c r="B85" s="20"/>
      <c r="C85" s="208">
        <f>C86+0.01</f>
        <v>8.6999999999999994E-2</v>
      </c>
      <c r="D85" s="211">
        <v>56.001785218008692</v>
      </c>
      <c r="E85" s="211">
        <v>60.618103400181155</v>
      </c>
      <c r="F85" s="211">
        <v>66.216616940262654</v>
      </c>
      <c r="G85" s="211">
        <v>73.148109894649266</v>
      </c>
      <c r="H85" s="211">
        <v>81.952979323194413</v>
      </c>
    </row>
    <row r="86" spans="2:8">
      <c r="B86" s="168" t="s">
        <v>221</v>
      </c>
      <c r="C86" s="209">
        <v>7.6999999999999999E-2</v>
      </c>
      <c r="D86" s="211">
        <v>68.604238491777465</v>
      </c>
      <c r="E86" s="211">
        <v>75.796628509972692</v>
      </c>
      <c r="F86" s="211">
        <v>84.93290772227472</v>
      </c>
      <c r="G86" s="211">
        <v>96.924274188421151</v>
      </c>
      <c r="H86" s="211">
        <v>113.35688749388105</v>
      </c>
    </row>
    <row r="87" spans="2:8">
      <c r="B87" s="20"/>
      <c r="C87" s="208">
        <f t="shared" ref="C87:C88" si="9">C86-0.01</f>
        <v>6.7000000000000004E-2</v>
      </c>
      <c r="D87" s="211">
        <v>88.052600549910963</v>
      </c>
      <c r="E87" s="211">
        <v>100.49960395119885</v>
      </c>
      <c r="F87" s="211">
        <v>117.556608612223</v>
      </c>
      <c r="G87" s="211">
        <v>142.36679721007627</v>
      </c>
      <c r="H87" s="211">
        <v>181.77121439490205</v>
      </c>
    </row>
    <row r="88" spans="2:8">
      <c r="B88" s="20"/>
      <c r="C88" s="210">
        <f t="shared" si="9"/>
        <v>5.7000000000000002E-2</v>
      </c>
      <c r="D88" s="211">
        <v>121.95587944040638</v>
      </c>
      <c r="E88" s="211">
        <v>147.71782786698583</v>
      </c>
      <c r="F88" s="211">
        <v>188.63386360331779</v>
      </c>
      <c r="G88" s="211">
        <v>263.64659578659308</v>
      </c>
      <c r="H88" s="211">
        <v>445.82037394597592</v>
      </c>
    </row>
    <row r="89" spans="2:8">
      <c r="B89" s="20"/>
      <c r="C89" s="20"/>
      <c r="D89" s="154"/>
      <c r="E89" s="154"/>
      <c r="F89" s="154"/>
      <c r="G89" s="154"/>
      <c r="H89" s="154"/>
    </row>
    <row r="90" spans="2:8" ht="16.2">
      <c r="C90" s="176" t="s">
        <v>183</v>
      </c>
      <c r="D90" s="176"/>
      <c r="E90" s="176"/>
      <c r="F90" s="176"/>
      <c r="G90" s="176"/>
      <c r="H90" s="176"/>
    </row>
    <row r="91" spans="2:8">
      <c r="D91" s="119" t="s">
        <v>205</v>
      </c>
      <c r="E91" s="119"/>
      <c r="F91" s="119"/>
      <c r="G91" s="119"/>
      <c r="H91" s="119"/>
    </row>
    <row r="92" spans="2:8">
      <c r="C92" s="160">
        <f ca="1">J57</f>
        <v>64.289314594933828</v>
      </c>
      <c r="D92" s="181">
        <f>E92-1</f>
        <v>10.4</v>
      </c>
      <c r="E92" s="181">
        <f>F92-1</f>
        <v>11.4</v>
      </c>
      <c r="F92" s="182">
        <v>12.4</v>
      </c>
      <c r="G92" s="181">
        <f>F92+1</f>
        <v>13.4</v>
      </c>
      <c r="H92" s="183">
        <f>G92+1</f>
        <v>14.4</v>
      </c>
    </row>
    <row r="93" spans="2:8">
      <c r="C93" s="208">
        <f t="shared" ref="C93" si="10">C94+0.01</f>
        <v>9.6999999999999989E-2</v>
      </c>
      <c r="D93" s="212">
        <f t="dataTable" ref="D93:H97" dt2D="1" dtr="1" r1="J42" r2="J75" ca="1"/>
        <v>51.075814125536141</v>
      </c>
      <c r="E93" s="211">
        <v>55.005405329333421</v>
      </c>
      <c r="F93" s="211">
        <v>58.934996533130722</v>
      </c>
      <c r="G93" s="211">
        <v>62.864587736928002</v>
      </c>
      <c r="H93" s="211">
        <v>66.794178940725303</v>
      </c>
    </row>
    <row r="94" spans="2:8">
      <c r="C94" s="208">
        <f>C95+0.01</f>
        <v>8.6999999999999994E-2</v>
      </c>
      <c r="D94" s="212">
        <v>53.291231058696127</v>
      </c>
      <c r="E94" s="211">
        <v>57.404848990570954</v>
      </c>
      <c r="F94" s="211">
        <v>61.518466922445796</v>
      </c>
      <c r="G94" s="211">
        <v>65.632084854320624</v>
      </c>
      <c r="H94" s="211">
        <v>69.745702786195466</v>
      </c>
    </row>
    <row r="95" spans="2:8">
      <c r="B95" s="168" t="s">
        <v>221</v>
      </c>
      <c r="C95" s="209">
        <v>7.6999999999999999E-2</v>
      </c>
      <c r="D95" s="212">
        <v>55.628785436828132</v>
      </c>
      <c r="E95" s="211">
        <v>59.936870171601058</v>
      </c>
      <c r="F95" s="211">
        <v>64.244954906373991</v>
      </c>
      <c r="G95" s="211">
        <v>68.553039641146924</v>
      </c>
      <c r="H95" s="211">
        <v>72.861124375919843</v>
      </c>
    </row>
    <row r="96" spans="2:8">
      <c r="C96" s="208">
        <f t="shared" ref="C96:C97" si="11">C95-0.01</f>
        <v>6.7000000000000004E-2</v>
      </c>
      <c r="D96" s="212">
        <v>58.09651817000276</v>
      </c>
      <c r="E96" s="211">
        <v>62.610207388689929</v>
      </c>
      <c r="F96" s="211">
        <v>67.123896607377105</v>
      </c>
      <c r="G96" s="211">
        <v>71.637585826064253</v>
      </c>
      <c r="H96" s="211">
        <v>76.151275044751415</v>
      </c>
    </row>
    <row r="97" spans="2:10">
      <c r="C97" s="210">
        <f t="shared" si="11"/>
        <v>5.7000000000000002E-2</v>
      </c>
      <c r="D97" s="212">
        <v>60.703084514122672</v>
      </c>
      <c r="E97" s="211">
        <v>65.434267291229148</v>
      </c>
      <c r="F97" s="211">
        <v>70.16545006833563</v>
      </c>
      <c r="G97" s="211">
        <v>74.896632845442099</v>
      </c>
      <c r="H97" s="211">
        <v>79.627815622548582</v>
      </c>
    </row>
    <row r="98" spans="2:10">
      <c r="C98" s="20"/>
      <c r="D98" s="20"/>
    </row>
    <row r="99" spans="2:10" ht="16.2">
      <c r="C99" s="176" t="s">
        <v>183</v>
      </c>
      <c r="D99" s="176"/>
      <c r="E99" s="176"/>
      <c r="F99" s="176"/>
      <c r="G99" s="176"/>
      <c r="H99" s="176"/>
    </row>
    <row r="100" spans="2:10">
      <c r="C100" s="20"/>
      <c r="D100" s="119" t="s">
        <v>205</v>
      </c>
      <c r="E100" s="119"/>
      <c r="F100" s="119"/>
      <c r="G100" s="119"/>
      <c r="H100" s="119"/>
    </row>
    <row r="101" spans="2:10">
      <c r="C101" s="189" t="s">
        <v>211</v>
      </c>
      <c r="D101" s="164">
        <f ca="1">J57</f>
        <v>64.289314594933828</v>
      </c>
      <c r="E101" s="184">
        <f>F101-1</f>
        <v>10.4</v>
      </c>
      <c r="F101" s="181">
        <f>G101-1</f>
        <v>11.4</v>
      </c>
      <c r="G101" s="182">
        <v>12.4</v>
      </c>
      <c r="H101" s="183">
        <f>G101+1</f>
        <v>13.4</v>
      </c>
    </row>
    <row r="102" spans="2:10">
      <c r="C102" s="190">
        <v>0.7</v>
      </c>
      <c r="D102" s="185">
        <f>D104*C102</f>
        <v>6379.0999999999995</v>
      </c>
      <c r="E102" s="211">
        <f t="dataTable" ref="E102:H106" dt2D="1" dtr="1" r1="J42" r2="J41" ca="1"/>
        <v>42.053226377506626</v>
      </c>
      <c r="F102" s="211">
        <v>45.055478398137723</v>
      </c>
      <c r="G102" s="211">
        <v>48.057730418768848</v>
      </c>
      <c r="H102" s="211">
        <v>51.059982439399953</v>
      </c>
    </row>
    <row r="103" spans="2:10">
      <c r="C103" s="190">
        <v>0.85</v>
      </c>
      <c r="D103" s="186">
        <f>D104*C103</f>
        <v>7746.05</v>
      </c>
      <c r="E103" s="211">
        <v>48.743959452055954</v>
      </c>
      <c r="F103" s="211">
        <v>52.389551191393736</v>
      </c>
      <c r="G103" s="211">
        <v>56.035142930731517</v>
      </c>
      <c r="H103" s="211">
        <v>59.680734670069299</v>
      </c>
    </row>
    <row r="104" spans="2:10">
      <c r="C104" s="190">
        <v>1</v>
      </c>
      <c r="D104" s="187">
        <v>9113</v>
      </c>
      <c r="E104" s="211">
        <v>55.434692526605296</v>
      </c>
      <c r="F104" s="211">
        <v>59.723623984649741</v>
      </c>
      <c r="G104" s="211">
        <v>64.012555442694193</v>
      </c>
      <c r="H104" s="211">
        <v>68.301486900738638</v>
      </c>
    </row>
    <row r="105" spans="2:10">
      <c r="C105" s="190">
        <v>1.1499999999999999</v>
      </c>
      <c r="D105" s="186">
        <f>D104*C105</f>
        <v>10479.949999999999</v>
      </c>
      <c r="E105" s="211">
        <v>62.125425601154632</v>
      </c>
      <c r="F105" s="211">
        <v>67.057696777905733</v>
      </c>
      <c r="G105" s="211">
        <v>71.989967954656848</v>
      </c>
      <c r="H105" s="211">
        <v>76.922239131407963</v>
      </c>
    </row>
    <row r="106" spans="2:10">
      <c r="C106" s="190">
        <v>1.3</v>
      </c>
      <c r="D106" s="188">
        <f>D104*C106</f>
        <v>11846.9</v>
      </c>
      <c r="E106" s="211">
        <v>68.81615867570396</v>
      </c>
      <c r="F106" s="211">
        <v>74.391769571161745</v>
      </c>
      <c r="G106" s="211">
        <v>79.967380466619531</v>
      </c>
      <c r="H106" s="211">
        <v>85.542991362077302</v>
      </c>
    </row>
    <row r="108" spans="2:10" ht="15" thickBot="1">
      <c r="B108" s="125" t="s">
        <v>218</v>
      </c>
      <c r="C108" s="118"/>
      <c r="D108" s="118"/>
      <c r="E108" s="118"/>
      <c r="F108" s="20"/>
      <c r="G108" s="166" t="s">
        <v>220</v>
      </c>
      <c r="H108" s="118"/>
      <c r="I108" s="118"/>
      <c r="J108" s="118"/>
    </row>
    <row r="109" spans="2:10">
      <c r="F109" s="20"/>
      <c r="G109" s="46" t="s">
        <v>222</v>
      </c>
    </row>
    <row r="110" spans="2:10">
      <c r="G110" s="51" t="s">
        <v>206</v>
      </c>
      <c r="J110" s="96">
        <f>E15+31056-29768</f>
        <v>5459.9000000000015</v>
      </c>
    </row>
    <row r="111" spans="2:10">
      <c r="G111" s="53" t="s">
        <v>223</v>
      </c>
      <c r="J111" s="96">
        <f>'Financial Statement Model'!E47+4031-3280</f>
        <v>1781.1000000000004</v>
      </c>
    </row>
    <row r="112" spans="2:10">
      <c r="G112" s="53" t="s">
        <v>37</v>
      </c>
      <c r="J112" s="174">
        <f>'Financial Statement Model'!E48+1377-1120</f>
        <v>475.09999999999991</v>
      </c>
    </row>
    <row r="113" spans="7:10">
      <c r="G113" s="44" t="s">
        <v>224</v>
      </c>
      <c r="H113" s="44"/>
      <c r="I113" s="44"/>
      <c r="J113" s="137">
        <f>J110+J111+J112</f>
        <v>7716.1000000000022</v>
      </c>
    </row>
    <row r="114" spans="7:10">
      <c r="G114" s="17" t="s">
        <v>207</v>
      </c>
      <c r="J114" s="60">
        <f>C5*C65</f>
        <v>79018.619000000021</v>
      </c>
    </row>
    <row r="115" spans="7:10">
      <c r="G115" s="17" t="s">
        <v>198</v>
      </c>
      <c r="J115" s="60">
        <f>J114+C53</f>
        <v>79222.619000000021</v>
      </c>
    </row>
    <row r="116" spans="7:10">
      <c r="G116" s="44" t="s">
        <v>208</v>
      </c>
      <c r="J116" s="161">
        <f>J115/J113</f>
        <v>10.267184069672503</v>
      </c>
    </row>
    <row r="117" spans="7:10">
      <c r="G117" s="138"/>
      <c r="J117" s="155"/>
    </row>
    <row r="129" spans="2:5">
      <c r="B129" s="171"/>
      <c r="C129" s="172" t="s">
        <v>215</v>
      </c>
      <c r="D129" s="172" t="s">
        <v>216</v>
      </c>
      <c r="E129" s="173" t="s">
        <v>214</v>
      </c>
    </row>
    <row r="130" spans="2:5">
      <c r="B130" s="169" t="str">
        <f>"DCF Value at "&amp;TEXT(D92,"0.0x")&amp;"-"&amp;TEXT(H92,"0.0x")&amp;" Exit EBITDA Range"</f>
        <v>DCF Value at 10.4x-14.4x Exit EBITDA Range</v>
      </c>
      <c r="C130" s="204">
        <f>D95</f>
        <v>55.628785436828132</v>
      </c>
      <c r="D130" s="204">
        <f>E130-C130</f>
        <v>17.232338939091711</v>
      </c>
      <c r="E130" s="213">
        <f>H95</f>
        <v>72.861124375919843</v>
      </c>
    </row>
    <row r="131" spans="2:5">
      <c r="B131" s="167" t="str">
        <f>"DCF Value at "&amp;TEXT(D83,"0.0%")&amp;"-"&amp;TEXT(H83,"0.0%")&amp;" Perpetuity Range"</f>
        <v>DCF Value at 3.0%-5.0% Perpetuity Range</v>
      </c>
      <c r="C131" s="204">
        <f>D86</f>
        <v>68.604238491777465</v>
      </c>
      <c r="D131" s="204">
        <f>E131-C131</f>
        <v>44.752649002103581</v>
      </c>
      <c r="E131" s="213">
        <f>H86</f>
        <v>113.35688749388105</v>
      </c>
    </row>
    <row r="132" spans="2:5">
      <c r="B132" s="170" t="s">
        <v>217</v>
      </c>
      <c r="C132" s="230">
        <v>53.01</v>
      </c>
      <c r="D132" s="214">
        <f>E132-C132</f>
        <v>10.420000000000002</v>
      </c>
      <c r="E132" s="231">
        <v>63.43</v>
      </c>
    </row>
  </sheetData>
  <conditionalFormatting sqref="D84:H88">
    <cfRule type="cellIs" dxfId="2" priority="3" operator="lessThan">
      <formula>$C$5</formula>
    </cfRule>
  </conditionalFormatting>
  <conditionalFormatting sqref="D93:H97">
    <cfRule type="cellIs" dxfId="1" priority="2" operator="lessThan">
      <formula>$C$5</formula>
    </cfRule>
  </conditionalFormatting>
  <conditionalFormatting sqref="E102:H106">
    <cfRule type="cellIs" dxfId="0" priority="1" operator="lessThan">
      <formula>$C$5</formula>
    </cfRule>
  </conditionalFormatting>
  <dataValidations count="2">
    <dataValidation type="list" allowBlank="1" showInputMessage="1" showErrorMessage="1" sqref="C36">
      <formula1>"End of period,Middle of period"</formula1>
    </dataValidation>
    <dataValidation type="list" allowBlank="1" showInputMessage="1" showErrorMessage="1" sqref="L66">
      <formula1>"Industry, Observed"</formula1>
    </dataValidation>
  </dataValidation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Financial Statement Model</vt:lpstr>
      <vt:lpstr>DCF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Mary Roberts</cp:lastModifiedBy>
  <cp:lastPrinted>2014-05-30T16:55:05Z</cp:lastPrinted>
  <dcterms:created xsi:type="dcterms:W3CDTF">2014-05-28T19:09:08Z</dcterms:created>
  <dcterms:modified xsi:type="dcterms:W3CDTF">2017-07-22T12:44:34Z</dcterms:modified>
</cp:coreProperties>
</file>