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29"/>
  <workbookPr defaultThemeVersion="124226"/>
  <mc:AlternateContent xmlns:mc="http://schemas.openxmlformats.org/markup-compatibility/2006">
    <mc:Choice Requires="x15">
      <x15ac:absPath xmlns:x15ac="http://schemas.microsoft.com/office/spreadsheetml/2010/11/ac" url="C:\Users\Mary\Desktop\WSP Models\"/>
    </mc:Choice>
  </mc:AlternateContent>
  <bookViews>
    <workbookView xWindow="720" yWindow="708" windowWidth="15240" windowHeight="12000"/>
  </bookViews>
  <sheets>
    <sheet name="LBO" sheetId="1" r:id="rId1"/>
    <sheet name="Shares" sheetId="11" r:id="rId2"/>
    <sheet name="52wkHL" sheetId="9" r:id="rId3"/>
  </sheets>
  <externalReferences>
    <externalReference r:id="rId4"/>
    <externalReference r:id="rId5"/>
  </externalReferences>
  <definedNames>
    <definedName name="Inv_Cap">[1]Results!$E$182:$AD$182</definedName>
    <definedName name="NOPLAT">[1]Results!$E$145:$AD$145</definedName>
    <definedName name="One">'[1]Forecast Drivers'!$D$330</definedName>
    <definedName name="Products">[2]Array0!$B$5:$C$7</definedName>
    <definedName name="Rev">'[1]Forecast Drivers'!$E$25:$S$25</definedName>
  </definedNames>
  <calcPr calcId="171027" calcMode="autoNoTable" iterate="1"/>
</workbook>
</file>

<file path=xl/calcChain.xml><?xml version="1.0" encoding="utf-8"?>
<calcChain xmlns="http://schemas.openxmlformats.org/spreadsheetml/2006/main">
  <c r="J48" i="1" l="1"/>
  <c r="I48" i="1"/>
  <c r="H48" i="1"/>
  <c r="G48" i="1"/>
  <c r="F48" i="1"/>
  <c r="D31" i="1"/>
  <c r="D32" i="1"/>
  <c r="D33" i="1"/>
  <c r="D34" i="1"/>
  <c r="D30" i="1"/>
  <c r="D29" i="1"/>
  <c r="C27" i="1"/>
  <c r="E298" i="1"/>
  <c r="E299" i="1" s="1"/>
  <c r="E300" i="1" s="1"/>
  <c r="E297" i="1"/>
  <c r="F118" i="1" l="1"/>
  <c r="D101" i="1"/>
  <c r="E94" i="1"/>
  <c r="E93" i="1"/>
  <c r="E95" i="1" s="1"/>
  <c r="G98" i="1"/>
  <c r="H98" i="1" s="1"/>
  <c r="I98" i="1" s="1"/>
  <c r="J98" i="1" s="1"/>
  <c r="J118" i="1" s="1"/>
  <c r="E101" i="1"/>
  <c r="F97" i="1"/>
  <c r="E81" i="1"/>
  <c r="D81" i="1"/>
  <c r="F81" i="1" s="1"/>
  <c r="E82" i="1"/>
  <c r="E83" i="1" s="1"/>
  <c r="D82" i="1"/>
  <c r="D85" i="1" s="1"/>
  <c r="E79" i="1"/>
  <c r="D79" i="1"/>
  <c r="E77" i="1"/>
  <c r="D77" i="1"/>
  <c r="E75" i="1"/>
  <c r="D75" i="1"/>
  <c r="I118" i="1" l="1"/>
  <c r="H118" i="1"/>
  <c r="F77" i="1"/>
  <c r="G77" i="1" s="1"/>
  <c r="H77" i="1" s="1"/>
  <c r="I77" i="1" s="1"/>
  <c r="J77" i="1" s="1"/>
  <c r="G118" i="1"/>
  <c r="F75" i="1"/>
  <c r="G75" i="1" s="1"/>
  <c r="H75" i="1" s="1"/>
  <c r="I75" i="1" s="1"/>
  <c r="J75" i="1" s="1"/>
  <c r="F79" i="1"/>
  <c r="G79" i="1" s="1"/>
  <c r="D83" i="1"/>
  <c r="F83" i="1" s="1"/>
  <c r="G83" i="1" s="1"/>
  <c r="H83" i="1" s="1"/>
  <c r="E85" i="1"/>
  <c r="G81" i="1"/>
  <c r="G97" i="1"/>
  <c r="H97" i="1" s="1"/>
  <c r="I97" i="1" s="1"/>
  <c r="H81" i="1" l="1"/>
  <c r="H79" i="1"/>
  <c r="I83" i="1"/>
  <c r="I79" i="1" l="1"/>
  <c r="I81" i="1"/>
  <c r="J83" i="1"/>
  <c r="J81" i="1" l="1"/>
  <c r="J79" i="1"/>
  <c r="F50" i="1" l="1"/>
  <c r="G50" i="1" s="1"/>
  <c r="H50" i="1" s="1"/>
  <c r="I50" i="1" s="1"/>
  <c r="J50" i="1" s="1"/>
  <c r="D65" i="1"/>
  <c r="E65" i="1"/>
  <c r="C65" i="1"/>
  <c r="F45" i="1"/>
  <c r="D14" i="1"/>
  <c r="E59" i="1"/>
  <c r="D59" i="1"/>
  <c r="C59" i="1"/>
  <c r="E58" i="1"/>
  <c r="D58" i="1"/>
  <c r="C58" i="1"/>
  <c r="E57" i="1"/>
  <c r="D57" i="1"/>
  <c r="C57" i="1"/>
  <c r="E48" i="1"/>
  <c r="D48" i="1"/>
  <c r="C48" i="1"/>
  <c r="E46" i="1"/>
  <c r="E66" i="1" s="1"/>
  <c r="D46" i="1"/>
  <c r="D66" i="1" s="1"/>
  <c r="C46" i="1"/>
  <c r="C66" i="1" s="1"/>
  <c r="E44" i="1"/>
  <c r="D44" i="1"/>
  <c r="C44" i="1"/>
  <c r="D68" i="1" l="1"/>
  <c r="E68" i="1"/>
  <c r="C68" i="1"/>
  <c r="E47" i="1"/>
  <c r="E56" i="1" s="1"/>
  <c r="E60" i="1" s="1"/>
  <c r="F66" i="1"/>
  <c r="G66" i="1" s="1"/>
  <c r="H66" i="1" s="1"/>
  <c r="I66" i="1" s="1"/>
  <c r="J66" i="1" s="1"/>
  <c r="F59" i="1"/>
  <c r="G59" i="1" s="1"/>
  <c r="H59" i="1" s="1"/>
  <c r="I59" i="1" s="1"/>
  <c r="J59" i="1" s="1"/>
  <c r="G45" i="1"/>
  <c r="C47" i="1"/>
  <c r="C51" i="1" s="1"/>
  <c r="C53" i="1" s="1"/>
  <c r="D47" i="1"/>
  <c r="C56" i="1" l="1"/>
  <c r="C60" i="1" s="1"/>
  <c r="E51" i="1"/>
  <c r="E53" i="1" s="1"/>
  <c r="H45" i="1"/>
  <c r="D13" i="1"/>
  <c r="J10" i="1"/>
  <c r="I10" i="1" s="1"/>
  <c r="H10" i="1" s="1"/>
  <c r="D51" i="1"/>
  <c r="D53" i="1" s="1"/>
  <c r="D56" i="1"/>
  <c r="D60" i="1" s="1"/>
  <c r="I45" i="1" l="1"/>
  <c r="J45" i="1" l="1"/>
  <c r="D15" i="1" l="1"/>
  <c r="D27" i="1" s="1"/>
  <c r="D8" i="1" l="1"/>
  <c r="E136" i="1" l="1"/>
  <c r="J97" i="1" l="1"/>
  <c r="F210" i="1" l="1"/>
  <c r="G210" i="1" l="1"/>
  <c r="H210" i="1" s="1"/>
  <c r="I210" i="1" s="1"/>
  <c r="J210" i="1" s="1"/>
  <c r="C195" i="1" l="1"/>
  <c r="E195" i="1"/>
  <c r="D195" i="1"/>
  <c r="E89" i="1"/>
  <c r="D89" i="1"/>
  <c r="E72" i="1"/>
  <c r="D72" i="1"/>
  <c r="E39" i="1"/>
  <c r="E88" i="1" s="1"/>
  <c r="F32" i="1"/>
  <c r="F31" i="1"/>
  <c r="F30" i="1"/>
  <c r="F29" i="1"/>
  <c r="F28" i="1"/>
  <c r="H8" i="1"/>
  <c r="J21" i="1"/>
  <c r="H15" i="1"/>
  <c r="H14" i="1"/>
  <c r="B275" i="1"/>
  <c r="B276" i="1"/>
  <c r="B277" i="1"/>
  <c r="E5" i="9"/>
  <c r="E4" i="9"/>
  <c r="B3" i="11"/>
  <c r="B2" i="11"/>
  <c r="B2" i="1"/>
  <c r="B19" i="11"/>
  <c r="B20" i="11" s="1"/>
  <c r="B21" i="11" s="1"/>
  <c r="B22" i="11" s="1"/>
  <c r="B23" i="11" s="1"/>
  <c r="B24" i="11" s="1"/>
  <c r="B25" i="11" s="1"/>
  <c r="B26" i="11" s="1"/>
  <c r="B27" i="11" s="1"/>
  <c r="E71" i="1" l="1"/>
  <c r="E194" i="1"/>
  <c r="G295" i="1"/>
  <c r="H295" i="1" s="1"/>
  <c r="I295" i="1" s="1"/>
  <c r="J295" i="1" s="1"/>
  <c r="E314" i="1"/>
  <c r="F134" i="1"/>
  <c r="B337" i="1"/>
  <c r="B336" i="1"/>
  <c r="E337" i="1"/>
  <c r="D337" i="1"/>
  <c r="E354" i="1"/>
  <c r="D354" i="1"/>
  <c r="E353" i="1"/>
  <c r="D353" i="1"/>
  <c r="E350" i="1"/>
  <c r="D350" i="1"/>
  <c r="B356" i="1"/>
  <c r="B355" i="1"/>
  <c r="B354" i="1"/>
  <c r="B353" i="1"/>
  <c r="B351" i="1"/>
  <c r="B350" i="1"/>
  <c r="B345" i="1"/>
  <c r="B338" i="1"/>
  <c r="F332" i="1"/>
  <c r="E332" i="1"/>
  <c r="E321" i="1"/>
  <c r="D344" i="1" s="1"/>
  <c r="F326" i="1"/>
  <c r="E349" i="1" s="1"/>
  <c r="E326" i="1"/>
  <c r="D349" i="1" s="1"/>
  <c r="F320" i="1"/>
  <c r="E343" i="1" s="1"/>
  <c r="E320" i="1"/>
  <c r="D343" i="1" s="1"/>
  <c r="F319" i="1"/>
  <c r="E342" i="1" s="1"/>
  <c r="E319" i="1"/>
  <c r="D342" i="1" s="1"/>
  <c r="F318" i="1"/>
  <c r="E341" i="1" s="1"/>
  <c r="E318" i="1"/>
  <c r="D341" i="1" s="1"/>
  <c r="F317" i="1"/>
  <c r="E317" i="1"/>
  <c r="D340" i="1" s="1"/>
  <c r="B326" i="1"/>
  <c r="B349" i="1" s="1"/>
  <c r="B325" i="1"/>
  <c r="B348" i="1" s="1"/>
  <c r="B324" i="1"/>
  <c r="B347" i="1" s="1"/>
  <c r="B321" i="1"/>
  <c r="B344" i="1" s="1"/>
  <c r="B320" i="1"/>
  <c r="B343" i="1" s="1"/>
  <c r="B319" i="1"/>
  <c r="B342" i="1" s="1"/>
  <c r="B318" i="1"/>
  <c r="B341" i="1" s="1"/>
  <c r="B317" i="1"/>
  <c r="B340" i="1" s="1"/>
  <c r="B316" i="1"/>
  <c r="B339" i="1" s="1"/>
  <c r="D21" i="1"/>
  <c r="G327" i="1" s="1"/>
  <c r="J14" i="1"/>
  <c r="I14" i="1"/>
  <c r="J15" i="1"/>
  <c r="I15" i="1"/>
  <c r="F321" i="1"/>
  <c r="E344" i="1" s="1"/>
  <c r="F316" i="1"/>
  <c r="J317" i="1" l="1"/>
  <c r="F340" i="1" s="1"/>
  <c r="E340" i="1"/>
  <c r="J316" i="1"/>
  <c r="F339" i="1" s="1"/>
  <c r="E339" i="1"/>
  <c r="J326" i="1"/>
  <c r="F349" i="1" s="1"/>
  <c r="D355" i="1"/>
  <c r="E355" i="1"/>
  <c r="J319" i="1"/>
  <c r="F342" i="1" s="1"/>
  <c r="F325" i="1" l="1"/>
  <c r="E325" i="1"/>
  <c r="D348" i="1" s="1"/>
  <c r="F324" i="1"/>
  <c r="E324" i="1"/>
  <c r="D347" i="1" s="1"/>
  <c r="E315" i="1"/>
  <c r="D338" i="1" s="1"/>
  <c r="F103" i="1"/>
  <c r="F313" i="1"/>
  <c r="E306" i="1"/>
  <c r="E307" i="1" s="1"/>
  <c r="E308" i="1" s="1"/>
  <c r="E309" i="1" s="1"/>
  <c r="G304" i="1"/>
  <c r="H304" i="1" s="1"/>
  <c r="I304" i="1" s="1"/>
  <c r="J304" i="1" s="1"/>
  <c r="G285" i="1"/>
  <c r="H285" i="1" s="1"/>
  <c r="I285" i="1" s="1"/>
  <c r="J285" i="1" s="1"/>
  <c r="E287" i="1"/>
  <c r="E288" i="1" s="1"/>
  <c r="E289" i="1" s="1"/>
  <c r="E290" i="1" s="1"/>
  <c r="G103" i="1" l="1"/>
  <c r="H349" i="1" s="1"/>
  <c r="G349" i="1"/>
  <c r="J324" i="1"/>
  <c r="F347" i="1" s="1"/>
  <c r="E347" i="1"/>
  <c r="J325" i="1"/>
  <c r="F348" i="1" s="1"/>
  <c r="E348" i="1"/>
  <c r="F336" i="1"/>
  <c r="D351" i="1"/>
  <c r="F315" i="1"/>
  <c r="E338" i="1" s="1"/>
  <c r="F328" i="1"/>
  <c r="E316" i="1"/>
  <c r="D339" i="1" s="1"/>
  <c r="E328" i="1"/>
  <c r="F247" i="1"/>
  <c r="F248" i="1" s="1"/>
  <c r="F249" i="1" s="1"/>
  <c r="F250" i="1" s="1"/>
  <c r="G247" i="1"/>
  <c r="G248" i="1" s="1"/>
  <c r="G249" i="1" s="1"/>
  <c r="G250" i="1" s="1"/>
  <c r="H247" i="1"/>
  <c r="H248" i="1" s="1"/>
  <c r="H249" i="1" s="1"/>
  <c r="H250" i="1" s="1"/>
  <c r="I247" i="1"/>
  <c r="I248" i="1" s="1"/>
  <c r="I249" i="1" s="1"/>
  <c r="I250" i="1" s="1"/>
  <c r="B267" i="1"/>
  <c r="B266" i="1"/>
  <c r="H265" i="1"/>
  <c r="H264" i="1"/>
  <c r="E322" i="1" l="1"/>
  <c r="D345" i="1" s="1"/>
  <c r="D356" i="1" s="1"/>
  <c r="E351" i="1"/>
  <c r="F322" i="1"/>
  <c r="E345" i="1" s="1"/>
  <c r="H103" i="1"/>
  <c r="I349" i="1" s="1"/>
  <c r="K95" i="1"/>
  <c r="F95" i="1" s="1"/>
  <c r="G95" i="1" s="1"/>
  <c r="H95" i="1" s="1"/>
  <c r="I95" i="1" s="1"/>
  <c r="J95" i="1" s="1"/>
  <c r="B234" i="1"/>
  <c r="E333" i="1" l="1"/>
  <c r="E356" i="1"/>
  <c r="F333" i="1"/>
  <c r="I103" i="1"/>
  <c r="J349" i="1" s="1"/>
  <c r="B246" i="1"/>
  <c r="J103" i="1" l="1"/>
  <c r="K349" i="1" s="1"/>
  <c r="B265" i="1"/>
  <c r="B264" i="1"/>
  <c r="B263" i="1"/>
  <c r="B262" i="1"/>
  <c r="B261" i="1"/>
  <c r="B260" i="1"/>
  <c r="I253" i="1"/>
  <c r="I254" i="1" s="1"/>
  <c r="I255" i="1" s="1"/>
  <c r="I256" i="1" s="1"/>
  <c r="H253" i="1"/>
  <c r="H254" i="1" s="1"/>
  <c r="H255" i="1" s="1"/>
  <c r="H256" i="1" s="1"/>
  <c r="G253" i="1"/>
  <c r="G254" i="1" s="1"/>
  <c r="G255" i="1" s="1"/>
  <c r="G256" i="1" s="1"/>
  <c r="F253" i="1"/>
  <c r="F254" i="1" s="1"/>
  <c r="F255" i="1" s="1"/>
  <c r="F256" i="1" s="1"/>
  <c r="B252" i="1"/>
  <c r="B240" i="1"/>
  <c r="B247" i="1"/>
  <c r="F142" i="1"/>
  <c r="G142" i="1" s="1"/>
  <c r="H142" i="1" s="1"/>
  <c r="I142" i="1" s="1"/>
  <c r="J142" i="1" s="1"/>
  <c r="C132" i="1"/>
  <c r="B235" i="1" l="1"/>
  <c r="B241" i="1"/>
  <c r="B253" i="1"/>
  <c r="F101" i="1"/>
  <c r="G101" i="1" s="1"/>
  <c r="B248" i="1" l="1"/>
  <c r="B258" i="1"/>
  <c r="B242" i="1"/>
  <c r="B255" i="1"/>
  <c r="B254" i="1"/>
  <c r="B236" i="1"/>
  <c r="G113" i="1"/>
  <c r="F113" i="1"/>
  <c r="H101" i="1"/>
  <c r="B244" i="1" l="1"/>
  <c r="B237" i="1"/>
  <c r="B243" i="1"/>
  <c r="B249" i="1"/>
  <c r="B238" i="1"/>
  <c r="B250" i="1"/>
  <c r="B256" i="1"/>
  <c r="H113" i="1"/>
  <c r="I101" i="1"/>
  <c r="I113" i="1" l="1"/>
  <c r="J101" i="1"/>
  <c r="J113" i="1" s="1"/>
  <c r="D132" i="1" l="1"/>
  <c r="B132" i="1"/>
  <c r="B131" i="1"/>
  <c r="B107" i="1"/>
  <c r="B106" i="1"/>
  <c r="E63" i="1"/>
  <c r="D63" i="1"/>
  <c r="F314" i="1"/>
  <c r="E137" i="1" l="1"/>
  <c r="F137" i="1" s="1"/>
  <c r="G137" i="1" s="1"/>
  <c r="H137" i="1" s="1"/>
  <c r="I137" i="1" s="1"/>
  <c r="J137" i="1" s="1"/>
  <c r="F337" i="1"/>
  <c r="D64" i="1"/>
  <c r="E64" i="1"/>
  <c r="F141" i="1"/>
  <c r="F143" i="1" s="1"/>
  <c r="E131" i="1"/>
  <c r="D39" i="1"/>
  <c r="D194" i="1" s="1"/>
  <c r="F39" i="1"/>
  <c r="F194" i="1" s="1"/>
  <c r="C64" i="1"/>
  <c r="E132" i="1"/>
  <c r="F40" i="1"/>
  <c r="F195" i="1" s="1"/>
  <c r="F64" i="1" l="1"/>
  <c r="G64" i="1" s="1"/>
  <c r="F71" i="1"/>
  <c r="F88" i="1"/>
  <c r="F89" i="1"/>
  <c r="F72" i="1"/>
  <c r="D88" i="1"/>
  <c r="D71" i="1"/>
  <c r="I12" i="1"/>
  <c r="I17" i="1" s="1"/>
  <c r="E336" i="1"/>
  <c r="E313" i="1"/>
  <c r="J314" i="1"/>
  <c r="G337" i="1"/>
  <c r="J313" i="1"/>
  <c r="G336" i="1"/>
  <c r="F228" i="1"/>
  <c r="G39" i="1"/>
  <c r="G194" i="1" s="1"/>
  <c r="D67" i="1"/>
  <c r="C39" i="1"/>
  <c r="C194" i="1" s="1"/>
  <c r="D131" i="1"/>
  <c r="F132" i="1"/>
  <c r="F107" i="1"/>
  <c r="G40" i="1"/>
  <c r="G195" i="1" s="1"/>
  <c r="F131" i="1"/>
  <c r="F106" i="1"/>
  <c r="H64" i="1" l="1"/>
  <c r="I64" i="1" s="1"/>
  <c r="J64" i="1" s="1"/>
  <c r="H337" i="1"/>
  <c r="G72" i="1"/>
  <c r="G89" i="1"/>
  <c r="G71" i="1"/>
  <c r="G88" i="1"/>
  <c r="C131" i="1"/>
  <c r="D336" i="1"/>
  <c r="H39" i="1"/>
  <c r="H194" i="1" s="1"/>
  <c r="H336" i="1"/>
  <c r="G228" i="1"/>
  <c r="H29" i="1"/>
  <c r="H32" i="1"/>
  <c r="H31" i="1"/>
  <c r="H30" i="1"/>
  <c r="C67" i="1"/>
  <c r="E67" i="1"/>
  <c r="G131" i="1"/>
  <c r="G106" i="1"/>
  <c r="G132" i="1"/>
  <c r="G107" i="1"/>
  <c r="H40" i="1"/>
  <c r="H195" i="1" s="1"/>
  <c r="F67" i="1" l="1"/>
  <c r="I337" i="1"/>
  <c r="H72" i="1"/>
  <c r="H89" i="1"/>
  <c r="I336" i="1"/>
  <c r="H88" i="1"/>
  <c r="H71" i="1"/>
  <c r="J29" i="1"/>
  <c r="J31" i="1"/>
  <c r="J32" i="1"/>
  <c r="F262" i="1"/>
  <c r="J30" i="1"/>
  <c r="F263" i="1"/>
  <c r="H228" i="1"/>
  <c r="F261" i="1"/>
  <c r="F264" i="1"/>
  <c r="E234" i="1"/>
  <c r="E235" i="1" s="1"/>
  <c r="E236" i="1" s="1"/>
  <c r="E237" i="1" s="1"/>
  <c r="E238" i="1" s="1"/>
  <c r="F162" i="1"/>
  <c r="F163" i="1" s="1"/>
  <c r="E231" i="1"/>
  <c r="F176" i="1"/>
  <c r="F154" i="1"/>
  <c r="F155" i="1" s="1"/>
  <c r="E230" i="1"/>
  <c r="F170" i="1"/>
  <c r="E232" i="1"/>
  <c r="H106" i="1"/>
  <c r="H131" i="1"/>
  <c r="I39" i="1"/>
  <c r="I194" i="1" s="1"/>
  <c r="H107" i="1"/>
  <c r="I40" i="1"/>
  <c r="I195" i="1" s="1"/>
  <c r="H132" i="1"/>
  <c r="G67" i="1" l="1"/>
  <c r="F171" i="1"/>
  <c r="F172" i="1" s="1"/>
  <c r="F202" i="1" s="1"/>
  <c r="I88" i="1"/>
  <c r="I71" i="1"/>
  <c r="J337" i="1"/>
  <c r="I89" i="1"/>
  <c r="I72" i="1"/>
  <c r="I228" i="1"/>
  <c r="J336" i="1"/>
  <c r="H67" i="1"/>
  <c r="F177" i="1"/>
  <c r="F203" i="1" s="1"/>
  <c r="F178" i="1"/>
  <c r="I177" i="1"/>
  <c r="J177" i="1"/>
  <c r="H177" i="1"/>
  <c r="G177" i="1"/>
  <c r="I107" i="1"/>
  <c r="I132" i="1"/>
  <c r="J40" i="1"/>
  <c r="J195" i="1" s="1"/>
  <c r="F208" i="1" s="1"/>
  <c r="I106" i="1"/>
  <c r="I131" i="1"/>
  <c r="J39" i="1"/>
  <c r="J194" i="1" s="1"/>
  <c r="F204" i="1" l="1"/>
  <c r="F114" i="1" s="1"/>
  <c r="F232" i="1"/>
  <c r="K337" i="1"/>
  <c r="J89" i="1"/>
  <c r="J72" i="1"/>
  <c r="J71" i="1"/>
  <c r="J88" i="1"/>
  <c r="J228" i="1"/>
  <c r="K336" i="1"/>
  <c r="I67" i="1"/>
  <c r="F179" i="1"/>
  <c r="G176" i="1" s="1"/>
  <c r="F121" i="1"/>
  <c r="G170" i="1"/>
  <c r="J131" i="1"/>
  <c r="J106" i="1"/>
  <c r="J132" i="1"/>
  <c r="J107" i="1"/>
  <c r="G171" i="1" l="1"/>
  <c r="G172" i="1" s="1"/>
  <c r="H170" i="1" s="1"/>
  <c r="G178" i="1"/>
  <c r="G203" i="1"/>
  <c r="J67" i="1"/>
  <c r="F234" i="1"/>
  <c r="F235" i="1" s="1"/>
  <c r="F236" i="1" s="1"/>
  <c r="F237" i="1" s="1"/>
  <c r="F238" i="1" s="1"/>
  <c r="G204" i="1" l="1"/>
  <c r="G114" i="1" s="1"/>
  <c r="G179" i="1"/>
  <c r="H176" i="1" s="1"/>
  <c r="H203" i="1" s="1"/>
  <c r="H171" i="1"/>
  <c r="H172" i="1" s="1"/>
  <c r="I170" i="1" s="1"/>
  <c r="G202" i="1"/>
  <c r="G232" i="1" s="1"/>
  <c r="G234" i="1"/>
  <c r="G235" i="1" s="1"/>
  <c r="G236" i="1" s="1"/>
  <c r="G237" i="1" s="1"/>
  <c r="G238" i="1" s="1"/>
  <c r="H178" i="1" l="1"/>
  <c r="H202" i="1"/>
  <c r="H232" i="1" s="1"/>
  <c r="I171" i="1"/>
  <c r="I172" i="1" s="1"/>
  <c r="J170" i="1" s="1"/>
  <c r="H234" i="1"/>
  <c r="H235" i="1" s="1"/>
  <c r="H236" i="1" s="1"/>
  <c r="H237" i="1" s="1"/>
  <c r="H238" i="1" s="1"/>
  <c r="H204" i="1" l="1"/>
  <c r="H114" i="1" s="1"/>
  <c r="H179" i="1"/>
  <c r="I176" i="1" s="1"/>
  <c r="I178" i="1" s="1"/>
  <c r="I202" i="1"/>
  <c r="I232" i="1" s="1"/>
  <c r="J171" i="1"/>
  <c r="J172" i="1" s="1"/>
  <c r="J202" i="1" s="1"/>
  <c r="I203" i="1" l="1"/>
  <c r="I204" i="1"/>
  <c r="I114" i="1" s="1"/>
  <c r="I179" i="1"/>
  <c r="J176" i="1" s="1"/>
  <c r="F217" i="1"/>
  <c r="G217" i="1" s="1"/>
  <c r="H217" i="1" s="1"/>
  <c r="I217" i="1" s="1"/>
  <c r="J217" i="1" s="1"/>
  <c r="I234" i="1"/>
  <c r="I235" i="1" s="1"/>
  <c r="I236" i="1" s="1"/>
  <c r="I237" i="1" s="1"/>
  <c r="I238" i="1" s="1"/>
  <c r="J232" i="1" l="1"/>
  <c r="C232" i="1" s="1"/>
  <c r="I263" i="1" s="1"/>
  <c r="J178" i="1"/>
  <c r="J203" i="1"/>
  <c r="D232" i="1"/>
  <c r="J263" i="1" s="1"/>
  <c r="J179" i="1"/>
  <c r="F218" i="1" s="1"/>
  <c r="G218" i="1" s="1"/>
  <c r="H218" i="1" s="1"/>
  <c r="I218" i="1" s="1"/>
  <c r="J218" i="1" s="1"/>
  <c r="J204" i="1" l="1"/>
  <c r="J114" i="1" s="1"/>
  <c r="J318" i="1" l="1"/>
  <c r="F341" i="1" s="1"/>
  <c r="G342" i="1" l="1"/>
  <c r="H342" i="1" l="1"/>
  <c r="I342" i="1" l="1"/>
  <c r="J342" i="1" l="1"/>
  <c r="K342" i="1" l="1"/>
  <c r="E18" i="11" l="1"/>
  <c r="E19" i="11"/>
  <c r="E20" i="11"/>
  <c r="E21" i="11"/>
  <c r="E22" i="11"/>
  <c r="E23" i="11"/>
  <c r="E24" i="11"/>
  <c r="E25" i="11"/>
  <c r="E26" i="11"/>
  <c r="E27" i="11"/>
  <c r="E9" i="11" l="1"/>
  <c r="E10" i="11" s="1"/>
  <c r="E28" i="11"/>
  <c r="E8" i="11" s="1"/>
  <c r="E11" i="11" l="1"/>
  <c r="E14" i="11" s="1"/>
  <c r="J18" i="1" l="1"/>
  <c r="J17" i="1" s="1"/>
  <c r="J12" i="1" s="1"/>
  <c r="J11" i="1" s="1"/>
  <c r="I18" i="1"/>
  <c r="H18" i="1"/>
  <c r="C275" i="1" l="1"/>
  <c r="J275" i="1" s="1"/>
  <c r="I20" i="1"/>
  <c r="H11" i="1"/>
  <c r="H12" i="1" l="1"/>
  <c r="H17" i="1" s="1"/>
  <c r="H20" i="1" s="1"/>
  <c r="F275" i="1"/>
  <c r="G275" i="1"/>
  <c r="I275" i="1"/>
  <c r="H275" i="1"/>
  <c r="E275" i="1"/>
  <c r="I21" i="1"/>
  <c r="C276" i="1" l="1"/>
  <c r="D20" i="1"/>
  <c r="H36" i="1"/>
  <c r="C274" i="1"/>
  <c r="C279" i="1" s="1"/>
  <c r="C280" i="1" s="1"/>
  <c r="I321" i="1"/>
  <c r="K344" i="1" s="1"/>
  <c r="H21" i="1" l="1"/>
  <c r="E6" i="11"/>
  <c r="B6" i="11" s="1"/>
  <c r="J321" i="1"/>
  <c r="F344" i="1" s="1"/>
  <c r="I344" i="1"/>
  <c r="C277" i="1"/>
  <c r="I331" i="1"/>
  <c r="G344" i="1"/>
  <c r="J344" i="1"/>
  <c r="H344" i="1"/>
  <c r="F273" i="1" l="1"/>
  <c r="G273" i="1" s="1"/>
  <c r="H273" i="1" s="1"/>
  <c r="I273" i="1" l="1"/>
  <c r="J273" i="1" l="1"/>
  <c r="F42" i="1" l="1"/>
  <c r="F82" i="1" l="1"/>
  <c r="G42" i="1"/>
  <c r="G92" i="1" s="1"/>
  <c r="G117" i="1" s="1"/>
  <c r="G119" i="1" s="1"/>
  <c r="F46" i="1"/>
  <c r="F44" i="1"/>
  <c r="F65" i="1"/>
  <c r="G348" i="1"/>
  <c r="F76" i="1"/>
  <c r="F74" i="1"/>
  <c r="G74" i="1" s="1"/>
  <c r="G76" i="1" l="1"/>
  <c r="F43" i="1"/>
  <c r="F47" i="1"/>
  <c r="H42" i="1"/>
  <c r="H76" i="1" s="1"/>
  <c r="G82" i="1"/>
  <c r="G46" i="1"/>
  <c r="G65" i="1"/>
  <c r="G44" i="1"/>
  <c r="H339" i="1"/>
  <c r="G150" i="1"/>
  <c r="H340" i="1"/>
  <c r="G339" i="1"/>
  <c r="F150" i="1"/>
  <c r="G340" i="1"/>
  <c r="H74" i="1" l="1"/>
  <c r="G47" i="1"/>
  <c r="G43" i="1"/>
  <c r="H82" i="1"/>
  <c r="H46" i="1"/>
  <c r="H44" i="1"/>
  <c r="I42" i="1"/>
  <c r="I76" i="1" s="1"/>
  <c r="H65" i="1"/>
  <c r="F78" i="1"/>
  <c r="F80" i="1"/>
  <c r="F56" i="1"/>
  <c r="H348" i="1"/>
  <c r="I339" i="1"/>
  <c r="I74" i="1"/>
  <c r="H150" i="1"/>
  <c r="I340" i="1"/>
  <c r="F58" i="1"/>
  <c r="F111" i="1" s="1"/>
  <c r="G347" i="1" l="1"/>
  <c r="F85" i="1"/>
  <c r="I82" i="1"/>
  <c r="I44" i="1"/>
  <c r="I46" i="1"/>
  <c r="J42" i="1"/>
  <c r="J74" i="1" s="1"/>
  <c r="I65" i="1"/>
  <c r="G58" i="1"/>
  <c r="G111" i="1" s="1"/>
  <c r="G80" i="1"/>
  <c r="G78" i="1"/>
  <c r="I348" i="1"/>
  <c r="H47" i="1"/>
  <c r="H43" i="1"/>
  <c r="G56" i="1"/>
  <c r="J340" i="1"/>
  <c r="J339" i="1"/>
  <c r="I150" i="1"/>
  <c r="H56" i="1" l="1"/>
  <c r="F112" i="1"/>
  <c r="H58" i="1"/>
  <c r="H111" i="1" s="1"/>
  <c r="H78" i="1"/>
  <c r="H80" i="1"/>
  <c r="J348" i="1"/>
  <c r="H347" i="1"/>
  <c r="G85" i="1"/>
  <c r="J82" i="1"/>
  <c r="J46" i="1"/>
  <c r="J65" i="1"/>
  <c r="J44" i="1"/>
  <c r="J76" i="1"/>
  <c r="K340" i="1" s="1"/>
  <c r="I43" i="1"/>
  <c r="I47" i="1"/>
  <c r="K339" i="1"/>
  <c r="J150" i="1" l="1"/>
  <c r="J47" i="1"/>
  <c r="J43" i="1"/>
  <c r="I56" i="1"/>
  <c r="K348" i="1"/>
  <c r="G112" i="1"/>
  <c r="I58" i="1"/>
  <c r="I111" i="1" s="1"/>
  <c r="I78" i="1"/>
  <c r="I80" i="1"/>
  <c r="I347" i="1"/>
  <c r="H85" i="1"/>
  <c r="H112" i="1" s="1"/>
  <c r="J58" i="1" l="1"/>
  <c r="J111" i="1" s="1"/>
  <c r="J78" i="1"/>
  <c r="J80" i="1"/>
  <c r="J347" i="1"/>
  <c r="I85" i="1"/>
  <c r="I112" i="1"/>
  <c r="J56" i="1"/>
  <c r="K347" i="1" l="1"/>
  <c r="J85" i="1"/>
  <c r="J112" i="1" s="1"/>
  <c r="F92" i="1" l="1"/>
  <c r="F117" i="1" l="1"/>
  <c r="F119" i="1" s="1"/>
  <c r="H92" i="1" l="1"/>
  <c r="H117" i="1" s="1"/>
  <c r="H119" i="1" s="1"/>
  <c r="I92" i="1" l="1"/>
  <c r="I117" i="1" s="1"/>
  <c r="I119" i="1" s="1"/>
  <c r="J92" i="1" l="1"/>
  <c r="J117" i="1" l="1"/>
  <c r="J119" i="1" s="1"/>
  <c r="F93" i="1" l="1"/>
  <c r="G93" i="1"/>
  <c r="G57" i="1" s="1"/>
  <c r="H93" i="1"/>
  <c r="H57" i="1" s="1"/>
  <c r="J93" i="1"/>
  <c r="J57" i="1" s="1"/>
  <c r="G110" i="1" l="1"/>
  <c r="G60" i="1"/>
  <c r="F91" i="1"/>
  <c r="G341" i="1" s="1"/>
  <c r="F57" i="1"/>
  <c r="J110" i="1"/>
  <c r="J60" i="1"/>
  <c r="F211" i="1" s="1"/>
  <c r="H110" i="1"/>
  <c r="H60" i="1"/>
  <c r="G91" i="1"/>
  <c r="I93" i="1"/>
  <c r="I57" i="1" s="1"/>
  <c r="I110" i="1" l="1"/>
  <c r="I60" i="1"/>
  <c r="F60" i="1"/>
  <c r="F110" i="1"/>
  <c r="F212" i="1"/>
  <c r="G211" i="1"/>
  <c r="H91" i="1"/>
  <c r="H341" i="1"/>
  <c r="H211" i="1" l="1"/>
  <c r="G212" i="1"/>
  <c r="I91" i="1"/>
  <c r="I341" i="1"/>
  <c r="I211" i="1" l="1"/>
  <c r="H212" i="1"/>
  <c r="J341" i="1"/>
  <c r="J91" i="1"/>
  <c r="K341" i="1" s="1"/>
  <c r="J211" i="1" l="1"/>
  <c r="J212" i="1" s="1"/>
  <c r="I212" i="1"/>
  <c r="D28" i="1" l="1"/>
  <c r="H28" i="1" s="1"/>
  <c r="H33" i="1" s="1"/>
  <c r="G320" i="1" s="1"/>
  <c r="J320" i="1" s="1"/>
  <c r="F343" i="1" s="1"/>
  <c r="E229" i="1"/>
  <c r="F260" i="1"/>
  <c r="F284" i="1"/>
  <c r="F294" i="1"/>
  <c r="H327" i="1"/>
  <c r="J327" i="1" s="1"/>
  <c r="J328" i="1" s="1"/>
  <c r="F350" i="1" l="1"/>
  <c r="F351" i="1" s="1"/>
  <c r="D22" i="1"/>
  <c r="D23" i="1" s="1"/>
  <c r="F189" i="1"/>
  <c r="J28" i="1"/>
  <c r="F147" i="1"/>
  <c r="G190" i="1" l="1"/>
  <c r="J33" i="1"/>
  <c r="I190" i="1"/>
  <c r="F190" i="1"/>
  <c r="F191" i="1" s="1"/>
  <c r="H190" i="1"/>
  <c r="J190" i="1"/>
  <c r="G189" i="1" l="1"/>
  <c r="G191" i="1" s="1"/>
  <c r="G343" i="1"/>
  <c r="H189" i="1" l="1"/>
  <c r="H191" i="1" s="1"/>
  <c r="H343" i="1"/>
  <c r="I189" i="1" l="1"/>
  <c r="I191" i="1" s="1"/>
  <c r="I343" i="1"/>
  <c r="J189" i="1" l="1"/>
  <c r="J191" i="1" s="1"/>
  <c r="K343" i="1" s="1"/>
  <c r="J343" i="1"/>
  <c r="F183" i="1"/>
  <c r="F185" i="1" s="1"/>
  <c r="F184" i="1"/>
  <c r="E240" i="1"/>
  <c r="E241" i="1"/>
  <c r="E242" i="1"/>
  <c r="E243" i="1" s="1"/>
  <c r="E244" i="1" s="1"/>
  <c r="F265" i="1"/>
  <c r="H330" i="1"/>
  <c r="J330" i="1" s="1"/>
  <c r="F353" i="1" s="1"/>
  <c r="G183" i="1" l="1"/>
  <c r="G353" i="1"/>
  <c r="G184" i="1"/>
  <c r="G185" i="1"/>
  <c r="F186" i="1"/>
  <c r="F122" i="1" l="1"/>
  <c r="F240" i="1"/>
  <c r="H183" i="1"/>
  <c r="G186" i="1"/>
  <c r="H353" i="1"/>
  <c r="G240" i="1" l="1"/>
  <c r="G241" i="1" s="1"/>
  <c r="G242" i="1" s="1"/>
  <c r="G243" i="1" s="1"/>
  <c r="G244" i="1" s="1"/>
  <c r="G122" i="1"/>
  <c r="H184" i="1"/>
  <c r="H185" i="1" s="1"/>
  <c r="F241" i="1"/>
  <c r="H186" i="1" l="1"/>
  <c r="I183" i="1"/>
  <c r="I353" i="1"/>
  <c r="F242" i="1"/>
  <c r="F243" i="1" l="1"/>
  <c r="I184" i="1"/>
  <c r="I185" i="1" s="1"/>
  <c r="H122" i="1"/>
  <c r="H240" i="1"/>
  <c r="I186" i="1" l="1"/>
  <c r="J183" i="1"/>
  <c r="J353" i="1"/>
  <c r="H241" i="1"/>
  <c r="F244" i="1"/>
  <c r="H242" i="1" l="1"/>
  <c r="J184" i="1"/>
  <c r="J185" i="1" s="1"/>
  <c r="I122" i="1"/>
  <c r="I240" i="1"/>
  <c r="F219" i="1" l="1"/>
  <c r="G219" i="1" s="1"/>
  <c r="H219" i="1" s="1"/>
  <c r="I219" i="1" s="1"/>
  <c r="J219" i="1" s="1"/>
  <c r="J186" i="1"/>
  <c r="J122" i="1" s="1"/>
  <c r="K353" i="1"/>
  <c r="I241" i="1"/>
  <c r="H243" i="1"/>
  <c r="I242" i="1" l="1"/>
  <c r="H244" i="1"/>
  <c r="I243" i="1" l="1"/>
  <c r="I244" i="1" l="1"/>
  <c r="D35" i="1" l="1"/>
  <c r="C35" i="1" s="1"/>
  <c r="C36" i="1" s="1"/>
  <c r="C223" i="1"/>
  <c r="E246" i="1"/>
  <c r="E247" i="1" s="1"/>
  <c r="E248" i="1" s="1"/>
  <c r="E249" i="1" s="1"/>
  <c r="E250" i="1" s="1"/>
  <c r="F266" i="1"/>
  <c r="G331" i="1"/>
  <c r="G315" i="1" s="1"/>
  <c r="E252" i="1" l="1"/>
  <c r="E253" i="1" s="1"/>
  <c r="E254" i="1" s="1"/>
  <c r="E255" i="1" s="1"/>
  <c r="E256" i="1" s="1"/>
  <c r="H331" i="1"/>
  <c r="H315" i="1" s="1"/>
  <c r="J315" i="1" s="1"/>
  <c r="D36" i="1"/>
  <c r="F267" i="1"/>
  <c r="G260" i="1" s="1"/>
  <c r="C222" i="1"/>
  <c r="J331" i="1" l="1"/>
  <c r="J332" i="1" s="1"/>
  <c r="F338" i="1"/>
  <c r="F345" i="1" s="1"/>
  <c r="J322" i="1"/>
  <c r="G263" i="1"/>
  <c r="G265" i="1"/>
  <c r="G267" i="1"/>
  <c r="G264" i="1"/>
  <c r="G266" i="1"/>
  <c r="F268" i="1"/>
  <c r="G268" i="1" s="1"/>
  <c r="G261" i="1"/>
  <c r="G262" i="1"/>
  <c r="D224" i="1"/>
  <c r="D222" i="1"/>
  <c r="D223" i="1"/>
  <c r="D225" i="1"/>
  <c r="F354" i="1" l="1"/>
  <c r="J333" i="1"/>
  <c r="E223" i="1"/>
  <c r="E222" i="1"/>
  <c r="F355" i="1"/>
  <c r="F356" i="1" s="1"/>
  <c r="H266" i="1" l="1"/>
  <c r="H267" i="1"/>
  <c r="H268" i="1" l="1"/>
  <c r="F49" i="1"/>
  <c r="G49" i="1"/>
  <c r="H49" i="1"/>
  <c r="I49" i="1"/>
  <c r="J49" i="1"/>
  <c r="F51" i="1"/>
  <c r="G51" i="1"/>
  <c r="H51" i="1"/>
  <c r="I51" i="1"/>
  <c r="J51" i="1"/>
  <c r="F52" i="1"/>
  <c r="G52" i="1"/>
  <c r="H52" i="1"/>
  <c r="I52" i="1"/>
  <c r="J52" i="1"/>
  <c r="F53" i="1"/>
  <c r="G53" i="1"/>
  <c r="H53" i="1"/>
  <c r="I53" i="1"/>
  <c r="J53" i="1"/>
  <c r="F109" i="1"/>
  <c r="G109" i="1"/>
  <c r="H109" i="1"/>
  <c r="I109" i="1"/>
  <c r="J109" i="1"/>
  <c r="F115" i="1"/>
  <c r="G115" i="1"/>
  <c r="H115" i="1"/>
  <c r="I115" i="1"/>
  <c r="J115" i="1"/>
  <c r="G121" i="1"/>
  <c r="H121" i="1"/>
  <c r="I121" i="1"/>
  <c r="J121" i="1"/>
  <c r="F123" i="1"/>
  <c r="G123" i="1"/>
  <c r="H123" i="1"/>
  <c r="I123" i="1"/>
  <c r="J123" i="1"/>
  <c r="F124" i="1"/>
  <c r="G124" i="1"/>
  <c r="H124" i="1"/>
  <c r="I124" i="1"/>
  <c r="J124" i="1"/>
  <c r="F125" i="1"/>
  <c r="G125" i="1"/>
  <c r="H125" i="1"/>
  <c r="I125" i="1"/>
  <c r="J125" i="1"/>
  <c r="F126" i="1"/>
  <c r="G126" i="1"/>
  <c r="H126" i="1"/>
  <c r="I126" i="1"/>
  <c r="J126" i="1"/>
  <c r="F127" i="1"/>
  <c r="G127" i="1"/>
  <c r="H127" i="1"/>
  <c r="I127" i="1"/>
  <c r="J127" i="1"/>
  <c r="F128" i="1"/>
  <c r="G128" i="1"/>
  <c r="H128" i="1"/>
  <c r="I128" i="1"/>
  <c r="J128" i="1"/>
  <c r="G134" i="1"/>
  <c r="H134" i="1"/>
  <c r="I134" i="1"/>
  <c r="J134" i="1"/>
  <c r="F135" i="1"/>
  <c r="G135" i="1"/>
  <c r="H135" i="1"/>
  <c r="I135" i="1"/>
  <c r="J135" i="1"/>
  <c r="F136" i="1"/>
  <c r="G136" i="1"/>
  <c r="H136" i="1"/>
  <c r="I136" i="1"/>
  <c r="J136" i="1"/>
  <c r="F138" i="1"/>
  <c r="G138" i="1"/>
  <c r="H138" i="1"/>
  <c r="I138" i="1"/>
  <c r="J138" i="1"/>
  <c r="G141" i="1"/>
  <c r="H141" i="1"/>
  <c r="I141" i="1"/>
  <c r="J141" i="1"/>
  <c r="G143" i="1"/>
  <c r="H143" i="1"/>
  <c r="I143" i="1"/>
  <c r="J143" i="1"/>
  <c r="F144" i="1"/>
  <c r="G144" i="1"/>
  <c r="H144" i="1"/>
  <c r="I144" i="1"/>
  <c r="J144" i="1"/>
  <c r="F145" i="1"/>
  <c r="G145" i="1"/>
  <c r="H145" i="1"/>
  <c r="I145" i="1"/>
  <c r="J145" i="1"/>
  <c r="G147" i="1"/>
  <c r="H147" i="1"/>
  <c r="I147" i="1"/>
  <c r="J147" i="1"/>
  <c r="F148" i="1"/>
  <c r="G148" i="1"/>
  <c r="H148" i="1"/>
  <c r="I148" i="1"/>
  <c r="J148" i="1"/>
  <c r="F149" i="1"/>
  <c r="G149" i="1"/>
  <c r="H149" i="1"/>
  <c r="I149" i="1"/>
  <c r="J149" i="1"/>
  <c r="F151" i="1"/>
  <c r="G151" i="1"/>
  <c r="H151" i="1"/>
  <c r="I151" i="1"/>
  <c r="J151" i="1"/>
  <c r="G154" i="1"/>
  <c r="H154" i="1"/>
  <c r="I154" i="1"/>
  <c r="J154" i="1"/>
  <c r="G155" i="1"/>
  <c r="H155" i="1"/>
  <c r="I155" i="1"/>
  <c r="J155" i="1"/>
  <c r="F156" i="1"/>
  <c r="G156" i="1"/>
  <c r="H156" i="1"/>
  <c r="I156" i="1"/>
  <c r="J156" i="1"/>
  <c r="F157" i="1"/>
  <c r="G157" i="1"/>
  <c r="H157" i="1"/>
  <c r="I157" i="1"/>
  <c r="J157" i="1"/>
  <c r="F159" i="1"/>
  <c r="G159" i="1"/>
  <c r="H159" i="1"/>
  <c r="I159" i="1"/>
  <c r="J159" i="1"/>
  <c r="G162" i="1"/>
  <c r="H162" i="1"/>
  <c r="I162" i="1"/>
  <c r="J162" i="1"/>
  <c r="G163" i="1"/>
  <c r="H163" i="1"/>
  <c r="I163" i="1"/>
  <c r="J163" i="1"/>
  <c r="F164" i="1"/>
  <c r="G164" i="1"/>
  <c r="H164" i="1"/>
  <c r="I164" i="1"/>
  <c r="J164" i="1"/>
  <c r="F165" i="1"/>
  <c r="G165" i="1"/>
  <c r="H165" i="1"/>
  <c r="I165" i="1"/>
  <c r="J165" i="1"/>
  <c r="F167" i="1"/>
  <c r="G167" i="1"/>
  <c r="H167" i="1"/>
  <c r="I167" i="1"/>
  <c r="J167" i="1"/>
  <c r="F199" i="1"/>
  <c r="G199" i="1"/>
  <c r="H199" i="1"/>
  <c r="I199" i="1"/>
  <c r="J199" i="1"/>
  <c r="F200" i="1"/>
  <c r="G200" i="1"/>
  <c r="H200" i="1"/>
  <c r="I200" i="1"/>
  <c r="J200" i="1"/>
  <c r="F201" i="1"/>
  <c r="G201" i="1"/>
  <c r="H201" i="1"/>
  <c r="I201" i="1"/>
  <c r="J201" i="1"/>
  <c r="F214" i="1"/>
  <c r="G214" i="1"/>
  <c r="H214" i="1"/>
  <c r="I214" i="1"/>
  <c r="J214" i="1"/>
  <c r="F215" i="1"/>
  <c r="G215" i="1"/>
  <c r="H215" i="1"/>
  <c r="I215" i="1"/>
  <c r="J215" i="1"/>
  <c r="F216" i="1"/>
  <c r="G216" i="1"/>
  <c r="H216" i="1"/>
  <c r="I216" i="1"/>
  <c r="J216" i="1"/>
  <c r="F220" i="1"/>
  <c r="G220" i="1"/>
  <c r="H220" i="1"/>
  <c r="I220" i="1"/>
  <c r="J220" i="1"/>
  <c r="F221" i="1"/>
  <c r="G221" i="1"/>
  <c r="H221" i="1"/>
  <c r="I221" i="1"/>
  <c r="J221" i="1"/>
  <c r="F222" i="1"/>
  <c r="G222" i="1"/>
  <c r="H222" i="1"/>
  <c r="I222" i="1"/>
  <c r="J222" i="1"/>
  <c r="F223" i="1"/>
  <c r="G223" i="1"/>
  <c r="H223" i="1"/>
  <c r="I223" i="1"/>
  <c r="J223" i="1"/>
  <c r="F224" i="1"/>
  <c r="G224" i="1"/>
  <c r="H224" i="1"/>
  <c r="I224" i="1"/>
  <c r="J224" i="1"/>
  <c r="F225" i="1"/>
  <c r="G225" i="1"/>
  <c r="H225" i="1"/>
  <c r="I225" i="1"/>
  <c r="J225" i="1"/>
  <c r="C229" i="1"/>
  <c r="D229" i="1"/>
  <c r="F229" i="1"/>
  <c r="G229" i="1"/>
  <c r="H229" i="1"/>
  <c r="I229" i="1"/>
  <c r="J229" i="1"/>
  <c r="C230" i="1"/>
  <c r="D230" i="1"/>
  <c r="F230" i="1"/>
  <c r="G230" i="1"/>
  <c r="H230" i="1"/>
  <c r="I230" i="1"/>
  <c r="J230" i="1"/>
  <c r="C231" i="1"/>
  <c r="D231" i="1"/>
  <c r="F231" i="1"/>
  <c r="G231" i="1"/>
  <c r="H231" i="1"/>
  <c r="I231" i="1"/>
  <c r="J231" i="1"/>
  <c r="C234" i="1"/>
  <c r="D234" i="1"/>
  <c r="J234" i="1"/>
  <c r="C235" i="1"/>
  <c r="D235" i="1"/>
  <c r="J235" i="1"/>
  <c r="C236" i="1"/>
  <c r="D236" i="1"/>
  <c r="J236" i="1"/>
  <c r="C237" i="1"/>
  <c r="D237" i="1"/>
  <c r="J237" i="1"/>
  <c r="C238" i="1"/>
  <c r="D238" i="1"/>
  <c r="J238" i="1"/>
  <c r="C240" i="1"/>
  <c r="D240" i="1"/>
  <c r="J240" i="1"/>
  <c r="C241" i="1"/>
  <c r="D241" i="1"/>
  <c r="J241" i="1"/>
  <c r="C242" i="1"/>
  <c r="D242" i="1"/>
  <c r="J242" i="1"/>
  <c r="C243" i="1"/>
  <c r="D243" i="1"/>
  <c r="J243" i="1"/>
  <c r="C244" i="1"/>
  <c r="D244" i="1"/>
  <c r="J244" i="1"/>
  <c r="C246" i="1"/>
  <c r="D246" i="1"/>
  <c r="J246" i="1"/>
  <c r="C247" i="1"/>
  <c r="D247" i="1"/>
  <c r="J247" i="1"/>
  <c r="C248" i="1"/>
  <c r="D248" i="1"/>
  <c r="J248" i="1"/>
  <c r="C249" i="1"/>
  <c r="D249" i="1"/>
  <c r="J249" i="1"/>
  <c r="C250" i="1"/>
  <c r="D250" i="1"/>
  <c r="J250" i="1"/>
  <c r="C252" i="1"/>
  <c r="D252" i="1"/>
  <c r="J252" i="1"/>
  <c r="C253" i="1"/>
  <c r="D253" i="1"/>
  <c r="J253" i="1"/>
  <c r="C254" i="1"/>
  <c r="D254" i="1"/>
  <c r="J254" i="1"/>
  <c r="C255" i="1"/>
  <c r="D255" i="1"/>
  <c r="J255" i="1"/>
  <c r="C256" i="1"/>
  <c r="D256" i="1"/>
  <c r="J256" i="1"/>
  <c r="I260" i="1"/>
  <c r="J260" i="1"/>
  <c r="I261" i="1"/>
  <c r="J261" i="1"/>
  <c r="I262" i="1"/>
  <c r="J262" i="1"/>
  <c r="I264" i="1"/>
  <c r="J264" i="1"/>
  <c r="I265" i="1"/>
  <c r="J265" i="1"/>
  <c r="I266" i="1"/>
  <c r="J266" i="1"/>
  <c r="I267" i="1"/>
  <c r="J267" i="1"/>
  <c r="C273" i="1"/>
  <c r="E274" i="1"/>
  <c r="F274" i="1"/>
  <c r="G274" i="1"/>
  <c r="H274" i="1"/>
  <c r="I274" i="1"/>
  <c r="J274" i="1"/>
  <c r="E276" i="1"/>
  <c r="F276" i="1"/>
  <c r="G276" i="1"/>
  <c r="H276" i="1"/>
  <c r="I276" i="1"/>
  <c r="J276" i="1"/>
  <c r="E277" i="1"/>
  <c r="F277" i="1"/>
  <c r="G277" i="1"/>
  <c r="H277" i="1"/>
  <c r="I277" i="1"/>
  <c r="J277" i="1"/>
  <c r="E279" i="1"/>
  <c r="F279" i="1"/>
  <c r="G279" i="1"/>
  <c r="H279" i="1"/>
  <c r="I279" i="1"/>
  <c r="J279" i="1"/>
  <c r="E280" i="1"/>
  <c r="F280" i="1"/>
  <c r="G280" i="1"/>
  <c r="H280" i="1"/>
  <c r="I280" i="1"/>
  <c r="J280" i="1"/>
  <c r="E285" i="1"/>
  <c r="E295" i="1"/>
  <c r="E304" i="1"/>
  <c r="G338" i="1"/>
  <c r="H338" i="1"/>
  <c r="I338" i="1"/>
  <c r="J338" i="1"/>
  <c r="K338" i="1"/>
  <c r="G345" i="1"/>
  <c r="H345" i="1"/>
  <c r="I345" i="1"/>
  <c r="J345" i="1"/>
  <c r="K345" i="1"/>
  <c r="G350" i="1"/>
  <c r="H350" i="1"/>
  <c r="I350" i="1"/>
  <c r="J350" i="1"/>
  <c r="K350" i="1"/>
  <c r="G351" i="1"/>
  <c r="H351" i="1"/>
  <c r="I351" i="1"/>
  <c r="J351" i="1"/>
  <c r="K351" i="1"/>
  <c r="G354" i="1"/>
  <c r="H354" i="1"/>
  <c r="I354" i="1"/>
  <c r="J354" i="1"/>
  <c r="K354" i="1"/>
  <c r="G355" i="1"/>
  <c r="H355" i="1"/>
  <c r="I355" i="1"/>
  <c r="J355" i="1"/>
  <c r="K355" i="1"/>
  <c r="G356" i="1"/>
  <c r="H356" i="1"/>
  <c r="I356" i="1"/>
  <c r="J356" i="1"/>
  <c r="K356" i="1"/>
</calcChain>
</file>

<file path=xl/comments1.xml><?xml version="1.0" encoding="utf-8"?>
<comments xmlns="http://schemas.openxmlformats.org/spreadsheetml/2006/main">
  <authors>
    <author>Wall Street Prep</author>
    <author>Mary Roberts</author>
  </authors>
  <commentList>
    <comment ref="H7" authorId="0" shapeId="0">
      <text>
        <r>
          <rPr>
            <b/>
            <sz val="9"/>
            <color indexed="81"/>
            <rFont val="Tahoma"/>
            <family val="2"/>
          </rPr>
          <t>Wall Street Prep:</t>
        </r>
        <r>
          <rPr>
            <sz val="9"/>
            <color indexed="81"/>
            <rFont val="Tahoma"/>
            <family val="2"/>
          </rPr>
          <t xml:space="preserve">
</t>
        </r>
        <r>
          <rPr>
            <b/>
            <sz val="9"/>
            <color indexed="81"/>
            <rFont val="Tahoma"/>
            <family val="2"/>
          </rPr>
          <t xml:space="preserve">1 = Explicit EBITDA multiple assumption
</t>
        </r>
        <r>
          <rPr>
            <sz val="9"/>
            <color indexed="81"/>
            <rFont val="Tahoma"/>
            <family val="2"/>
          </rPr>
          <t xml:space="preserve">When a private company undergoes an LBO, the valuation discussion is expressed in terms of a multiple of EBITDA. Therefore, we input an EBITDA multiple assumption in this cell and work our way down to the implied offer value and offer value per share. 
</t>
        </r>
        <r>
          <rPr>
            <b/>
            <sz val="9"/>
            <color indexed="81"/>
            <rFont val="Tahoma"/>
            <family val="2"/>
          </rPr>
          <t xml:space="preserve">2 = Explicit offer price per share assumption
</t>
        </r>
        <r>
          <rPr>
            <sz val="9"/>
            <color indexed="81"/>
            <rFont val="Tahoma"/>
            <family val="2"/>
          </rPr>
          <t xml:space="preserve">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D8" authorId="1" shapeId="0">
      <text>
        <r>
          <rPr>
            <b/>
            <sz val="9"/>
            <color indexed="81"/>
            <rFont val="Tahoma"/>
            <family val="2"/>
          </rPr>
          <t>Stated premium of 77.9% of $92.</t>
        </r>
      </text>
    </comment>
    <comment ref="D10" authorId="0" shapeId="0">
      <text>
        <r>
          <rPr>
            <b/>
            <sz val="9"/>
            <color indexed="81"/>
            <rFont val="Tahoma"/>
            <family val="2"/>
          </rPr>
          <t>Wall Street Prep:</t>
        </r>
        <r>
          <rPr>
            <sz val="9"/>
            <color indexed="81"/>
            <rFont val="Tahoma"/>
            <family val="2"/>
          </rPr>
          <t xml:space="preserve">
If the model "blows up" (i.e. REF and DIV/0 everywhere), turn the circuit breaker above on, and then immediately off again. 
</t>
        </r>
        <r>
          <rPr>
            <b/>
            <sz val="9"/>
            <color indexed="81"/>
            <rFont val="Tahoma"/>
            <family val="2"/>
          </rPr>
          <t xml:space="preserve">Why do we need this?
</t>
        </r>
        <r>
          <rPr>
            <sz val="9"/>
            <color indexed="81"/>
            <rFont val="Tahoma"/>
            <family val="2"/>
          </rPr>
          <t xml:space="preserve">This model has an intentional circularity in the calculation of interest expense and interest income. 
Interest expense is calculated as interest rate times average current and prior period revolver debt balances. Since current period revolver balance is itself impacted by current period interest expense, the circularity exists.
The same logic applies to interest expense.
</t>
        </r>
        <r>
          <rPr>
            <b/>
            <sz val="9"/>
            <color indexed="81"/>
            <rFont val="Tahoma"/>
            <family val="2"/>
          </rPr>
          <t xml:space="preserve">Setting Iterations in Excel
</t>
        </r>
        <r>
          <rPr>
            <sz val="9"/>
            <color indexed="81"/>
            <rFont val="Tahoma"/>
            <family val="2"/>
          </rPr>
          <t xml:space="preserve">Make sure that iterations are selected under Excel Options &gt; Formulas
</t>
        </r>
        <r>
          <rPr>
            <b/>
            <sz val="9"/>
            <color indexed="81"/>
            <rFont val="Tahoma"/>
            <family val="2"/>
          </rPr>
          <t>Removing circularity altogether</t>
        </r>
        <r>
          <rPr>
            <sz val="9"/>
            <color indexed="81"/>
            <rFont val="Tahoma"/>
            <family val="2"/>
          </rPr>
          <t xml:space="preserve">
To avoid a circularity altogether, calculate interest expense using prior period debt balances (as opposed to average balances).</t>
        </r>
      </text>
    </comment>
    <comment ref="B13" authorId="0" shapeId="0">
      <text>
        <r>
          <rPr>
            <b/>
            <sz val="9"/>
            <color indexed="81"/>
            <rFont val="Tahoma"/>
            <family val="2"/>
          </rPr>
          <t>Wall Street Prep:</t>
        </r>
        <r>
          <rPr>
            <sz val="9"/>
            <color indexed="81"/>
            <rFont val="Tahoma"/>
            <family val="2"/>
          </rPr>
          <t xml:space="preserve">
Input the last twelve months (LTM) EBITDA. </t>
        </r>
      </text>
    </comment>
    <comment ref="B14" authorId="0" shapeId="0">
      <text>
        <r>
          <rPr>
            <b/>
            <sz val="9"/>
            <color indexed="81"/>
            <rFont val="Tahoma"/>
            <family val="2"/>
          </rPr>
          <t>Wall Street Prep:</t>
        </r>
        <r>
          <rPr>
            <sz val="9"/>
            <color indexed="81"/>
            <rFont val="Tahoma"/>
            <family val="2"/>
          </rPr>
          <t xml:space="preserve">
Include all debt and debt equivalents as of the most recent filing</t>
        </r>
      </text>
    </comment>
    <comment ref="B15" authorId="0" shapeId="0">
      <text>
        <r>
          <rPr>
            <b/>
            <sz val="9"/>
            <color indexed="81"/>
            <rFont val="Tahoma"/>
            <family val="2"/>
          </rPr>
          <t>Wall Street Prep:</t>
        </r>
        <r>
          <rPr>
            <sz val="9"/>
            <color indexed="81"/>
            <rFont val="Tahoma"/>
            <family val="2"/>
          </rPr>
          <t xml:space="preserve">
Include all cash and equivalents as of most recent filing.</t>
        </r>
      </text>
    </comment>
    <comment ref="D16" authorId="1" shapeId="0">
      <text>
        <r>
          <rPr>
            <b/>
            <sz val="9"/>
            <color indexed="81"/>
            <rFont val="Tahoma"/>
            <family val="2"/>
          </rPr>
          <t>Assuming no min. cash.</t>
        </r>
      </text>
    </comment>
    <comment ref="D17" authorId="1" shapeId="0">
      <text>
        <r>
          <rPr>
            <b/>
            <sz val="9"/>
            <color indexed="81"/>
            <rFont val="Tahoma"/>
            <family val="2"/>
          </rPr>
          <t>Assuming same exit multiple as entered.</t>
        </r>
      </text>
    </comment>
    <comment ref="J26" authorId="0" shapeId="0">
      <text>
        <r>
          <rPr>
            <b/>
            <sz val="9"/>
            <color indexed="81"/>
            <rFont val="Tahoma"/>
            <family val="2"/>
          </rPr>
          <t>Wall Street Prep:</t>
        </r>
        <r>
          <rPr>
            <sz val="9"/>
            <color indexed="81"/>
            <rFont val="Tahoma"/>
            <family val="2"/>
          </rPr>
          <t xml:space="preserve">
Accounting rules require that financing fees be capitalized and subsequently amortized over the term of the loan.
This contrasts with the accounting treatment of transaction fees, which are expensed as incurred.</t>
        </r>
      </text>
    </comment>
    <comment ref="D27" authorId="0" shapeId="0">
      <text>
        <r>
          <rPr>
            <sz val="9"/>
            <color indexed="81"/>
            <rFont val="Tahoma"/>
            <family val="2"/>
          </rPr>
          <t>$1.4 in excess cash</t>
        </r>
      </text>
    </comment>
    <comment ref="D28" authorId="0" shapeId="0">
      <text>
        <r>
          <rPr>
            <b/>
            <sz val="9"/>
            <color indexed="81"/>
            <rFont val="Tahoma"/>
            <family val="2"/>
          </rPr>
          <t xml:space="preserve">5 Year 500 Million revolver 
</t>
        </r>
      </text>
    </comment>
    <comment ref="D29" authorId="0" shapeId="0">
      <text>
        <r>
          <rPr>
            <b/>
            <sz val="9"/>
            <color indexed="81"/>
            <rFont val="Tahoma"/>
            <family val="2"/>
          </rPr>
          <t>Five year A term loan</t>
        </r>
      </text>
    </comment>
    <comment ref="D30" authorId="0" shapeId="0">
      <text>
        <r>
          <rPr>
            <b/>
            <sz val="9"/>
            <color indexed="81"/>
            <rFont val="Tahoma"/>
            <family val="2"/>
          </rPr>
          <t>Seven Year B term loan</t>
        </r>
      </text>
    </comment>
    <comment ref="D32" authorId="1" shapeId="0">
      <text>
        <r>
          <rPr>
            <b/>
            <sz val="9"/>
            <color indexed="81"/>
            <rFont val="Tahoma"/>
            <family val="2"/>
          </rPr>
          <t>7 Year Euro-dominated TLB</t>
        </r>
      </text>
    </comment>
    <comment ref="F50" authorId="1" shapeId="0">
      <text>
        <r>
          <rPr>
            <b/>
            <sz val="9"/>
            <color indexed="81"/>
            <rFont val="Tahoma"/>
            <family val="2"/>
          </rPr>
          <t>Historically some non-op expenses so average and SL.</t>
        </r>
      </text>
    </comment>
    <comment ref="F59" authorId="1" shapeId="0">
      <text>
        <r>
          <rPr>
            <b/>
            <sz val="9"/>
            <color indexed="81"/>
            <rFont val="Tahoma"/>
            <family val="2"/>
          </rPr>
          <t>Projected 0 because no management guidance and no historical trend</t>
        </r>
      </text>
    </comment>
    <comment ref="F63" authorId="1" shapeId="0">
      <text>
        <r>
          <rPr>
            <b/>
            <sz val="9"/>
            <color indexed="81"/>
            <rFont val="Tahoma"/>
            <family val="2"/>
          </rPr>
          <t>Merger Proxy p.43, Management projections used to grow revenue
1/26/16</t>
        </r>
      </text>
    </comment>
    <comment ref="K68" authorId="1" shapeId="0">
      <text>
        <r>
          <rPr>
            <b/>
            <sz val="9"/>
            <color indexed="81"/>
            <rFont val="Tahoma"/>
            <family val="2"/>
          </rPr>
          <t>Merger Proxy p. 43: Management projects $114 SBC by 2025</t>
        </r>
      </text>
    </comment>
    <comment ref="K93" authorId="0" shapeId="0">
      <text>
        <r>
          <rPr>
            <b/>
            <sz val="9"/>
            <color indexed="81"/>
            <rFont val="Tahoma"/>
            <family val="2"/>
          </rPr>
          <t>Wall Street Prep:</t>
        </r>
        <r>
          <rPr>
            <sz val="9"/>
            <color indexed="81"/>
            <rFont val="Tahoma"/>
            <family val="2"/>
          </rPr>
          <t xml:space="preserve">
In an LBO where fixed asset purchases are limited to maintenance (as opposed to growth) capex, the ratio between capex and depreciation should converge to 1 over time, as new machines simply replace the absolesence of old machines.  </t>
        </r>
      </text>
    </comment>
    <comment ref="F98" authorId="1" shapeId="0">
      <text>
        <r>
          <rPr>
            <b/>
            <sz val="9"/>
            <color indexed="81"/>
            <rFont val="Tahoma"/>
            <family val="2"/>
          </rPr>
          <t>No projection for large intangible acquisition or historicals</t>
        </r>
      </text>
    </comment>
    <comment ref="F99" authorId="1" shapeId="0">
      <text>
        <r>
          <rPr>
            <b/>
            <sz val="9"/>
            <color indexed="81"/>
            <rFont val="Tahoma"/>
            <family val="2"/>
          </rPr>
          <t xml:space="preserve">5 year projections per 10-K footnote 8 assuming no acquisitions
</t>
        </r>
      </text>
    </comment>
    <comment ref="E158" authorId="0" shapeId="0">
      <text>
        <r>
          <rPr>
            <b/>
            <sz val="9"/>
            <color indexed="81"/>
            <rFont val="Tahoma"/>
            <family val="2"/>
          </rPr>
          <t>Wall Street Prep:</t>
        </r>
        <r>
          <rPr>
            <sz val="9"/>
            <color indexed="81"/>
            <rFont val="Tahoma"/>
            <family val="2"/>
          </rPr>
          <t xml:space="preserve">
% of available cash to be used.</t>
        </r>
      </text>
    </comment>
    <comment ref="E166" authorId="0" shapeId="0">
      <text>
        <r>
          <rPr>
            <b/>
            <sz val="9"/>
            <color indexed="81"/>
            <rFont val="Tahoma"/>
            <family val="2"/>
          </rPr>
          <t>Wall Street Prep:</t>
        </r>
        <r>
          <rPr>
            <sz val="9"/>
            <color indexed="81"/>
            <rFont val="Tahoma"/>
            <family val="2"/>
          </rPr>
          <t xml:space="preserve">
% of available cash to be used.</t>
        </r>
      </text>
    </comment>
    <comment ref="F190"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G190"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H190"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I190"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J190"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E224" authorId="0" shapeId="0">
      <text>
        <r>
          <rPr>
            <b/>
            <sz val="9"/>
            <color indexed="81"/>
            <rFont val="Tahoma"/>
            <family val="2"/>
          </rPr>
          <t>Wall Street Prep:</t>
        </r>
        <r>
          <rPr>
            <sz val="9"/>
            <color indexed="81"/>
            <rFont val="Tahoma"/>
            <family val="2"/>
          </rPr>
          <t xml:space="preserve">
In addition to dividends, preferred stock may also negotiate to receive warrants to increase their returns (aka "equity kicker"). This has the impact of diluting the sponsors and management equity at exit. </t>
        </r>
      </text>
    </comment>
    <comment ref="E225" authorId="0" shapeId="0">
      <text>
        <r>
          <rPr>
            <b/>
            <sz val="9"/>
            <color indexed="81"/>
            <rFont val="Tahoma"/>
            <family val="2"/>
          </rPr>
          <t>Wall Street Prep:</t>
        </r>
        <r>
          <rPr>
            <sz val="9"/>
            <color indexed="81"/>
            <rFont val="Tahoma"/>
            <family val="2"/>
          </rPr>
          <t xml:space="preserve">
In addition to interest, lenders (usually high yield subordinated notes) may also negotiate to receive warrants to increase their returns (aka "equity kicker"). This has the impact of diluting the sponsors and management equity at exit. </t>
        </r>
      </text>
    </comment>
    <comment ref="H259" authorId="0" shapeId="0">
      <text>
        <r>
          <rPr>
            <b/>
            <sz val="9"/>
            <color indexed="81"/>
            <rFont val="Tahoma"/>
            <family val="2"/>
          </rPr>
          <t>Wall Street Prep:</t>
        </r>
        <r>
          <rPr>
            <sz val="9"/>
            <color indexed="81"/>
            <rFont val="Tahoma"/>
            <family val="2"/>
          </rPr>
          <t xml:space="preserve">
Fully diluted</t>
        </r>
      </text>
    </comment>
    <comment ref="E274"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F274"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G274"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H274"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I274"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J274"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G314" authorId="0" shapeId="0">
      <text>
        <r>
          <rPr>
            <b/>
            <sz val="9"/>
            <color indexed="81"/>
            <rFont val="Tahoma"/>
            <family val="2"/>
          </rPr>
          <t>Wall Street Prep:</t>
        </r>
        <r>
          <rPr>
            <sz val="9"/>
            <color indexed="81"/>
            <rFont val="Tahoma"/>
            <family val="2"/>
          </rPr>
          <t xml:space="preserve">
Management rollover is excluded from both sources &amp; uses because it is simultaneously a debit and credit to equity, creating a net impact of zero to equity. </t>
        </r>
      </text>
    </comment>
    <comment ref="H314" authorId="0" shapeId="0">
      <text>
        <r>
          <rPr>
            <b/>
            <sz val="9"/>
            <color indexed="81"/>
            <rFont val="Tahoma"/>
            <family val="2"/>
          </rPr>
          <t>Wall Street Prep:</t>
        </r>
        <r>
          <rPr>
            <sz val="9"/>
            <color indexed="81"/>
            <rFont val="Tahoma"/>
            <family val="2"/>
          </rPr>
          <t xml:space="preserve">
Management rollover is excluded from both sources &amp; uses because it is simultaneously a debit and credit to equity, creating a net impact of zero to equity. </t>
        </r>
      </text>
    </comment>
    <comment ref="B327" authorId="0" shapeId="0">
      <text>
        <r>
          <rPr>
            <b/>
            <sz val="9"/>
            <color indexed="81"/>
            <rFont val="Tahoma"/>
            <family val="2"/>
          </rPr>
          <t>Wall Street Prep:</t>
        </r>
        <r>
          <rPr>
            <sz val="9"/>
            <color indexed="81"/>
            <rFont val="Tahoma"/>
            <family val="2"/>
          </rPr>
          <t xml:space="preserve">
Include legacy noncontrolling interests and preferred stock for simplicty</t>
        </r>
      </text>
    </comment>
    <comment ref="G331" authorId="0" shapeId="0">
      <text>
        <r>
          <rPr>
            <b/>
            <sz val="9"/>
            <color indexed="81"/>
            <rFont val="Tahoma"/>
            <family val="2"/>
          </rPr>
          <t>Wall Street Prep:</t>
        </r>
        <r>
          <rPr>
            <sz val="9"/>
            <color indexed="81"/>
            <rFont val="Tahoma"/>
            <family val="2"/>
          </rPr>
          <t xml:space="preserve">
Excludes management rollover</t>
        </r>
      </text>
    </comment>
    <comment ref="F343" authorId="0" shapeId="0">
      <text>
        <r>
          <rPr>
            <b/>
            <sz val="9"/>
            <color indexed="81"/>
            <rFont val="Tahoma"/>
            <family val="2"/>
          </rPr>
          <t>Wall Street Prep:</t>
        </r>
        <r>
          <rPr>
            <sz val="9"/>
            <color indexed="81"/>
            <rFont val="Tahoma"/>
            <family val="2"/>
          </rPr>
          <t xml:space="preserve">
Includes capitalized financing fees</t>
        </r>
      </text>
    </comment>
    <comment ref="G343" authorId="0" shapeId="0">
      <text>
        <r>
          <rPr>
            <b/>
            <sz val="9"/>
            <color indexed="81"/>
            <rFont val="Tahoma"/>
            <family val="2"/>
          </rPr>
          <t>Wall Street Prep:</t>
        </r>
        <r>
          <rPr>
            <sz val="9"/>
            <color indexed="81"/>
            <rFont val="Tahoma"/>
            <family val="2"/>
          </rPr>
          <t xml:space="preserve">
Includes capitalized financing fees</t>
        </r>
      </text>
    </comment>
    <comment ref="H343" authorId="0" shapeId="0">
      <text>
        <r>
          <rPr>
            <b/>
            <sz val="9"/>
            <color indexed="81"/>
            <rFont val="Tahoma"/>
            <family val="2"/>
          </rPr>
          <t>Wall Street Prep:</t>
        </r>
        <r>
          <rPr>
            <sz val="9"/>
            <color indexed="81"/>
            <rFont val="Tahoma"/>
            <family val="2"/>
          </rPr>
          <t xml:space="preserve">
Includes capitalized financing fees</t>
        </r>
      </text>
    </comment>
    <comment ref="I343" authorId="0" shapeId="0">
      <text>
        <r>
          <rPr>
            <b/>
            <sz val="9"/>
            <color indexed="81"/>
            <rFont val="Tahoma"/>
            <family val="2"/>
          </rPr>
          <t>Wall Street Prep:</t>
        </r>
        <r>
          <rPr>
            <sz val="9"/>
            <color indexed="81"/>
            <rFont val="Tahoma"/>
            <family val="2"/>
          </rPr>
          <t xml:space="preserve">
Includes capitalized financing fees</t>
        </r>
      </text>
    </comment>
    <comment ref="J343" authorId="0" shapeId="0">
      <text>
        <r>
          <rPr>
            <b/>
            <sz val="9"/>
            <color indexed="81"/>
            <rFont val="Tahoma"/>
            <family val="2"/>
          </rPr>
          <t>Wall Street Prep:</t>
        </r>
        <r>
          <rPr>
            <sz val="9"/>
            <color indexed="81"/>
            <rFont val="Tahoma"/>
            <family val="2"/>
          </rPr>
          <t xml:space="preserve">
Includes capitalized financing fees</t>
        </r>
      </text>
    </comment>
    <comment ref="K343" authorId="0" shapeId="0">
      <text>
        <r>
          <rPr>
            <b/>
            <sz val="9"/>
            <color indexed="81"/>
            <rFont val="Tahoma"/>
            <family val="2"/>
          </rPr>
          <t>Wall Street Prep:</t>
        </r>
        <r>
          <rPr>
            <sz val="9"/>
            <color indexed="81"/>
            <rFont val="Tahoma"/>
            <family val="2"/>
          </rPr>
          <t xml:space="preserve">
Includes capitalized financing fees</t>
        </r>
      </text>
    </comment>
    <comment ref="F344" authorId="0" shapeId="0">
      <text>
        <r>
          <rPr>
            <b/>
            <sz val="9"/>
            <color indexed="81"/>
            <rFont val="Tahoma"/>
            <family val="2"/>
          </rPr>
          <t>Wall Street Prep:</t>
        </r>
        <r>
          <rPr>
            <sz val="9"/>
            <color indexed="81"/>
            <rFont val="Tahoma"/>
            <family val="2"/>
          </rPr>
          <t xml:space="preserve">
Includes goodwill created in the LBO </t>
        </r>
      </text>
    </comment>
    <comment ref="G344" authorId="0" shapeId="0">
      <text>
        <r>
          <rPr>
            <b/>
            <sz val="9"/>
            <color indexed="81"/>
            <rFont val="Tahoma"/>
            <family val="2"/>
          </rPr>
          <t>Wall Street Prep:</t>
        </r>
        <r>
          <rPr>
            <sz val="9"/>
            <color indexed="81"/>
            <rFont val="Tahoma"/>
            <family val="2"/>
          </rPr>
          <t xml:space="preserve">
Includes goodwill created in the LBO </t>
        </r>
      </text>
    </comment>
    <comment ref="H344" authorId="0" shapeId="0">
      <text>
        <r>
          <rPr>
            <b/>
            <sz val="9"/>
            <color indexed="81"/>
            <rFont val="Tahoma"/>
            <family val="2"/>
          </rPr>
          <t>Wall Street Prep:</t>
        </r>
        <r>
          <rPr>
            <sz val="9"/>
            <color indexed="81"/>
            <rFont val="Tahoma"/>
            <family val="2"/>
          </rPr>
          <t xml:space="preserve">
Includes goodwill created in the LBO </t>
        </r>
      </text>
    </comment>
    <comment ref="I344" authorId="0" shapeId="0">
      <text>
        <r>
          <rPr>
            <b/>
            <sz val="9"/>
            <color indexed="81"/>
            <rFont val="Tahoma"/>
            <family val="2"/>
          </rPr>
          <t>Wall Street Prep:</t>
        </r>
        <r>
          <rPr>
            <sz val="9"/>
            <color indexed="81"/>
            <rFont val="Tahoma"/>
            <family val="2"/>
          </rPr>
          <t xml:space="preserve">
Includes goodwill created in the LBO </t>
        </r>
      </text>
    </comment>
    <comment ref="J344" authorId="0" shapeId="0">
      <text>
        <r>
          <rPr>
            <b/>
            <sz val="9"/>
            <color indexed="81"/>
            <rFont val="Tahoma"/>
            <family val="2"/>
          </rPr>
          <t>Wall Street Prep:</t>
        </r>
        <r>
          <rPr>
            <sz val="9"/>
            <color indexed="81"/>
            <rFont val="Tahoma"/>
            <family val="2"/>
          </rPr>
          <t xml:space="preserve">
Includes goodwill created in the LBO </t>
        </r>
      </text>
    </comment>
    <comment ref="K344" authorId="0" shapeId="0">
      <text>
        <r>
          <rPr>
            <b/>
            <sz val="9"/>
            <color indexed="81"/>
            <rFont val="Tahoma"/>
            <family val="2"/>
          </rPr>
          <t>Wall Street Prep:</t>
        </r>
        <r>
          <rPr>
            <sz val="9"/>
            <color indexed="81"/>
            <rFont val="Tahoma"/>
            <family val="2"/>
          </rPr>
          <t xml:space="preserve">
Includes goodwill created in the LBO </t>
        </r>
      </text>
    </comment>
    <comment ref="F350" authorId="0" shapeId="0">
      <text>
        <r>
          <rPr>
            <b/>
            <sz val="9"/>
            <color indexed="81"/>
            <rFont val="Tahoma"/>
            <family val="2"/>
          </rPr>
          <t>Wall Street Prep:</t>
        </r>
        <r>
          <rPr>
            <sz val="9"/>
            <color indexed="81"/>
            <rFont val="Tahoma"/>
            <family val="2"/>
          </rPr>
          <t xml:space="preserve">
Include all LBO created debt tranches</t>
        </r>
      </text>
    </comment>
    <comment ref="G350" authorId="0" shapeId="0">
      <text>
        <r>
          <rPr>
            <b/>
            <sz val="9"/>
            <color indexed="81"/>
            <rFont val="Tahoma"/>
            <family val="2"/>
          </rPr>
          <t>Wall Street Prep:</t>
        </r>
        <r>
          <rPr>
            <sz val="9"/>
            <color indexed="81"/>
            <rFont val="Tahoma"/>
            <family val="2"/>
          </rPr>
          <t xml:space="preserve">
Include all LBO created debt tranches</t>
        </r>
      </text>
    </comment>
    <comment ref="H350" authorId="0" shapeId="0">
      <text>
        <r>
          <rPr>
            <b/>
            <sz val="9"/>
            <color indexed="81"/>
            <rFont val="Tahoma"/>
            <family val="2"/>
          </rPr>
          <t>Wall Street Prep:</t>
        </r>
        <r>
          <rPr>
            <sz val="9"/>
            <color indexed="81"/>
            <rFont val="Tahoma"/>
            <family val="2"/>
          </rPr>
          <t xml:space="preserve">
Include all LBO created debt tranches</t>
        </r>
      </text>
    </comment>
    <comment ref="I350" authorId="0" shapeId="0">
      <text>
        <r>
          <rPr>
            <b/>
            <sz val="9"/>
            <color indexed="81"/>
            <rFont val="Tahoma"/>
            <family val="2"/>
          </rPr>
          <t>Wall Street Prep:</t>
        </r>
        <r>
          <rPr>
            <sz val="9"/>
            <color indexed="81"/>
            <rFont val="Tahoma"/>
            <family val="2"/>
          </rPr>
          <t xml:space="preserve">
Include all LBO created debt tranches</t>
        </r>
      </text>
    </comment>
    <comment ref="J350" authorId="0" shapeId="0">
      <text>
        <r>
          <rPr>
            <b/>
            <sz val="9"/>
            <color indexed="81"/>
            <rFont val="Tahoma"/>
            <family val="2"/>
          </rPr>
          <t>Wall Street Prep:</t>
        </r>
        <r>
          <rPr>
            <sz val="9"/>
            <color indexed="81"/>
            <rFont val="Tahoma"/>
            <family val="2"/>
          </rPr>
          <t xml:space="preserve">
Include all LBO created debt tranches</t>
        </r>
      </text>
    </comment>
    <comment ref="K350" authorId="0" shapeId="0">
      <text>
        <r>
          <rPr>
            <b/>
            <sz val="9"/>
            <color indexed="81"/>
            <rFont val="Tahoma"/>
            <family val="2"/>
          </rPr>
          <t>Wall Street Prep:</t>
        </r>
        <r>
          <rPr>
            <sz val="9"/>
            <color indexed="81"/>
            <rFont val="Tahoma"/>
            <family val="2"/>
          </rPr>
          <t xml:space="preserve">
Include all LBO created debt tranches</t>
        </r>
      </text>
    </comment>
    <comment ref="G354" authorId="0" shapeId="0">
      <text>
        <r>
          <rPr>
            <b/>
            <sz val="9"/>
            <color indexed="81"/>
            <rFont val="Tahoma"/>
            <family val="2"/>
          </rPr>
          <t>Wall Street Prep:</t>
        </r>
        <r>
          <rPr>
            <sz val="9"/>
            <color indexed="81"/>
            <rFont val="Tahoma"/>
            <family val="2"/>
          </rPr>
          <t xml:space="preserve">
</t>
        </r>
        <r>
          <rPr>
            <u/>
            <sz val="9"/>
            <color indexed="81"/>
            <rFont val="Tahoma"/>
            <family val="2"/>
          </rPr>
          <t xml:space="preserve">PF Equity, BOP
</t>
        </r>
        <r>
          <rPr>
            <sz val="9"/>
            <color indexed="81"/>
            <rFont val="Tahoma"/>
            <family val="2"/>
          </rPr>
          <t xml:space="preserve">+ NI, current period
-  Dividends common &amp; preferred, (PIK and cash)
+ SBC, current period (debit to RE via NI needs to be offset by credit to Common stock)
</t>
        </r>
        <r>
          <rPr>
            <u/>
            <sz val="9"/>
            <color indexed="81"/>
            <rFont val="Tahoma"/>
            <family val="2"/>
          </rPr>
          <t xml:space="preserve">-  Financing fee amortization (b/c we ignored its impact directly on the IS)
</t>
        </r>
        <r>
          <rPr>
            <sz val="9"/>
            <color indexed="81"/>
            <rFont val="Tahoma"/>
            <family val="2"/>
          </rPr>
          <t>PF Equity, EOP</t>
        </r>
      </text>
    </comment>
    <comment ref="H354" authorId="0" shapeId="0">
      <text>
        <r>
          <rPr>
            <b/>
            <sz val="9"/>
            <color indexed="81"/>
            <rFont val="Tahoma"/>
            <family val="2"/>
          </rPr>
          <t>Wall Street Prep:</t>
        </r>
        <r>
          <rPr>
            <sz val="9"/>
            <color indexed="81"/>
            <rFont val="Tahoma"/>
            <family val="2"/>
          </rPr>
          <t xml:space="preserve">
</t>
        </r>
        <r>
          <rPr>
            <u/>
            <sz val="9"/>
            <color indexed="81"/>
            <rFont val="Tahoma"/>
            <family val="2"/>
          </rPr>
          <t xml:space="preserve">PF Equity, BOP
</t>
        </r>
        <r>
          <rPr>
            <sz val="9"/>
            <color indexed="81"/>
            <rFont val="Tahoma"/>
            <family val="2"/>
          </rPr>
          <t xml:space="preserve">+ NI, current period
-  Dividends common &amp; preferred, (PIK and cash)
+ SBC, current period (debit to RE via NI needs to be offset by credit to Common stock)
</t>
        </r>
        <r>
          <rPr>
            <u/>
            <sz val="9"/>
            <color indexed="81"/>
            <rFont val="Tahoma"/>
            <family val="2"/>
          </rPr>
          <t xml:space="preserve">-  Financing fee amortization (b/c we ignored its impact directly on the IS)
</t>
        </r>
        <r>
          <rPr>
            <sz val="9"/>
            <color indexed="81"/>
            <rFont val="Tahoma"/>
            <family val="2"/>
          </rPr>
          <t>PF Equity, EOP</t>
        </r>
      </text>
    </comment>
    <comment ref="I354" authorId="0" shapeId="0">
      <text>
        <r>
          <rPr>
            <b/>
            <sz val="9"/>
            <color indexed="81"/>
            <rFont val="Tahoma"/>
            <family val="2"/>
          </rPr>
          <t>Wall Street Prep:</t>
        </r>
        <r>
          <rPr>
            <sz val="9"/>
            <color indexed="81"/>
            <rFont val="Tahoma"/>
            <family val="2"/>
          </rPr>
          <t xml:space="preserve">
</t>
        </r>
        <r>
          <rPr>
            <u/>
            <sz val="9"/>
            <color indexed="81"/>
            <rFont val="Tahoma"/>
            <family val="2"/>
          </rPr>
          <t xml:space="preserve">PF Equity, BOP
</t>
        </r>
        <r>
          <rPr>
            <sz val="9"/>
            <color indexed="81"/>
            <rFont val="Tahoma"/>
            <family val="2"/>
          </rPr>
          <t xml:space="preserve">+ NI, current period
-  Dividends common &amp; preferred, (PIK and cash)
+ SBC, current period (debit to RE via NI needs to be offset by credit to Common stock)
</t>
        </r>
        <r>
          <rPr>
            <u/>
            <sz val="9"/>
            <color indexed="81"/>
            <rFont val="Tahoma"/>
            <family val="2"/>
          </rPr>
          <t xml:space="preserve">-  Financing fee amortization (b/c we ignored its impact directly on the IS)
</t>
        </r>
        <r>
          <rPr>
            <sz val="9"/>
            <color indexed="81"/>
            <rFont val="Tahoma"/>
            <family val="2"/>
          </rPr>
          <t>PF Equity, EOP</t>
        </r>
      </text>
    </comment>
    <comment ref="J354" authorId="0" shapeId="0">
      <text>
        <r>
          <rPr>
            <b/>
            <sz val="9"/>
            <color indexed="81"/>
            <rFont val="Tahoma"/>
            <family val="2"/>
          </rPr>
          <t>Wall Street Prep:</t>
        </r>
        <r>
          <rPr>
            <sz val="9"/>
            <color indexed="81"/>
            <rFont val="Tahoma"/>
            <family val="2"/>
          </rPr>
          <t xml:space="preserve">
</t>
        </r>
        <r>
          <rPr>
            <u/>
            <sz val="9"/>
            <color indexed="81"/>
            <rFont val="Tahoma"/>
            <family val="2"/>
          </rPr>
          <t xml:space="preserve">PF Equity, BOP
</t>
        </r>
        <r>
          <rPr>
            <sz val="9"/>
            <color indexed="81"/>
            <rFont val="Tahoma"/>
            <family val="2"/>
          </rPr>
          <t xml:space="preserve">+ NI, current period
-  Dividends common &amp; preferred, (PIK and cash)
+ SBC, current period (debit to RE via NI needs to be offset by credit to Common stock)
</t>
        </r>
        <r>
          <rPr>
            <u/>
            <sz val="9"/>
            <color indexed="81"/>
            <rFont val="Tahoma"/>
            <family val="2"/>
          </rPr>
          <t xml:space="preserve">-  Financing fee amortization (b/c we ignored its impact directly on the IS)
</t>
        </r>
        <r>
          <rPr>
            <sz val="9"/>
            <color indexed="81"/>
            <rFont val="Tahoma"/>
            <family val="2"/>
          </rPr>
          <t>PF Equity, EOP</t>
        </r>
      </text>
    </comment>
    <comment ref="K354" authorId="0" shapeId="0">
      <text>
        <r>
          <rPr>
            <b/>
            <sz val="9"/>
            <color indexed="81"/>
            <rFont val="Tahoma"/>
            <family val="2"/>
          </rPr>
          <t>Wall Street Prep:</t>
        </r>
        <r>
          <rPr>
            <sz val="9"/>
            <color indexed="81"/>
            <rFont val="Tahoma"/>
            <family val="2"/>
          </rPr>
          <t xml:space="preserve">
</t>
        </r>
        <r>
          <rPr>
            <u/>
            <sz val="9"/>
            <color indexed="81"/>
            <rFont val="Tahoma"/>
            <family val="2"/>
          </rPr>
          <t xml:space="preserve">PF Equity, BOP
</t>
        </r>
        <r>
          <rPr>
            <sz val="9"/>
            <color indexed="81"/>
            <rFont val="Tahoma"/>
            <family val="2"/>
          </rPr>
          <t xml:space="preserve">+ NI, current period
-  Dividends common &amp; preferred, (PIK and cash)
+ SBC, current period (debit to RE via NI needs to be offset by credit to Common stock)
</t>
        </r>
        <r>
          <rPr>
            <u/>
            <sz val="9"/>
            <color indexed="81"/>
            <rFont val="Tahoma"/>
            <family val="2"/>
          </rPr>
          <t xml:space="preserve">-  Financing fee amortization (b/c we ignored its impact directly on the IS)
</t>
        </r>
        <r>
          <rPr>
            <sz val="9"/>
            <color indexed="81"/>
            <rFont val="Tahoma"/>
            <family val="2"/>
          </rPr>
          <t>PF Equity, EOP</t>
        </r>
      </text>
    </comment>
  </commentList>
</comments>
</file>

<file path=xl/comments2.xml><?xml version="1.0" encoding="utf-8"?>
<comments xmlns="http://schemas.openxmlformats.org/spreadsheetml/2006/main">
  <authors>
    <author>Wall Street Prep</author>
    <author>Mary Roberts</author>
  </authors>
  <commentList>
    <comment ref="E5" authorId="0" shapeId="0">
      <text>
        <r>
          <rPr>
            <b/>
            <sz val="9"/>
            <color indexed="81"/>
            <rFont val="Tahoma"/>
            <family val="2"/>
          </rPr>
          <t>Wall Street Prep:</t>
        </r>
        <r>
          <rPr>
            <sz val="9"/>
            <color indexed="81"/>
            <rFont val="Tahoma"/>
            <family val="2"/>
          </rPr>
          <t xml:space="preserve">
Hard-code to avoid circularity when offer price is derived from an explicit EBITDA multiple assumption.
</t>
        </r>
        <r>
          <rPr>
            <i/>
            <sz val="9"/>
            <color indexed="81"/>
            <rFont val="Tahoma"/>
            <family val="2"/>
          </rPr>
          <t>Deeper dive</t>
        </r>
        <r>
          <rPr>
            <b/>
            <sz val="9"/>
            <color indexed="81"/>
            <rFont val="Tahoma"/>
            <family val="2"/>
          </rPr>
          <t xml:space="preserve">
</t>
        </r>
        <r>
          <rPr>
            <sz val="9"/>
            <color indexed="81"/>
            <rFont val="Tahoma"/>
            <family val="2"/>
          </rPr>
          <t>The circularity exists because for a given offer value, the more shares will lead to lower offer price per share, while the now lower offer price per share leads to fewer repurchases and a larger dilutive impact/share count, once again lowering the offer price per share and on and on...</t>
        </r>
      </text>
    </comment>
    <comment ref="E12" authorId="1" shapeId="0">
      <text>
        <r>
          <rPr>
            <b/>
            <sz val="9"/>
            <color indexed="81"/>
            <rFont val="Tahoma"/>
            <family val="2"/>
          </rPr>
          <t xml:space="preserve">10-K: RSUs expected to vest p.103, </t>
        </r>
      </text>
    </comment>
  </commentList>
</comments>
</file>

<file path=xl/sharedStrings.xml><?xml version="1.0" encoding="utf-8"?>
<sst xmlns="http://schemas.openxmlformats.org/spreadsheetml/2006/main" count="314" uniqueCount="258">
  <si>
    <t>$ mm except per share</t>
  </si>
  <si>
    <t>Company name</t>
  </si>
  <si>
    <t>Circuit breaker:</t>
  </si>
  <si>
    <t>OFF</t>
  </si>
  <si>
    <t>INCOME STATEMENT</t>
  </si>
  <si>
    <t xml:space="preserve">Fiscal year  </t>
  </si>
  <si>
    <t>Fiscal year end date</t>
  </si>
  <si>
    <t>Revenue</t>
  </si>
  <si>
    <t>Cost of sales (enter as -)</t>
  </si>
  <si>
    <t>Gross Profit</t>
  </si>
  <si>
    <t>Research &amp; development (enter as -)</t>
  </si>
  <si>
    <t>Selling, general &amp; administrative (enter as -)</t>
  </si>
  <si>
    <t>Operating profit (EBIT)</t>
  </si>
  <si>
    <t>Interest income</t>
  </si>
  <si>
    <t>Interest expense (enter as -)</t>
  </si>
  <si>
    <t>Pretax profit</t>
  </si>
  <si>
    <t>Taxes (enter expense as -)</t>
  </si>
  <si>
    <t>Net income</t>
  </si>
  <si>
    <t>Diluted shares outstanding</t>
  </si>
  <si>
    <t>Growth rates &amp; margins</t>
  </si>
  <si>
    <t>Revenue growth</t>
  </si>
  <si>
    <t>NA</t>
  </si>
  <si>
    <t>Gross profit as % of sales</t>
  </si>
  <si>
    <t>R&amp;D margin</t>
  </si>
  <si>
    <t>SG&amp;A margin</t>
  </si>
  <si>
    <t>Tax rate</t>
  </si>
  <si>
    <t>Stock based compensation</t>
  </si>
  <si>
    <t>EBITDA</t>
  </si>
  <si>
    <t>Total</t>
  </si>
  <si>
    <t>Revolver</t>
  </si>
  <si>
    <t>WORKING CAPITAL</t>
  </si>
  <si>
    <t>Increases / (decreases)</t>
  </si>
  <si>
    <t>AR as % of sales</t>
  </si>
  <si>
    <t>AP as % of COGS</t>
  </si>
  <si>
    <t>PIK accrual</t>
  </si>
  <si>
    <t>SBC as % of all operating expenses</t>
  </si>
  <si>
    <t>CASH FLOW STATEMENT</t>
  </si>
  <si>
    <t>Depreciation and amortization</t>
  </si>
  <si>
    <t>Cash from operating activities</t>
  </si>
  <si>
    <t>Capital expenditures</t>
  </si>
  <si>
    <t>Cash from investing activities</t>
  </si>
  <si>
    <t>Net change in cash during period</t>
  </si>
  <si>
    <t>Maximum availability</t>
  </si>
  <si>
    <t>Compliance check</t>
  </si>
  <si>
    <t>Less: Minimum cash desired</t>
  </si>
  <si>
    <t>Equals: Excess cash at BOP</t>
  </si>
  <si>
    <t>Plus: Free cash flows generated during period</t>
  </si>
  <si>
    <t>Cash</t>
  </si>
  <si>
    <t>Interest rate on cash</t>
  </si>
  <si>
    <t>Equity value</t>
  </si>
  <si>
    <t>Total proceeds ($mm)</t>
  </si>
  <si>
    <t>Total shares repurchased (mm)</t>
  </si>
  <si>
    <t>Net dilutive options</t>
  </si>
  <si>
    <t xml:space="preserve">Dilutive impact of shares from other securities </t>
  </si>
  <si>
    <t>Net diluted shares outstanding</t>
  </si>
  <si>
    <t>x</t>
  </si>
  <si>
    <t>Enterprise value</t>
  </si>
  <si>
    <t>Exercise price</t>
  </si>
  <si>
    <t>In-the-money exercisable options</t>
  </si>
  <si>
    <t>High</t>
  </si>
  <si>
    <t>Low</t>
  </si>
  <si>
    <t>52 week high low</t>
  </si>
  <si>
    <t>52 week high</t>
  </si>
  <si>
    <t>52 week low</t>
  </si>
  <si>
    <t>Date</t>
  </si>
  <si>
    <t>Open</t>
  </si>
  <si>
    <t>Close</t>
  </si>
  <si>
    <t>Volume</t>
  </si>
  <si>
    <t>LTM EBITDA</t>
  </si>
  <si>
    <t>EBITDA at exit</t>
  </si>
  <si>
    <t>Offer value</t>
  </si>
  <si>
    <t>Buyout of equity</t>
  </si>
  <si>
    <t>Excess cash</t>
  </si>
  <si>
    <t>Refinancing of oldco debt</t>
  </si>
  <si>
    <t>Sponsor equity</t>
  </si>
  <si>
    <t>Total Uses</t>
  </si>
  <si>
    <t>Accrued expenses &amp; def revenues, EOP</t>
  </si>
  <si>
    <t>Accounts payable, EOP</t>
  </si>
  <si>
    <t>Accounts receivable, EOP</t>
  </si>
  <si>
    <t>Amortization</t>
  </si>
  <si>
    <t>Depreciation</t>
  </si>
  <si>
    <t>PP&amp;E</t>
  </si>
  <si>
    <t>Changes in net working capital</t>
  </si>
  <si>
    <t>Other liabilities</t>
  </si>
  <si>
    <t>As % of sales</t>
  </si>
  <si>
    <t>Mandatory amortization $</t>
  </si>
  <si>
    <t>Term Loan A</t>
  </si>
  <si>
    <t>Term Loan B</t>
  </si>
  <si>
    <t>Senior Note</t>
  </si>
  <si>
    <t>Sub Note</t>
  </si>
  <si>
    <t>Term Loan A, BOP</t>
  </si>
  <si>
    <t>Term Loan B, BOP</t>
  </si>
  <si>
    <t>Term Loan B, EOP</t>
  </si>
  <si>
    <t>Term Loan A, EOP</t>
  </si>
  <si>
    <t>Senior Note, EOP</t>
  </si>
  <si>
    <t>Senior Note, BOP</t>
  </si>
  <si>
    <t>Sub Note, EOP</t>
  </si>
  <si>
    <t>Sub Note, BOP</t>
  </si>
  <si>
    <t>Required debt principal payments</t>
  </si>
  <si>
    <t>Mandatory paydown $</t>
  </si>
  <si>
    <t>Post-revolver cash flows</t>
  </si>
  <si>
    <t>Cash sweep (paydown from excess cash flows)</t>
  </si>
  <si>
    <t>Discretionary Term A paydown</t>
  </si>
  <si>
    <t>Pre-revolver cash flows</t>
  </si>
  <si>
    <t>Discretionary Term B paydown</t>
  </si>
  <si>
    <t>Cash, BOP</t>
  </si>
  <si>
    <t>Cash, EOP</t>
  </si>
  <si>
    <t>CASH &amp; DEBT</t>
  </si>
  <si>
    <t>Revolver, BOP</t>
  </si>
  <si>
    <t>Revolver, EOP</t>
  </si>
  <si>
    <t xml:space="preserve">Cash, BOP </t>
  </si>
  <si>
    <t>Cash available (needed) to paydown (draw from) revolver</t>
  </si>
  <si>
    <t>RETURNS</t>
  </si>
  <si>
    <t>IRR</t>
  </si>
  <si>
    <t>Preferred stock</t>
  </si>
  <si>
    <t>Preferred stock, BOP</t>
  </si>
  <si>
    <t>Mandatory paydown (% of original)</t>
  </si>
  <si>
    <t>Preferred stock, EOP</t>
  </si>
  <si>
    <t>Net debt:</t>
  </si>
  <si>
    <t>EV / LTM EBITDA</t>
  </si>
  <si>
    <t>Offer value / per share</t>
  </si>
  <si>
    <t>% Premium / discount</t>
  </si>
  <si>
    <t>Ticker (if applicable)</t>
  </si>
  <si>
    <t>Current share price (if applicable)</t>
  </si>
  <si>
    <t>GENERAL INPUTS</t>
  </si>
  <si>
    <t>INITIAL VALUATION</t>
  </si>
  <si>
    <t>EXIT VALUATION</t>
  </si>
  <si>
    <t>Net Working Capital</t>
  </si>
  <si>
    <t>Other assets &amp; liabilities</t>
  </si>
  <si>
    <t>Initial</t>
  </si>
  <si>
    <t>EBITDA turns</t>
  </si>
  <si>
    <t>$ investment</t>
  </si>
  <si>
    <t>Total Sources</t>
  </si>
  <si>
    <t>Cash available for cash sweep</t>
  </si>
  <si>
    <t>Pref. stock</t>
  </si>
  <si>
    <t>Step</t>
  </si>
  <si>
    <t>EBITDA multiple at exit</t>
  </si>
  <si>
    <t>Financing</t>
  </si>
  <si>
    <t>% of Total Capital</t>
  </si>
  <si>
    <t>Expected IRR</t>
  </si>
  <si>
    <t>Sub. Note</t>
  </si>
  <si>
    <t>Mgmt equity</t>
  </si>
  <si>
    <t>PIK rate</t>
  </si>
  <si>
    <t>Cash rate</t>
  </si>
  <si>
    <t>PIK interest</t>
  </si>
  <si>
    <t>Sub Note - PIK interest</t>
  </si>
  <si>
    <t>Sub Note - Cash interest</t>
  </si>
  <si>
    <t>% AR</t>
  </si>
  <si>
    <t>% Inventory</t>
  </si>
  <si>
    <t>Cash dividend</t>
  </si>
  <si>
    <t>Addback of PIK interest</t>
  </si>
  <si>
    <t>Cash-on-cash</t>
  </si>
  <si>
    <t>Sub Note at exit EBITDA multiple of:</t>
  </si>
  <si>
    <r>
      <t xml:space="preserve">Preferred Stock </t>
    </r>
    <r>
      <rPr>
        <sz val="11"/>
        <color theme="1"/>
        <rFont val="Calibri"/>
        <family val="2"/>
        <scheme val="minor"/>
      </rPr>
      <t>at exit EBITDA multiple of:</t>
    </r>
  </si>
  <si>
    <r>
      <t>Management Equity</t>
    </r>
    <r>
      <rPr>
        <sz val="11"/>
        <color theme="1"/>
        <rFont val="Calibri"/>
        <family val="2"/>
        <scheme val="minor"/>
      </rPr>
      <t xml:space="preserve"> at exit EBITDA multiple of:</t>
    </r>
  </si>
  <si>
    <r>
      <t xml:space="preserve">Sponsor's Equity </t>
    </r>
    <r>
      <rPr>
        <sz val="11"/>
        <color theme="1"/>
        <rFont val="Calibri"/>
        <family val="2"/>
        <scheme val="minor"/>
      </rPr>
      <t>at exit EBITDA multiple of:</t>
    </r>
  </si>
  <si>
    <t>% ownership</t>
  </si>
  <si>
    <t>% FD Ownership</t>
  </si>
  <si>
    <t>SOURCES OF FUNDS</t>
  </si>
  <si>
    <t>USES OF FUNDS</t>
  </si>
  <si>
    <t>Depreciation as a % of capex</t>
  </si>
  <si>
    <t>Mgmt rollover</t>
  </si>
  <si>
    <t>Yes</t>
  </si>
  <si>
    <t>Preferred dividend (cash)</t>
  </si>
  <si>
    <t>Cash sweep</t>
  </si>
  <si>
    <t>% of available cash used</t>
  </si>
  <si>
    <t>Multiple:</t>
  </si>
  <si>
    <t>Sub Note Equity Kicker</t>
  </si>
  <si>
    <t>Preferred</t>
  </si>
  <si>
    <t>Equity</t>
  </si>
  <si>
    <t>Kicker:</t>
  </si>
  <si>
    <t>Other non-operating expense (enter as -)</t>
  </si>
  <si>
    <t>Restructuring and other nonrecurring charges</t>
  </si>
  <si>
    <t>Other current assets, EOP</t>
  </si>
  <si>
    <t>Other current assets as % of sales</t>
  </si>
  <si>
    <t>EBIT (GAAP)</t>
  </si>
  <si>
    <t>EBITDA reconciliation</t>
  </si>
  <si>
    <t>Purchases</t>
  </si>
  <si>
    <t>Smoothing?</t>
  </si>
  <si>
    <t>Intangible assets</t>
  </si>
  <si>
    <t>LONG LIVED ASSETS</t>
  </si>
  <si>
    <t>Capex as a % of revenue</t>
  </si>
  <si>
    <t>3-Month LIBOR Rate (bps)</t>
  </si>
  <si>
    <t>LIBOR Spread</t>
  </si>
  <si>
    <t>LIBOR floor</t>
  </si>
  <si>
    <t>Coupon Rate</t>
  </si>
  <si>
    <t>INTEREST EXPENSE</t>
  </si>
  <si>
    <t>Offer price</t>
  </si>
  <si>
    <t>Out. shares</t>
  </si>
  <si>
    <t>In-the-$-shares</t>
  </si>
  <si>
    <t>Plus: Cash (latest filing)</t>
  </si>
  <si>
    <t>Basic shares outstanding (latest filing)</t>
  </si>
  <si>
    <t>Less: Gross Debt (latest filing)</t>
  </si>
  <si>
    <t>Latest closing share price date (f applicable)</t>
  </si>
  <si>
    <t>Select a valuation approach:</t>
  </si>
  <si>
    <t>EV / LTM EBITDA multiple at exit</t>
  </si>
  <si>
    <t>Explicit EBITDA</t>
  </si>
  <si>
    <t>Explicit offer/share</t>
  </si>
  <si>
    <t>Fully diluted</t>
  </si>
  <si>
    <t>Total Assets</t>
  </si>
  <si>
    <t>Total Liabilities</t>
  </si>
  <si>
    <t>Balance check</t>
  </si>
  <si>
    <t>Goodwill and other assets</t>
  </si>
  <si>
    <t>Uses of funds</t>
  </si>
  <si>
    <t>Sources of funds</t>
  </si>
  <si>
    <t xml:space="preserve">Debt </t>
  </si>
  <si>
    <t>LBO Preferred stock</t>
  </si>
  <si>
    <t>Accounting</t>
  </si>
  <si>
    <t>Pro forma</t>
  </si>
  <si>
    <t>Total equity</t>
  </si>
  <si>
    <t>NM</t>
  </si>
  <si>
    <t>Pro forma adjustments</t>
  </si>
  <si>
    <t>PRO FORMA BALANCE SHEET ADJUSTMENTS</t>
  </si>
  <si>
    <t>PRO FORMA BALANCE SHEET</t>
  </si>
  <si>
    <t>LBO/Recap?</t>
  </si>
  <si>
    <t>LBO</t>
  </si>
  <si>
    <t>Offer</t>
  </si>
  <si>
    <t>Price:</t>
  </si>
  <si>
    <t>EXPLICIT EBITDA (APPROACH 1) MUST BE SELECTED FOR DATA TABLE TO APPEAR</t>
  </si>
  <si>
    <t>Financing fees</t>
  </si>
  <si>
    <t>Term</t>
  </si>
  <si>
    <t>% fees</t>
  </si>
  <si>
    <t>EXPLICIT OFFER PRICE / SHARE (APPROACH 2) MUST BE SELECTED FOR DATA TABLE TO APPEAR</t>
  </si>
  <si>
    <t>Capitalized financing fees</t>
  </si>
  <si>
    <t>Fee amort / year</t>
  </si>
  <si>
    <t>Capitalized financing fees, BOP</t>
  </si>
  <si>
    <t>Capitalized financing fees, EOP</t>
  </si>
  <si>
    <t>Options outstanding</t>
  </si>
  <si>
    <t>Sponsor Hurdle Rate (Minimum IRR)</t>
  </si>
  <si>
    <t>EV / LTM EBITDA multiple</t>
  </si>
  <si>
    <t>Offer Price / Share At Various Sponsor Hurdle Rates</t>
  </si>
  <si>
    <t>Sponsor IRR At Various Leverage And Initial EBITDA Multiple Sensitivity</t>
  </si>
  <si>
    <t>Sponsor IRR At Various Leverage And Offer Price / Share Sensitivity</t>
  </si>
  <si>
    <t>Sponsor IRR @ Preferred &amp; Sub Note Equity Kicker Sensitivity</t>
  </si>
  <si>
    <t>EBITDA (LTM)</t>
  </si>
  <si>
    <t>Minimum cash desired</t>
  </si>
  <si>
    <t xml:space="preserve">SELECT FINANCIAL DATA / ASSMUPTIONS </t>
  </si>
  <si>
    <t>FEES</t>
  </si>
  <si>
    <t>% of offer value</t>
  </si>
  <si>
    <t>Fee</t>
  </si>
  <si>
    <t>Trans. fees</t>
  </si>
  <si>
    <t>Fees (transaction &amp; financing)</t>
  </si>
  <si>
    <t>Initial equity inv.</t>
  </si>
  <si>
    <t>Actual</t>
  </si>
  <si>
    <t>SENSITIVITY ANALYISIS</t>
  </si>
  <si>
    <t>Highlight IRR &gt;</t>
  </si>
  <si>
    <t>Gross Debt (input as a -)</t>
  </si>
  <si>
    <t>KMGC</t>
  </si>
  <si>
    <t>Keurig Green Mountain</t>
  </si>
  <si>
    <t>Inventory, EOP</t>
  </si>
  <si>
    <t>Inv as % of COGS</t>
  </si>
  <si>
    <t>Purchases of intangible assets</t>
  </si>
  <si>
    <t>Comments</t>
  </si>
  <si>
    <t>Mangement revenue growth very ambitious</t>
  </si>
  <si>
    <t>Interest Income not explicitly found in 10-K</t>
  </si>
  <si>
    <t>Model done as of 9/25, deal closed 12/7</t>
  </si>
  <si>
    <t xml:space="preserve">Sub note terms not disclosed </t>
  </si>
  <si>
    <t>R&amp;D baked into other sections on 10-K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</si>
</sst>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2">
    <numFmt numFmtId="5" formatCode="&quot;$&quot;#,##0_);\(&quot;$&quot;#,##0\)"/>
    <numFmt numFmtId="6" formatCode="&quot;$&quot;#,##0_);[Red]\(&quot;$&quot;#,##0\)"/>
    <numFmt numFmtId="7" formatCode="&quot;$&quot;#,##0.00_);\(&quot;$&quot;#,##0.00\)"/>
    <numFmt numFmtId="8" formatCode="&quot;$&quot;#,##0.00_);[Red]\(&quot;$&quot;#,##0.00\)"/>
    <numFmt numFmtId="43" formatCode="_(* #,##0.00_);_(* \(#,##0.00\);_(* &quot;-&quot;??_);_(@_)"/>
    <numFmt numFmtId="164" formatCode="&quot;$&quot;#,##0.00_);\(&quot;$&quot;#,##0.00\);@_)"/>
    <numFmt numFmtId="165" formatCode="#,##0.0_);\(#,##0.0\);@_)"/>
    <numFmt numFmtId="166" formatCode="0\A;[Red]0\A"/>
    <numFmt numFmtId="167" formatCode="0\P_);\(0\P\)"/>
    <numFmt numFmtId="168" formatCode="m/d/yy;@"/>
    <numFmt numFmtId="169" formatCode="0.0%_);\(0.0%\);@_)"/>
    <numFmt numFmtId="170" formatCode="0.0%"/>
    <numFmt numFmtId="171" formatCode="&quot;$&quot;#,##0.0_);\(&quot;$&quot;#,##0.0\)"/>
    <numFmt numFmtId="172" formatCode="0.00\x_);\(0.00\x\);@_)"/>
    <numFmt numFmtId="173" formatCode="#,##0.000_);\(#,##0.000\)"/>
    <numFmt numFmtId="174" formatCode="0.00%_);\(0.00%\);@_)"/>
    <numFmt numFmtId="175" formatCode="0%_);\(0%\);@_)"/>
    <numFmt numFmtId="176" formatCode="#,##0.00_);\(#,##0\)"/>
    <numFmt numFmtId="177" formatCode="#,##0.0%_);\(#,##0.0%\)"/>
    <numFmt numFmtId="178" formatCode="0.0\ \x"/>
    <numFmt numFmtId="179" formatCode="#,##0.00\ ;\(#,##0.00\)"/>
    <numFmt numFmtId="180" formatCode="&quot;$&quot;#,##0.00\ ;\(&quot;$&quot;#,##0.00\)"/>
    <numFmt numFmtId="181" formatCode="0.0%_);\(0.0%\)"/>
    <numFmt numFmtId="182" formatCode="0.000\ \x&quot;rate&quot;"/>
    <numFmt numFmtId="183" formatCode="#,##0.000_);[Red]\(#,##0.000\)"/>
    <numFmt numFmtId="184" formatCode="0.00_);\(0.00\);0.00"/>
    <numFmt numFmtId="185" formatCode="\C&quot;$&quot;#,##0.00_);[Red]\(&quot;$&quot;#,##0.00\)"/>
    <numFmt numFmtId="186" formatCode="#,##0%_);\(#,##0.0%\)"/>
    <numFmt numFmtId="187" formatCode="_(* #,##0.00000000_);_(* \(#,##0.00000000\);_(* &quot;-&quot;?_);_(@_)"/>
    <numFmt numFmtId="188" formatCode="mmm\-d\-yyyy"/>
    <numFmt numFmtId="189" formatCode="mmm\-yyyy"/>
    <numFmt numFmtId="190" formatCode="yyyy"/>
    <numFmt numFmtId="191" formatCode="0.00\x&quot;rate&quot;"/>
    <numFmt numFmtId="192" formatCode="0.0&quot;  &quot;"/>
    <numFmt numFmtId="193" formatCode="&quot;$&quot;#,##0.0\ ;[Red]\(&quot;$&quot;#,##0\)"/>
    <numFmt numFmtId="194" formatCode="_(&quot;$&quot;* #,##0.00_);_(&quot;$&quot;* \(#,##0.00\);_(&quot;$&quot;* &quot;-&quot;?_);_(@_)"/>
    <numFmt numFmtId="195" formatCode="&quot;$&quot;#,##0.000_);[Red]\(&quot;$&quot;#,##0.000\)"/>
    <numFmt numFmtId="196" formatCode="&quot;$&quot;#,##0.00&quot;A&quot;;[Red]\(&quot;$&quot;#,##0.00\)&quot;A&quot;"/>
    <numFmt numFmtId="197" formatCode="#,##0.0\ ;[Red]\(&quot;$&quot;#,##0\)"/>
    <numFmt numFmtId="198" formatCode="&quot;$&quot;#,##0.00&quot;E&quot;;[Red]\(&quot;$&quot;#,##0.00\)&quot;E&quot;"/>
    <numFmt numFmtId="199" formatCode="_([$€-2]* #,##0.00_);_([$€-2]* \(#,##0.00\);_([$€-2]* &quot;-&quot;??_)"/>
    <numFmt numFmtId="200" formatCode="#,##0.00;\(#,##0.00\)"/>
    <numFmt numFmtId="201" formatCode=".%\,\(0.0%%;\t"/>
    <numFmt numFmtId="202" formatCode="#,##0.0_);[Red]\(#,##0.0\)"/>
    <numFmt numFmtId="203" formatCode="0.0%_);[Red]\(0.0%\)"/>
    <numFmt numFmtId="204" formatCode="0.00_);\(0.00\);0.00_)"/>
    <numFmt numFmtId="205" formatCode="#,##0\x"/>
    <numFmt numFmtId="206" formatCode="&quot;TKR&quot;\ 0"/>
    <numFmt numFmtId="207" formatCode=".%\,\(0.%%;\t"/>
    <numFmt numFmtId="208" formatCode="&quot;$&quot;#,###.0\ \ "/>
    <numFmt numFmtId="209" formatCode="#,##0.00\x_);[Red]\(#,##0.00\x\)"/>
    <numFmt numFmtId="210" formatCode="#,##0.0_);\(#,##0.0\)"/>
    <numFmt numFmtId="211" formatCode="#,##0.00\x_);[Red]\(#,##0.00\x\);&quot;--  &quot;"/>
    <numFmt numFmtId="212" formatCode="_(* #,##0.0_);_(* \(#,##0.0\);_(* &quot;-&quot;??_);_(@_)"/>
    <numFmt numFmtId="213" formatCode="0.0\x_);[Red]\(0.0\x\)"/>
    <numFmt numFmtId="214" formatCode="0.0\ "/>
    <numFmt numFmtId="215" formatCode="&quot;$&quot;#,##0.0;\(&quot;$&quot;#,##0.00\)"/>
    <numFmt numFmtId="216" formatCode="#,##0.00%_);\(#,##0.00%\)"/>
    <numFmt numFmtId="217" formatCode="0.00\%;\-0.00\%;0.00\%"/>
    <numFmt numFmtId="218" formatCode="0.0%\ ;\(0.0%\)"/>
    <numFmt numFmtId="219" formatCode="_(&quot;$&quot;* #,##0_);_(&quot;$&quot;* \(#,##0\);_(&quot;$&quot;* &quot;-&quot;??_);_(@_)"/>
    <numFmt numFmtId="220" formatCode="&quot;$&quot;0.00\ "/>
    <numFmt numFmtId="221" formatCode="0.0\ \ \ \ \ "/>
    <numFmt numFmtId="222" formatCode="0.00\x;\-0.00\x;0.00\x"/>
    <numFmt numFmtId="223" formatCode="&quot;$&quot;#,##0.000_);\(&quot;$&quot;#,##0.000\)"/>
    <numFmt numFmtId="224" formatCode="#,##0.0_);\(#,##0.0\);_(* &quot;-&quot;_)"/>
    <numFmt numFmtId="225" formatCode="_(&quot;$&quot;* #,##0.00_);_(&quot;$&quot;* \(#,##0.00\);_(* &quot;-&quot;_);_(@_)"/>
    <numFmt numFmtId="226" formatCode="0.00%_);[Red]\(0.00%\)"/>
    <numFmt numFmtId="227" formatCode="#,##0.0\x_);\(#,##0.0\x\)"/>
    <numFmt numFmtId="228" formatCode="#,##0.00\x_);\(#,##0.00\x\)"/>
    <numFmt numFmtId="229" formatCode="###0&quot;E&quot;_)"/>
    <numFmt numFmtId="230" formatCode="0.0\x_);\(0.0\x\);@_)"/>
    <numFmt numFmtId="231" formatCode="0.00\x__"/>
    <numFmt numFmtId="232" formatCode="\L\ \+\ 0%"/>
    <numFmt numFmtId="233" formatCode="0.000%_);\(0.000%\);@_)"/>
    <numFmt numFmtId="234" formatCode="#,##0.00_);\(#,##0.00\);@_)"/>
    <numFmt numFmtId="235" formatCode="&quot;Approach&quot;\ 0"/>
    <numFmt numFmtId="236" formatCode="0\ &quot;yrs&quot;"/>
    <numFmt numFmtId="237" formatCode="&quot;Tranche&quot;\ 0"/>
    <numFmt numFmtId="238" formatCode="&quot;Assumed exit on &quot;[$-409]mmmm\ d\,\ yyyy;@"/>
    <numFmt numFmtId="239" formatCode="&quot;$&quot;#,##0.0_);\(&quot;$&quot;#,##0.0\);@_)"/>
    <numFmt numFmtId="240" formatCode="#,##0.0_);\(#,##0.0\);\-_);@_)"/>
  </numFmts>
  <fonts count="95">
    <font>
      <sz val="11"/>
      <color theme="1"/>
      <name val="Calibri"/>
      <family val="2"/>
      <scheme val="minor"/>
    </font>
    <font>
      <b/>
      <sz val="11"/>
      <color theme="1"/>
      <name val="Calibri"/>
      <family val="2"/>
      <scheme val="minor"/>
    </font>
    <font>
      <b/>
      <sz val="20"/>
      <color theme="1"/>
      <name val="Calibri"/>
      <family val="2"/>
      <scheme val="minor"/>
    </font>
    <font>
      <i/>
      <sz val="11"/>
      <color rgb="FF000000"/>
      <name val="Calibri"/>
      <family val="2"/>
      <scheme val="minor"/>
    </font>
    <font>
      <sz val="11"/>
      <color rgb="FF000000"/>
      <name val="Calibri"/>
      <family val="2"/>
      <scheme val="minor"/>
    </font>
    <font>
      <sz val="11"/>
      <color rgb="FF0000FF"/>
      <name val="Calibri"/>
      <family val="2"/>
      <scheme val="minor"/>
    </font>
    <font>
      <b/>
      <sz val="11"/>
      <color rgb="FF000000"/>
      <name val="Calibri"/>
      <family val="2"/>
      <scheme val="minor"/>
    </font>
    <font>
      <b/>
      <sz val="11"/>
      <color rgb="FF0000FF"/>
      <name val="Calibri"/>
      <family val="2"/>
      <scheme val="minor"/>
    </font>
    <font>
      <b/>
      <sz val="9"/>
      <color indexed="81"/>
      <name val="Tahoma"/>
      <family val="2"/>
    </font>
    <font>
      <sz val="9"/>
      <color indexed="81"/>
      <name val="Tahoma"/>
      <family val="2"/>
    </font>
    <font>
      <sz val="10"/>
      <name val="GillSans"/>
    </font>
    <font>
      <sz val="8"/>
      <color indexed="49"/>
      <name val="Times New Roman"/>
      <family val="1"/>
    </font>
    <font>
      <sz val="10"/>
      <name val="Arial"/>
      <family val="2"/>
    </font>
    <font>
      <sz val="10"/>
      <name val="Trebuchet MS"/>
      <family val="2"/>
    </font>
    <font>
      <sz val="11"/>
      <color indexed="8"/>
      <name val="Calibri"/>
      <family val="2"/>
    </font>
    <font>
      <sz val="11"/>
      <color indexed="9"/>
      <name val="Calibri"/>
      <family val="2"/>
    </font>
    <font>
      <sz val="11"/>
      <color indexed="20"/>
      <name val="Calibri"/>
      <family val="2"/>
    </font>
    <font>
      <sz val="8"/>
      <name val="Times New Roman"/>
      <family val="1"/>
    </font>
    <font>
      <sz val="10"/>
      <name val="Times New Roman"/>
      <family val="1"/>
    </font>
    <font>
      <b/>
      <sz val="18"/>
      <name val="Tms Rmn"/>
    </font>
    <font>
      <b/>
      <sz val="11"/>
      <color indexed="52"/>
      <name val="Calibri"/>
      <family val="2"/>
    </font>
    <font>
      <b/>
      <sz val="11"/>
      <color indexed="9"/>
      <name val="Calibri"/>
      <family val="2"/>
    </font>
    <font>
      <b/>
      <sz val="7"/>
      <name val="GillSans"/>
    </font>
    <font>
      <sz val="10"/>
      <name val="Geneva"/>
    </font>
    <font>
      <sz val="24"/>
      <name val="Arial"/>
      <family val="2"/>
    </font>
    <font>
      <sz val="8"/>
      <name val="Arial"/>
      <family val="2"/>
    </font>
    <font>
      <sz val="10"/>
      <name val="Helvetica"/>
      <family val="2"/>
    </font>
    <font>
      <b/>
      <sz val="8"/>
      <name val="Arial"/>
      <family val="2"/>
    </font>
    <font>
      <b/>
      <sz val="8"/>
      <name val="Times New Roman"/>
      <family val="1"/>
    </font>
    <font>
      <i/>
      <sz val="11"/>
      <color indexed="23"/>
      <name val="Calibri"/>
      <family val="2"/>
    </font>
    <font>
      <sz val="11"/>
      <color indexed="17"/>
      <name val="Calibri"/>
      <family val="2"/>
    </font>
    <font>
      <i/>
      <sz val="8"/>
      <color indexed="17"/>
      <name val="Times New Roman"/>
      <family val="1"/>
    </font>
    <font>
      <sz val="8"/>
      <color indexed="21"/>
      <name val="Arial"/>
      <family val="2"/>
    </font>
    <font>
      <b/>
      <sz val="15"/>
      <color indexed="56"/>
      <name val="Calibri"/>
      <family val="2"/>
    </font>
    <font>
      <b/>
      <sz val="13"/>
      <color indexed="56"/>
      <name val="Calibri"/>
      <family val="2"/>
    </font>
    <font>
      <b/>
      <sz val="11"/>
      <color indexed="56"/>
      <name val="Calibri"/>
      <family val="2"/>
    </font>
    <font>
      <sz val="10"/>
      <color indexed="12"/>
      <name val="Trebuchet MS"/>
      <family val="2"/>
    </font>
    <font>
      <sz val="10"/>
      <name val="MS Sans Serif"/>
      <family val="2"/>
    </font>
    <font>
      <sz val="11"/>
      <color indexed="62"/>
      <name val="Calibri"/>
      <family val="2"/>
    </font>
    <font>
      <b/>
      <sz val="10"/>
      <color indexed="9"/>
      <name val="Tms Rmn"/>
    </font>
    <font>
      <b/>
      <sz val="10"/>
      <name val="Arial"/>
      <family val="2"/>
    </font>
    <font>
      <sz val="11"/>
      <color indexed="52"/>
      <name val="Calibri"/>
      <family val="2"/>
    </font>
    <font>
      <sz val="8"/>
      <color indexed="18"/>
      <name val="Times New Roman"/>
      <family val="1"/>
    </font>
    <font>
      <sz val="11"/>
      <color indexed="60"/>
      <name val="Calibri"/>
      <family val="2"/>
    </font>
    <font>
      <b/>
      <sz val="11"/>
      <color indexed="63"/>
      <name val="Calibri"/>
      <family val="2"/>
    </font>
    <font>
      <sz val="10"/>
      <name val="Palatino"/>
    </font>
    <font>
      <sz val="12"/>
      <name val="Baskerville MT"/>
    </font>
    <font>
      <u/>
      <sz val="10"/>
      <name val="GillSans"/>
      <family val="2"/>
    </font>
    <font>
      <sz val="10"/>
      <name val="GillSans Light"/>
    </font>
    <font>
      <b/>
      <sz val="12"/>
      <name val="Arial"/>
      <family val="2"/>
    </font>
    <font>
      <b/>
      <sz val="16"/>
      <name val="Arial"/>
      <family val="2"/>
    </font>
    <font>
      <sz val="8"/>
      <name val="MS Sans Serif"/>
      <family val="2"/>
    </font>
    <font>
      <sz val="8.25"/>
      <color indexed="8"/>
      <name val="Arial"/>
      <family val="2"/>
    </font>
    <font>
      <b/>
      <u val="singleAccounting"/>
      <sz val="8"/>
      <color indexed="8"/>
      <name val="Arial"/>
      <family val="2"/>
    </font>
    <font>
      <sz val="8"/>
      <color indexed="8"/>
      <name val="Arial"/>
      <family val="2"/>
    </font>
    <font>
      <sz val="8"/>
      <color indexed="39"/>
      <name val="Arial"/>
      <family val="2"/>
    </font>
    <font>
      <sz val="7"/>
      <name val="Times New Roman"/>
      <family val="1"/>
    </font>
    <font>
      <sz val="7"/>
      <color indexed="17"/>
      <name val="Times New Roman"/>
      <family val="1"/>
    </font>
    <font>
      <sz val="7"/>
      <color indexed="18"/>
      <name val="Times New Roman"/>
      <family val="1"/>
    </font>
    <font>
      <b/>
      <sz val="12"/>
      <name val="GillSans"/>
      <family val="2"/>
    </font>
    <font>
      <b/>
      <sz val="18"/>
      <color indexed="56"/>
      <name val="Cambria"/>
      <family val="2"/>
    </font>
    <font>
      <b/>
      <sz val="11"/>
      <name val="GillSans"/>
    </font>
    <font>
      <b/>
      <sz val="8"/>
      <color indexed="18"/>
      <name val="Times New Roman"/>
      <family val="1"/>
    </font>
    <font>
      <i/>
      <sz val="8"/>
      <name val="Times New Roman"/>
      <family val="1"/>
    </font>
    <font>
      <u/>
      <sz val="11"/>
      <name val="GillSans"/>
      <family val="2"/>
    </font>
    <font>
      <b/>
      <sz val="11"/>
      <color indexed="8"/>
      <name val="Calibri"/>
      <family val="2"/>
    </font>
    <font>
      <sz val="11"/>
      <color indexed="10"/>
      <name val="Calibri"/>
      <family val="2"/>
    </font>
    <font>
      <b/>
      <sz val="11"/>
      <color rgb="FF008000"/>
      <name val="Calibri"/>
      <family val="2"/>
      <scheme val="minor"/>
    </font>
    <font>
      <i/>
      <sz val="11"/>
      <color theme="1"/>
      <name val="Calibri"/>
      <family val="2"/>
      <scheme val="minor"/>
    </font>
    <font>
      <i/>
      <sz val="11"/>
      <color rgb="FF0000FF"/>
      <name val="Calibri"/>
      <family val="2"/>
      <scheme val="minor"/>
    </font>
    <font>
      <u/>
      <sz val="11"/>
      <color theme="1"/>
      <name val="Calibri"/>
      <family val="2"/>
      <scheme val="minor"/>
    </font>
    <font>
      <sz val="11"/>
      <color rgb="FF008000"/>
      <name val="Calibri"/>
      <family val="2"/>
      <scheme val="minor"/>
    </font>
    <font>
      <sz val="11"/>
      <color indexed="12"/>
      <name val="Calibri"/>
      <family val="2"/>
      <scheme val="minor"/>
    </font>
    <font>
      <i/>
      <sz val="11"/>
      <color rgb="FF008000"/>
      <name val="Calibri"/>
      <family val="2"/>
      <scheme val="minor"/>
    </font>
    <font>
      <b/>
      <sz val="13"/>
      <color theme="1"/>
      <name val="Calibri"/>
      <family val="2"/>
      <scheme val="minor"/>
    </font>
    <font>
      <i/>
      <u/>
      <sz val="11"/>
      <color theme="1"/>
      <name val="Calibri"/>
      <family val="2"/>
      <scheme val="minor"/>
    </font>
    <font>
      <u val="singleAccounting"/>
      <sz val="10"/>
      <color theme="1"/>
      <name val="Calibri"/>
      <family val="2"/>
      <scheme val="minor"/>
    </font>
    <font>
      <u/>
      <sz val="11"/>
      <color rgb="FF000000"/>
      <name val="Calibri"/>
      <family val="2"/>
      <scheme val="minor"/>
    </font>
    <font>
      <b/>
      <i/>
      <sz val="11"/>
      <color theme="1"/>
      <name val="Calibri"/>
      <family val="2"/>
      <scheme val="minor"/>
    </font>
    <font>
      <i/>
      <sz val="11"/>
      <color indexed="12"/>
      <name val="Calibri"/>
      <family val="2"/>
      <scheme val="minor"/>
    </font>
    <font>
      <sz val="10"/>
      <color theme="1"/>
      <name val="Calibri"/>
      <family val="2"/>
      <scheme val="minor"/>
    </font>
    <font>
      <i/>
      <sz val="10"/>
      <color theme="1"/>
      <name val="Calibri"/>
      <family val="2"/>
      <scheme val="minor"/>
    </font>
    <font>
      <u/>
      <sz val="10"/>
      <color theme="1"/>
      <name val="Calibri"/>
      <family val="2"/>
      <scheme val="minor"/>
    </font>
    <font>
      <b/>
      <sz val="11"/>
      <color rgb="FFFF0000"/>
      <name val="Calibri"/>
      <family val="2"/>
      <scheme val="minor"/>
    </font>
    <font>
      <i/>
      <sz val="9"/>
      <color indexed="81"/>
      <name val="Tahoma"/>
      <family val="2"/>
    </font>
    <font>
      <b/>
      <i/>
      <sz val="11"/>
      <color indexed="8"/>
      <name val="Calibri"/>
      <family val="2"/>
      <scheme val="minor"/>
    </font>
    <font>
      <u/>
      <sz val="9"/>
      <color indexed="81"/>
      <name val="Tahoma"/>
      <family val="2"/>
    </font>
    <font>
      <sz val="10"/>
      <color rgb="FF000000"/>
      <name val="Times New Roman"/>
      <family val="1"/>
    </font>
    <font>
      <sz val="12"/>
      <color rgb="FF000000"/>
      <name val="Times"/>
    </font>
    <font>
      <sz val="10"/>
      <color theme="1"/>
      <name val="Times"/>
    </font>
    <font>
      <sz val="10"/>
      <color rgb="FF0000FF"/>
      <name val="Calibri"/>
      <family val="2"/>
      <scheme val="minor"/>
    </font>
    <font>
      <b/>
      <sz val="10"/>
      <color rgb="FF000000"/>
      <name val="Calibri"/>
      <family val="2"/>
      <scheme val="minor"/>
    </font>
    <font>
      <sz val="10"/>
      <color rgb="FF000000"/>
      <name val="Calibri"/>
      <family val="2"/>
      <scheme val="minor"/>
    </font>
    <font>
      <i/>
      <sz val="10"/>
      <color rgb="FF000000"/>
      <name val="Calibri"/>
      <family val="2"/>
      <scheme val="minor"/>
    </font>
    <font>
      <b/>
      <sz val="10"/>
      <color rgb="FF0000FF"/>
      <name val="Calibri"/>
      <family val="2"/>
      <scheme val="minor"/>
    </font>
  </fonts>
  <fills count="33">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8"/>
        <bgColor indexed="64"/>
      </patternFill>
    </fill>
    <fill>
      <patternFill patternType="solid">
        <fgColor indexed="13"/>
        <bgColor indexed="64"/>
      </patternFill>
    </fill>
    <fill>
      <patternFill patternType="solid">
        <fgColor indexed="26"/>
      </patternFill>
    </fill>
    <fill>
      <patternFill patternType="solid">
        <fgColor indexed="61"/>
        <bgColor indexed="64"/>
      </patternFill>
    </fill>
    <fill>
      <patternFill patternType="solid">
        <fgColor rgb="FFFFFF99"/>
        <bgColor indexed="64"/>
      </patternFill>
    </fill>
    <fill>
      <patternFill patternType="solid">
        <fgColor rgb="FFCCEEFF"/>
        <bgColor indexed="64"/>
      </patternFill>
    </fill>
  </fills>
  <borders count="33">
    <border>
      <left/>
      <right/>
      <top/>
      <bottom/>
      <diagonal/>
    </border>
    <border>
      <left/>
      <right/>
      <top style="medium">
        <color rgb="FF000000"/>
      </top>
      <bottom style="medium">
        <color rgb="FF000000"/>
      </bottom>
      <diagonal/>
    </border>
    <border>
      <left/>
      <right/>
      <top/>
      <bottom style="thin">
        <color rgb="FF000000"/>
      </bottom>
      <diagonal/>
    </border>
    <border>
      <left/>
      <right/>
      <top/>
      <bottom style="medium">
        <color rgb="FF000000"/>
      </bottom>
      <diagonal/>
    </border>
    <border>
      <left style="thin">
        <color rgb="FF000000"/>
      </left>
      <right/>
      <top style="thin">
        <color rgb="FF000000"/>
      </top>
      <bottom/>
      <diagonal/>
    </border>
    <border>
      <left style="thin">
        <color indexed="23"/>
      </left>
      <right style="thin">
        <color indexed="23"/>
      </right>
      <top style="thin">
        <color indexed="23"/>
      </top>
      <bottom style="thin">
        <color indexed="23"/>
      </bottom>
      <diagonal/>
    </border>
    <border>
      <left/>
      <right/>
      <top/>
      <bottom style="double">
        <color indexed="64"/>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right style="thin">
        <color indexed="64"/>
      </right>
      <top/>
      <bottom/>
      <diagonal/>
    </border>
    <border>
      <left style="thin">
        <color indexed="9"/>
      </left>
      <right style="thin">
        <color indexed="9"/>
      </right>
      <top/>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bottom style="thick">
        <color indexed="64"/>
      </bottom>
      <diagonal/>
    </border>
    <border>
      <left/>
      <right/>
      <top style="thin">
        <color indexed="62"/>
      </top>
      <bottom style="double">
        <color indexed="62"/>
      </bottom>
      <diagonal/>
    </border>
    <border>
      <left/>
      <right/>
      <top style="thin">
        <color rgb="FF000000"/>
      </top>
      <bottom style="thin">
        <color rgb="FF000000"/>
      </bottom>
      <diagonal/>
    </border>
    <border>
      <left/>
      <right style="thin">
        <color rgb="FF000000"/>
      </right>
      <top/>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right/>
      <top style="thin">
        <color rgb="FF000000"/>
      </top>
      <bottom/>
      <diagonal/>
    </border>
    <border>
      <left/>
      <right style="thin">
        <color rgb="FF000000"/>
      </right>
      <top style="thin">
        <color rgb="FF000000"/>
      </top>
      <bottom/>
      <diagonal/>
    </border>
  </borders>
  <cellStyleXfs count="187">
    <xf numFmtId="0" fontId="0" fillId="0" borderId="0"/>
    <xf numFmtId="0" fontId="10" fillId="0" borderId="0"/>
    <xf numFmtId="176" fontId="10" fillId="0" borderId="0">
      <alignment horizontal="right"/>
    </xf>
    <xf numFmtId="177" fontId="10" fillId="2" borderId="0"/>
    <xf numFmtId="178" fontId="10" fillId="2" borderId="0"/>
    <xf numFmtId="177" fontId="10" fillId="2" borderId="0"/>
    <xf numFmtId="179" fontId="10" fillId="2" borderId="0"/>
    <xf numFmtId="180" fontId="10" fillId="2" borderId="0">
      <alignment horizontal="right"/>
    </xf>
    <xf numFmtId="181" fontId="11" fillId="0" borderId="0" applyFont="0" applyFill="0" applyBorder="0" applyAlignment="0" applyProtection="0"/>
    <xf numFmtId="0" fontId="12" fillId="0" borderId="0" applyNumberFormat="0" applyFont="0" applyFill="0" applyBorder="0" applyAlignment="0" applyProtection="0"/>
    <xf numFmtId="182" fontId="13" fillId="0" borderId="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6" borderId="0" applyNumberFormat="0" applyBorder="0" applyAlignment="0" applyProtection="0"/>
    <xf numFmtId="0" fontId="14" fillId="9" borderId="0" applyNumberFormat="0" applyBorder="0" applyAlignment="0" applyProtection="0"/>
    <xf numFmtId="0" fontId="14" fillId="12" borderId="0" applyNumberFormat="0" applyBorder="0" applyAlignment="0" applyProtection="0"/>
    <xf numFmtId="0" fontId="15" fillId="13"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20" borderId="0" applyNumberFormat="0" applyBorder="0" applyAlignment="0" applyProtection="0"/>
    <xf numFmtId="0" fontId="13" fillId="0" borderId="0"/>
    <xf numFmtId="0" fontId="16" fillId="4" borderId="0" applyNumberFormat="0" applyBorder="0" applyAlignment="0" applyProtection="0"/>
    <xf numFmtId="183" fontId="17" fillId="0" borderId="0" applyFont="0" applyFill="0" applyBorder="0" applyAlignment="0" applyProtection="0"/>
    <xf numFmtId="38" fontId="17" fillId="0" borderId="0" applyFill="0" applyBorder="0" applyAlignment="0" applyProtection="0">
      <protection locked="0"/>
    </xf>
    <xf numFmtId="0" fontId="18" fillId="0" borderId="0"/>
    <xf numFmtId="37" fontId="19" fillId="0" borderId="0">
      <alignment horizontal="centerContinuous"/>
    </xf>
    <xf numFmtId="0" fontId="20" fillId="21" borderId="5" applyNumberFormat="0" applyAlignment="0" applyProtection="0"/>
    <xf numFmtId="183" fontId="17" fillId="0" borderId="0" applyFont="0" applyFill="0" applyBorder="0" applyAlignment="0" applyProtection="0">
      <protection locked="0"/>
    </xf>
    <xf numFmtId="183" fontId="17" fillId="0" borderId="6" applyFont="0" applyFill="0" applyAlignment="0" applyProtection="0"/>
    <xf numFmtId="0" fontId="21" fillId="22" borderId="7" applyNumberFormat="0" applyAlignment="0" applyProtection="0"/>
    <xf numFmtId="0" fontId="12" fillId="0" borderId="0">
      <alignment horizontal="center" wrapText="1"/>
      <protection hidden="1"/>
    </xf>
    <xf numFmtId="0" fontId="22" fillId="0" borderId="8" applyNumberFormat="0" applyFill="0" applyBorder="0" applyProtection="0">
      <alignment horizontal="left" vertical="center"/>
    </xf>
    <xf numFmtId="0" fontId="22" fillId="0" borderId="8" applyNumberFormat="0" applyFill="0" applyBorder="0" applyProtection="0">
      <alignment horizontal="right" vertical="center"/>
    </xf>
    <xf numFmtId="43" fontId="12" fillId="0" borderId="0" applyFont="0" applyFill="0" applyBorder="0" applyAlignment="0" applyProtection="0"/>
    <xf numFmtId="37" fontId="23" fillId="0" borderId="0" applyFont="0" applyFill="0" applyBorder="0" applyAlignment="0" applyProtection="0"/>
    <xf numFmtId="39" fontId="23" fillId="0" borderId="0" applyFont="0" applyFill="0" applyBorder="0" applyAlignment="0" applyProtection="0"/>
    <xf numFmtId="0" fontId="24" fillId="23" borderId="0">
      <alignment horizontal="center" vertical="center" wrapText="1"/>
    </xf>
    <xf numFmtId="184" fontId="12" fillId="0" borderId="0" applyFill="0" applyBorder="0">
      <alignment horizontal="right"/>
      <protection locked="0"/>
    </xf>
    <xf numFmtId="0" fontId="25" fillId="0" borderId="0" applyFont="0" applyFill="0" applyBorder="0" applyAlignment="0"/>
    <xf numFmtId="7" fontId="26" fillId="0" borderId="0" applyFont="0" applyFill="0" applyBorder="0" applyAlignment="0" applyProtection="0"/>
    <xf numFmtId="5" fontId="23" fillId="0" borderId="0" applyFont="0" applyFill="0" applyBorder="0" applyAlignment="0" applyProtection="0"/>
    <xf numFmtId="185" fontId="13" fillId="0" borderId="0" applyFill="0" applyBorder="0" applyProtection="0">
      <alignment horizontal="right"/>
    </xf>
    <xf numFmtId="186" fontId="10" fillId="2" borderId="9">
      <alignment horizontal="right"/>
    </xf>
    <xf numFmtId="187" fontId="10" fillId="2" borderId="9">
      <alignment horizontal="right"/>
    </xf>
    <xf numFmtId="186" fontId="10" fillId="2" borderId="9">
      <alignment horizontal="right"/>
    </xf>
    <xf numFmtId="15" fontId="27" fillId="0" borderId="0" applyFill="0" applyBorder="0" applyAlignment="0"/>
    <xf numFmtId="188" fontId="25" fillId="24" borderId="0" applyFont="0" applyFill="0" applyBorder="0" applyAlignment="0" applyProtection="0"/>
    <xf numFmtId="189" fontId="27" fillId="0" borderId="8"/>
    <xf numFmtId="14" fontId="28" fillId="0" borderId="0" applyFont="0" applyFill="0" applyBorder="0" applyAlignment="0" applyProtection="0">
      <alignment horizontal="center"/>
    </xf>
    <xf numFmtId="190" fontId="28" fillId="0" borderId="0" applyFont="0" applyFill="0" applyBorder="0" applyAlignment="0" applyProtection="0">
      <alignment horizontal="center"/>
    </xf>
    <xf numFmtId="191" fontId="13" fillId="0" borderId="0" applyFont="0" applyFill="0" applyBorder="0" applyAlignment="0" applyProtection="0"/>
    <xf numFmtId="8" fontId="17" fillId="0" borderId="0" applyFont="0" applyFill="0" applyBorder="0" applyAlignment="0" applyProtection="0"/>
    <xf numFmtId="6" fontId="17" fillId="0" borderId="0" applyFont="0" applyFill="0" applyBorder="0" applyAlignment="0" applyProtection="0">
      <alignment horizontal="right"/>
    </xf>
    <xf numFmtId="6" fontId="17" fillId="0" borderId="0" applyFont="0" applyFill="0" applyBorder="0" applyAlignment="0" applyProtection="0"/>
    <xf numFmtId="39" fontId="10" fillId="25" borderId="0"/>
    <xf numFmtId="7" fontId="10" fillId="25" borderId="0" applyBorder="0"/>
    <xf numFmtId="192" fontId="10" fillId="25" borderId="0"/>
    <xf numFmtId="193" fontId="10" fillId="0" borderId="0"/>
    <xf numFmtId="194" fontId="10" fillId="25" borderId="0"/>
    <xf numFmtId="195" fontId="10" fillId="25" borderId="0"/>
    <xf numFmtId="196" fontId="18" fillId="0" borderId="0" applyFont="0" applyFill="0" applyBorder="0" applyProtection="0">
      <alignment horizontal="left"/>
      <protection locked="0"/>
    </xf>
    <xf numFmtId="197" fontId="10" fillId="0" borderId="0"/>
    <xf numFmtId="198" fontId="18" fillId="0" borderId="0" applyFont="0" applyFill="0" applyBorder="0" applyProtection="0">
      <alignment horizontal="left"/>
      <protection locked="0"/>
    </xf>
    <xf numFmtId="199" fontId="12" fillId="0" borderId="0" applyFont="0" applyFill="0" applyBorder="0" applyAlignment="0" applyProtection="0"/>
    <xf numFmtId="0" fontId="29" fillId="0" borderId="0" applyNumberFormat="0" applyFill="0" applyBorder="0" applyAlignment="0" applyProtection="0"/>
    <xf numFmtId="181" fontId="10" fillId="0" borderId="10"/>
    <xf numFmtId="200" fontId="10" fillId="2" borderId="9">
      <alignment horizontal="right"/>
    </xf>
    <xf numFmtId="201" fontId="10" fillId="2" borderId="9">
      <alignment horizontal="right"/>
    </xf>
    <xf numFmtId="200" fontId="10" fillId="2" borderId="9">
      <alignment horizontal="right"/>
    </xf>
    <xf numFmtId="202" fontId="17" fillId="0" borderId="0" applyFill="0" applyBorder="0" applyAlignment="0" applyProtection="0">
      <protection locked="0"/>
    </xf>
    <xf numFmtId="0" fontId="30" fillId="5" borderId="0" applyNumberFormat="0" applyBorder="0" applyAlignment="0" applyProtection="0"/>
    <xf numFmtId="203" fontId="31" fillId="0" borderId="0" applyFill="0" applyBorder="0" applyAlignment="0" applyProtection="0"/>
    <xf numFmtId="181" fontId="32" fillId="0" borderId="0" applyAlignment="0">
      <alignment horizontal="left"/>
      <protection locked="0"/>
    </xf>
    <xf numFmtId="202" fontId="13" fillId="26" borderId="11" applyNumberFormat="0" applyFont="0" applyAlignment="0" applyProtection="0"/>
    <xf numFmtId="0" fontId="33" fillId="0" borderId="12" applyNumberFormat="0" applyFill="0" applyAlignment="0" applyProtection="0"/>
    <xf numFmtId="0" fontId="34" fillId="0" borderId="13" applyNumberFormat="0" applyFill="0" applyAlignment="0" applyProtection="0"/>
    <xf numFmtId="0" fontId="35" fillId="0" borderId="14" applyNumberFormat="0" applyFill="0" applyAlignment="0" applyProtection="0"/>
    <xf numFmtId="0" fontId="35" fillId="0" borderId="0" applyNumberFormat="0" applyFill="0" applyBorder="0" applyAlignment="0" applyProtection="0"/>
    <xf numFmtId="202" fontId="36" fillId="0" borderId="0" applyNumberFormat="0" applyFill="0" applyBorder="0" applyAlignment="0" applyProtection="0"/>
    <xf numFmtId="0" fontId="37" fillId="0" borderId="0"/>
    <xf numFmtId="183" fontId="17" fillId="0" borderId="0" applyFont="0" applyFill="0" applyBorder="0" applyAlignment="0" applyProtection="0"/>
    <xf numFmtId="38" fontId="17" fillId="0" borderId="0" applyFill="0" applyBorder="0" applyAlignment="0" applyProtection="0">
      <alignment horizontal="right"/>
      <protection locked="0"/>
    </xf>
    <xf numFmtId="0" fontId="38" fillId="8" borderId="5" applyNumberFormat="0" applyAlignment="0" applyProtection="0"/>
    <xf numFmtId="0" fontId="25" fillId="24" borderId="0" applyFont="0" applyBorder="0" applyAlignment="0">
      <protection locked="0"/>
    </xf>
    <xf numFmtId="0" fontId="12" fillId="0" borderId="0" applyFill="0" applyBorder="0">
      <alignment horizontal="right"/>
      <protection locked="0"/>
    </xf>
    <xf numFmtId="17" fontId="39" fillId="27" borderId="0"/>
    <xf numFmtId="204" fontId="12" fillId="0" borderId="0" applyFill="0" applyBorder="0">
      <alignment horizontal="right"/>
      <protection locked="0"/>
    </xf>
    <xf numFmtId="0" fontId="40" fillId="28" borderId="15">
      <alignment horizontal="left" vertical="center" wrapText="1"/>
    </xf>
    <xf numFmtId="0" fontId="41" fillId="0" borderId="16" applyNumberFormat="0" applyFill="0" applyAlignment="0" applyProtection="0"/>
    <xf numFmtId="170" fontId="17" fillId="0" borderId="0" applyFont="0" applyFill="0" applyBorder="0" applyAlignment="0" applyProtection="0">
      <alignment horizontal="right"/>
    </xf>
    <xf numFmtId="205" fontId="10" fillId="0" borderId="0">
      <alignment horizontal="right"/>
    </xf>
    <xf numFmtId="206" fontId="10" fillId="25" borderId="0">
      <alignment horizontal="right"/>
    </xf>
    <xf numFmtId="207" fontId="10" fillId="0" borderId="0">
      <alignment horizontal="right"/>
    </xf>
    <xf numFmtId="205" fontId="10" fillId="0" borderId="0">
      <alignment horizontal="right"/>
    </xf>
    <xf numFmtId="181" fontId="42" fillId="0" borderId="0" applyFill="0" applyBorder="0" applyAlignment="0" applyProtection="0">
      <alignment horizontal="right"/>
    </xf>
    <xf numFmtId="181" fontId="42" fillId="0" borderId="0" applyFill="0" applyBorder="0" applyAlignment="0" applyProtection="0"/>
    <xf numFmtId="208" fontId="10" fillId="2" borderId="9">
      <alignment horizontal="right"/>
    </xf>
    <xf numFmtId="209" fontId="17" fillId="0" borderId="0" applyFont="0" applyFill="0" applyBorder="0" applyAlignment="0" applyProtection="0"/>
    <xf numFmtId="0" fontId="23" fillId="2" borderId="0" applyFont="0" applyBorder="0" applyAlignment="0" applyProtection="0">
      <alignment horizontal="right"/>
      <protection hidden="1"/>
    </xf>
    <xf numFmtId="0" fontId="43" fillId="26" borderId="0" applyNumberFormat="0" applyBorder="0" applyAlignment="0" applyProtection="0"/>
    <xf numFmtId="37" fontId="26" fillId="0" borderId="0" applyFont="0" applyFill="0" applyBorder="0" applyAlignment="0" applyProtection="0"/>
    <xf numFmtId="210" fontId="12" fillId="0" borderId="0" applyFont="0" applyFill="0" applyBorder="0" applyAlignment="0" applyProtection="0"/>
    <xf numFmtId="39" fontId="12" fillId="0" borderId="0" applyFont="0" applyFill="0" applyBorder="0" applyAlignment="0" applyProtection="0"/>
    <xf numFmtId="173" fontId="12" fillId="0" borderId="0" applyFont="0" applyFill="0" applyBorder="0" applyAlignment="0" applyProtection="0"/>
    <xf numFmtId="0" fontId="12" fillId="0" borderId="0"/>
    <xf numFmtId="0" fontId="27" fillId="0" borderId="0" applyNumberFormat="0" applyFill="0" applyBorder="0" applyAlignment="0" applyProtection="0"/>
    <xf numFmtId="0" fontId="25" fillId="0" borderId="0" applyFont="0" applyFill="0" applyBorder="0" applyAlignment="0" applyProtection="0"/>
    <xf numFmtId="211" fontId="25" fillId="0" borderId="0" applyFont="0" applyFill="0" applyBorder="0" applyAlignment="0" applyProtection="0"/>
    <xf numFmtId="0" fontId="14" fillId="29" borderId="17" applyNumberFormat="0" applyFont="0" applyAlignment="0" applyProtection="0"/>
    <xf numFmtId="0" fontId="23" fillId="0" borderId="0" applyFont="0" applyFill="0" applyBorder="0" applyAlignment="0" applyProtection="0"/>
    <xf numFmtId="212" fontId="12" fillId="0" borderId="0" applyFont="0" applyFill="0" applyBorder="0" applyAlignment="0" applyProtection="0"/>
    <xf numFmtId="0" fontId="23" fillId="0" borderId="0" applyFont="0" applyFill="0" applyBorder="0" applyAlignment="0" applyProtection="0"/>
    <xf numFmtId="0" fontId="44" fillId="21" borderId="18" applyNumberFormat="0" applyAlignment="0" applyProtection="0"/>
    <xf numFmtId="213" fontId="17" fillId="0" borderId="0" applyFont="0" applyFill="0" applyBorder="0" applyAlignment="0" applyProtection="0">
      <alignment horizontal="right"/>
    </xf>
    <xf numFmtId="0" fontId="45" fillId="0" borderId="0" applyNumberFormat="0" applyFill="0" applyBorder="0" applyAlignment="0" applyProtection="0"/>
    <xf numFmtId="0" fontId="25" fillId="0" borderId="0"/>
    <xf numFmtId="214" fontId="10" fillId="25" borderId="0"/>
    <xf numFmtId="9" fontId="17" fillId="0" borderId="0" applyFont="0" applyFill="0" applyBorder="0" applyAlignment="0" applyProtection="0">
      <alignment horizontal="right"/>
    </xf>
    <xf numFmtId="215" fontId="10" fillId="0" borderId="0"/>
    <xf numFmtId="0" fontId="12" fillId="0" borderId="0" applyFont="0" applyFill="0" applyBorder="0" applyAlignment="0"/>
    <xf numFmtId="177" fontId="12" fillId="0" borderId="0" applyFont="0" applyFill="0" applyBorder="0" applyAlignment="0" applyProtection="0"/>
    <xf numFmtId="216" fontId="12" fillId="0" borderId="0" applyFont="0" applyFill="0" applyBorder="0" applyAlignment="0" applyProtection="0"/>
    <xf numFmtId="217" fontId="12" fillId="0" borderId="0" applyFill="0" applyBorder="0">
      <alignment horizontal="right"/>
      <protection locked="0"/>
    </xf>
    <xf numFmtId="203" fontId="17" fillId="0" borderId="0" applyFont="0" applyFill="0" applyBorder="0" applyAlignment="0" applyProtection="0"/>
    <xf numFmtId="8" fontId="17" fillId="0" borderId="0" applyFont="0" applyFill="0" applyBorder="0" applyAlignment="0" applyProtection="0"/>
    <xf numFmtId="183" fontId="17" fillId="0" borderId="0" applyFont="0" applyFill="0" applyBorder="0" applyAlignment="0" applyProtection="0">
      <protection locked="0"/>
    </xf>
    <xf numFmtId="202" fontId="17" fillId="0" borderId="0" applyFill="0" applyBorder="0" applyAlignment="0" applyProtection="0"/>
    <xf numFmtId="38" fontId="17" fillId="0" borderId="0" applyFont="0" applyFill="0" applyBorder="0" applyAlignment="0" applyProtection="0"/>
    <xf numFmtId="179" fontId="10" fillId="2" borderId="19">
      <alignment horizontal="right"/>
    </xf>
    <xf numFmtId="218" fontId="46" fillId="2" borderId="0"/>
    <xf numFmtId="219" fontId="10" fillId="2" borderId="0"/>
    <xf numFmtId="0" fontId="47" fillId="0" borderId="0">
      <alignment horizontal="center"/>
    </xf>
    <xf numFmtId="0" fontId="10" fillId="0" borderId="8">
      <alignment horizontal="centerContinuous"/>
    </xf>
    <xf numFmtId="220" fontId="10" fillId="2" borderId="0">
      <alignment horizontal="right"/>
    </xf>
    <xf numFmtId="221" fontId="10" fillId="2" borderId="9">
      <alignment horizontal="right"/>
    </xf>
    <xf numFmtId="222" fontId="12" fillId="0" borderId="0">
      <alignment horizontal="right"/>
      <protection locked="0"/>
    </xf>
    <xf numFmtId="202" fontId="28" fillId="0" borderId="0" applyFont="0" applyFill="0" applyBorder="0" applyAlignment="0" applyProtection="0"/>
    <xf numFmtId="0" fontId="48" fillId="0" borderId="0" applyNumberFormat="0" applyFill="0" applyBorder="0" applyProtection="0">
      <alignment horizontal="right" vertical="center"/>
    </xf>
    <xf numFmtId="0" fontId="49" fillId="23" borderId="11">
      <alignment horizontal="center" vertical="center" wrapText="1"/>
      <protection hidden="1"/>
    </xf>
    <xf numFmtId="183" fontId="17" fillId="0" borderId="0" applyFill="0" applyBorder="0" applyAlignment="0" applyProtection="0">
      <protection locked="0"/>
    </xf>
    <xf numFmtId="223" fontId="28" fillId="0" borderId="0" applyFont="0" applyFill="0" applyBorder="0" applyAlignment="0" applyProtection="0">
      <alignment horizontal="right"/>
    </xf>
    <xf numFmtId="38" fontId="12" fillId="0" borderId="0" applyFont="0" applyFill="0" applyBorder="0" applyAlignment="0" applyProtection="0"/>
    <xf numFmtId="0" fontId="50" fillId="0" borderId="20" applyNumberFormat="0" applyFill="0" applyProtection="0">
      <alignment horizontal="left" vertical="top" wrapText="1"/>
    </xf>
    <xf numFmtId="0" fontId="37" fillId="0" borderId="0" applyNumberFormat="0" applyFill="0" applyBorder="0" applyProtection="0">
      <alignment horizontal="left" vertical="top" wrapText="1"/>
    </xf>
    <xf numFmtId="0" fontId="51" fillId="0" borderId="0" applyNumberFormat="0" applyFill="0" applyProtection="0">
      <alignment horizontal="left" vertical="top" wrapText="1"/>
    </xf>
    <xf numFmtId="0" fontId="52" fillId="0" borderId="0" applyNumberFormat="0" applyFill="0" applyBorder="0" applyProtection="0"/>
    <xf numFmtId="0" fontId="53" fillId="30" borderId="0" applyNumberFormat="0" applyBorder="0" applyProtection="0"/>
    <xf numFmtId="0" fontId="54" fillId="0" borderId="0" applyNumberFormat="0" applyFill="0" applyBorder="0" applyProtection="0">
      <alignment vertical="top"/>
    </xf>
    <xf numFmtId="224" fontId="55" fillId="0" borderId="0" applyFill="0" applyBorder="0" applyProtection="0">
      <alignment horizontal="right" wrapText="1"/>
    </xf>
    <xf numFmtId="225" fontId="55" fillId="0" borderId="0" applyFill="0" applyBorder="0" applyProtection="0">
      <alignment horizontal="right"/>
    </xf>
    <xf numFmtId="4" fontId="25" fillId="0" borderId="0" applyFill="0" applyBorder="0" applyProtection="0">
      <alignment horizontal="right"/>
    </xf>
    <xf numFmtId="195" fontId="56" fillId="0" borderId="0" applyFill="0" applyBorder="0" applyAlignment="0" applyProtection="0"/>
    <xf numFmtId="226" fontId="57" fillId="0" borderId="0" applyFill="0" applyBorder="0" applyAlignment="0" applyProtection="0">
      <alignment horizontal="left"/>
      <protection locked="0"/>
    </xf>
    <xf numFmtId="226" fontId="57" fillId="0" borderId="0" applyFill="0" applyBorder="0" applyAlignment="0" applyProtection="0"/>
    <xf numFmtId="226" fontId="58" fillId="0" borderId="0" applyFill="0" applyBorder="0" applyAlignment="0" applyProtection="0">
      <alignment horizontal="left"/>
      <protection locked="0"/>
    </xf>
    <xf numFmtId="226" fontId="58" fillId="0" borderId="0" applyFill="0" applyBorder="0" applyAlignment="0" applyProtection="0">
      <protection locked="0"/>
    </xf>
    <xf numFmtId="202" fontId="17" fillId="0" borderId="0" applyFill="0" applyBorder="0" applyAlignment="0" applyProtection="0">
      <protection locked="0"/>
    </xf>
    <xf numFmtId="202" fontId="56" fillId="0" borderId="0" applyFill="0" applyBorder="0" applyAlignment="0" applyProtection="0"/>
    <xf numFmtId="49" fontId="59" fillId="0" borderId="0"/>
    <xf numFmtId="227" fontId="12" fillId="0" borderId="0" applyFont="0" applyFill="0" applyBorder="0" applyAlignment="0" applyProtection="0"/>
    <xf numFmtId="228" fontId="12" fillId="0" borderId="0" applyFont="0" applyFill="0" applyBorder="0" applyAlignment="0" applyProtection="0"/>
    <xf numFmtId="0" fontId="60" fillId="0" borderId="0" applyNumberFormat="0" applyFill="0" applyBorder="0" applyAlignment="0" applyProtection="0"/>
    <xf numFmtId="0" fontId="61" fillId="1" borderId="0" applyNumberFormat="0" applyBorder="0" applyProtection="0">
      <alignment horizontal="left" vertical="center"/>
    </xf>
    <xf numFmtId="202" fontId="62" fillId="0" borderId="0" applyNumberFormat="0" applyFill="0" applyBorder="0" applyAlignment="0" applyProtection="0"/>
    <xf numFmtId="0" fontId="12" fillId="0" borderId="0" applyBorder="0"/>
    <xf numFmtId="38" fontId="63" fillId="0" borderId="0" applyFill="0" applyBorder="0" applyAlignment="0" applyProtection="0">
      <alignment horizontal="left"/>
    </xf>
    <xf numFmtId="0" fontId="64" fillId="0" borderId="0"/>
    <xf numFmtId="0" fontId="65" fillId="0" borderId="21" applyNumberFormat="0" applyFill="0" applyAlignment="0" applyProtection="0"/>
    <xf numFmtId="0" fontId="66" fillId="0" borderId="0" applyNumberFormat="0" applyFill="0" applyBorder="0" applyAlignment="0" applyProtection="0"/>
    <xf numFmtId="1" fontId="17" fillId="0" borderId="0" applyFont="0" applyFill="0" applyBorder="0" applyAlignment="0" applyProtection="0"/>
    <xf numFmtId="229" fontId="26" fillId="0" borderId="0" applyFont="0" applyFill="0" applyBorder="0" applyAlignment="0" applyProtection="0"/>
    <xf numFmtId="223" fontId="18" fillId="0" borderId="0" applyNumberFormat="0" applyFill="0" applyBorder="0" applyAlignment="0" applyProtection="0"/>
  </cellStyleXfs>
  <cellXfs count="348">
    <xf numFmtId="0" fontId="0" fillId="0" borderId="0" xfId="0"/>
    <xf numFmtId="0" fontId="2" fillId="0" borderId="1" xfId="0" applyFont="1" applyBorder="1"/>
    <xf numFmtId="14" fontId="3" fillId="0" borderId="0" xfId="0" applyNumberFormat="1" applyFont="1" applyFill="1" applyBorder="1" applyAlignment="1">
      <alignment horizontal="left"/>
    </xf>
    <xf numFmtId="0" fontId="5" fillId="0" borderId="0" xfId="0" applyFont="1" applyFill="1" applyBorder="1" applyAlignment="1">
      <alignment horizontal="right"/>
    </xf>
    <xf numFmtId="0" fontId="6" fillId="0" borderId="0" xfId="0" applyFont="1" applyFill="1" applyBorder="1"/>
    <xf numFmtId="14" fontId="5" fillId="0" borderId="0" xfId="0" applyNumberFormat="1" applyFont="1" applyFill="1" applyBorder="1" applyAlignment="1">
      <alignment horizontal="right"/>
    </xf>
    <xf numFmtId="0" fontId="4" fillId="0" borderId="0" xfId="0" applyFont="1" applyFill="1" applyBorder="1"/>
    <xf numFmtId="165" fontId="5" fillId="0" borderId="0" xfId="0" applyNumberFormat="1" applyFont="1" applyFill="1" applyBorder="1" applyAlignment="1">
      <alignment horizontal="right"/>
    </xf>
    <xf numFmtId="169" fontId="0" fillId="0" borderId="0" xfId="0" applyNumberFormat="1" applyFont="1"/>
    <xf numFmtId="169" fontId="4" fillId="0" borderId="0" xfId="0" applyNumberFormat="1" applyFont="1"/>
    <xf numFmtId="0" fontId="0" fillId="0" borderId="0" xfId="0" applyFont="1"/>
    <xf numFmtId="0" fontId="0" fillId="0" borderId="1" xfId="0" applyFont="1" applyBorder="1"/>
    <xf numFmtId="0" fontId="67" fillId="0" borderId="0" xfId="0" applyFont="1" applyBorder="1"/>
    <xf numFmtId="0" fontId="0" fillId="0" borderId="0" xfId="0" applyFont="1" applyBorder="1"/>
    <xf numFmtId="14" fontId="68" fillId="0" borderId="0" xfId="0" applyNumberFormat="1" applyFont="1" applyBorder="1"/>
    <xf numFmtId="0" fontId="1" fillId="0" borderId="2" xfId="0" applyFont="1" applyBorder="1"/>
    <xf numFmtId="0" fontId="67" fillId="0" borderId="2" xfId="0" applyFont="1" applyBorder="1"/>
    <xf numFmtId="0" fontId="0" fillId="0" borderId="2" xfId="0" applyFont="1" applyBorder="1"/>
    <xf numFmtId="166" fontId="1" fillId="0" borderId="0" xfId="0" applyNumberFormat="1" applyFont="1" applyBorder="1"/>
    <xf numFmtId="167" fontId="1" fillId="0" borderId="0" xfId="0" applyNumberFormat="1" applyFont="1" applyBorder="1"/>
    <xf numFmtId="0" fontId="68" fillId="0" borderId="2" xfId="0" applyFont="1" applyBorder="1"/>
    <xf numFmtId="168" fontId="69" fillId="0" borderId="2" xfId="0" applyNumberFormat="1" applyFont="1" applyBorder="1"/>
    <xf numFmtId="168" fontId="68" fillId="0" borderId="2" xfId="0" applyNumberFormat="1" applyFont="1" applyBorder="1"/>
    <xf numFmtId="0" fontId="68" fillId="0" borderId="0" xfId="0" applyFont="1" applyBorder="1"/>
    <xf numFmtId="168" fontId="69" fillId="0" borderId="0" xfId="0" applyNumberFormat="1" applyFont="1" applyBorder="1"/>
    <xf numFmtId="168" fontId="68" fillId="0" borderId="0" xfId="0" applyNumberFormat="1" applyFont="1" applyBorder="1"/>
    <xf numFmtId="0" fontId="1" fillId="0" borderId="0" xfId="0" applyFont="1" applyBorder="1"/>
    <xf numFmtId="0" fontId="0" fillId="0" borderId="0" xfId="0" applyFont="1" applyFill="1" applyBorder="1"/>
    <xf numFmtId="37" fontId="0" fillId="0" borderId="0" xfId="0" applyNumberFormat="1" applyFont="1" applyBorder="1"/>
    <xf numFmtId="37" fontId="6" fillId="0" borderId="0" xfId="0" applyNumberFormat="1" applyFont="1" applyBorder="1"/>
    <xf numFmtId="0" fontId="1" fillId="0" borderId="0" xfId="0" applyFont="1"/>
    <xf numFmtId="0" fontId="70" fillId="0" borderId="0" xfId="0" applyFont="1"/>
    <xf numFmtId="0" fontId="0" fillId="0" borderId="0" xfId="0" applyFont="1" applyBorder="1" applyAlignment="1">
      <alignment horizontal="left" indent="1"/>
    </xf>
    <xf numFmtId="169" fontId="0" fillId="0" borderId="0" xfId="0" applyNumberFormat="1" applyFont="1" applyBorder="1" applyAlignment="1">
      <alignment horizontal="right"/>
    </xf>
    <xf numFmtId="169" fontId="4" fillId="0" borderId="0" xfId="0" applyNumberFormat="1" applyFont="1" applyBorder="1"/>
    <xf numFmtId="0" fontId="0" fillId="0" borderId="0" xfId="0" applyFont="1" applyFill="1" applyBorder="1" applyAlignment="1">
      <alignment horizontal="left" indent="1"/>
    </xf>
    <xf numFmtId="0" fontId="70" fillId="0" borderId="0" xfId="0" applyFont="1" applyFill="1" applyBorder="1"/>
    <xf numFmtId="0" fontId="0" fillId="0" borderId="0" xfId="0" applyFont="1" applyAlignment="1">
      <alignment horizontal="left" indent="1"/>
    </xf>
    <xf numFmtId="0" fontId="1" fillId="0" borderId="0" xfId="0" applyFont="1" applyAlignment="1">
      <alignment horizontal="left" indent="1"/>
    </xf>
    <xf numFmtId="3" fontId="6" fillId="0" borderId="0" xfId="0" applyNumberFormat="1" applyFont="1"/>
    <xf numFmtId="166" fontId="6" fillId="0" borderId="0" xfId="0" applyNumberFormat="1" applyFont="1" applyBorder="1"/>
    <xf numFmtId="167" fontId="6" fillId="0" borderId="0" xfId="0" applyNumberFormat="1" applyFont="1" applyBorder="1"/>
    <xf numFmtId="168" fontId="3" fillId="0" borderId="2" xfId="0" applyNumberFormat="1" applyFont="1" applyBorder="1"/>
    <xf numFmtId="37" fontId="0" fillId="0" borderId="0" xfId="0" applyNumberFormat="1" applyFont="1"/>
    <xf numFmtId="169" fontId="5" fillId="0" borderId="0" xfId="0" applyNumberFormat="1" applyFont="1"/>
    <xf numFmtId="14" fontId="68" fillId="0" borderId="0" xfId="0" applyNumberFormat="1" applyFont="1"/>
    <xf numFmtId="0" fontId="0" fillId="0" borderId="0" xfId="0" applyFont="1" applyFill="1" applyBorder="1" applyAlignment="1">
      <alignment horizontal="left"/>
    </xf>
    <xf numFmtId="0" fontId="1" fillId="0" borderId="0" xfId="0" applyFont="1" applyBorder="1" applyAlignment="1">
      <alignment horizontal="left"/>
    </xf>
    <xf numFmtId="0" fontId="0" fillId="0" borderId="0" xfId="0" applyFont="1" applyBorder="1" applyAlignment="1">
      <alignment horizontal="left"/>
    </xf>
    <xf numFmtId="0" fontId="0" fillId="0" borderId="0" xfId="0" quotePrefix="1" applyFont="1" applyBorder="1" applyAlignment="1">
      <alignment horizontal="left" indent="1"/>
    </xf>
    <xf numFmtId="171" fontId="1" fillId="0" borderId="0" xfId="0" applyNumberFormat="1" applyFont="1" applyBorder="1"/>
    <xf numFmtId="165" fontId="0" fillId="0" borderId="0" xfId="0" applyNumberFormat="1" applyFont="1" applyBorder="1"/>
    <xf numFmtId="169" fontId="0" fillId="0" borderId="0" xfId="0" applyNumberFormat="1" applyFont="1" applyBorder="1"/>
    <xf numFmtId="37" fontId="5" fillId="0" borderId="0" xfId="0" applyNumberFormat="1" applyFont="1"/>
    <xf numFmtId="0" fontId="1" fillId="0" borderId="0" xfId="0" applyFont="1" applyFill="1" applyBorder="1"/>
    <xf numFmtId="9" fontId="5" fillId="0" borderId="0" xfId="0" applyNumberFormat="1" applyFont="1"/>
    <xf numFmtId="0" fontId="1" fillId="0" borderId="0" xfId="0" applyFont="1" applyFill="1" applyBorder="1" applyAlignment="1">
      <alignment horizontal="left"/>
    </xf>
    <xf numFmtId="3" fontId="0" fillId="0" borderId="0" xfId="0" applyNumberFormat="1" applyFont="1" applyBorder="1"/>
    <xf numFmtId="37" fontId="1" fillId="0" borderId="0" xfId="0" applyNumberFormat="1" applyFont="1" applyBorder="1"/>
    <xf numFmtId="37" fontId="1" fillId="0" borderId="0" xfId="0" applyNumberFormat="1" applyFont="1"/>
    <xf numFmtId="0" fontId="1" fillId="0" borderId="0" xfId="0" applyFont="1" applyBorder="1" applyAlignment="1">
      <alignment horizontal="left" indent="1"/>
    </xf>
    <xf numFmtId="10" fontId="4" fillId="0" borderId="0" xfId="0" applyNumberFormat="1" applyFont="1"/>
    <xf numFmtId="37" fontId="0" fillId="0" borderId="0" xfId="0" applyNumberFormat="1" applyFont="1" applyFill="1"/>
    <xf numFmtId="0" fontId="0" fillId="0" borderId="0" xfId="0" applyFont="1" applyBorder="1" applyAlignment="1">
      <alignment horizontal="centerContinuous"/>
    </xf>
    <xf numFmtId="0" fontId="0" fillId="0" borderId="0" xfId="0" applyFont="1" applyBorder="1" applyAlignment="1">
      <alignment horizontal="left" indent="2"/>
    </xf>
    <xf numFmtId="175" fontId="0" fillId="0" borderId="0" xfId="0" applyNumberFormat="1" applyFont="1"/>
    <xf numFmtId="0" fontId="68" fillId="0" borderId="0" xfId="0" applyFont="1"/>
    <xf numFmtId="170" fontId="5" fillId="0" borderId="0" xfId="0" applyNumberFormat="1" applyFont="1" applyFill="1"/>
    <xf numFmtId="0" fontId="0" fillId="0" borderId="0" xfId="0" applyFont="1" applyFill="1" applyBorder="1" applyAlignment="1">
      <alignment horizontal="left" indent="2"/>
    </xf>
    <xf numFmtId="0" fontId="68" fillId="0" borderId="0" xfId="0" applyFont="1" applyAlignment="1">
      <alignment horizontal="left" indent="1"/>
    </xf>
    <xf numFmtId="14" fontId="0" fillId="0" borderId="0" xfId="0" applyNumberFormat="1"/>
    <xf numFmtId="0" fontId="0" fillId="0" borderId="3" xfId="0" applyBorder="1"/>
    <xf numFmtId="0" fontId="68" fillId="0" borderId="0" xfId="0" applyFont="1" applyFill="1" applyBorder="1"/>
    <xf numFmtId="0" fontId="74" fillId="0" borderId="3" xfId="0" applyFont="1" applyBorder="1"/>
    <xf numFmtId="165" fontId="0" fillId="0" borderId="2" xfId="0" applyNumberFormat="1" applyFont="1" applyBorder="1"/>
    <xf numFmtId="0" fontId="70" fillId="0" borderId="0" xfId="0" applyFont="1" applyAlignment="1">
      <alignment horizontal="right"/>
    </xf>
    <xf numFmtId="165" fontId="5" fillId="0" borderId="0" xfId="0" applyNumberFormat="1" applyFont="1"/>
    <xf numFmtId="39" fontId="5" fillId="0" borderId="0" xfId="0" applyNumberFormat="1" applyFont="1"/>
    <xf numFmtId="39" fontId="0" fillId="0" borderId="0" xfId="0" applyNumberFormat="1" applyFont="1" applyBorder="1"/>
    <xf numFmtId="169" fontId="5" fillId="0" borderId="0" xfId="0" applyNumberFormat="1" applyFont="1" applyFill="1" applyBorder="1"/>
    <xf numFmtId="169" fontId="69" fillId="0" borderId="0" xfId="0" applyNumberFormat="1" applyFont="1"/>
    <xf numFmtId="210" fontId="0" fillId="0" borderId="0" xfId="0" applyNumberFormat="1" applyFont="1"/>
    <xf numFmtId="0" fontId="4" fillId="0" borderId="0" xfId="0" applyFont="1" applyFill="1" applyBorder="1" applyAlignment="1">
      <alignment horizontal="left" indent="1"/>
    </xf>
    <xf numFmtId="37" fontId="0" fillId="0" borderId="0" xfId="0" applyNumberFormat="1" applyFont="1" applyFill="1" applyBorder="1"/>
    <xf numFmtId="210" fontId="0" fillId="0" borderId="0" xfId="0" applyNumberFormat="1" applyFont="1" applyBorder="1"/>
    <xf numFmtId="37" fontId="0" fillId="0" borderId="2" xfId="0" applyNumberFormat="1" applyFont="1" applyBorder="1"/>
    <xf numFmtId="0" fontId="0" fillId="0" borderId="0" xfId="0" quotePrefix="1" applyFont="1" applyBorder="1" applyAlignment="1">
      <alignment horizontal="left" indent="2"/>
    </xf>
    <xf numFmtId="169" fontId="1" fillId="0" borderId="0" xfId="0" applyNumberFormat="1" applyFont="1" applyBorder="1"/>
    <xf numFmtId="0" fontId="68" fillId="0" borderId="0" xfId="0" applyFont="1" applyBorder="1" applyAlignment="1">
      <alignment horizontal="left" indent="3"/>
    </xf>
    <xf numFmtId="0" fontId="68" fillId="0" borderId="0" xfId="0" applyFont="1" applyBorder="1" applyAlignment="1">
      <alignment horizontal="left" indent="2"/>
    </xf>
    <xf numFmtId="0" fontId="1" fillId="0" borderId="0" xfId="0" applyFont="1" applyAlignment="1">
      <alignment horizontal="left"/>
    </xf>
    <xf numFmtId="175" fontId="5" fillId="0" borderId="0" xfId="0" applyNumberFormat="1" applyFont="1"/>
    <xf numFmtId="0" fontId="68" fillId="0" borderId="0" xfId="0" applyFont="1" applyBorder="1" applyAlignment="1">
      <alignment horizontal="left" indent="1"/>
    </xf>
    <xf numFmtId="175" fontId="69" fillId="0" borderId="0" xfId="0" applyNumberFormat="1" applyFont="1"/>
    <xf numFmtId="0" fontId="1" fillId="0" borderId="2" xfId="0" applyFont="1" applyBorder="1" applyAlignment="1">
      <alignment horizontal="left"/>
    </xf>
    <xf numFmtId="210" fontId="5" fillId="0" borderId="2" xfId="0" applyNumberFormat="1" applyFont="1" applyBorder="1"/>
    <xf numFmtId="0" fontId="6" fillId="0" borderId="2" xfId="0" applyFont="1" applyFill="1" applyBorder="1"/>
    <xf numFmtId="37" fontId="3" fillId="0" borderId="0" xfId="0" applyNumberFormat="1" applyFont="1"/>
    <xf numFmtId="0" fontId="70" fillId="0" borderId="0" xfId="0" applyFont="1" applyAlignment="1">
      <alignment horizontal="left" indent="1"/>
    </xf>
    <xf numFmtId="0" fontId="4" fillId="0" borderId="0" xfId="0" applyFont="1" applyFill="1" applyBorder="1" applyAlignment="1">
      <alignment horizontal="left" indent="2"/>
    </xf>
    <xf numFmtId="167" fontId="1" fillId="0" borderId="0" xfId="0" applyNumberFormat="1" applyFont="1"/>
    <xf numFmtId="0" fontId="3" fillId="0" borderId="0" xfId="0" applyFont="1" applyFill="1" applyBorder="1" applyAlignment="1">
      <alignment horizontal="left" indent="1"/>
    </xf>
    <xf numFmtId="0" fontId="4" fillId="0" borderId="0" xfId="0" applyFont="1" applyBorder="1" applyAlignment="1">
      <alignment horizontal="left" indent="1"/>
    </xf>
    <xf numFmtId="0" fontId="76" fillId="0" borderId="0" xfId="0" applyFont="1" applyBorder="1"/>
    <xf numFmtId="0" fontId="76" fillId="0" borderId="0" xfId="0" applyFont="1"/>
    <xf numFmtId="37" fontId="71" fillId="0" borderId="0" xfId="0" applyNumberFormat="1" applyFont="1" applyBorder="1"/>
    <xf numFmtId="0" fontId="4" fillId="0" borderId="0" xfId="0" applyFont="1" applyBorder="1" applyAlignment="1">
      <alignment horizontal="center"/>
    </xf>
    <xf numFmtId="210" fontId="1" fillId="0" borderId="0" xfId="0" applyNumberFormat="1" applyFont="1" applyBorder="1"/>
    <xf numFmtId="0" fontId="1" fillId="0" borderId="0" xfId="0" applyFont="1" applyBorder="1" applyAlignment="1">
      <alignment horizontal="center"/>
    </xf>
    <xf numFmtId="9" fontId="0" fillId="0" borderId="0" xfId="0" applyNumberFormat="1" applyFont="1" applyBorder="1" applyAlignment="1">
      <alignment horizontal="center"/>
    </xf>
    <xf numFmtId="9" fontId="1" fillId="0" borderId="0" xfId="0" applyNumberFormat="1" applyFont="1" applyBorder="1" applyAlignment="1">
      <alignment horizontal="center"/>
    </xf>
    <xf numFmtId="37" fontId="67" fillId="0" borderId="0" xfId="0" applyNumberFormat="1" applyFont="1" applyBorder="1"/>
    <xf numFmtId="230" fontId="1" fillId="0" borderId="0" xfId="0" applyNumberFormat="1" applyFont="1" applyBorder="1"/>
    <xf numFmtId="0" fontId="0" fillId="0" borderId="0" xfId="0" applyFont="1" applyBorder="1" applyAlignment="1">
      <alignment horizontal="center"/>
    </xf>
    <xf numFmtId="230" fontId="0" fillId="0" borderId="0" xfId="0" applyNumberFormat="1" applyFont="1" applyBorder="1" applyAlignment="1">
      <alignment horizontal="center"/>
    </xf>
    <xf numFmtId="37" fontId="0" fillId="0" borderId="0" xfId="0" applyNumberFormat="1" applyFont="1" applyAlignment="1">
      <alignment horizontal="center"/>
    </xf>
    <xf numFmtId="9" fontId="0" fillId="0" borderId="0" xfId="0" applyNumberFormat="1" applyFont="1" applyAlignment="1">
      <alignment horizontal="center"/>
    </xf>
    <xf numFmtId="0" fontId="0" fillId="0" borderId="0" xfId="0" applyFont="1" applyAlignment="1">
      <alignment horizontal="center"/>
    </xf>
    <xf numFmtId="169" fontId="0" fillId="0" borderId="0" xfId="0" applyNumberFormat="1" applyFont="1" applyAlignment="1">
      <alignment horizontal="center"/>
    </xf>
    <xf numFmtId="37" fontId="1" fillId="0" borderId="0" xfId="0" applyNumberFormat="1" applyFont="1" applyAlignment="1">
      <alignment horizontal="center"/>
    </xf>
    <xf numFmtId="169" fontId="1" fillId="0" borderId="0" xfId="0" applyNumberFormat="1" applyFont="1" applyAlignment="1">
      <alignment horizontal="center"/>
    </xf>
    <xf numFmtId="172" fontId="0" fillId="0" borderId="0" xfId="0" applyNumberFormat="1" applyFont="1" applyBorder="1" applyAlignment="1">
      <alignment horizontal="center"/>
    </xf>
    <xf numFmtId="230" fontId="0" fillId="0" borderId="0" xfId="0" applyNumberFormat="1" applyFont="1" applyBorder="1" applyAlignment="1">
      <alignment horizontal="left" indent="1"/>
    </xf>
    <xf numFmtId="172" fontId="0" fillId="0" borderId="0" xfId="0" applyNumberFormat="1" applyFont="1" applyAlignment="1">
      <alignment horizontal="center"/>
    </xf>
    <xf numFmtId="169" fontId="4" fillId="0" borderId="0" xfId="0" applyNumberFormat="1" applyFont="1" applyBorder="1" applyAlignment="1">
      <alignment horizontal="center"/>
    </xf>
    <xf numFmtId="0" fontId="70" fillId="0" borderId="4" xfId="0" applyFont="1" applyBorder="1" applyAlignment="1">
      <alignment horizontal="center"/>
    </xf>
    <xf numFmtId="0" fontId="70" fillId="0" borderId="31" xfId="0" applyFont="1" applyBorder="1" applyAlignment="1">
      <alignment horizontal="center"/>
    </xf>
    <xf numFmtId="0" fontId="70" fillId="0" borderId="32" xfId="0" applyFont="1" applyBorder="1" applyAlignment="1">
      <alignment horizontal="center"/>
    </xf>
    <xf numFmtId="37" fontId="0" fillId="0" borderId="29" xfId="0" applyNumberFormat="1" applyFont="1" applyBorder="1" applyAlignment="1">
      <alignment horizontal="center"/>
    </xf>
    <xf numFmtId="169" fontId="0" fillId="0" borderId="23" xfId="0" applyNumberFormat="1" applyFont="1" applyBorder="1" applyAlignment="1">
      <alignment horizontal="center"/>
    </xf>
    <xf numFmtId="37" fontId="5" fillId="0" borderId="29" xfId="0" applyNumberFormat="1" applyFont="1" applyFill="1" applyBorder="1" applyAlignment="1">
      <alignment horizontal="center"/>
    </xf>
    <xf numFmtId="37" fontId="5" fillId="0" borderId="30" xfId="0" applyNumberFormat="1" applyFont="1" applyFill="1" applyBorder="1" applyAlignment="1">
      <alignment horizontal="center"/>
    </xf>
    <xf numFmtId="169" fontId="4" fillId="0" borderId="2" xfId="0" applyNumberFormat="1" applyFont="1" applyBorder="1" applyAlignment="1">
      <alignment horizontal="center"/>
    </xf>
    <xf numFmtId="230" fontId="1" fillId="0" borderId="27" xfId="0" applyNumberFormat="1" applyFont="1" applyBorder="1"/>
    <xf numFmtId="37" fontId="5" fillId="0" borderId="0" xfId="0" applyNumberFormat="1" applyFont="1" applyFill="1" applyBorder="1" applyAlignment="1">
      <alignment horizontal="right"/>
    </xf>
    <xf numFmtId="0" fontId="0" fillId="0" borderId="31" xfId="0" applyFont="1" applyBorder="1"/>
    <xf numFmtId="0" fontId="68" fillId="0" borderId="0" xfId="0" applyFont="1" applyFill="1" applyBorder="1" applyAlignment="1">
      <alignment horizontal="left" indent="2"/>
    </xf>
    <xf numFmtId="0" fontId="0" fillId="0" borderId="0" xfId="0" applyFont="1" applyFill="1"/>
    <xf numFmtId="0" fontId="0" fillId="0" borderId="0" xfId="0" quotePrefix="1" applyFont="1" applyFill="1" applyBorder="1" applyAlignment="1">
      <alignment horizontal="left" indent="1"/>
    </xf>
    <xf numFmtId="0" fontId="1" fillId="0" borderId="0" xfId="0" applyFont="1" applyFill="1" applyBorder="1" applyAlignment="1">
      <alignment horizontal="left" indent="1"/>
    </xf>
    <xf numFmtId="37" fontId="77" fillId="0" borderId="0" xfId="0" applyNumberFormat="1" applyFont="1" applyFill="1" applyBorder="1" applyAlignment="1">
      <alignment horizontal="right"/>
    </xf>
    <xf numFmtId="9" fontId="69" fillId="0" borderId="0" xfId="0" applyNumberFormat="1" applyFont="1" applyFill="1" applyBorder="1" applyAlignment="1">
      <alignment horizontal="right"/>
    </xf>
    <xf numFmtId="0" fontId="70" fillId="0" borderId="0" xfId="0" applyFont="1" applyFill="1" applyBorder="1" applyAlignment="1">
      <alignment horizontal="right"/>
    </xf>
    <xf numFmtId="37" fontId="4" fillId="0" borderId="0" xfId="0" applyNumberFormat="1" applyFont="1" applyFill="1" applyBorder="1"/>
    <xf numFmtId="0" fontId="70" fillId="0" borderId="0" xfId="0" applyFont="1" applyFill="1" applyBorder="1" applyAlignment="1">
      <alignment horizontal="left" indent="2"/>
    </xf>
    <xf numFmtId="0" fontId="68" fillId="0" borderId="0" xfId="0" applyFont="1" applyFill="1" applyBorder="1" applyAlignment="1">
      <alignment horizontal="right"/>
    </xf>
    <xf numFmtId="0" fontId="1" fillId="0" borderId="0" xfId="0" applyFont="1" applyFill="1" applyBorder="1" applyAlignment="1">
      <alignment horizontal="center"/>
    </xf>
    <xf numFmtId="175" fontId="69" fillId="0" borderId="0" xfId="0" applyNumberFormat="1" applyFont="1" applyFill="1" applyBorder="1"/>
    <xf numFmtId="9" fontId="69" fillId="0" borderId="0" xfId="0" applyNumberFormat="1" applyFont="1" applyFill="1" applyBorder="1"/>
    <xf numFmtId="0" fontId="68" fillId="0" borderId="0" xfId="0" applyFont="1" applyFill="1" applyBorder="1" applyAlignment="1">
      <alignment horizontal="left" indent="1"/>
    </xf>
    <xf numFmtId="0" fontId="78" fillId="0" borderId="0" xfId="0" applyFont="1" applyFill="1" applyBorder="1" applyAlignment="1">
      <alignment horizontal="left" indent="1"/>
    </xf>
    <xf numFmtId="175" fontId="4" fillId="0" borderId="0" xfId="0" applyNumberFormat="1" applyFont="1"/>
    <xf numFmtId="165" fontId="4" fillId="0" borderId="0" xfId="0" applyNumberFormat="1" applyFont="1"/>
    <xf numFmtId="0" fontId="68" fillId="0" borderId="2" xfId="0" applyFont="1" applyBorder="1" applyAlignment="1">
      <alignment horizontal="centerContinuous"/>
    </xf>
    <xf numFmtId="0" fontId="68" fillId="0" borderId="0" xfId="0" applyFont="1" applyBorder="1" applyAlignment="1">
      <alignment horizontal="centerContinuous"/>
    </xf>
    <xf numFmtId="0" fontId="78" fillId="0" borderId="0" xfId="0" applyFont="1" applyBorder="1" applyAlignment="1">
      <alignment horizontal="centerContinuous"/>
    </xf>
    <xf numFmtId="0" fontId="1" fillId="0" borderId="0" xfId="0" applyFont="1" applyBorder="1" applyAlignment="1">
      <alignment horizontal="centerContinuous"/>
    </xf>
    <xf numFmtId="0" fontId="1" fillId="0" borderId="0" xfId="0" applyFont="1" applyAlignment="1">
      <alignment horizontal="centerContinuous"/>
    </xf>
    <xf numFmtId="9" fontId="3" fillId="0" borderId="0" xfId="0" applyNumberFormat="1" applyFont="1" applyBorder="1"/>
    <xf numFmtId="9" fontId="6" fillId="0" borderId="0" xfId="0" applyNumberFormat="1" applyFont="1" applyBorder="1"/>
    <xf numFmtId="174" fontId="4" fillId="0" borderId="0" xfId="0" applyNumberFormat="1" applyFont="1"/>
    <xf numFmtId="37" fontId="5" fillId="0" borderId="0" xfId="0" applyNumberFormat="1" applyFont="1" applyBorder="1" applyAlignment="1">
      <alignment horizontal="right"/>
    </xf>
    <xf numFmtId="174" fontId="5" fillId="0" borderId="0" xfId="0" applyNumberFormat="1" applyFont="1" applyBorder="1" applyAlignment="1">
      <alignment horizontal="right"/>
    </xf>
    <xf numFmtId="169" fontId="4" fillId="0" borderId="0" xfId="0" applyNumberFormat="1" applyFont="1" applyFill="1" applyBorder="1"/>
    <xf numFmtId="210" fontId="7" fillId="0" borderId="0" xfId="0" applyNumberFormat="1" applyFont="1" applyFill="1" applyAlignment="1"/>
    <xf numFmtId="210" fontId="6" fillId="0" borderId="0" xfId="0" applyNumberFormat="1" applyFont="1" applyFill="1" applyBorder="1"/>
    <xf numFmtId="210" fontId="4" fillId="0" borderId="0" xfId="0" applyNumberFormat="1" applyFont="1" applyBorder="1"/>
    <xf numFmtId="210" fontId="6" fillId="0" borderId="0" xfId="0" applyNumberFormat="1" applyFont="1" applyBorder="1"/>
    <xf numFmtId="210" fontId="5" fillId="0" borderId="0" xfId="0" applyNumberFormat="1" applyFont="1"/>
    <xf numFmtId="210" fontId="6" fillId="0" borderId="0" xfId="0" applyNumberFormat="1" applyFont="1"/>
    <xf numFmtId="210" fontId="1" fillId="0" borderId="0" xfId="0" applyNumberFormat="1" applyFont="1"/>
    <xf numFmtId="210" fontId="4" fillId="0" borderId="0" xfId="0" applyNumberFormat="1" applyFont="1"/>
    <xf numFmtId="175" fontId="5" fillId="0" borderId="0" xfId="0" applyNumberFormat="1" applyFont="1" applyFill="1"/>
    <xf numFmtId="169" fontId="5" fillId="0" borderId="0" xfId="0" applyNumberFormat="1" applyFont="1" applyFill="1"/>
    <xf numFmtId="37" fontId="72" fillId="0" borderId="0" xfId="0" applyNumberFormat="1" applyFont="1" applyFill="1"/>
    <xf numFmtId="170" fontId="5" fillId="0" borderId="0" xfId="0" applyNumberFormat="1" applyFont="1"/>
    <xf numFmtId="0" fontId="75" fillId="0" borderId="0" xfId="0" applyFont="1" applyBorder="1" applyAlignment="1">
      <alignment horizontal="right"/>
    </xf>
    <xf numFmtId="37" fontId="79" fillId="0" borderId="0" xfId="0" applyNumberFormat="1" applyFont="1" applyFill="1" applyBorder="1"/>
    <xf numFmtId="232" fontId="5" fillId="0" borderId="0" xfId="0" applyNumberFormat="1" applyFont="1" applyFill="1" applyAlignment="1">
      <alignment horizontal="right"/>
    </xf>
    <xf numFmtId="169" fontId="69" fillId="0" borderId="0" xfId="0" applyNumberFormat="1" applyFont="1" applyAlignment="1">
      <alignment horizontal="right"/>
    </xf>
    <xf numFmtId="230" fontId="5" fillId="0" borderId="0" xfId="0" applyNumberFormat="1" applyFont="1" applyAlignment="1">
      <alignment horizontal="right"/>
    </xf>
    <xf numFmtId="233" fontId="5" fillId="0" borderId="0" xfId="0" applyNumberFormat="1" applyFont="1" applyFill="1"/>
    <xf numFmtId="233" fontId="5" fillId="0" borderId="0" xfId="0" applyNumberFormat="1" applyFont="1" applyFill="1" applyBorder="1"/>
    <xf numFmtId="0" fontId="70" fillId="0" borderId="0" xfId="0" applyFont="1" applyAlignment="1">
      <alignment horizontal="left"/>
    </xf>
    <xf numFmtId="0" fontId="70" fillId="0" borderId="0" xfId="0" applyFont="1" applyBorder="1" applyAlignment="1">
      <alignment horizontal="left" indent="1"/>
    </xf>
    <xf numFmtId="165" fontId="0" fillId="0" borderId="0" xfId="0" applyNumberFormat="1" applyFont="1"/>
    <xf numFmtId="164" fontId="7" fillId="0" borderId="0" xfId="0" applyNumberFormat="1" applyFont="1"/>
    <xf numFmtId="210" fontId="71" fillId="0" borderId="0" xfId="0" applyNumberFormat="1" applyFont="1"/>
    <xf numFmtId="210" fontId="0" fillId="0" borderId="2" xfId="0" applyNumberFormat="1" applyFont="1" applyBorder="1"/>
    <xf numFmtId="210" fontId="0" fillId="0" borderId="0" xfId="0" applyNumberFormat="1" applyFont="1" applyAlignment="1">
      <alignment horizontal="right"/>
    </xf>
    <xf numFmtId="165" fontId="0" fillId="0" borderId="0" xfId="0" applyNumberFormat="1" applyFont="1" applyFill="1" applyBorder="1"/>
    <xf numFmtId="175" fontId="0" fillId="0" borderId="0" xfId="0" applyNumberFormat="1" applyFont="1" applyFill="1" applyBorder="1"/>
    <xf numFmtId="230" fontId="5" fillId="0" borderId="0" xfId="0" applyNumberFormat="1" applyFont="1" applyBorder="1" applyAlignment="1">
      <alignment horizontal="right"/>
    </xf>
    <xf numFmtId="230" fontId="0" fillId="0" borderId="0" xfId="0" applyNumberFormat="1" applyFont="1" applyBorder="1" applyAlignment="1">
      <alignment horizontal="right"/>
    </xf>
    <xf numFmtId="210" fontId="71" fillId="0" borderId="0" xfId="0" applyNumberFormat="1" applyFont="1" applyBorder="1" applyAlignment="1">
      <alignment horizontal="right"/>
    </xf>
    <xf numFmtId="175" fontId="4" fillId="0" borderId="0" xfId="0" applyNumberFormat="1" applyFont="1" applyAlignment="1">
      <alignment horizontal="right"/>
    </xf>
    <xf numFmtId="235" fontId="1" fillId="0" borderId="0" xfId="0" applyNumberFormat="1" applyFont="1"/>
    <xf numFmtId="235" fontId="1" fillId="0" borderId="0" xfId="0" applyNumberFormat="1" applyFont="1" applyAlignment="1">
      <alignment horizontal="right"/>
    </xf>
    <xf numFmtId="210" fontId="4" fillId="0" borderId="0" xfId="0" applyNumberFormat="1" applyFont="1" applyBorder="1" applyAlignment="1">
      <alignment horizontal="right"/>
    </xf>
    <xf numFmtId="0" fontId="81" fillId="0" borderId="0" xfId="0" applyFont="1" applyAlignment="1">
      <alignment horizontal="right"/>
    </xf>
    <xf numFmtId="210" fontId="5" fillId="0" borderId="0" xfId="0" applyNumberFormat="1" applyFont="1" applyBorder="1"/>
    <xf numFmtId="210" fontId="68" fillId="0" borderId="0" xfId="0" applyNumberFormat="1" applyFont="1"/>
    <xf numFmtId="37" fontId="4" fillId="0" borderId="0" xfId="0" applyNumberFormat="1" applyFont="1" applyFill="1" applyAlignment="1">
      <alignment horizontal="right"/>
    </xf>
    <xf numFmtId="165" fontId="1" fillId="0" borderId="0" xfId="0" applyNumberFormat="1" applyFont="1"/>
    <xf numFmtId="0" fontId="1" fillId="0" borderId="0" xfId="0" applyNumberFormat="1" applyFont="1"/>
    <xf numFmtId="168" fontId="0" fillId="0" borderId="2" xfId="0" applyNumberFormat="1" applyFont="1" applyBorder="1"/>
    <xf numFmtId="0" fontId="82" fillId="0" borderId="0" xfId="0" applyFont="1" applyBorder="1" applyAlignment="1">
      <alignment horizontal="centerContinuous"/>
    </xf>
    <xf numFmtId="0" fontId="80" fillId="0" borderId="22" xfId="0" applyFont="1" applyBorder="1" applyAlignment="1">
      <alignment horizontal="center"/>
    </xf>
    <xf numFmtId="210" fontId="0" fillId="0" borderId="0" xfId="0" applyNumberFormat="1" applyFont="1" applyAlignment="1">
      <alignment horizontal="center"/>
    </xf>
    <xf numFmtId="0" fontId="0" fillId="0" borderId="2" xfId="0" applyFont="1" applyBorder="1" applyAlignment="1">
      <alignment horizontal="center"/>
    </xf>
    <xf numFmtId="210" fontId="0" fillId="0" borderId="2" xfId="0" applyNumberFormat="1" applyFont="1" applyBorder="1" applyAlignment="1">
      <alignment horizontal="center"/>
    </xf>
    <xf numFmtId="39" fontId="0" fillId="0" borderId="2" xfId="0" applyNumberFormat="1" applyFont="1" applyBorder="1" applyAlignment="1">
      <alignment horizontal="center"/>
    </xf>
    <xf numFmtId="210" fontId="0" fillId="0" borderId="0" xfId="0" applyNumberFormat="1" applyFont="1" applyBorder="1" applyAlignment="1">
      <alignment horizontal="center"/>
    </xf>
    <xf numFmtId="0" fontId="82" fillId="0" borderId="0" xfId="0" applyFont="1" applyBorder="1"/>
    <xf numFmtId="0" fontId="78" fillId="0" borderId="0" xfId="0" applyFont="1" applyAlignment="1">
      <alignment horizontal="right"/>
    </xf>
    <xf numFmtId="210" fontId="68" fillId="0" borderId="2" xfId="0" applyNumberFormat="1" applyFont="1" applyBorder="1"/>
    <xf numFmtId="166" fontId="1" fillId="0" borderId="0" xfId="0" applyNumberFormat="1" applyFont="1"/>
    <xf numFmtId="0" fontId="5" fillId="31" borderId="27" xfId="0" applyFont="1" applyFill="1" applyBorder="1" applyAlignment="1">
      <alignment horizontal="center"/>
    </xf>
    <xf numFmtId="210" fontId="0" fillId="0" borderId="27" xfId="0" applyNumberFormat="1" applyFont="1" applyBorder="1"/>
    <xf numFmtId="210" fontId="0" fillId="0" borderId="0" xfId="0" applyNumberFormat="1" applyFont="1" applyFill="1" applyBorder="1"/>
    <xf numFmtId="210" fontId="4" fillId="0" borderId="0" xfId="0" applyNumberFormat="1" applyFont="1" applyFill="1" applyBorder="1"/>
    <xf numFmtId="210" fontId="70" fillId="0" borderId="0" xfId="0" applyNumberFormat="1" applyFont="1" applyFill="1" applyBorder="1"/>
    <xf numFmtId="210" fontId="68" fillId="0" borderId="0" xfId="0" applyNumberFormat="1" applyFont="1" applyFill="1" applyBorder="1"/>
    <xf numFmtId="210" fontId="0" fillId="0" borderId="27" xfId="0" applyNumberFormat="1" applyFont="1" applyFill="1" applyBorder="1"/>
    <xf numFmtId="210" fontId="1" fillId="0" borderId="0" xfId="0" applyNumberFormat="1" applyFont="1" applyFill="1" applyBorder="1"/>
    <xf numFmtId="210" fontId="68" fillId="0" borderId="0" xfId="0" applyNumberFormat="1" applyFont="1" applyFill="1" applyBorder="1" applyAlignment="1">
      <alignment horizontal="right"/>
    </xf>
    <xf numFmtId="210" fontId="3" fillId="0" borderId="0" xfId="0" applyNumberFormat="1" applyFont="1" applyFill="1" applyBorder="1"/>
    <xf numFmtId="210" fontId="4" fillId="0" borderId="27" xfId="0" applyNumberFormat="1" applyFont="1" applyBorder="1"/>
    <xf numFmtId="210" fontId="71" fillId="0" borderId="0" xfId="0" applyNumberFormat="1" applyFont="1" applyBorder="1"/>
    <xf numFmtId="210" fontId="1" fillId="0" borderId="0" xfId="0" applyNumberFormat="1" applyFont="1" applyAlignment="1">
      <alignment horizontal="center"/>
    </xf>
    <xf numFmtId="172" fontId="6" fillId="0" borderId="0" xfId="0" applyNumberFormat="1" applyFont="1" applyBorder="1"/>
    <xf numFmtId="39" fontId="6" fillId="0" borderId="0" xfId="0" applyNumberFormat="1" applyFont="1" applyBorder="1" applyAlignment="1">
      <alignment horizontal="right"/>
    </xf>
    <xf numFmtId="0" fontId="68" fillId="0" borderId="0" xfId="0" applyFont="1" applyBorder="1" applyAlignment="1">
      <alignment horizontal="right" vertical="center" wrapText="1"/>
    </xf>
    <xf numFmtId="172" fontId="6" fillId="0" borderId="0" xfId="0" applyNumberFormat="1" applyFont="1" applyBorder="1" applyAlignment="1">
      <alignment horizontal="right"/>
    </xf>
    <xf numFmtId="175" fontId="6" fillId="0" borderId="0" xfId="0" applyNumberFormat="1" applyFont="1" applyBorder="1" applyAlignment="1">
      <alignment horizontal="right"/>
    </xf>
    <xf numFmtId="0" fontId="83" fillId="0" borderId="0" xfId="0" applyFont="1" applyFill="1" applyBorder="1" applyAlignment="1">
      <alignment horizontal="centerContinuous"/>
    </xf>
    <xf numFmtId="0" fontId="0" fillId="0" borderId="0" xfId="0" applyFont="1" applyFill="1" applyBorder="1" applyAlignment="1">
      <alignment horizontal="centerContinuous"/>
    </xf>
    <xf numFmtId="172" fontId="7" fillId="0" borderId="0" xfId="0" applyNumberFormat="1" applyFont="1" applyBorder="1"/>
    <xf numFmtId="164" fontId="7" fillId="0" borderId="0" xfId="0" applyNumberFormat="1" applyFont="1" applyBorder="1"/>
    <xf numFmtId="175" fontId="7" fillId="0" borderId="0" xfId="0" applyNumberFormat="1" applyFont="1" applyBorder="1"/>
    <xf numFmtId="210" fontId="4" fillId="0" borderId="0" xfId="0" applyNumberFormat="1" applyFont="1" applyAlignment="1">
      <alignment horizontal="right"/>
    </xf>
    <xf numFmtId="210" fontId="7" fillId="0" borderId="0" xfId="0" applyNumberFormat="1" applyFont="1" applyBorder="1"/>
    <xf numFmtId="0" fontId="76" fillId="0" borderId="0" xfId="0" applyFont="1" applyAlignment="1">
      <alignment horizontal="right"/>
    </xf>
    <xf numFmtId="237" fontId="0" fillId="0" borderId="0" xfId="0" applyNumberFormat="1" applyAlignment="1">
      <alignment horizontal="left"/>
    </xf>
    <xf numFmtId="0" fontId="5" fillId="0" borderId="0" xfId="0" applyFont="1" applyAlignment="1">
      <alignment horizontal="right" indent="1"/>
    </xf>
    <xf numFmtId="0" fontId="0" fillId="0" borderId="0" xfId="0" applyFont="1" applyAlignment="1">
      <alignment horizontal="right" indent="1"/>
    </xf>
    <xf numFmtId="0" fontId="0" fillId="0" borderId="2" xfId="0" applyFont="1" applyBorder="1" applyAlignment="1">
      <alignment horizontal="right" indent="1"/>
    </xf>
    <xf numFmtId="0" fontId="1" fillId="0" borderId="0" xfId="0" applyFont="1" applyAlignment="1">
      <alignment horizontal="right" indent="1"/>
    </xf>
    <xf numFmtId="14" fontId="68" fillId="0" borderId="0" xfId="0" applyNumberFormat="1" applyFont="1" applyAlignment="1">
      <alignment horizontal="left"/>
    </xf>
    <xf numFmtId="164" fontId="73" fillId="0" borderId="0" xfId="0" applyNumberFormat="1" applyFont="1" applyAlignment="1">
      <alignment horizontal="right"/>
    </xf>
    <xf numFmtId="0" fontId="73" fillId="0" borderId="0" xfId="0" applyFont="1" applyAlignment="1">
      <alignment horizontal="left" indent="1"/>
    </xf>
    <xf numFmtId="0" fontId="0" fillId="0" borderId="1" xfId="0" applyBorder="1"/>
    <xf numFmtId="39" fontId="0" fillId="0" borderId="23" xfId="0" applyNumberFormat="1" applyFont="1" applyBorder="1"/>
    <xf numFmtId="3" fontId="6" fillId="0" borderId="2" xfId="0" applyNumberFormat="1" applyFont="1" applyBorder="1"/>
    <xf numFmtId="0" fontId="1" fillId="0" borderId="2" xfId="0" applyFont="1" applyFill="1" applyBorder="1" applyAlignment="1">
      <alignment horizontal="left"/>
    </xf>
    <xf numFmtId="0" fontId="1" fillId="0" borderId="22" xfId="0" applyFont="1" applyBorder="1" applyAlignment="1">
      <alignment horizontal="center"/>
    </xf>
    <xf numFmtId="0" fontId="1" fillId="0" borderId="22" xfId="0" applyFont="1" applyBorder="1" applyAlignment="1">
      <alignment horizontal="right"/>
    </xf>
    <xf numFmtId="167" fontId="1" fillId="0" borderId="22" xfId="0" applyNumberFormat="1" applyFont="1" applyBorder="1"/>
    <xf numFmtId="0" fontId="1" fillId="0" borderId="2" xfId="0" applyFont="1" applyFill="1" applyBorder="1"/>
    <xf numFmtId="174" fontId="69" fillId="0" borderId="0" xfId="0" applyNumberFormat="1" applyFont="1" applyBorder="1" applyAlignment="1">
      <alignment horizontal="centerContinuous"/>
    </xf>
    <xf numFmtId="0" fontId="78" fillId="0" borderId="2" xfId="0" applyFont="1" applyBorder="1" applyAlignment="1">
      <alignment horizontal="centerContinuous"/>
    </xf>
    <xf numFmtId="174" fontId="69" fillId="0" borderId="2" xfId="0" applyNumberFormat="1" applyFont="1" applyBorder="1" applyAlignment="1">
      <alignment horizontal="centerContinuous"/>
    </xf>
    <xf numFmtId="210" fontId="1" fillId="0" borderId="0" xfId="0" applyNumberFormat="1" applyFont="1" applyBorder="1" applyAlignment="1">
      <alignment horizontal="right"/>
    </xf>
    <xf numFmtId="0" fontId="70" fillId="0" borderId="0" xfId="0" applyFont="1" applyFill="1"/>
    <xf numFmtId="9" fontId="5" fillId="0" borderId="0" xfId="0" applyNumberFormat="1" applyFont="1" applyFill="1" applyAlignment="1">
      <alignment horizontal="center"/>
    </xf>
    <xf numFmtId="169" fontId="5" fillId="31" borderId="23" xfId="0" applyNumberFormat="1" applyFont="1" applyFill="1" applyBorder="1" applyAlignment="1">
      <alignment horizontal="center"/>
    </xf>
    <xf numFmtId="169" fontId="5" fillId="31" borderId="25" xfId="0" applyNumberFormat="1" applyFont="1" applyFill="1" applyBorder="1" applyAlignment="1">
      <alignment horizontal="center"/>
    </xf>
    <xf numFmtId="236" fontId="5" fillId="0" borderId="0" xfId="0" applyNumberFormat="1" applyFont="1" applyFill="1"/>
    <xf numFmtId="231" fontId="69" fillId="0" borderId="0" xfId="186" applyNumberFormat="1" applyFont="1" applyBorder="1" applyAlignment="1" applyProtection="1">
      <alignment horizontal="center"/>
    </xf>
    <xf numFmtId="231" fontId="85" fillId="0" borderId="0" xfId="186" applyNumberFormat="1" applyFont="1" applyBorder="1" applyAlignment="1" applyProtection="1">
      <alignment horizontal="center"/>
    </xf>
    <xf numFmtId="210" fontId="4" fillId="0" borderId="2" xfId="0" applyNumberFormat="1" applyFont="1" applyBorder="1" applyAlignment="1">
      <alignment horizontal="right"/>
    </xf>
    <xf numFmtId="0" fontId="1" fillId="0" borderId="0" xfId="0" applyFont="1" applyAlignment="1">
      <alignment horizontal="left" indent="2"/>
    </xf>
    <xf numFmtId="170" fontId="5" fillId="0" borderId="0" xfId="0" applyNumberFormat="1" applyFont="1" applyBorder="1"/>
    <xf numFmtId="37" fontId="0" fillId="0" borderId="29" xfId="0" applyNumberFormat="1" applyFont="1" applyBorder="1"/>
    <xf numFmtId="39" fontId="0" fillId="0" borderId="29" xfId="0" applyNumberFormat="1" applyFont="1" applyBorder="1"/>
    <xf numFmtId="175" fontId="68" fillId="0" borderId="29" xfId="0" applyNumberFormat="1" applyFont="1" applyBorder="1"/>
    <xf numFmtId="37" fontId="1" fillId="0" borderId="29" xfId="0" applyNumberFormat="1" applyFont="1" applyBorder="1"/>
    <xf numFmtId="230" fontId="0" fillId="0" borderId="30" xfId="0" applyNumberFormat="1" applyFont="1" applyBorder="1"/>
    <xf numFmtId="175" fontId="68" fillId="0" borderId="0" xfId="0" applyNumberFormat="1" applyFont="1" applyBorder="1"/>
    <xf numFmtId="235" fontId="7" fillId="31" borderId="27" xfId="0" applyNumberFormat="1" applyFont="1" applyFill="1" applyBorder="1" applyAlignment="1">
      <alignment horizontal="center"/>
    </xf>
    <xf numFmtId="230" fontId="81" fillId="0" borderId="0" xfId="0" applyNumberFormat="1" applyFont="1" applyFill="1" applyBorder="1" applyAlignment="1">
      <alignment horizontal="center"/>
    </xf>
    <xf numFmtId="165" fontId="0" fillId="0" borderId="24" xfId="0" applyNumberFormat="1" applyFont="1" applyBorder="1" applyAlignment="1">
      <alignment horizontal="center"/>
    </xf>
    <xf numFmtId="230" fontId="0" fillId="0" borderId="24" xfId="0" applyNumberFormat="1" applyFont="1" applyFill="1" applyBorder="1" applyAlignment="1">
      <alignment horizontal="center"/>
    </xf>
    <xf numFmtId="165" fontId="1" fillId="0" borderId="24" xfId="0" applyNumberFormat="1" applyFont="1" applyFill="1" applyBorder="1" applyAlignment="1">
      <alignment horizontal="center"/>
    </xf>
    <xf numFmtId="0" fontId="0" fillId="0" borderId="24" xfId="0" applyFont="1" applyBorder="1" applyAlignment="1">
      <alignment horizontal="center"/>
    </xf>
    <xf numFmtId="210" fontId="4" fillId="0" borderId="24" xfId="0" applyNumberFormat="1" applyFont="1" applyBorder="1" applyAlignment="1">
      <alignment horizontal="center"/>
    </xf>
    <xf numFmtId="210" fontId="1" fillId="0" borderId="24" xfId="0" applyNumberFormat="1" applyFont="1" applyBorder="1" applyAlignment="1">
      <alignment horizontal="center"/>
    </xf>
    <xf numFmtId="165" fontId="71" fillId="0" borderId="24" xfId="0" applyNumberFormat="1" applyFont="1" applyFill="1" applyBorder="1" applyAlignment="1">
      <alignment horizontal="center"/>
    </xf>
    <xf numFmtId="165" fontId="0" fillId="0" borderId="28" xfId="0" applyNumberFormat="1" applyFont="1" applyBorder="1" applyAlignment="1">
      <alignment horizontal="center"/>
    </xf>
    <xf numFmtId="175" fontId="0" fillId="0" borderId="26" xfId="0" applyNumberFormat="1" applyFont="1" applyFill="1" applyBorder="1" applyAlignment="1">
      <alignment horizontal="center"/>
    </xf>
    <xf numFmtId="234" fontId="1" fillId="0" borderId="24" xfId="0" applyNumberFormat="1" applyFont="1" applyFill="1" applyBorder="1" applyAlignment="1">
      <alignment horizontal="center"/>
    </xf>
    <xf numFmtId="39" fontId="7" fillId="0" borderId="0" xfId="0" applyNumberFormat="1" applyFont="1" applyBorder="1" applyAlignment="1">
      <alignment horizontal="right"/>
    </xf>
    <xf numFmtId="210" fontId="4" fillId="0" borderId="2" xfId="0" applyNumberFormat="1" applyFont="1" applyBorder="1"/>
    <xf numFmtId="238" fontId="68" fillId="0" borderId="2" xfId="0" applyNumberFormat="1" applyFont="1" applyBorder="1" applyAlignment="1">
      <alignment horizontal="centerContinuous"/>
    </xf>
    <xf numFmtId="174" fontId="4" fillId="0" borderId="24" xfId="0" applyNumberFormat="1" applyFont="1" applyBorder="1" applyAlignment="1">
      <alignment horizontal="center"/>
    </xf>
    <xf numFmtId="37" fontId="0" fillId="0" borderId="24" xfId="0" applyNumberFormat="1" applyFont="1" applyBorder="1" applyAlignment="1">
      <alignment horizontal="center"/>
    </xf>
    <xf numFmtId="39" fontId="0" fillId="0" borderId="24" xfId="0" applyNumberFormat="1" applyFont="1" applyBorder="1" applyAlignment="1">
      <alignment horizontal="center"/>
    </xf>
    <xf numFmtId="175" fontId="68" fillId="0" borderId="24" xfId="0" applyNumberFormat="1" applyFont="1" applyBorder="1" applyAlignment="1">
      <alignment horizontal="center"/>
    </xf>
    <xf numFmtId="0" fontId="68" fillId="0" borderId="24" xfId="0" applyFont="1" applyBorder="1" applyAlignment="1">
      <alignment horizontal="center"/>
    </xf>
    <xf numFmtId="37" fontId="1" fillId="0" borderId="24" xfId="0" applyNumberFormat="1" applyFont="1" applyBorder="1" applyAlignment="1">
      <alignment horizontal="center"/>
    </xf>
    <xf numFmtId="0" fontId="1" fillId="0" borderId="27" xfId="0" applyFont="1" applyBorder="1" applyAlignment="1">
      <alignment horizontal="center"/>
    </xf>
    <xf numFmtId="230" fontId="0" fillId="0" borderId="26" xfId="0" applyNumberFormat="1" applyFont="1" applyBorder="1" applyAlignment="1">
      <alignment horizontal="center"/>
    </xf>
    <xf numFmtId="0" fontId="78" fillId="0" borderId="4" xfId="0" applyFont="1" applyBorder="1" applyAlignment="1">
      <alignment horizontal="centerContinuous"/>
    </xf>
    <xf numFmtId="0" fontId="0" fillId="0" borderId="31" xfId="0" applyFont="1" applyBorder="1" applyAlignment="1">
      <alignment horizontal="centerContinuous"/>
    </xf>
    <xf numFmtId="0" fontId="0" fillId="0" borderId="32" xfId="0" applyFont="1" applyBorder="1" applyAlignment="1">
      <alignment horizontal="centerContinuous"/>
    </xf>
    <xf numFmtId="174" fontId="5" fillId="0" borderId="4" xfId="0" applyNumberFormat="1" applyFont="1" applyBorder="1"/>
    <xf numFmtId="174" fontId="4" fillId="0" borderId="31" xfId="0" applyNumberFormat="1" applyFont="1" applyBorder="1"/>
    <xf numFmtId="174" fontId="4" fillId="0" borderId="32" xfId="0" applyNumberFormat="1" applyFont="1" applyBorder="1"/>
    <xf numFmtId="37" fontId="1" fillId="0" borderId="23" xfId="0" applyNumberFormat="1" applyFont="1" applyBorder="1"/>
    <xf numFmtId="37" fontId="0" fillId="0" borderId="23" xfId="0" applyNumberFormat="1" applyFont="1" applyBorder="1"/>
    <xf numFmtId="175" fontId="68" fillId="0" borderId="23" xfId="0" applyNumberFormat="1" applyFont="1" applyBorder="1"/>
    <xf numFmtId="230" fontId="0" fillId="0" borderId="2" xfId="0" applyNumberFormat="1" applyFont="1" applyBorder="1"/>
    <xf numFmtId="230" fontId="0" fillId="0" borderId="25" xfId="0" applyNumberFormat="1" applyFont="1" applyBorder="1"/>
    <xf numFmtId="0" fontId="1" fillId="0" borderId="28" xfId="0" applyFont="1" applyBorder="1" applyAlignment="1">
      <alignment horizontal="left"/>
    </xf>
    <xf numFmtId="174" fontId="7" fillId="0" borderId="26" xfId="0" applyNumberFormat="1" applyFont="1" applyBorder="1" applyAlignment="1">
      <alignment horizontal="left"/>
    </xf>
    <xf numFmtId="210" fontId="0" fillId="0" borderId="0" xfId="0" applyNumberFormat="1" applyFont="1" applyFill="1"/>
    <xf numFmtId="230" fontId="5" fillId="0" borderId="0" xfId="0" applyNumberFormat="1" applyFont="1" applyFill="1"/>
    <xf numFmtId="210" fontId="6" fillId="0" borderId="27" xfId="0" applyNumberFormat="1" applyFont="1" applyFill="1" applyBorder="1" applyAlignment="1"/>
    <xf numFmtId="0" fontId="0" fillId="0" borderId="0" xfId="0" applyAlignment="1">
      <alignment wrapText="1"/>
    </xf>
    <xf numFmtId="239" fontId="5" fillId="0" borderId="0" xfId="0" applyNumberFormat="1" applyFont="1"/>
    <xf numFmtId="165" fontId="89" fillId="32" borderId="0" xfId="0" applyNumberFormat="1" applyFont="1" applyFill="1" applyAlignment="1">
      <alignment wrapText="1"/>
    </xf>
    <xf numFmtId="240" fontId="0" fillId="0" borderId="0" xfId="0" applyNumberFormat="1" applyFont="1"/>
    <xf numFmtId="240" fontId="87" fillId="0" borderId="0" xfId="0" applyNumberFormat="1" applyFont="1" applyAlignment="1">
      <alignment wrapText="1"/>
    </xf>
    <xf numFmtId="240" fontId="4" fillId="0" borderId="0" xfId="0" applyNumberFormat="1" applyFont="1"/>
    <xf numFmtId="240" fontId="88" fillId="0" borderId="0" xfId="0" applyNumberFormat="1" applyFont="1" applyAlignment="1">
      <alignment wrapText="1"/>
    </xf>
    <xf numFmtId="165" fontId="6" fillId="0" borderId="0" xfId="0" applyNumberFormat="1" applyFont="1"/>
    <xf numFmtId="165" fontId="90" fillId="0" borderId="0" xfId="0" applyNumberFormat="1" applyFont="1" applyFill="1" applyBorder="1"/>
    <xf numFmtId="165" fontId="90" fillId="0" borderId="0" xfId="0" applyNumberFormat="1" applyFont="1" applyAlignment="1">
      <alignment wrapText="1"/>
    </xf>
    <xf numFmtId="165" fontId="91" fillId="0" borderId="0" xfId="0" applyNumberFormat="1" applyFont="1" applyFill="1" applyBorder="1"/>
    <xf numFmtId="165" fontId="80" fillId="0" borderId="0" xfId="0" applyNumberFormat="1" applyFont="1"/>
    <xf numFmtId="165" fontId="92" fillId="0" borderId="0" xfId="0" applyNumberFormat="1" applyFont="1" applyFill="1" applyBorder="1"/>
    <xf numFmtId="165" fontId="92" fillId="0" borderId="0" xfId="0" applyNumberFormat="1" applyFont="1" applyAlignment="1">
      <alignment wrapText="1"/>
    </xf>
    <xf numFmtId="165" fontId="91" fillId="0" borderId="0" xfId="0" applyNumberFormat="1" applyFont="1" applyBorder="1"/>
    <xf numFmtId="165" fontId="92" fillId="0" borderId="0" xfId="0" applyNumberFormat="1" applyFont="1" applyFill="1"/>
    <xf numFmtId="165" fontId="92" fillId="0" borderId="0" xfId="0" applyNumberFormat="1" applyFont="1"/>
    <xf numFmtId="165" fontId="91" fillId="0" borderId="0" xfId="0" applyNumberFormat="1" applyFont="1"/>
    <xf numFmtId="169" fontId="93" fillId="0" borderId="0" xfId="0" applyNumberFormat="1" applyFont="1"/>
    <xf numFmtId="165" fontId="6" fillId="0" borderId="0" xfId="0" applyNumberFormat="1" applyFont="1" applyAlignment="1">
      <alignment wrapText="1"/>
    </xf>
    <xf numFmtId="165" fontId="90" fillId="0" borderId="0" xfId="0" applyNumberFormat="1" applyFont="1"/>
    <xf numFmtId="165" fontId="80" fillId="0" borderId="0" xfId="0" applyNumberFormat="1" applyFont="1" applyBorder="1"/>
    <xf numFmtId="165" fontId="91" fillId="0" borderId="0" xfId="0" applyNumberFormat="1" applyFont="1" applyAlignment="1">
      <alignment wrapText="1"/>
    </xf>
    <xf numFmtId="165" fontId="94" fillId="0" borderId="0" xfId="0" applyNumberFormat="1" applyFont="1" applyAlignment="1">
      <alignment wrapText="1"/>
    </xf>
    <xf numFmtId="169" fontId="3" fillId="0" borderId="0" xfId="0" applyNumberFormat="1" applyFont="1"/>
    <xf numFmtId="165" fontId="7" fillId="0" borderId="0" xfId="0" applyNumberFormat="1" applyFont="1" applyAlignment="1">
      <alignment wrapText="1"/>
    </xf>
    <xf numFmtId="165" fontId="7" fillId="0" borderId="0" xfId="0" applyNumberFormat="1" applyFont="1" applyFill="1" applyAlignment="1">
      <alignment wrapText="1"/>
    </xf>
    <xf numFmtId="169" fontId="3" fillId="0" borderId="0" xfId="0" applyNumberFormat="1" applyFont="1" applyAlignment="1">
      <alignment horizontal="right"/>
    </xf>
    <xf numFmtId="165" fontId="3" fillId="0" borderId="0" xfId="0" applyNumberFormat="1" applyFont="1" applyBorder="1"/>
    <xf numFmtId="231" fontId="3" fillId="0" borderId="0" xfId="186" applyNumberFormat="1" applyFont="1" applyBorder="1" applyAlignment="1" applyProtection="1">
      <alignment horizontal="center"/>
    </xf>
  </cellXfs>
  <cellStyles count="187">
    <cellStyle name="$" xfId="1"/>
    <cellStyle name="$m" xfId="2"/>
    <cellStyle name="$q" xfId="3"/>
    <cellStyle name="$q*" xfId="4"/>
    <cellStyle name="$q_valuation" xfId="5"/>
    <cellStyle name="$qA" xfId="6"/>
    <cellStyle name="$qRange" xfId="7"/>
    <cellStyle name="%" xfId="8"/>
    <cellStyle name="******************************************" xfId="9"/>
    <cellStyle name="2 Decimal Places_MA Software Comps - List_AccretionDilution OTGS v16.xls Chart 1" xfId="10"/>
    <cellStyle name="20% - Accent1 2" xfId="11"/>
    <cellStyle name="20% - Accent2 2" xfId="12"/>
    <cellStyle name="20% - Accent3 2" xfId="13"/>
    <cellStyle name="20% - Accent4 2" xfId="14"/>
    <cellStyle name="20% - Accent5 2" xfId="15"/>
    <cellStyle name="20% - Accent6 2" xfId="16"/>
    <cellStyle name="40% - Accent1 2" xfId="17"/>
    <cellStyle name="40% - Accent2 2" xfId="18"/>
    <cellStyle name="40% - Accent3 2" xfId="19"/>
    <cellStyle name="40% - Accent4 2" xfId="20"/>
    <cellStyle name="40% - Accent5 2" xfId="21"/>
    <cellStyle name="40% - Accent6 2" xfId="22"/>
    <cellStyle name="60% - Accent1 2" xfId="23"/>
    <cellStyle name="60% - Accent2 2" xfId="24"/>
    <cellStyle name="60% - Accent3 2" xfId="25"/>
    <cellStyle name="60% - Accent4 2" xfId="26"/>
    <cellStyle name="60% - Accent5 2" xfId="27"/>
    <cellStyle name="60% - Accent6 2" xfId="28"/>
    <cellStyle name="Accent1 2" xfId="29"/>
    <cellStyle name="Accent2 2" xfId="30"/>
    <cellStyle name="Accent3 2" xfId="31"/>
    <cellStyle name="Accent4 2" xfId="32"/>
    <cellStyle name="Accent5 2" xfId="33"/>
    <cellStyle name="Accent6 2" xfId="34"/>
    <cellStyle name="AFE" xfId="35"/>
    <cellStyle name="Bad 2" xfId="36"/>
    <cellStyle name="Balance" xfId="37"/>
    <cellStyle name="BalanceSheet" xfId="38"/>
    <cellStyle name="Body_$Numeric" xfId="39"/>
    <cellStyle name="Bold Header" xfId="40"/>
    <cellStyle name="Calculation 2" xfId="41"/>
    <cellStyle name="CashFlow" xfId="42"/>
    <cellStyle name="Check" xfId="43"/>
    <cellStyle name="Check Cell 2" xfId="44"/>
    <cellStyle name="ColHeading" xfId="45"/>
    <cellStyle name="colheadleft" xfId="46"/>
    <cellStyle name="colheadright" xfId="47"/>
    <cellStyle name="Comma 2" xfId="48"/>
    <cellStyle name="Comma0" xfId="49"/>
    <cellStyle name="Comma2" xfId="50"/>
    <cellStyle name="Company" xfId="51"/>
    <cellStyle name="CurRatio" xfId="52"/>
    <cellStyle name="Currency [1]" xfId="53"/>
    <cellStyle name="Currency [2]" xfId="54"/>
    <cellStyle name="Currency0" xfId="55"/>
    <cellStyle name="Currency2" xfId="56"/>
    <cellStyle name="d_yield" xfId="57"/>
    <cellStyle name="d_yield_CW's MAKER MODEL" xfId="58"/>
    <cellStyle name="d_yield_valuation" xfId="59"/>
    <cellStyle name="Date [d-mmm-yy]" xfId="60"/>
    <cellStyle name="Date [mmm-d-yyyy]" xfId="61"/>
    <cellStyle name="Date [mmm-yyyy]" xfId="62"/>
    <cellStyle name="Dates" xfId="63"/>
    <cellStyle name="DateYear" xfId="64"/>
    <cellStyle name="Dezimal_Capital expenditure planning FY 2000" xfId="65"/>
    <cellStyle name="Dollar" xfId="66"/>
    <cellStyle name="Dollars" xfId="67"/>
    <cellStyle name="DollarWhole" xfId="68"/>
    <cellStyle name="eps" xfId="69"/>
    <cellStyle name="eps$" xfId="70"/>
    <cellStyle name="eps$A" xfId="71"/>
    <cellStyle name="eps$E" xfId="72"/>
    <cellStyle name="eps_CW's MAKER MODEL" xfId="73"/>
    <cellStyle name="epsA" xfId="74"/>
    <cellStyle name="EPSActual" xfId="75"/>
    <cellStyle name="epsE" xfId="76"/>
    <cellStyle name="EPSEstimate" xfId="77"/>
    <cellStyle name="Euro" xfId="78"/>
    <cellStyle name="Explanatory Text 2" xfId="79"/>
    <cellStyle name="fy_eps$" xfId="80"/>
    <cellStyle name="g_rate" xfId="81"/>
    <cellStyle name="g_rate_CW's MAKER MODEL" xfId="82"/>
    <cellStyle name="g_rate_valuation" xfId="83"/>
    <cellStyle name="General" xfId="84"/>
    <cellStyle name="Good 2" xfId="85"/>
    <cellStyle name="GrowthRate" xfId="86"/>
    <cellStyle name="GrowthSeq" xfId="87"/>
    <cellStyle name="Hard Number Input" xfId="88"/>
    <cellStyle name="Heading 1 2" xfId="89"/>
    <cellStyle name="Heading 2 2" xfId="90"/>
    <cellStyle name="Heading 3 2" xfId="91"/>
    <cellStyle name="Heading 4 2" xfId="92"/>
    <cellStyle name="Historical Number" xfId="93"/>
    <cellStyle name="iemens" xfId="94"/>
    <cellStyle name="Income" xfId="95"/>
    <cellStyle name="IncomeStatement" xfId="96"/>
    <cellStyle name="Input 2" xfId="97"/>
    <cellStyle name="Input Fixed [0]" xfId="98"/>
    <cellStyle name="Integer" xfId="99"/>
    <cellStyle name="Inverse Header" xfId="100"/>
    <cellStyle name="Item" xfId="101"/>
    <cellStyle name="ItemTypeClass" xfId="102"/>
    <cellStyle name="Linked Cell 2" xfId="103"/>
    <cellStyle name="LTGR" xfId="104"/>
    <cellStyle name="m" xfId="105"/>
    <cellStyle name="m$" xfId="106"/>
    <cellStyle name="m_CW's MAKER MODEL" xfId="107"/>
    <cellStyle name="m_valuation" xfId="108"/>
    <cellStyle name="Margin" xfId="109"/>
    <cellStyle name="Margins" xfId="110"/>
    <cellStyle name="mm" xfId="111"/>
    <cellStyle name="Multiple" xfId="112"/>
    <cellStyle name="NA is zero" xfId="113"/>
    <cellStyle name="Neutral 2" xfId="114"/>
    <cellStyle name="Normal" xfId="0" builtinId="0"/>
    <cellStyle name="Normal [0]" xfId="115"/>
    <cellStyle name="Normal [1]" xfId="116"/>
    <cellStyle name="Normal [2]" xfId="117"/>
    <cellStyle name="Normal [3]" xfId="118"/>
    <cellStyle name="Normal 2" xfId="119"/>
    <cellStyle name="Normal Bold" xfId="120"/>
    <cellStyle name="Normal Pct" xfId="121"/>
    <cellStyle name="Normal_Matrix LBO Model v2 - Tri-State_05_EBITDA" xfId="186"/>
    <cellStyle name="NormalX" xfId="122"/>
    <cellStyle name="Note 2" xfId="123"/>
    <cellStyle name="NPPESalesPct" xfId="124"/>
    <cellStyle name="Number" xfId="125"/>
    <cellStyle name="NWI%S" xfId="126"/>
    <cellStyle name="Output 2" xfId="127"/>
    <cellStyle name="P/E" xfId="128"/>
    <cellStyle name="Palatino" xfId="129"/>
    <cellStyle name="pc1" xfId="130"/>
    <cellStyle name="pe" xfId="131"/>
    <cellStyle name="PE/LTGR" xfId="132"/>
    <cellStyle name="PEG" xfId="133"/>
    <cellStyle name="Percent [0]" xfId="134"/>
    <cellStyle name="Percent [1]" xfId="135"/>
    <cellStyle name="Percent [2]" xfId="136"/>
    <cellStyle name="PercentChange" xfId="137"/>
    <cellStyle name="PercentPresentation" xfId="138"/>
    <cellStyle name="PerShare" xfId="139"/>
    <cellStyle name="POPS" xfId="140"/>
    <cellStyle name="Presentation" xfId="141"/>
    <cellStyle name="PresentationZero" xfId="142"/>
    <cellStyle name="price" xfId="143"/>
    <cellStyle name="q" xfId="144"/>
    <cellStyle name="q_CW's MAKER MODEL" xfId="145"/>
    <cellStyle name="QEPS-h" xfId="146"/>
    <cellStyle name="QEPS-H1" xfId="147"/>
    <cellStyle name="qRange" xfId="148"/>
    <cellStyle name="range" xfId="149"/>
    <cellStyle name="RatioX" xfId="150"/>
    <cellStyle name="Report" xfId="151"/>
    <cellStyle name="Right" xfId="152"/>
    <cellStyle name="SectionHeading" xfId="153"/>
    <cellStyle name="Shares" xfId="154"/>
    <cellStyle name="StockPrice" xfId="155"/>
    <cellStyle name="Style 1" xfId="156"/>
    <cellStyle name="Style 21" xfId="157"/>
    <cellStyle name="Style 22" xfId="158"/>
    <cellStyle name="Style 23" xfId="159"/>
    <cellStyle name="Style 24" xfId="160"/>
    <cellStyle name="Style 26" xfId="161"/>
    <cellStyle name="Style 27" xfId="162"/>
    <cellStyle name="Style 34" xfId="163"/>
    <cellStyle name="Style 37" xfId="164"/>
    <cellStyle name="Style 63" xfId="165"/>
    <cellStyle name="SubDollar" xfId="166"/>
    <cellStyle name="SubGrowth" xfId="167"/>
    <cellStyle name="SubGrowthRate" xfId="168"/>
    <cellStyle name="SubMargins" xfId="169"/>
    <cellStyle name="SubPenetration" xfId="170"/>
    <cellStyle name="Subscribers" xfId="171"/>
    <cellStyle name="SubVariable" xfId="172"/>
    <cellStyle name="tcn" xfId="173"/>
    <cellStyle name="Times [1]" xfId="174"/>
    <cellStyle name="Times [2]" xfId="175"/>
    <cellStyle name="Title 2" xfId="176"/>
    <cellStyle name="title2" xfId="177"/>
    <cellStyle name="TitleII" xfId="178"/>
    <cellStyle name="Titles" xfId="179"/>
    <cellStyle name="TitleSub" xfId="180"/>
    <cellStyle name="tn" xfId="181"/>
    <cellStyle name="Total 2" xfId="182"/>
    <cellStyle name="Warning Text 2" xfId="183"/>
    <cellStyle name="WholeNumber" xfId="184"/>
    <cellStyle name="Year&quot;E&quot;" xfId="185"/>
  </cellStyles>
  <dxfs count="5">
    <dxf>
      <fill>
        <patternFill>
          <bgColor theme="0" tint="-0.14996795556505021"/>
        </patternFill>
      </fill>
      <border>
        <left style="dotted">
          <color auto="1"/>
        </left>
        <right style="dotted">
          <color auto="1"/>
        </right>
        <top style="dotted">
          <color auto="1"/>
        </top>
        <bottom style="dotted">
          <color auto="1"/>
        </bottom>
        <vertical/>
        <horizontal/>
      </border>
    </dxf>
    <dxf>
      <font>
        <color theme="0"/>
      </font>
    </dxf>
    <dxf>
      <font>
        <color theme="0"/>
      </font>
    </dxf>
    <dxf>
      <font>
        <color theme="0" tint="-0.14996795556505021"/>
      </font>
      <fill>
        <patternFill>
          <bgColor theme="0" tint="-0.14996795556505021"/>
        </patternFill>
      </fill>
    </dxf>
    <dxf>
      <font>
        <color theme="0" tint="-0.14996795556505021"/>
      </font>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Owner/LOCALS~1/Temp/Rar$DI00.921/Valuation_2010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kumar.WSP/Downloads/DataSet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al Data"/>
      <sheetName val="Forecast Drivers"/>
      <sheetName val="Results"/>
      <sheetName val="Valuation Summary"/>
    </sheetNames>
    <sheetDataSet>
      <sheetData sheetId="0" refreshError="1"/>
      <sheetData sheetId="1">
        <row r="25">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row>
        <row r="330">
          <cell r="D330">
            <v>1</v>
          </cell>
        </row>
      </sheetData>
      <sheetData sheetId="2">
        <row r="142">
          <cell r="F142">
            <v>0</v>
          </cell>
        </row>
        <row r="145">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row>
        <row r="182">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rc_ans"/>
      <sheetName val="Circ"/>
      <sheetName val="Reg 0"/>
      <sheetName val="Reg_ans"/>
      <sheetName val="CF"/>
      <sheetName val="CF_ans"/>
      <sheetName val="BoostToolkitClipBoard2010"/>
      <sheetName val="DS0"/>
      <sheetName val="DS0_ans"/>
      <sheetName val="Data Set1"/>
      <sheetName val="DataSet2"/>
      <sheetName val="DataSet3"/>
      <sheetName val="Other"/>
      <sheetName val="DataSet4"/>
      <sheetName val="Array0"/>
      <sheetName val="Array1"/>
      <sheetName val="Array2"/>
      <sheetName val="Array3"/>
      <sheetName val="Array4"/>
      <sheetName val="Array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
          <cell r="B5" t="str">
            <v>iPad</v>
          </cell>
          <cell r="C5">
            <v>500</v>
          </cell>
        </row>
        <row r="6">
          <cell r="B6" t="str">
            <v>iPod</v>
          </cell>
          <cell r="C6">
            <v>200</v>
          </cell>
        </row>
        <row r="7">
          <cell r="B7" t="str">
            <v>iPhone</v>
          </cell>
          <cell r="C7">
            <v>400</v>
          </cell>
        </row>
      </sheetData>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57"/>
  <sheetViews>
    <sheetView tabSelected="1" zoomScaleNormal="100" workbookViewId="0">
      <selection activeCell="L9" sqref="L9"/>
    </sheetView>
  </sheetViews>
  <sheetFormatPr defaultColWidth="9.109375" defaultRowHeight="14.4"/>
  <cols>
    <col min="1" max="1" width="1.6640625" style="10" customWidth="1"/>
    <col min="2" max="2" width="34.6640625" style="10" customWidth="1"/>
    <col min="3" max="10" width="15.6640625" style="10" customWidth="1"/>
    <col min="11" max="12" width="12.88671875" style="10" customWidth="1"/>
    <col min="13" max="16384" width="9.109375" style="10"/>
  </cols>
  <sheetData>
    <row r="1" spans="2:12" ht="15" thickBot="1"/>
    <row r="2" spans="2:12" ht="26.4" thickBot="1">
      <c r="B2" s="1" t="str">
        <f>"Leveraged Buyout Model for "&amp;D6</f>
        <v>Leveraged Buyout Model for Keurig Green Mountain</v>
      </c>
      <c r="C2" s="11"/>
      <c r="D2" s="11"/>
      <c r="E2" s="11"/>
      <c r="F2" s="11"/>
      <c r="G2" s="11"/>
      <c r="H2" s="11"/>
      <c r="I2" s="11"/>
      <c r="J2" s="11"/>
    </row>
    <row r="3" spans="2:12">
      <c r="B3" s="2" t="s">
        <v>0</v>
      </c>
      <c r="C3" s="12"/>
      <c r="F3" s="13"/>
      <c r="G3" s="13"/>
      <c r="H3" s="13"/>
      <c r="I3" s="13"/>
      <c r="J3" s="13"/>
      <c r="L3" s="30" t="s">
        <v>252</v>
      </c>
    </row>
    <row r="4" spans="2:12">
      <c r="B4" s="14"/>
      <c r="D4" s="12"/>
      <c r="L4" s="10" t="s">
        <v>253</v>
      </c>
    </row>
    <row r="5" spans="2:12">
      <c r="B5" s="15" t="s">
        <v>124</v>
      </c>
      <c r="C5" s="17"/>
      <c r="D5" s="17"/>
      <c r="E5" s="13"/>
      <c r="F5" s="96" t="s">
        <v>125</v>
      </c>
      <c r="G5" s="17"/>
      <c r="H5" s="17"/>
      <c r="I5" s="17"/>
      <c r="J5" s="17"/>
      <c r="L5" s="10" t="s">
        <v>254</v>
      </c>
    </row>
    <row r="6" spans="2:12">
      <c r="B6" s="102" t="s">
        <v>1</v>
      </c>
      <c r="D6" s="3" t="s">
        <v>248</v>
      </c>
      <c r="E6" s="13"/>
      <c r="L6" s="10" t="s">
        <v>255</v>
      </c>
    </row>
    <row r="7" spans="2:12">
      <c r="B7" s="102" t="s">
        <v>122</v>
      </c>
      <c r="D7" s="3" t="s">
        <v>247</v>
      </c>
      <c r="E7" s="13"/>
      <c r="F7" s="66" t="s">
        <v>194</v>
      </c>
      <c r="H7" s="279">
        <v>2</v>
      </c>
      <c r="I7" s="196">
        <v>1</v>
      </c>
      <c r="J7" s="197">
        <v>2</v>
      </c>
      <c r="L7" s="10" t="s">
        <v>256</v>
      </c>
    </row>
    <row r="8" spans="2:12">
      <c r="B8" s="82" t="s">
        <v>123</v>
      </c>
      <c r="D8" s="77">
        <f>92/1.779</f>
        <v>51.71444631815627</v>
      </c>
      <c r="E8" s="13"/>
      <c r="H8" s="280" t="str">
        <f>CHOOSE($H$7,I8,J8)</f>
        <v>Explicit offer/share</v>
      </c>
      <c r="I8" s="199" t="s">
        <v>196</v>
      </c>
      <c r="J8" s="199" t="s">
        <v>197</v>
      </c>
      <c r="L8" s="10" t="s">
        <v>257</v>
      </c>
    </row>
    <row r="9" spans="2:12">
      <c r="B9" s="102" t="s">
        <v>193</v>
      </c>
      <c r="D9" s="5">
        <v>42343</v>
      </c>
      <c r="E9" s="13"/>
      <c r="H9" s="13"/>
    </row>
    <row r="10" spans="2:12">
      <c r="B10" s="82" t="s">
        <v>2</v>
      </c>
      <c r="D10" s="7" t="s">
        <v>3</v>
      </c>
      <c r="E10" s="13"/>
      <c r="F10" s="6" t="s">
        <v>68</v>
      </c>
      <c r="H10" s="288">
        <f>I10</f>
        <v>1099.2879999999998</v>
      </c>
      <c r="I10" s="185">
        <f>J10</f>
        <v>1099.2879999999998</v>
      </c>
      <c r="J10" s="185">
        <f>E60</f>
        <v>1099.2879999999998</v>
      </c>
    </row>
    <row r="11" spans="2:12">
      <c r="E11" s="13"/>
      <c r="F11" s="6" t="s">
        <v>119</v>
      </c>
      <c r="H11" s="282">
        <f>CHOOSE($H$7,I11,J11)</f>
        <v>12.962279322807127</v>
      </c>
      <c r="I11" s="192">
        <v>7.6</v>
      </c>
      <c r="J11" s="193">
        <f>J12/J10</f>
        <v>12.962279322807127</v>
      </c>
    </row>
    <row r="12" spans="2:12">
      <c r="B12" s="15" t="s">
        <v>236</v>
      </c>
      <c r="C12" s="17"/>
      <c r="D12" s="15"/>
      <c r="E12" s="13"/>
      <c r="F12" s="4" t="s">
        <v>56</v>
      </c>
      <c r="H12" s="283">
        <f>H11*H10</f>
        <v>14249.278112209999</v>
      </c>
      <c r="I12" s="262">
        <f>I10*I11</f>
        <v>8354.5887999999977</v>
      </c>
      <c r="J12" s="262">
        <f>J17-J14-J15</f>
        <v>14249.278112209999</v>
      </c>
    </row>
    <row r="13" spans="2:12">
      <c r="B13" s="82" t="s">
        <v>234</v>
      </c>
      <c r="D13" s="190">
        <f>E60</f>
        <v>1099.2879999999998</v>
      </c>
      <c r="E13" s="13"/>
      <c r="H13" s="284"/>
    </row>
    <row r="14" spans="2:12">
      <c r="B14" s="82" t="s">
        <v>246</v>
      </c>
      <c r="D14" s="161">
        <f>(((-(279+602124))/10)/10)/10</f>
        <v>-602.40300000000002</v>
      </c>
      <c r="E14" s="13"/>
      <c r="F14" s="82" t="s">
        <v>192</v>
      </c>
      <c r="H14" s="285">
        <f>$D$14</f>
        <v>-602.40300000000002</v>
      </c>
      <c r="I14" s="198">
        <f>$D$14</f>
        <v>-602.40300000000002</v>
      </c>
      <c r="J14" s="198">
        <f>$D$14</f>
        <v>-602.40300000000002</v>
      </c>
    </row>
    <row r="15" spans="2:12">
      <c r="B15" s="82" t="s">
        <v>47</v>
      </c>
      <c r="D15" s="161">
        <f>(((214909+25561+266)/10)/10)/10</f>
        <v>240.73599999999996</v>
      </c>
      <c r="E15" s="13"/>
      <c r="F15" s="82" t="s">
        <v>190</v>
      </c>
      <c r="H15" s="285">
        <f>$D$15</f>
        <v>240.73599999999996</v>
      </c>
      <c r="I15" s="198">
        <f>$D$15</f>
        <v>240.73599999999996</v>
      </c>
      <c r="J15" s="198">
        <f>$D$15</f>
        <v>240.73599999999996</v>
      </c>
    </row>
    <row r="16" spans="2:12">
      <c r="B16" s="37" t="s">
        <v>235</v>
      </c>
      <c r="D16" s="134">
        <v>0</v>
      </c>
      <c r="E16" s="13"/>
      <c r="H16" s="284"/>
    </row>
    <row r="17" spans="2:18">
      <c r="B17" s="82" t="s">
        <v>195</v>
      </c>
      <c r="D17" s="316">
        <v>13</v>
      </c>
      <c r="E17" s="13"/>
      <c r="F17" s="4" t="s">
        <v>70</v>
      </c>
      <c r="H17" s="286">
        <f>H12+SUM(H14:H15)</f>
        <v>13887.611112209999</v>
      </c>
      <c r="I17" s="262">
        <f>I12+SUM(I14:I15)</f>
        <v>7992.9217999999973</v>
      </c>
      <c r="J17" s="262">
        <f>J18*J20</f>
        <v>13887.611112209999</v>
      </c>
    </row>
    <row r="18" spans="2:18">
      <c r="C18" s="175"/>
      <c r="F18" s="10" t="s">
        <v>18</v>
      </c>
      <c r="H18" s="287">
        <f>Shares!$E$14</f>
        <v>150.95229469793478</v>
      </c>
      <c r="I18" s="194">
        <f>Shares!$E$14</f>
        <v>150.95229469793478</v>
      </c>
      <c r="J18" s="194">
        <f>Shares!$E$14</f>
        <v>150.95229469793478</v>
      </c>
      <c r="K18" s="195"/>
      <c r="L18" s="195"/>
    </row>
    <row r="19" spans="2:18">
      <c r="B19" s="96" t="s">
        <v>159</v>
      </c>
      <c r="C19" s="17"/>
      <c r="D19" s="17"/>
      <c r="H19" s="284"/>
      <c r="K19" s="195"/>
      <c r="L19" s="195"/>
    </row>
    <row r="20" spans="2:18">
      <c r="B20" s="35" t="s">
        <v>71</v>
      </c>
      <c r="D20" s="84">
        <f>H17</f>
        <v>13887.611112209999</v>
      </c>
      <c r="F20" s="4" t="s">
        <v>120</v>
      </c>
      <c r="H20" s="290">
        <f>H17/H18</f>
        <v>92</v>
      </c>
      <c r="I20" s="231">
        <f>I17/I18</f>
        <v>52.94998539766717</v>
      </c>
      <c r="J20" s="291">
        <v>92</v>
      </c>
      <c r="K20" s="195"/>
      <c r="L20" s="195"/>
    </row>
    <row r="21" spans="2:18">
      <c r="B21" s="35" t="s">
        <v>73</v>
      </c>
      <c r="D21" s="84">
        <f>-(D14)</f>
        <v>602.40300000000002</v>
      </c>
      <c r="F21" s="101" t="s">
        <v>121</v>
      </c>
      <c r="H21" s="289">
        <f>H20/$D$8-1</f>
        <v>0.77899999999999991</v>
      </c>
      <c r="I21" s="195">
        <f>I20/$D$8-1</f>
        <v>2.3891565461411801E-2</v>
      </c>
      <c r="J21" s="195">
        <f>J20/$D$8-1</f>
        <v>0.77899999999999991</v>
      </c>
      <c r="K21" s="195"/>
      <c r="L21" s="195"/>
    </row>
    <row r="22" spans="2:18">
      <c r="B22" s="35" t="s">
        <v>241</v>
      </c>
      <c r="D22" s="292">
        <f>H36+H33</f>
        <v>395.59589584419996</v>
      </c>
      <c r="H22" s="101"/>
      <c r="J22" s="191"/>
      <c r="K22" s="195"/>
      <c r="L22" s="195"/>
    </row>
    <row r="23" spans="2:18">
      <c r="B23" s="26" t="s">
        <v>75</v>
      </c>
      <c r="D23" s="107">
        <f>SUM(D20:D22)</f>
        <v>14885.6100080542</v>
      </c>
      <c r="H23" s="101"/>
      <c r="J23" s="191"/>
      <c r="K23" s="195"/>
      <c r="L23" s="195"/>
    </row>
    <row r="24" spans="2:18">
      <c r="C24" s="175"/>
      <c r="H24" s="101"/>
      <c r="J24" s="191"/>
      <c r="K24" s="195"/>
      <c r="L24" s="195"/>
    </row>
    <row r="25" spans="2:18">
      <c r="B25" s="96" t="s">
        <v>158</v>
      </c>
      <c r="C25" s="17"/>
      <c r="D25" s="17"/>
      <c r="E25" s="13"/>
      <c r="F25" s="15" t="s">
        <v>237</v>
      </c>
      <c r="G25" s="17"/>
      <c r="H25" s="17"/>
      <c r="I25" s="17"/>
      <c r="J25" s="17"/>
    </row>
    <row r="26" spans="2:18" ht="16.2">
      <c r="C26" s="103" t="s">
        <v>130</v>
      </c>
      <c r="D26" s="104" t="s">
        <v>131</v>
      </c>
      <c r="G26" s="242" t="s">
        <v>221</v>
      </c>
      <c r="H26" s="242" t="s">
        <v>239</v>
      </c>
      <c r="I26" s="242" t="s">
        <v>220</v>
      </c>
      <c r="J26" s="242" t="s">
        <v>224</v>
      </c>
    </row>
    <row r="27" spans="2:18">
      <c r="B27" s="82" t="s">
        <v>72</v>
      </c>
      <c r="C27" s="347">
        <f>D27/$D$13</f>
        <v>0.21899265706530047</v>
      </c>
      <c r="D27" s="171">
        <f>MAX(0,D15-D16)</f>
        <v>240.73599999999996</v>
      </c>
      <c r="F27" s="66" t="s">
        <v>219</v>
      </c>
    </row>
    <row r="28" spans="2:18">
      <c r="B28" s="82" t="s">
        <v>29</v>
      </c>
      <c r="C28" s="268">
        <v>0</v>
      </c>
      <c r="D28" s="166">
        <f>C28*D13</f>
        <v>0</v>
      </c>
      <c r="F28" s="37" t="str">
        <f>B28</f>
        <v>Revolver</v>
      </c>
      <c r="G28" s="173">
        <v>0.02</v>
      </c>
      <c r="H28" s="81">
        <f>D28*G28</f>
        <v>0</v>
      </c>
      <c r="I28" s="267">
        <v>5</v>
      </c>
      <c r="J28" s="240">
        <f>IFERROR(G28*D28/I28, "NM")</f>
        <v>0</v>
      </c>
    </row>
    <row r="29" spans="2:18">
      <c r="B29" s="32" t="s">
        <v>86</v>
      </c>
      <c r="C29" s="268">
        <v>2.68</v>
      </c>
      <c r="D29" s="166">
        <f>C29*D13</f>
        <v>2946.0918399999996</v>
      </c>
      <c r="F29" s="37" t="str">
        <f>B29</f>
        <v>Term Loan A</v>
      </c>
      <c r="G29" s="173">
        <v>0.02</v>
      </c>
      <c r="H29" s="81">
        <f>D29*G29</f>
        <v>58.921836799999994</v>
      </c>
      <c r="I29" s="267">
        <v>5</v>
      </c>
      <c r="J29" s="240">
        <f>IFERROR(G29*D29/I29, "NM")</f>
        <v>11.784367359999999</v>
      </c>
    </row>
    <row r="30" spans="2:18">
      <c r="B30" s="32" t="s">
        <v>87</v>
      </c>
      <c r="C30" s="268">
        <v>2.4300000000000002</v>
      </c>
      <c r="D30" s="166">
        <f>C30*$D$13</f>
        <v>2671.2698399999995</v>
      </c>
      <c r="F30" s="37" t="str">
        <f>B30</f>
        <v>Term Loan B</v>
      </c>
      <c r="G30" s="173">
        <v>0.02</v>
      </c>
      <c r="H30" s="81">
        <f>D30*G30</f>
        <v>53.425396799999987</v>
      </c>
      <c r="I30" s="267">
        <v>7</v>
      </c>
      <c r="J30" s="240">
        <f>IFERROR(G30*D30/I30, "NM")</f>
        <v>7.6321995428571414</v>
      </c>
      <c r="P30" s="26"/>
      <c r="R30" s="107"/>
    </row>
    <row r="31" spans="2:18">
      <c r="B31" s="32" t="s">
        <v>88</v>
      </c>
      <c r="C31" s="268">
        <v>0</v>
      </c>
      <c r="D31" s="166">
        <f t="shared" ref="D31:D34" si="0">C31*$D$13</f>
        <v>0</v>
      </c>
      <c r="F31" s="37" t="str">
        <f>B31</f>
        <v>Senior Note</v>
      </c>
      <c r="G31" s="173">
        <v>0.02</v>
      </c>
      <c r="H31" s="81">
        <f>D31*G31</f>
        <v>0</v>
      </c>
      <c r="I31" s="267">
        <v>5</v>
      </c>
      <c r="J31" s="240">
        <f>IFERROR(G31*D31/I31, "NM")</f>
        <v>0</v>
      </c>
      <c r="P31" s="26"/>
      <c r="R31" s="107"/>
    </row>
    <row r="32" spans="2:18">
      <c r="B32" s="32" t="s">
        <v>89</v>
      </c>
      <c r="C32" s="268">
        <v>0.25</v>
      </c>
      <c r="D32" s="166">
        <f t="shared" si="0"/>
        <v>274.82199999999995</v>
      </c>
      <c r="F32" s="37" t="str">
        <f>B32</f>
        <v>Sub Note</v>
      </c>
      <c r="G32" s="173">
        <v>0.02</v>
      </c>
      <c r="H32" s="188">
        <f>D32*G32</f>
        <v>5.4964399999999989</v>
      </c>
      <c r="I32" s="267">
        <v>7</v>
      </c>
      <c r="J32" s="270">
        <f>IFERROR(G32*D32/I32, "NM")</f>
        <v>0.78520571428571417</v>
      </c>
      <c r="P32" s="26"/>
      <c r="R32" s="107"/>
    </row>
    <row r="33" spans="1:18">
      <c r="B33" s="32" t="s">
        <v>114</v>
      </c>
      <c r="C33" s="268">
        <v>0</v>
      </c>
      <c r="D33" s="166">
        <f t="shared" si="0"/>
        <v>0</v>
      </c>
      <c r="F33" s="271" t="s">
        <v>219</v>
      </c>
      <c r="H33" s="170">
        <f>SUM(H28:H32)</f>
        <v>117.84367359999997</v>
      </c>
      <c r="I33" s="69"/>
      <c r="J33" s="81">
        <f>SUM(J28:J32)</f>
        <v>20.201772617142854</v>
      </c>
      <c r="P33" s="26"/>
      <c r="R33" s="107"/>
    </row>
    <row r="34" spans="1:18">
      <c r="B34" s="35" t="s">
        <v>161</v>
      </c>
      <c r="C34" s="268">
        <v>0</v>
      </c>
      <c r="D34" s="166">
        <f t="shared" si="0"/>
        <v>0</v>
      </c>
      <c r="H34" s="170"/>
      <c r="P34" s="26"/>
      <c r="R34" s="107"/>
    </row>
    <row r="35" spans="1:18" ht="16.2">
      <c r="B35" s="32" t="s">
        <v>74</v>
      </c>
      <c r="C35" s="347">
        <f t="shared" ref="C28:C35" si="1">D35/$D$13</f>
        <v>7.9621448865576649</v>
      </c>
      <c r="D35" s="292">
        <f>D23-SUM(D27:D34)</f>
        <v>8752.690328054201</v>
      </c>
      <c r="F35" s="37"/>
      <c r="G35" s="242" t="s">
        <v>238</v>
      </c>
      <c r="H35" s="242" t="s">
        <v>239</v>
      </c>
      <c r="P35" s="26"/>
      <c r="R35" s="107"/>
    </row>
    <row r="36" spans="1:18">
      <c r="B36" s="47" t="s">
        <v>132</v>
      </c>
      <c r="C36" s="269">
        <f>SUM(C27:C35)</f>
        <v>13.541137543622966</v>
      </c>
      <c r="D36" s="224">
        <f>SUM(D27:D35)</f>
        <v>14885.6100080542</v>
      </c>
      <c r="F36" s="271" t="s">
        <v>240</v>
      </c>
      <c r="G36" s="272">
        <v>0.02</v>
      </c>
      <c r="H36" s="170">
        <f>G36*H17</f>
        <v>277.75222224419997</v>
      </c>
    </row>
    <row r="37" spans="1:18">
      <c r="E37" s="13"/>
      <c r="K37" s="13"/>
    </row>
    <row r="38" spans="1:18">
      <c r="A38" s="10" t="s">
        <v>55</v>
      </c>
      <c r="B38" s="15" t="s">
        <v>4</v>
      </c>
      <c r="C38" s="16"/>
      <c r="D38" s="17"/>
      <c r="E38" s="17"/>
      <c r="F38" s="17"/>
      <c r="G38" s="17"/>
      <c r="H38" s="17"/>
      <c r="I38" s="17"/>
      <c r="J38" s="17"/>
      <c r="K38" s="13"/>
    </row>
    <row r="39" spans="1:18">
      <c r="B39" s="13" t="s">
        <v>5</v>
      </c>
      <c r="C39" s="18">
        <f>D39-1</f>
        <v>2013</v>
      </c>
      <c r="D39" s="18">
        <f>E39-1</f>
        <v>2014</v>
      </c>
      <c r="E39" s="18">
        <f>YEAR(E40)</f>
        <v>2015</v>
      </c>
      <c r="F39" s="19">
        <f>E39+1</f>
        <v>2016</v>
      </c>
      <c r="G39" s="19">
        <f>F39+1</f>
        <v>2017</v>
      </c>
      <c r="H39" s="19">
        <f>G39+1</f>
        <v>2018</v>
      </c>
      <c r="I39" s="19">
        <f>H39+1</f>
        <v>2019</v>
      </c>
      <c r="J39" s="19">
        <f>I39+1</f>
        <v>2020</v>
      </c>
      <c r="K39" s="13"/>
    </row>
    <row r="40" spans="1:18">
      <c r="B40" s="20" t="s">
        <v>6</v>
      </c>
      <c r="C40" s="21">
        <v>41545</v>
      </c>
      <c r="D40" s="21">
        <v>41909</v>
      </c>
      <c r="E40" s="21">
        <v>42273</v>
      </c>
      <c r="F40" s="22">
        <f>EOMONTH(E40,12)</f>
        <v>42643</v>
      </c>
      <c r="G40" s="22">
        <f>EOMONTH(F40,12)</f>
        <v>43008</v>
      </c>
      <c r="H40" s="22">
        <f>EOMONTH(G40,12)</f>
        <v>43373</v>
      </c>
      <c r="I40" s="22">
        <f>EOMONTH(H40,12)</f>
        <v>43738</v>
      </c>
      <c r="J40" s="22">
        <f>EOMONTH(I40,12)</f>
        <v>44104</v>
      </c>
      <c r="K40" s="13"/>
    </row>
    <row r="41" spans="1:18">
      <c r="B41" s="23"/>
      <c r="C41" s="24"/>
      <c r="D41" s="24"/>
      <c r="E41" s="25"/>
      <c r="F41" s="25"/>
      <c r="G41" s="25"/>
      <c r="H41" s="25"/>
      <c r="I41" s="25"/>
      <c r="J41" s="25"/>
      <c r="K41" s="13"/>
    </row>
    <row r="42" spans="1:18">
      <c r="B42" s="13" t="s">
        <v>7</v>
      </c>
      <c r="C42" s="326">
        <v>4358.1000000000004</v>
      </c>
      <c r="D42" s="326">
        <v>4707.68</v>
      </c>
      <c r="E42" s="326">
        <v>4520.0309999999999</v>
      </c>
      <c r="F42" s="166">
        <f>E42*(F63+1)</f>
        <v>4522.2910155</v>
      </c>
      <c r="G42" s="166">
        <f t="shared" ref="G42:J42" si="2">F42*(G63+1)</f>
        <v>4951.9086619724994</v>
      </c>
      <c r="H42" s="166">
        <f t="shared" si="2"/>
        <v>6041.3285676064488</v>
      </c>
      <c r="I42" s="166">
        <f t="shared" si="2"/>
        <v>7430.8341381559321</v>
      </c>
      <c r="J42" s="166">
        <f t="shared" si="2"/>
        <v>9734.3927209842714</v>
      </c>
    </row>
    <row r="43" spans="1:18">
      <c r="B43" s="13" t="s">
        <v>8</v>
      </c>
      <c r="C43" s="326">
        <v>-2738.7140000000004</v>
      </c>
      <c r="D43" s="327">
        <v>-2891.82</v>
      </c>
      <c r="E43" s="327">
        <v>-2912.5070000000001</v>
      </c>
      <c r="F43" s="166">
        <f>F44-F42</f>
        <v>-2844.599281256244</v>
      </c>
      <c r="G43" s="166">
        <f t="shared" ref="G43:J43" si="3">G44-G42</f>
        <v>-3102.4564413206554</v>
      </c>
      <c r="H43" s="166">
        <f t="shared" si="3"/>
        <v>-3769.8935369921833</v>
      </c>
      <c r="I43" s="166">
        <f t="shared" si="3"/>
        <v>-4618.3919651549959</v>
      </c>
      <c r="J43" s="166">
        <f t="shared" si="3"/>
        <v>-6025.7574925505842</v>
      </c>
    </row>
    <row r="44" spans="1:18">
      <c r="B44" s="26" t="s">
        <v>9</v>
      </c>
      <c r="C44" s="328">
        <f>SUM(C42:C43)</f>
        <v>1619.386</v>
      </c>
      <c r="D44" s="328">
        <f>SUM(D42:D43)</f>
        <v>1815.8600000000001</v>
      </c>
      <c r="E44" s="328">
        <f>SUM(E42:E43)</f>
        <v>1607.5239999999999</v>
      </c>
      <c r="F44" s="165">
        <f>F42*F64</f>
        <v>1677.6917342437559</v>
      </c>
      <c r="G44" s="165">
        <f t="shared" ref="G44:J44" si="4">G42*G64</f>
        <v>1849.4522206518438</v>
      </c>
      <c r="H44" s="165">
        <f t="shared" si="4"/>
        <v>2271.4350306142655</v>
      </c>
      <c r="I44" s="165">
        <f t="shared" si="4"/>
        <v>2812.4421730009362</v>
      </c>
      <c r="J44" s="165">
        <f t="shared" si="4"/>
        <v>3708.6352284336872</v>
      </c>
    </row>
    <row r="45" spans="1:18">
      <c r="B45" s="27" t="s">
        <v>10</v>
      </c>
      <c r="C45" s="338">
        <v>0</v>
      </c>
      <c r="D45" s="338">
        <v>0</v>
      </c>
      <c r="E45" s="338">
        <v>0</v>
      </c>
      <c r="F45" s="166">
        <f>E45</f>
        <v>0</v>
      </c>
      <c r="G45" s="166">
        <f t="shared" ref="G45:J45" si="5">F45</f>
        <v>0</v>
      </c>
      <c r="H45" s="166">
        <f t="shared" si="5"/>
        <v>0</v>
      </c>
      <c r="I45" s="166">
        <f t="shared" si="5"/>
        <v>0</v>
      </c>
      <c r="J45" s="166">
        <f t="shared" si="5"/>
        <v>0</v>
      </c>
    </row>
    <row r="46" spans="1:18">
      <c r="B46" s="27" t="s">
        <v>11</v>
      </c>
      <c r="C46" s="330">
        <f>(((-(560430+293729))/10)/10)/10</f>
        <v>-854.15899999999999</v>
      </c>
      <c r="D46" s="330">
        <f>(((-(561573+307046))/10)/10)/10</f>
        <v>-868.61899999999991</v>
      </c>
      <c r="E46" s="330">
        <f>(((-(539259+287591+15250))/10)/10)/10</f>
        <v>-842.1</v>
      </c>
      <c r="F46" s="166">
        <f>-(F42*F66)</f>
        <v>-854.42436485138376</v>
      </c>
      <c r="G46" s="166">
        <f>-(G42*G66)</f>
        <v>-960.35422282212767</v>
      </c>
      <c r="H46" s="166">
        <f>-(H42*H66)</f>
        <v>-1201.8387946810278</v>
      </c>
      <c r="I46" s="166">
        <f>-(I42*I66)</f>
        <v>-1515.4158881484441</v>
      </c>
      <c r="J46" s="166">
        <f>-(J42*J66)</f>
        <v>-2033.8667770793832</v>
      </c>
    </row>
    <row r="47" spans="1:18">
      <c r="B47" s="26" t="s">
        <v>12</v>
      </c>
      <c r="C47" s="328">
        <f>SUM(C44:C46)</f>
        <v>765.22699999999998</v>
      </c>
      <c r="D47" s="328">
        <f>SUM(D44:D46)</f>
        <v>947.24100000000021</v>
      </c>
      <c r="E47" s="328">
        <f>SUM(E44:E46)</f>
        <v>765.42399999999986</v>
      </c>
      <c r="F47" s="165">
        <f>SUM(F44:F46)</f>
        <v>823.26736939237219</v>
      </c>
      <c r="G47" s="165">
        <f t="shared" ref="G47:J47" si="6">SUM(G44:G46)</f>
        <v>889.09799782971618</v>
      </c>
      <c r="H47" s="165">
        <f t="shared" si="6"/>
        <v>1069.5962359332377</v>
      </c>
      <c r="I47" s="165">
        <f t="shared" si="6"/>
        <v>1297.0262848524922</v>
      </c>
      <c r="J47" s="165">
        <f t="shared" si="6"/>
        <v>1674.768451354304</v>
      </c>
      <c r="K47" s="43"/>
    </row>
    <row r="48" spans="1:18">
      <c r="B48" s="13" t="s">
        <v>13</v>
      </c>
      <c r="C48" s="331">
        <f>(((960+5513)/10)/10)/10</f>
        <v>6.472999999999999</v>
      </c>
      <c r="D48" s="331">
        <f>(((262+8307)/10)/10)/10</f>
        <v>8.5689999999999991</v>
      </c>
      <c r="E48" s="331">
        <f>(((1123+8077)/10)/10)/10</f>
        <v>9.1999999999999993</v>
      </c>
      <c r="F48" s="315">
        <f>F41</f>
        <v>0</v>
      </c>
      <c r="G48" s="315">
        <f>G41</f>
        <v>0</v>
      </c>
      <c r="H48" s="315">
        <f>H41</f>
        <v>0</v>
      </c>
      <c r="I48" s="315">
        <f>I41</f>
        <v>0</v>
      </c>
      <c r="J48" s="315">
        <f>J41</f>
        <v>0</v>
      </c>
    </row>
    <row r="49" spans="2:11">
      <c r="B49" s="13" t="s">
        <v>14</v>
      </c>
      <c r="C49" s="327">
        <v>-18.177</v>
      </c>
      <c r="D49" s="327">
        <v>-11.690999999999999</v>
      </c>
      <c r="E49" s="327">
        <v>-1.8820000000000001</v>
      </c>
      <c r="F49" s="219">
        <f ca="1">-(SUM(F199:F204))</f>
        <v>-235.4380454550047</v>
      </c>
      <c r="G49" s="219">
        <f ca="1">-(SUM(G199:G204))</f>
        <v>-218.39785454953235</v>
      </c>
      <c r="H49" s="219">
        <f ca="1">-(SUM(H199:H204))</f>
        <v>-202.97332058993203</v>
      </c>
      <c r="I49" s="219">
        <f ca="1">-(SUM(I199:I204))</f>
        <v>-187.27429253885379</v>
      </c>
      <c r="J49" s="219">
        <f ca="1">-(SUM(J199:J204))</f>
        <v>-194.18088428516106</v>
      </c>
    </row>
    <row r="50" spans="2:11">
      <c r="B50" s="27" t="s">
        <v>171</v>
      </c>
      <c r="C50" s="327">
        <v>-12.649000000000001</v>
      </c>
      <c r="D50" s="327">
        <v>-19.745999999999999</v>
      </c>
      <c r="E50" s="327">
        <v>-22.166</v>
      </c>
      <c r="F50" s="166">
        <f>AVERAGE(C50:E50)</f>
        <v>-18.186999999999998</v>
      </c>
      <c r="G50" s="166">
        <f>F50</f>
        <v>-18.186999999999998</v>
      </c>
      <c r="H50" s="166">
        <f t="shared" ref="H50:J50" si="7">G50</f>
        <v>-18.186999999999998</v>
      </c>
      <c r="I50" s="166">
        <f t="shared" si="7"/>
        <v>-18.186999999999998</v>
      </c>
      <c r="J50" s="166">
        <f t="shared" si="7"/>
        <v>-18.186999999999998</v>
      </c>
    </row>
    <row r="51" spans="2:11">
      <c r="B51" s="26" t="s">
        <v>15</v>
      </c>
      <c r="C51" s="328">
        <f>SUM(C47:C50)</f>
        <v>740.87399999999991</v>
      </c>
      <c r="D51" s="328">
        <f>SUM(D47:D50)</f>
        <v>924.37300000000016</v>
      </c>
      <c r="E51" s="328">
        <f>SUM(E47:E50)</f>
        <v>750.57599999999991</v>
      </c>
      <c r="F51" s="165">
        <f ca="1">SUM(F47:F50)</f>
        <v>569.64232393736745</v>
      </c>
      <c r="G51" s="165">
        <f t="shared" ref="G51:J51" ca="1" si="8">SUM(G47:G50)</f>
        <v>652.51314328018384</v>
      </c>
      <c r="H51" s="165">
        <f t="shared" ca="1" si="8"/>
        <v>848.43591534330574</v>
      </c>
      <c r="I51" s="165">
        <f t="shared" ca="1" si="8"/>
        <v>1091.5649923136384</v>
      </c>
      <c r="J51" s="165">
        <f t="shared" ca="1" si="8"/>
        <v>1462.4005670691431</v>
      </c>
    </row>
    <row r="52" spans="2:11">
      <c r="B52" s="13" t="s">
        <v>16</v>
      </c>
      <c r="C52" s="327">
        <v>-256.77100000000002</v>
      </c>
      <c r="D52" s="327">
        <v>-326.959</v>
      </c>
      <c r="E52" s="327">
        <v>-251.94800000000001</v>
      </c>
      <c r="F52" s="166">
        <f ca="1">-(F51*F67)</f>
        <v>-196.70894748040416</v>
      </c>
      <c r="G52" s="166">
        <f ca="1">-(G51*G67)</f>
        <v>-225.32590757053342</v>
      </c>
      <c r="H52" s="166">
        <f ca="1">-(H51*H67)</f>
        <v>-292.98197991711226</v>
      </c>
      <c r="I52" s="166">
        <f ca="1">-(I51*I67)</f>
        <v>-376.93933846123406</v>
      </c>
      <c r="J52" s="166">
        <f ca="1">-(J51*J67)</f>
        <v>-504.99631831174565</v>
      </c>
    </row>
    <row r="53" spans="2:11">
      <c r="B53" s="26" t="s">
        <v>17</v>
      </c>
      <c r="C53" s="332">
        <f>SUM(C51:C52)</f>
        <v>484.10299999999989</v>
      </c>
      <c r="D53" s="332">
        <f>SUM(D51:D52)</f>
        <v>597.41400000000021</v>
      </c>
      <c r="E53" s="332">
        <f>SUM(E51:E52)</f>
        <v>498.62799999999993</v>
      </c>
      <c r="F53" s="167">
        <f ca="1">SUM(F51:F52)</f>
        <v>372.93337645696329</v>
      </c>
      <c r="G53" s="167">
        <f t="shared" ref="G53:J53" ca="1" si="9">SUM(G51:G52)</f>
        <v>427.18723570965039</v>
      </c>
      <c r="H53" s="167">
        <f t="shared" ca="1" si="9"/>
        <v>555.45393542619354</v>
      </c>
      <c r="I53" s="167">
        <f t="shared" ca="1" si="9"/>
        <v>714.62565385240441</v>
      </c>
      <c r="J53" s="167">
        <f t="shared" ca="1" si="9"/>
        <v>957.40424875739745</v>
      </c>
    </row>
    <row r="54" spans="2:11">
      <c r="C54" s="329"/>
      <c r="D54" s="329"/>
      <c r="E54" s="329"/>
      <c r="F54" s="43"/>
      <c r="G54" s="43"/>
      <c r="H54" s="43"/>
      <c r="I54" s="43"/>
      <c r="J54" s="43"/>
    </row>
    <row r="55" spans="2:11">
      <c r="B55" s="36" t="s">
        <v>176</v>
      </c>
      <c r="C55" s="329"/>
      <c r="D55" s="329"/>
      <c r="E55" s="329"/>
      <c r="F55" s="43"/>
      <c r="G55" s="43"/>
      <c r="H55" s="43"/>
      <c r="I55" s="43"/>
      <c r="J55" s="43"/>
    </row>
    <row r="56" spans="2:11">
      <c r="B56" s="56" t="s">
        <v>175</v>
      </c>
      <c r="C56" s="335">
        <f>C47</f>
        <v>765.22699999999998</v>
      </c>
      <c r="D56" s="335">
        <f t="shared" ref="D56:E56" si="10">D47</f>
        <v>947.24100000000021</v>
      </c>
      <c r="E56" s="335">
        <f t="shared" si="10"/>
        <v>765.42399999999986</v>
      </c>
      <c r="F56" s="169">
        <f>F47</f>
        <v>823.26736939237219</v>
      </c>
      <c r="G56" s="169">
        <f t="shared" ref="G56:J56" si="11">G47</f>
        <v>889.09799782971618</v>
      </c>
      <c r="H56" s="169">
        <f t="shared" si="11"/>
        <v>1069.5962359332377</v>
      </c>
      <c r="I56" s="169">
        <f t="shared" si="11"/>
        <v>1297.0262848524922</v>
      </c>
      <c r="J56" s="169">
        <f t="shared" si="11"/>
        <v>1674.768451354304</v>
      </c>
    </row>
    <row r="57" spans="2:11">
      <c r="B57" s="37" t="s">
        <v>37</v>
      </c>
      <c r="C57" s="333">
        <f>(((183814+45379+7125)/10)/10)/10</f>
        <v>236.31799999999998</v>
      </c>
      <c r="D57" s="333">
        <f>(((214607+43032+5651)/10)/10)/10</f>
        <v>263.29000000000002</v>
      </c>
      <c r="E57" s="333">
        <f>(((217515+48148+4606)/10)/10)/10</f>
        <v>270.26900000000001</v>
      </c>
      <c r="F57" s="81">
        <f>-(F93+F99)</f>
        <v>227.34828721375231</v>
      </c>
      <c r="G57" s="81">
        <f>-(G93+G99)</f>
        <v>239.96895041436514</v>
      </c>
      <c r="H57" s="81">
        <f>-(H93+H99)</f>
        <v>466.35356317064014</v>
      </c>
      <c r="I57" s="81">
        <f>-(I93+I99)</f>
        <v>723.40234463656952</v>
      </c>
      <c r="J57" s="81">
        <f>-(J93+J99)</f>
        <v>640.01415234053263</v>
      </c>
    </row>
    <row r="58" spans="2:11">
      <c r="B58" s="37" t="s">
        <v>26</v>
      </c>
      <c r="C58" s="331">
        <f>(((31934-12065)/10)/10)/10</f>
        <v>19.869</v>
      </c>
      <c r="D58" s="331">
        <f>(((30673-12005)/10)/10)/10</f>
        <v>18.667999999999999</v>
      </c>
      <c r="E58" s="334">
        <f>(((26081-9936)/10)/10)/10</f>
        <v>16.145</v>
      </c>
      <c r="F58" s="152">
        <f>-F68*SUM(F45:F46,F43)</f>
        <v>49.936819222452975</v>
      </c>
      <c r="G58" s="152">
        <f t="shared" ref="G58:J58" si="12">-G68*SUM(G45:G46,G43)</f>
        <v>54.84794396592757</v>
      </c>
      <c r="H58" s="152">
        <f t="shared" si="12"/>
        <v>67.118386477588345</v>
      </c>
      <c r="I58" s="152">
        <f t="shared" si="12"/>
        <v>82.806406019596452</v>
      </c>
      <c r="J58" s="152">
        <f t="shared" si="12"/>
        <v>108.80492764000455</v>
      </c>
      <c r="K58" s="185"/>
    </row>
    <row r="59" spans="2:11">
      <c r="B59" s="37" t="s">
        <v>172</v>
      </c>
      <c r="C59" s="331">
        <f>(((4910)/10)/10)/10</f>
        <v>4.91</v>
      </c>
      <c r="D59" s="334">
        <f>(((3130+7771)/10)/10)/10</f>
        <v>10.901</v>
      </c>
      <c r="E59" s="334">
        <f>(((1442+5541+16492+23975)/10)/10)/10</f>
        <v>47.45</v>
      </c>
      <c r="F59" s="171">
        <f>AVERAGE(C59:E59)</f>
        <v>21.087</v>
      </c>
      <c r="G59" s="171">
        <f>F59</f>
        <v>21.087</v>
      </c>
      <c r="H59" s="171">
        <f t="shared" ref="H59:J59" si="13">G59</f>
        <v>21.087</v>
      </c>
      <c r="I59" s="171">
        <f t="shared" si="13"/>
        <v>21.087</v>
      </c>
      <c r="J59" s="171">
        <f t="shared" si="13"/>
        <v>21.087</v>
      </c>
    </row>
    <row r="60" spans="2:11">
      <c r="B60" s="90" t="s">
        <v>27</v>
      </c>
      <c r="C60" s="335">
        <f>SUM(C56:C59)</f>
        <v>1026.3240000000001</v>
      </c>
      <c r="D60" s="335">
        <f t="shared" ref="D60:E60" si="14">SUM(D56:D59)</f>
        <v>1240.1000000000001</v>
      </c>
      <c r="E60" s="335">
        <f t="shared" si="14"/>
        <v>1099.2879999999998</v>
      </c>
      <c r="F60" s="169">
        <f>SUM(F56:F59)</f>
        <v>1121.6394758285774</v>
      </c>
      <c r="G60" s="169">
        <f t="shared" ref="G60:J60" si="15">SUM(G56:G59)</f>
        <v>1205.0018922100087</v>
      </c>
      <c r="H60" s="169">
        <f t="shared" si="15"/>
        <v>1624.1551855814662</v>
      </c>
      <c r="I60" s="169">
        <f t="shared" si="15"/>
        <v>2124.3220355086582</v>
      </c>
      <c r="J60" s="169">
        <f t="shared" si="15"/>
        <v>2444.6745313348415</v>
      </c>
    </row>
    <row r="61" spans="2:11">
      <c r="B61" s="38"/>
      <c r="C61" s="39"/>
      <c r="D61" s="39"/>
      <c r="E61" s="39"/>
      <c r="F61" s="39"/>
      <c r="G61" s="39"/>
      <c r="H61" s="39"/>
      <c r="I61" s="39"/>
      <c r="J61" s="39"/>
    </row>
    <row r="62" spans="2:11">
      <c r="B62" s="31" t="s">
        <v>19</v>
      </c>
      <c r="F62" s="81"/>
      <c r="K62" s="75" t="s">
        <v>135</v>
      </c>
    </row>
    <row r="63" spans="2:11">
      <c r="B63" s="48" t="s">
        <v>20</v>
      </c>
      <c r="C63" s="33" t="s">
        <v>21</v>
      </c>
      <c r="D63" s="34">
        <f>D42/C42-1</f>
        <v>8.0213854661435047E-2</v>
      </c>
      <c r="E63" s="34">
        <f>E42/D42-1</f>
        <v>-3.9860185908982881E-2</v>
      </c>
      <c r="F63" s="79">
        <v>5.0000000000000001E-4</v>
      </c>
      <c r="G63" s="79">
        <v>9.5000000000000001E-2</v>
      </c>
      <c r="H63" s="79">
        <v>0.22</v>
      </c>
      <c r="I63" s="79">
        <v>0.23</v>
      </c>
      <c r="J63" s="79">
        <v>0.31</v>
      </c>
      <c r="K63" s="44"/>
    </row>
    <row r="64" spans="2:11">
      <c r="B64" s="48" t="s">
        <v>22</v>
      </c>
      <c r="C64" s="34">
        <f>C44/C42</f>
        <v>0.37158073472384751</v>
      </c>
      <c r="D64" s="34">
        <f>D44/D42</f>
        <v>0.38572290385072905</v>
      </c>
      <c r="E64" s="34">
        <f>E44/E42</f>
        <v>0.35564446350036094</v>
      </c>
      <c r="F64" s="163">
        <f>AVERAGE(C64:E64)</f>
        <v>0.37098270069164591</v>
      </c>
      <c r="G64" s="163">
        <f>F64+$K$64</f>
        <v>0.37348270069164591</v>
      </c>
      <c r="H64" s="163">
        <f t="shared" ref="H64:J64" si="16">G64+$K$64</f>
        <v>0.37598270069164591</v>
      </c>
      <c r="I64" s="163">
        <f t="shared" si="16"/>
        <v>0.37848270069164591</v>
      </c>
      <c r="J64" s="163">
        <f t="shared" si="16"/>
        <v>0.38098270069164591</v>
      </c>
      <c r="K64" s="44">
        <v>2.5000000000000001E-3</v>
      </c>
    </row>
    <row r="65" spans="2:11">
      <c r="B65" s="46" t="s">
        <v>23</v>
      </c>
      <c r="C65" s="34">
        <f>C45/C42</f>
        <v>0</v>
      </c>
      <c r="D65" s="34">
        <f t="shared" ref="D65:J65" si="17">D45/D42</f>
        <v>0</v>
      </c>
      <c r="E65" s="34">
        <f t="shared" si="17"/>
        <v>0</v>
      </c>
      <c r="F65" s="34">
        <f t="shared" si="17"/>
        <v>0</v>
      </c>
      <c r="G65" s="34">
        <f t="shared" si="17"/>
        <v>0</v>
      </c>
      <c r="H65" s="34">
        <f t="shared" si="17"/>
        <v>0</v>
      </c>
      <c r="I65" s="34">
        <f t="shared" si="17"/>
        <v>0</v>
      </c>
      <c r="J65" s="34">
        <f t="shared" si="17"/>
        <v>0</v>
      </c>
      <c r="K65" s="44">
        <v>0</v>
      </c>
    </row>
    <row r="66" spans="2:11">
      <c r="B66" s="48" t="s">
        <v>24</v>
      </c>
      <c r="C66" s="34">
        <f>-(C46/C42)</f>
        <v>0.19599343750717055</v>
      </c>
      <c r="D66" s="34">
        <f t="shared" ref="D66:E66" si="18">-(D46/D42)</f>
        <v>0.18451105427726605</v>
      </c>
      <c r="E66" s="34">
        <f t="shared" si="18"/>
        <v>0.18630403198562134</v>
      </c>
      <c r="F66" s="34">
        <f>AVERAGE(C66:E66)</f>
        <v>0.18893617459001932</v>
      </c>
      <c r="G66" s="34">
        <f>F66+$K$66</f>
        <v>0.19393617459001933</v>
      </c>
      <c r="H66" s="34">
        <f t="shared" ref="H66:J66" si="19">G66+$K$66</f>
        <v>0.19893617459001933</v>
      </c>
      <c r="I66" s="34">
        <f t="shared" si="19"/>
        <v>0.20393617459001934</v>
      </c>
      <c r="J66" s="34">
        <f t="shared" si="19"/>
        <v>0.20893617459001934</v>
      </c>
      <c r="K66" s="44">
        <v>5.0000000000000001E-3</v>
      </c>
    </row>
    <row r="67" spans="2:11">
      <c r="B67" s="48" t="s">
        <v>25</v>
      </c>
      <c r="C67" s="34">
        <f>-C52/C51</f>
        <v>0.34657850052775513</v>
      </c>
      <c r="D67" s="34">
        <f>-D52/D51</f>
        <v>0.35370894649670637</v>
      </c>
      <c r="E67" s="34">
        <f>-E52/E51</f>
        <v>0.33567286990258155</v>
      </c>
      <c r="F67" s="163">
        <f t="shared" ref="F67" si="20">AVERAGE(C67:E67)</f>
        <v>0.34532010564234766</v>
      </c>
      <c r="G67" s="163">
        <f t="shared" ref="G67:J67" si="21">F67+$K67</f>
        <v>0.34532010564234766</v>
      </c>
      <c r="H67" s="163">
        <f t="shared" si="21"/>
        <v>0.34532010564234766</v>
      </c>
      <c r="I67" s="163">
        <f t="shared" si="21"/>
        <v>0.34532010564234766</v>
      </c>
      <c r="J67" s="163">
        <f t="shared" si="21"/>
        <v>0.34532010564234766</v>
      </c>
      <c r="K67" s="44">
        <v>0</v>
      </c>
    </row>
    <row r="68" spans="2:11">
      <c r="B68" s="48" t="s">
        <v>35</v>
      </c>
      <c r="C68" s="9">
        <f>-(C58/SUM(C43,C46,C45))</f>
        <v>5.5301147577440108E-3</v>
      </c>
      <c r="D68" s="9">
        <f t="shared" ref="D68:E68" si="22">-(D58/SUM(D43,D46,D45))</f>
        <v>4.9643140069550382E-3</v>
      </c>
      <c r="E68" s="9">
        <f t="shared" si="22"/>
        <v>4.3000505778634087E-3</v>
      </c>
      <c r="F68" s="44">
        <v>1.35E-2</v>
      </c>
      <c r="G68" s="44">
        <v>1.35E-2</v>
      </c>
      <c r="H68" s="44">
        <v>1.35E-2</v>
      </c>
      <c r="I68" s="44">
        <v>1.35E-2</v>
      </c>
      <c r="J68" s="44">
        <v>1.35E-2</v>
      </c>
      <c r="K68" s="44">
        <v>0</v>
      </c>
    </row>
    <row r="69" spans="2:11">
      <c r="B69" s="38"/>
      <c r="C69" s="39"/>
      <c r="D69" s="39"/>
      <c r="E69" s="39"/>
      <c r="F69" s="39"/>
      <c r="G69" s="39"/>
      <c r="H69" s="39"/>
      <c r="I69" s="39"/>
      <c r="J69" s="39"/>
    </row>
    <row r="70" spans="2:11">
      <c r="B70" s="94" t="s">
        <v>30</v>
      </c>
      <c r="C70" s="253"/>
      <c r="D70" s="253"/>
      <c r="E70" s="253"/>
      <c r="F70" s="253"/>
      <c r="G70" s="253"/>
      <c r="H70" s="253"/>
      <c r="I70" s="253"/>
      <c r="J70" s="253"/>
    </row>
    <row r="71" spans="2:11">
      <c r="B71" s="13" t="s">
        <v>5</v>
      </c>
      <c r="C71" s="39"/>
      <c r="D71" s="18">
        <f>D$39</f>
        <v>2014</v>
      </c>
      <c r="E71" s="18">
        <f t="shared" ref="E71:J71" si="23">E$39</f>
        <v>2015</v>
      </c>
      <c r="F71" s="19">
        <f t="shared" si="23"/>
        <v>2016</v>
      </c>
      <c r="G71" s="19">
        <f t="shared" si="23"/>
        <v>2017</v>
      </c>
      <c r="H71" s="19">
        <f t="shared" si="23"/>
        <v>2018</v>
      </c>
      <c r="I71" s="19">
        <f t="shared" si="23"/>
        <v>2019</v>
      </c>
      <c r="J71" s="19">
        <f t="shared" si="23"/>
        <v>2020</v>
      </c>
    </row>
    <row r="72" spans="2:11">
      <c r="B72" s="20" t="s">
        <v>6</v>
      </c>
      <c r="C72" s="253"/>
      <c r="D72" s="22">
        <f>D$40</f>
        <v>41909</v>
      </c>
      <c r="E72" s="22">
        <f t="shared" ref="E72:J72" si="24">E$40</f>
        <v>42273</v>
      </c>
      <c r="F72" s="22">
        <f t="shared" si="24"/>
        <v>42643</v>
      </c>
      <c r="G72" s="22">
        <f t="shared" si="24"/>
        <v>43008</v>
      </c>
      <c r="H72" s="22">
        <f t="shared" si="24"/>
        <v>43373</v>
      </c>
      <c r="I72" s="22">
        <f t="shared" si="24"/>
        <v>43738</v>
      </c>
      <c r="J72" s="22">
        <f t="shared" si="24"/>
        <v>44104</v>
      </c>
    </row>
    <row r="73" spans="2:11">
      <c r="B73" s="23"/>
      <c r="C73" s="39"/>
      <c r="D73" s="39"/>
      <c r="E73" s="39"/>
      <c r="F73" s="39"/>
      <c r="G73" s="39"/>
      <c r="H73" s="39"/>
      <c r="I73" s="39"/>
      <c r="J73" s="39"/>
    </row>
    <row r="74" spans="2:11">
      <c r="B74" s="60" t="s">
        <v>78</v>
      </c>
      <c r="C74" s="50"/>
      <c r="D74" s="343">
        <v>621.45100000000002</v>
      </c>
      <c r="E74" s="343">
        <v>517.93599999999992</v>
      </c>
      <c r="F74" s="169">
        <f>IF(F75,F75*F42,E74*(1+F63))</f>
        <v>557.58657776524001</v>
      </c>
      <c r="G74" s="169">
        <f>IF(G75,G75*G42,F74*(1+G63))</f>
        <v>610.55730265293766</v>
      </c>
      <c r="H74" s="169">
        <f>IF(H75,H75*H42,G74*(1+H63))</f>
        <v>744.8799092365839</v>
      </c>
      <c r="I74" s="169">
        <f>IF(I75,I75*I42,H74*(1+I63))</f>
        <v>916.20228836099818</v>
      </c>
      <c r="J74" s="169">
        <f>IF(J75,J75*J42,I74*(1+J63))</f>
        <v>1200.2249977529077</v>
      </c>
    </row>
    <row r="75" spans="2:11">
      <c r="B75" s="64" t="s">
        <v>32</v>
      </c>
      <c r="C75" s="52"/>
      <c r="D75" s="342">
        <f>D74/D42</f>
        <v>0.13200791047819732</v>
      </c>
      <c r="E75" s="342">
        <f>E74/E42</f>
        <v>0.114586824736379</v>
      </c>
      <c r="F75" s="9">
        <f>AVERAGE(D75:E75)</f>
        <v>0.12329736760728816</v>
      </c>
      <c r="G75" s="9">
        <f>F75</f>
        <v>0.12329736760728816</v>
      </c>
      <c r="H75" s="9">
        <f t="shared" ref="H75:J75" si="25">G75</f>
        <v>0.12329736760728816</v>
      </c>
      <c r="I75" s="9">
        <f t="shared" si="25"/>
        <v>0.12329736760728816</v>
      </c>
      <c r="J75" s="9">
        <f t="shared" si="25"/>
        <v>0.12329736760728816</v>
      </c>
    </row>
    <row r="76" spans="2:11">
      <c r="B76" s="60" t="s">
        <v>173</v>
      </c>
      <c r="C76" s="50"/>
      <c r="D76" s="343">
        <v>69.272000000000006</v>
      </c>
      <c r="E76" s="344">
        <v>95.525999999999996</v>
      </c>
      <c r="F76" s="169">
        <f>IF(F77,F77*F42,E76*(1+F63))</f>
        <v>81.058911802156899</v>
      </c>
      <c r="G76" s="169">
        <f>IF(G77,G77*G42,F76*(1+G63))</f>
        <v>88.759508423361794</v>
      </c>
      <c r="H76" s="169">
        <f>IF(H77,H77*H42,G76*(1+H63))</f>
        <v>108.28660027650137</v>
      </c>
      <c r="I76" s="169">
        <f>IF(I77,I77*I42,H76*(1+I63))</f>
        <v>133.19251834009668</v>
      </c>
      <c r="J76" s="169">
        <f>IF(J77,J77*J42,I76*(1+J63))</f>
        <v>174.48219902552668</v>
      </c>
    </row>
    <row r="77" spans="2:11">
      <c r="B77" s="64" t="s">
        <v>174</v>
      </c>
      <c r="C77" s="52"/>
      <c r="D77" s="342">
        <f>D76/D42</f>
        <v>1.4714678992624818E-2</v>
      </c>
      <c r="E77" s="342">
        <f>E76/E42</f>
        <v>2.1133925851393495E-2</v>
      </c>
      <c r="F77" s="9">
        <f>AVERAGE(D77:E77)</f>
        <v>1.7924302422009156E-2</v>
      </c>
      <c r="G77" s="9">
        <f>F77</f>
        <v>1.7924302422009156E-2</v>
      </c>
      <c r="H77" s="9">
        <f t="shared" ref="H77:J77" si="26">G77</f>
        <v>1.7924302422009156E-2</v>
      </c>
      <c r="I77" s="9">
        <f t="shared" si="26"/>
        <v>1.7924302422009156E-2</v>
      </c>
      <c r="J77" s="9">
        <f t="shared" si="26"/>
        <v>1.7924302422009156E-2</v>
      </c>
    </row>
    <row r="78" spans="2:11">
      <c r="B78" s="60" t="s">
        <v>249</v>
      </c>
      <c r="C78" s="52"/>
      <c r="D78" s="343">
        <v>621.45100000000002</v>
      </c>
      <c r="E78" s="343">
        <v>517.93599999999992</v>
      </c>
      <c r="F78" s="325">
        <f>-(IF(F79,F79*F43,E78*(1+F63)))</f>
        <v>558.58157119382167</v>
      </c>
      <c r="G78" s="325">
        <f>-(IF(G79,G79*G43,F78*(1+G63)))</f>
        <v>609.2158586175135</v>
      </c>
      <c r="H78" s="325">
        <f>-(IF(H79,H79*H43,G78*(1+H63)))</f>
        <v>740.27757406890657</v>
      </c>
      <c r="I78" s="325">
        <f>-(IF(I79,I79*I43,H78*(1+I63)))</f>
        <v>906.89351476806951</v>
      </c>
      <c r="J78" s="325">
        <f>-(IF(J79,J79*J43,I78*(1+J63)))</f>
        <v>1183.2517535951131</v>
      </c>
    </row>
    <row r="79" spans="2:11">
      <c r="B79" s="64" t="s">
        <v>250</v>
      </c>
      <c r="C79" s="52"/>
      <c r="D79" s="342">
        <f>-(D78/D43)</f>
        <v>0.21489961339225816</v>
      </c>
      <c r="E79" s="342">
        <f>-(E78/E43)</f>
        <v>0.17783167559768953</v>
      </c>
      <c r="F79" s="9">
        <f>AVERAGE(D79:E79)</f>
        <v>0.19636564449497385</v>
      </c>
      <c r="G79" s="9">
        <f>F79</f>
        <v>0.19636564449497385</v>
      </c>
      <c r="H79" s="9">
        <f t="shared" ref="H79:J79" si="27">G79</f>
        <v>0.19636564449497385</v>
      </c>
      <c r="I79" s="9">
        <f t="shared" si="27"/>
        <v>0.19636564449497385</v>
      </c>
      <c r="J79" s="9">
        <f t="shared" si="27"/>
        <v>0.19636564449497385</v>
      </c>
    </row>
    <row r="80" spans="2:11">
      <c r="B80" s="60" t="s">
        <v>77</v>
      </c>
      <c r="C80" s="50"/>
      <c r="D80" s="343">
        <v>411.10699999999997</v>
      </c>
      <c r="E80" s="343">
        <v>298.60900000000004</v>
      </c>
      <c r="F80" s="169">
        <f>IF(F81,-F81*F43,E80*(1+F63))</f>
        <v>348.02033476907513</v>
      </c>
      <c r="G80" s="169">
        <f t="shared" ref="G80:J80" si="28">IF(G81,-G81*G43,F80*(1+G63))</f>
        <v>379.56767282808931</v>
      </c>
      <c r="H80" s="169">
        <f t="shared" si="28"/>
        <v>461.22475648253049</v>
      </c>
      <c r="I80" s="169">
        <f t="shared" si="28"/>
        <v>565.03365110119421</v>
      </c>
      <c r="J80" s="169">
        <f t="shared" si="28"/>
        <v>737.21671576482754</v>
      </c>
    </row>
    <row r="81" spans="2:11">
      <c r="B81" s="64" t="s">
        <v>33</v>
      </c>
      <c r="C81" s="52"/>
      <c r="D81" s="342">
        <f>-(D80/D43)</f>
        <v>0.14216202944858253</v>
      </c>
      <c r="E81" s="342">
        <f>-(E80/E43)</f>
        <v>0.10252644886347055</v>
      </c>
      <c r="F81" s="9">
        <f>AVERAGE(D81:E81)</f>
        <v>0.12234423915602655</v>
      </c>
      <c r="G81" s="9">
        <f>F81</f>
        <v>0.12234423915602655</v>
      </c>
      <c r="H81" s="9">
        <f t="shared" ref="H81:J81" si="29">G81</f>
        <v>0.12234423915602655</v>
      </c>
      <c r="I81" s="9">
        <f t="shared" si="29"/>
        <v>0.12234423915602655</v>
      </c>
      <c r="J81" s="9">
        <f t="shared" si="29"/>
        <v>0.12234423915602655</v>
      </c>
    </row>
    <row r="82" spans="2:11">
      <c r="B82" s="60" t="s">
        <v>76</v>
      </c>
      <c r="C82" s="87"/>
      <c r="D82" s="337">
        <f>-(-305.677-2.226)</f>
        <v>307.90300000000002</v>
      </c>
      <c r="E82" s="337">
        <f>-(-226.519-3.271)</f>
        <v>229.79</v>
      </c>
      <c r="F82" s="169">
        <f>IF(F83,F83*F42,E82*(1+F63))</f>
        <v>262.84131957132774</v>
      </c>
      <c r="G82" s="169">
        <f t="shared" ref="G82:J82" si="30">IF(G83,G83*G42,F82*(1+G63))</f>
        <v>287.81124493060383</v>
      </c>
      <c r="H82" s="169">
        <f t="shared" si="30"/>
        <v>351.12971881533667</v>
      </c>
      <c r="I82" s="169">
        <f t="shared" si="30"/>
        <v>431.88955414286409</v>
      </c>
      <c r="J82" s="169">
        <f t="shared" si="30"/>
        <v>565.77531592715195</v>
      </c>
    </row>
    <row r="83" spans="2:11">
      <c r="B83" s="64" t="s">
        <v>84</v>
      </c>
      <c r="C83" s="52"/>
      <c r="D83" s="345">
        <f>D82/D42</f>
        <v>6.5404403018047105E-2</v>
      </c>
      <c r="E83" s="345">
        <f>E82/E42</f>
        <v>5.0838146906514579E-2</v>
      </c>
      <c r="F83" s="9">
        <f>AVERAGE(D83:E83)</f>
        <v>5.8121274962280839E-2</v>
      </c>
      <c r="G83" s="9">
        <f>F83</f>
        <v>5.8121274962280839E-2</v>
      </c>
      <c r="H83" s="9">
        <f t="shared" ref="H83:J83" si="31">G83</f>
        <v>5.8121274962280839E-2</v>
      </c>
      <c r="I83" s="9">
        <f t="shared" si="31"/>
        <v>5.8121274962280839E-2</v>
      </c>
      <c r="J83" s="9">
        <f t="shared" si="31"/>
        <v>5.8121274962280839E-2</v>
      </c>
    </row>
    <row r="84" spans="2:11">
      <c r="B84" s="64"/>
      <c r="C84" s="52"/>
      <c r="D84" s="8"/>
      <c r="E84" s="9"/>
      <c r="F84" s="44"/>
      <c r="G84" s="44"/>
      <c r="H84" s="44"/>
      <c r="I84" s="44"/>
      <c r="J84" s="44"/>
    </row>
    <row r="85" spans="2:11">
      <c r="B85" s="149" t="s">
        <v>127</v>
      </c>
      <c r="C85" s="23"/>
      <c r="D85" s="346">
        <f>D74+D76+-D80-D82+D78</f>
        <v>593.1640000000001</v>
      </c>
      <c r="E85" s="346">
        <f t="shared" ref="E85:J85" si="32">E74+E76+-E80-E82+E78</f>
        <v>602.9989999999998</v>
      </c>
      <c r="F85" s="346">
        <f t="shared" si="32"/>
        <v>586.3654064208157</v>
      </c>
      <c r="G85" s="346">
        <f t="shared" si="32"/>
        <v>641.15375193511977</v>
      </c>
      <c r="H85" s="346">
        <f t="shared" si="32"/>
        <v>781.08960828412478</v>
      </c>
      <c r="I85" s="346">
        <f t="shared" si="32"/>
        <v>959.36511622510614</v>
      </c>
      <c r="J85" s="346">
        <f t="shared" si="32"/>
        <v>1254.9669186815679</v>
      </c>
    </row>
    <row r="86" spans="2:11">
      <c r="B86" s="27"/>
      <c r="D86" s="53"/>
      <c r="E86" s="53"/>
      <c r="F86" s="43"/>
      <c r="G86" s="43"/>
      <c r="H86" s="43"/>
      <c r="I86" s="43"/>
      <c r="J86" s="43"/>
    </row>
    <row r="87" spans="2:11">
      <c r="B87" s="254" t="s">
        <v>180</v>
      </c>
      <c r="C87" s="95"/>
      <c r="D87" s="95"/>
      <c r="E87" s="95"/>
      <c r="F87" s="85"/>
      <c r="G87" s="85"/>
      <c r="H87" s="85"/>
      <c r="I87" s="85"/>
      <c r="J87" s="85"/>
    </row>
    <row r="88" spans="2:11">
      <c r="B88" s="13" t="s">
        <v>5</v>
      </c>
      <c r="C88" s="39"/>
      <c r="D88" s="18">
        <f>D$39</f>
        <v>2014</v>
      </c>
      <c r="E88" s="18">
        <f t="shared" ref="E88:J88" si="33">E$39</f>
        <v>2015</v>
      </c>
      <c r="F88" s="19">
        <f t="shared" si="33"/>
        <v>2016</v>
      </c>
      <c r="G88" s="19">
        <f t="shared" si="33"/>
        <v>2017</v>
      </c>
      <c r="H88" s="19">
        <f t="shared" si="33"/>
        <v>2018</v>
      </c>
      <c r="I88" s="19">
        <f t="shared" si="33"/>
        <v>2019</v>
      </c>
      <c r="J88" s="19">
        <f t="shared" si="33"/>
        <v>2020</v>
      </c>
    </row>
    <row r="89" spans="2:11">
      <c r="B89" s="20" t="s">
        <v>6</v>
      </c>
      <c r="C89" s="253"/>
      <c r="D89" s="22">
        <f>D$40</f>
        <v>41909</v>
      </c>
      <c r="E89" s="22">
        <f t="shared" ref="E89:J89" si="34">E$40</f>
        <v>42273</v>
      </c>
      <c r="F89" s="22">
        <f t="shared" si="34"/>
        <v>42643</v>
      </c>
      <c r="G89" s="22">
        <f t="shared" si="34"/>
        <v>43008</v>
      </c>
      <c r="H89" s="22">
        <f t="shared" si="34"/>
        <v>43373</v>
      </c>
      <c r="I89" s="22">
        <f t="shared" si="34"/>
        <v>43738</v>
      </c>
      <c r="J89" s="22">
        <f t="shared" si="34"/>
        <v>44104</v>
      </c>
    </row>
    <row r="90" spans="2:11">
      <c r="B90" s="88"/>
    </row>
    <row r="91" spans="2:11">
      <c r="B91" s="60" t="s">
        <v>81</v>
      </c>
      <c r="C91" s="338"/>
      <c r="D91" s="341">
        <v>1171.425</v>
      </c>
      <c r="E91" s="341">
        <v>1293.5630000000001</v>
      </c>
      <c r="F91" s="169">
        <f>E91+SUM(F92:F93)</f>
        <v>1349.4558455922477</v>
      </c>
      <c r="G91" s="169">
        <f>F91+SUM(G92:G93)</f>
        <v>1391.3855566215761</v>
      </c>
      <c r="H91" s="169">
        <f>G91+SUM(H92:H93)</f>
        <v>1448.1039502918454</v>
      </c>
      <c r="I91" s="169">
        <f>H91+SUM(I92:I93)</f>
        <v>1490.9335170564013</v>
      </c>
      <c r="J91" s="169">
        <f>I91+SUM(J92:J93)</f>
        <v>1490.9335170564013</v>
      </c>
      <c r="K91" s="75"/>
    </row>
    <row r="92" spans="2:11">
      <c r="B92" s="86" t="s">
        <v>39</v>
      </c>
      <c r="C92" s="331"/>
      <c r="D92" s="327">
        <v>337.86</v>
      </c>
      <c r="E92" s="327">
        <v>411.09899999999999</v>
      </c>
      <c r="F92" s="171">
        <f>F94*F42</f>
        <v>235.15913280599997</v>
      </c>
      <c r="G92" s="171">
        <f t="shared" ref="G92:J92" si="35">G94*G42</f>
        <v>235.21566144369373</v>
      </c>
      <c r="H92" s="171">
        <f t="shared" si="35"/>
        <v>477.26495684090946</v>
      </c>
      <c r="I92" s="171">
        <f t="shared" si="35"/>
        <v>720.79091140112541</v>
      </c>
      <c r="J92" s="171">
        <f t="shared" si="35"/>
        <v>598.6651523405327</v>
      </c>
      <c r="K92"/>
    </row>
    <row r="93" spans="2:11">
      <c r="B93" s="86" t="s">
        <v>80</v>
      </c>
      <c r="C93" s="338"/>
      <c r="D93" s="331"/>
      <c r="E93" s="334">
        <f>E92+D91-E91</f>
        <v>288.96099999999979</v>
      </c>
      <c r="F93" s="171">
        <f>-(F95*F92)</f>
        <v>-179.26628721375232</v>
      </c>
      <c r="G93" s="171">
        <f>-(G95*G92)</f>
        <v>-193.28595041436515</v>
      </c>
      <c r="H93" s="171">
        <f>-(H95*H92)</f>
        <v>-420.54656317064013</v>
      </c>
      <c r="I93" s="171">
        <f>-(I95*I92)</f>
        <v>-677.96134463656949</v>
      </c>
      <c r="J93" s="171">
        <f>-(J95*J92)</f>
        <v>-598.66515234053259</v>
      </c>
      <c r="K93" s="75" t="s">
        <v>178</v>
      </c>
    </row>
    <row r="94" spans="2:11">
      <c r="B94" s="88" t="s">
        <v>181</v>
      </c>
      <c r="C94" s="334"/>
      <c r="D94" s="334"/>
      <c r="E94" s="336">
        <f>E92/E42</f>
        <v>9.0950482419257739E-2</v>
      </c>
      <c r="F94" s="44">
        <v>5.1999999999999998E-2</v>
      </c>
      <c r="G94" s="44">
        <v>4.7500000000000001E-2</v>
      </c>
      <c r="H94" s="44">
        <v>7.9000000000000001E-2</v>
      </c>
      <c r="I94" s="44">
        <v>9.7000000000000003E-2</v>
      </c>
      <c r="J94" s="44">
        <v>6.1499999999999999E-2</v>
      </c>
      <c r="K94" s="179" t="s">
        <v>162</v>
      </c>
    </row>
    <row r="95" spans="2:11">
      <c r="B95" s="88" t="s">
        <v>160</v>
      </c>
      <c r="C95" s="329"/>
      <c r="D95" s="329"/>
      <c r="E95" s="336">
        <f>E93/E92</f>
        <v>0.70289881512725594</v>
      </c>
      <c r="F95" s="342">
        <f>IF($K$94="YES", E95+$K$95,$E$95)</f>
        <v>0.76231905210180473</v>
      </c>
      <c r="G95" s="342">
        <f t="shared" ref="G95:J95" si="36">IF($K$94="YES", F95+$K$95,$E$95)</f>
        <v>0.82173928907635352</v>
      </c>
      <c r="H95" s="342">
        <f t="shared" si="36"/>
        <v>0.88115952605090231</v>
      </c>
      <c r="I95" s="342">
        <f t="shared" si="36"/>
        <v>0.9405797630254511</v>
      </c>
      <c r="J95" s="342">
        <f t="shared" si="36"/>
        <v>0.99999999999999989</v>
      </c>
      <c r="K95" s="151">
        <f>IF(K94="Yes",(1-E95)/COLUMNS(F95:J95),0)</f>
        <v>5.9420236974548811E-2</v>
      </c>
    </row>
    <row r="96" spans="2:11">
      <c r="B96" s="88"/>
      <c r="C96" s="329"/>
      <c r="D96" s="329"/>
      <c r="E96" s="329"/>
      <c r="F96" s="80"/>
      <c r="G96" s="80"/>
      <c r="H96" s="80"/>
      <c r="I96" s="80"/>
      <c r="J96" s="80"/>
    </row>
    <row r="97" spans="2:10">
      <c r="B97" s="60" t="s">
        <v>179</v>
      </c>
      <c r="C97" s="338"/>
      <c r="D97" s="341">
        <v>365.44400000000002</v>
      </c>
      <c r="E97" s="341">
        <v>423.887</v>
      </c>
      <c r="F97" s="169">
        <f>E97+F98+F99</f>
        <v>375.80500000000001</v>
      </c>
      <c r="G97" s="169">
        <f>F97+G98+G99</f>
        <v>329.12200000000001</v>
      </c>
      <c r="H97" s="169">
        <f>G97+H98+H99</f>
        <v>283.315</v>
      </c>
      <c r="I97" s="169">
        <f>H97+I98+I99</f>
        <v>237.874</v>
      </c>
      <c r="J97" s="169">
        <f t="shared" ref="J97" si="37">I97+J98+J99</f>
        <v>196.52500000000001</v>
      </c>
    </row>
    <row r="98" spans="2:10">
      <c r="B98" s="86" t="s">
        <v>177</v>
      </c>
      <c r="C98" s="338"/>
      <c r="D98" s="338">
        <v>0</v>
      </c>
      <c r="E98" s="327">
        <v>60.178999999999995</v>
      </c>
      <c r="F98" s="168">
        <v>0</v>
      </c>
      <c r="G98" s="171">
        <f>F98</f>
        <v>0</v>
      </c>
      <c r="H98" s="171">
        <f t="shared" ref="H98:J98" si="38">G98</f>
        <v>0</v>
      </c>
      <c r="I98" s="171">
        <f t="shared" si="38"/>
        <v>0</v>
      </c>
      <c r="J98" s="171">
        <f t="shared" si="38"/>
        <v>0</v>
      </c>
    </row>
    <row r="99" spans="2:10">
      <c r="B99" s="86" t="s">
        <v>79</v>
      </c>
      <c r="C99" s="338"/>
      <c r="D99" s="338">
        <v>-43</v>
      </c>
      <c r="E99" s="338">
        <v>-48.1</v>
      </c>
      <c r="F99" s="168">
        <v>-48.082000000000001</v>
      </c>
      <c r="G99" s="168">
        <v>-46.683</v>
      </c>
      <c r="H99" s="168">
        <v>-45.807000000000002</v>
      </c>
      <c r="I99" s="168">
        <v>-45.441000000000003</v>
      </c>
      <c r="J99" s="168">
        <v>-41.348999999999997</v>
      </c>
    </row>
    <row r="100" spans="2:10">
      <c r="B100" s="37"/>
      <c r="C100" s="339"/>
      <c r="D100" s="339"/>
      <c r="E100" s="339"/>
      <c r="F100" s="65"/>
      <c r="G100" s="65"/>
      <c r="H100" s="65"/>
      <c r="I100" s="65"/>
      <c r="J100" s="65"/>
    </row>
    <row r="101" spans="2:10">
      <c r="B101" s="139" t="s">
        <v>202</v>
      </c>
      <c r="C101" s="338"/>
      <c r="D101" s="340">
        <f>(((755895+58892)/10)/10)/10</f>
        <v>814.78700000000003</v>
      </c>
      <c r="E101" s="340">
        <f>(((747406+18386)/10)/10)/10</f>
        <v>765.79200000000003</v>
      </c>
      <c r="F101" s="169">
        <f>E101</f>
        <v>765.79200000000003</v>
      </c>
      <c r="G101" s="169">
        <f>F101</f>
        <v>765.79200000000003</v>
      </c>
      <c r="H101" s="169">
        <f>G101</f>
        <v>765.79200000000003</v>
      </c>
      <c r="I101" s="169">
        <f>H101</f>
        <v>765.79200000000003</v>
      </c>
      <c r="J101" s="169">
        <f>I101</f>
        <v>765.79200000000003</v>
      </c>
    </row>
    <row r="102" spans="2:10">
      <c r="B102" s="139"/>
      <c r="C102" s="329"/>
      <c r="D102" s="338"/>
      <c r="E102" s="338"/>
      <c r="F102" s="170"/>
      <c r="G102" s="170"/>
      <c r="H102" s="170"/>
      <c r="I102" s="170"/>
      <c r="J102" s="170"/>
    </row>
    <row r="103" spans="2:10">
      <c r="B103" s="60" t="s">
        <v>83</v>
      </c>
      <c r="C103" s="338"/>
      <c r="D103" s="341">
        <v>23.085000000000001</v>
      </c>
      <c r="E103" s="341">
        <v>42.524999999999999</v>
      </c>
      <c r="F103" s="169">
        <f>E103</f>
        <v>42.524999999999999</v>
      </c>
      <c r="G103" s="169">
        <f>F103</f>
        <v>42.524999999999999</v>
      </c>
      <c r="H103" s="169">
        <f t="shared" ref="H103" si="39">G103</f>
        <v>42.524999999999999</v>
      </c>
      <c r="I103" s="169">
        <f t="shared" ref="I103" si="40">H103</f>
        <v>42.524999999999999</v>
      </c>
      <c r="J103" s="169">
        <f t="shared" ref="J103" si="41">I103</f>
        <v>42.524999999999999</v>
      </c>
    </row>
    <row r="104" spans="2:10">
      <c r="B104" s="32"/>
      <c r="C104" s="53"/>
      <c r="D104" s="53"/>
      <c r="E104" s="53"/>
      <c r="F104" s="43"/>
      <c r="G104" s="43"/>
      <c r="H104" s="43"/>
      <c r="I104" s="43"/>
      <c r="J104" s="43"/>
    </row>
    <row r="105" spans="2:10">
      <c r="B105" s="15" t="s">
        <v>36</v>
      </c>
      <c r="C105" s="22"/>
      <c r="D105" s="22"/>
      <c r="E105" s="22"/>
      <c r="F105" s="22"/>
      <c r="G105" s="22"/>
      <c r="H105" s="22"/>
      <c r="I105" s="22"/>
      <c r="J105" s="22"/>
    </row>
    <row r="106" spans="2:10">
      <c r="B106" s="45" t="str">
        <f>B39</f>
        <v xml:space="preserve">Fiscal year  </v>
      </c>
      <c r="C106" s="40"/>
      <c r="D106" s="40"/>
      <c r="E106" s="40"/>
      <c r="F106" s="41">
        <f t="shared" ref="F106:J107" si="42">F39</f>
        <v>2016</v>
      </c>
      <c r="G106" s="41">
        <f t="shared" si="42"/>
        <v>2017</v>
      </c>
      <c r="H106" s="41">
        <f t="shared" si="42"/>
        <v>2018</v>
      </c>
      <c r="I106" s="41">
        <f t="shared" si="42"/>
        <v>2019</v>
      </c>
      <c r="J106" s="41">
        <f t="shared" si="42"/>
        <v>2020</v>
      </c>
    </row>
    <row r="107" spans="2:10">
      <c r="B107" s="17" t="str">
        <f>B40</f>
        <v>Fiscal year end date</v>
      </c>
      <c r="C107" s="42"/>
      <c r="D107" s="42"/>
      <c r="E107" s="42"/>
      <c r="F107" s="42">
        <f t="shared" si="42"/>
        <v>42643</v>
      </c>
      <c r="G107" s="42">
        <f t="shared" si="42"/>
        <v>43008</v>
      </c>
      <c r="H107" s="42">
        <f t="shared" si="42"/>
        <v>43373</v>
      </c>
      <c r="I107" s="42">
        <f t="shared" si="42"/>
        <v>43738</v>
      </c>
      <c r="J107" s="42">
        <f t="shared" si="42"/>
        <v>44104</v>
      </c>
    </row>
    <row r="109" spans="2:10">
      <c r="B109" s="13" t="s">
        <v>17</v>
      </c>
      <c r="C109" s="57"/>
      <c r="D109" s="57"/>
      <c r="E109" s="57"/>
      <c r="F109" s="84">
        <f ca="1">F53</f>
        <v>372.93337645696329</v>
      </c>
      <c r="G109" s="84">
        <f ca="1">G53</f>
        <v>427.18723570965039</v>
      </c>
      <c r="H109" s="84">
        <f ca="1">H53</f>
        <v>555.45393542619354</v>
      </c>
      <c r="I109" s="84">
        <f ca="1">I53</f>
        <v>714.62565385240441</v>
      </c>
      <c r="J109" s="84">
        <f ca="1">J53</f>
        <v>957.40424875739745</v>
      </c>
    </row>
    <row r="110" spans="2:10">
      <c r="B110" s="13" t="s">
        <v>37</v>
      </c>
      <c r="C110" s="57"/>
      <c r="D110" s="57"/>
      <c r="E110" s="57"/>
      <c r="F110" s="51">
        <f t="shared" ref="F110:J111" si="43">F57</f>
        <v>227.34828721375231</v>
      </c>
      <c r="G110" s="51">
        <f t="shared" si="43"/>
        <v>239.96895041436514</v>
      </c>
      <c r="H110" s="51">
        <f t="shared" si="43"/>
        <v>466.35356317064014</v>
      </c>
      <c r="I110" s="51">
        <f t="shared" si="43"/>
        <v>723.40234463656952</v>
      </c>
      <c r="J110" s="51">
        <f t="shared" si="43"/>
        <v>640.01415234053263</v>
      </c>
    </row>
    <row r="111" spans="2:10">
      <c r="B111" s="13" t="s">
        <v>26</v>
      </c>
      <c r="C111" s="57"/>
      <c r="D111" s="57"/>
      <c r="E111" s="57"/>
      <c r="F111" s="84">
        <f t="shared" si="43"/>
        <v>49.936819222452975</v>
      </c>
      <c r="G111" s="84">
        <f t="shared" si="43"/>
        <v>54.84794396592757</v>
      </c>
      <c r="H111" s="84">
        <f t="shared" si="43"/>
        <v>67.118386477588345</v>
      </c>
      <c r="I111" s="84">
        <f t="shared" si="43"/>
        <v>82.806406019596452</v>
      </c>
      <c r="J111" s="84">
        <f t="shared" si="43"/>
        <v>108.80492764000455</v>
      </c>
    </row>
    <row r="112" spans="2:10">
      <c r="B112" s="13" t="s">
        <v>82</v>
      </c>
      <c r="C112" s="28"/>
      <c r="D112" s="28"/>
      <c r="E112" s="28"/>
      <c r="F112" s="84">
        <f>E85-F85</f>
        <v>16.633593579184094</v>
      </c>
      <c r="G112" s="84">
        <f>F85-G85</f>
        <v>-54.788345514304069</v>
      </c>
      <c r="H112" s="84">
        <f>G85-H85</f>
        <v>-139.93585634900501</v>
      </c>
      <c r="I112" s="84">
        <f>H85-I85</f>
        <v>-178.27550794098136</v>
      </c>
      <c r="J112" s="84">
        <f>I85-J85</f>
        <v>-295.60180245646177</v>
      </c>
    </row>
    <row r="113" spans="2:10">
      <c r="B113" s="27" t="s">
        <v>128</v>
      </c>
      <c r="C113" s="28"/>
      <c r="D113" s="28"/>
      <c r="E113" s="28"/>
      <c r="F113" s="84">
        <f>E101-F101+F103-E103</f>
        <v>0</v>
      </c>
      <c r="G113" s="84">
        <f>F101-G101+G103-F103</f>
        <v>0</v>
      </c>
      <c r="H113" s="84">
        <f>G101-H101+H103-G103</f>
        <v>0</v>
      </c>
      <c r="I113" s="84">
        <f>H101-I101+I103-H103</f>
        <v>0</v>
      </c>
      <c r="J113" s="84">
        <f>I101-J101+J103-I103</f>
        <v>0</v>
      </c>
    </row>
    <row r="114" spans="2:10">
      <c r="B114" s="27" t="s">
        <v>150</v>
      </c>
      <c r="C114" s="28"/>
      <c r="D114" s="28"/>
      <c r="E114" s="28"/>
      <c r="F114" s="219">
        <f>F204</f>
        <v>0</v>
      </c>
      <c r="G114" s="219">
        <f>G204</f>
        <v>0</v>
      </c>
      <c r="H114" s="219">
        <f>H204</f>
        <v>0</v>
      </c>
      <c r="I114" s="219">
        <f>I204</f>
        <v>0</v>
      </c>
      <c r="J114" s="219">
        <f>J204</f>
        <v>0</v>
      </c>
    </row>
    <row r="115" spans="2:10">
      <c r="B115" s="26" t="s">
        <v>38</v>
      </c>
      <c r="F115" s="107">
        <f ca="1">SUM(F109:F114)</f>
        <v>666.85207647235268</v>
      </c>
      <c r="G115" s="107">
        <f ca="1">SUM(G109:G114)</f>
        <v>667.21578457563908</v>
      </c>
      <c r="H115" s="107">
        <f ca="1">SUM(H109:H114)</f>
        <v>948.99002872541701</v>
      </c>
      <c r="I115" s="107">
        <f ca="1">SUM(I109:I114)</f>
        <v>1342.5588965675888</v>
      </c>
      <c r="J115" s="107">
        <f ca="1">SUM(J109:J114)</f>
        <v>1410.6215262814731</v>
      </c>
    </row>
    <row r="116" spans="2:10">
      <c r="B116" s="13"/>
    </row>
    <row r="117" spans="2:10">
      <c r="B117" s="13" t="s">
        <v>39</v>
      </c>
      <c r="F117" s="81">
        <f>-(F92)</f>
        <v>-235.15913280599997</v>
      </c>
      <c r="G117" s="81">
        <f>-(G92)</f>
        <v>-235.21566144369373</v>
      </c>
      <c r="H117" s="81">
        <f>-(H92)</f>
        <v>-477.26495684090946</v>
      </c>
      <c r="I117" s="81">
        <f>-(I92)</f>
        <v>-720.79091140112541</v>
      </c>
      <c r="J117" s="81">
        <f>-(J92)</f>
        <v>-598.6651523405327</v>
      </c>
    </row>
    <row r="118" spans="2:10">
      <c r="B118" s="13" t="s">
        <v>251</v>
      </c>
      <c r="F118" s="81">
        <f>F98</f>
        <v>0</v>
      </c>
      <c r="G118" s="81">
        <f t="shared" ref="G118:J118" si="44">G98</f>
        <v>0</v>
      </c>
      <c r="H118" s="81">
        <f t="shared" si="44"/>
        <v>0</v>
      </c>
      <c r="I118" s="81">
        <f t="shared" si="44"/>
        <v>0</v>
      </c>
      <c r="J118" s="81">
        <f t="shared" si="44"/>
        <v>0</v>
      </c>
    </row>
    <row r="119" spans="2:10">
      <c r="B119" s="26" t="s">
        <v>40</v>
      </c>
      <c r="F119" s="170">
        <f>SUM(F117:F118)</f>
        <v>-235.15913280599997</v>
      </c>
      <c r="G119" s="170">
        <f>SUM(G117:G118)</f>
        <v>-235.21566144369373</v>
      </c>
      <c r="H119" s="170">
        <f>SUM(H117:H118)</f>
        <v>-477.26495684090946</v>
      </c>
      <c r="I119" s="170">
        <f>SUM(I117:I118)</f>
        <v>-720.79091140112541</v>
      </c>
      <c r="J119" s="170">
        <f>SUM(J117:J118)</f>
        <v>-598.6651523405327</v>
      </c>
    </row>
    <row r="120" spans="2:10">
      <c r="B120" s="13"/>
    </row>
    <row r="121" spans="2:10">
      <c r="B121" s="13" t="s">
        <v>98</v>
      </c>
      <c r="F121" s="81">
        <f>-(F155+F163+F171+F177)</f>
        <v>-561.73616799999991</v>
      </c>
      <c r="G121" s="81">
        <f ca="1">-(G155+G163+G171+G177)</f>
        <v>-280.86808399999995</v>
      </c>
      <c r="H121" s="81">
        <f ca="1">-(H155+H163+H171+H177)</f>
        <v>-280.86808399999995</v>
      </c>
      <c r="I121" s="81">
        <f ca="1">-(I155+I163+I171+I177)</f>
        <v>-280.86808399999995</v>
      </c>
      <c r="J121" s="81">
        <f ca="1">-(J155+J163+J171+J177)</f>
        <v>-280.86808399999995</v>
      </c>
    </row>
    <row r="122" spans="2:10">
      <c r="B122" s="27" t="s">
        <v>163</v>
      </c>
      <c r="F122" s="315">
        <f>-F186</f>
        <v>0</v>
      </c>
      <c r="G122" s="315">
        <f t="shared" ref="G122:J122" si="45">-G186</f>
        <v>0</v>
      </c>
      <c r="H122" s="315">
        <f t="shared" si="45"/>
        <v>0</v>
      </c>
      <c r="I122" s="315">
        <f t="shared" si="45"/>
        <v>0</v>
      </c>
      <c r="J122" s="315">
        <f t="shared" si="45"/>
        <v>0</v>
      </c>
    </row>
    <row r="123" spans="2:10">
      <c r="B123" s="150" t="s">
        <v>103</v>
      </c>
      <c r="C123" s="30"/>
      <c r="D123" s="30"/>
      <c r="E123" s="30"/>
      <c r="F123" s="170">
        <f ca="1">F115+F119+SUM(F121:F122)</f>
        <v>-130.04322433364723</v>
      </c>
      <c r="G123" s="170">
        <f ca="1">G115+G119+SUM(G121:G122)</f>
        <v>151.13203913194536</v>
      </c>
      <c r="H123" s="170">
        <f ca="1">H115+H119+SUM(H121:H122)</f>
        <v>190.85698788450759</v>
      </c>
      <c r="I123" s="170">
        <f ca="1">I115+I119+SUM(I121:I122)</f>
        <v>340.89990116646345</v>
      </c>
      <c r="J123" s="170">
        <f ca="1">J115+J119+SUM(J121:J122)</f>
        <v>531.0882899409404</v>
      </c>
    </row>
    <row r="124" spans="2:10">
      <c r="B124" s="13" t="s">
        <v>29</v>
      </c>
      <c r="F124" s="84">
        <f ca="1">F148</f>
        <v>130.04322433364723</v>
      </c>
      <c r="G124" s="84">
        <f ca="1">G148</f>
        <v>-130.04322433364723</v>
      </c>
      <c r="H124" s="84">
        <f ca="1">H148</f>
        <v>0</v>
      </c>
      <c r="I124" s="84">
        <f ca="1">I148</f>
        <v>0</v>
      </c>
      <c r="J124" s="84">
        <f ca="1">J148</f>
        <v>0</v>
      </c>
    </row>
    <row r="125" spans="2:10">
      <c r="B125" s="150" t="s">
        <v>100</v>
      </c>
      <c r="C125" s="30"/>
      <c r="D125" s="30"/>
      <c r="E125" s="30"/>
      <c r="F125" s="107">
        <f ca="1">SUM(F123:F124)</f>
        <v>0</v>
      </c>
      <c r="G125" s="107">
        <f ca="1">SUM(G123:G124)</f>
        <v>21.088814798298131</v>
      </c>
      <c r="H125" s="107">
        <f ca="1">SUM(H123:H124)</f>
        <v>190.85698788450759</v>
      </c>
      <c r="I125" s="107">
        <f ca="1">SUM(I123:I124)</f>
        <v>340.89990116646345</v>
      </c>
      <c r="J125" s="107">
        <f ca="1">SUM(J123:J124)</f>
        <v>531.0882899409404</v>
      </c>
    </row>
    <row r="126" spans="2:10">
      <c r="B126" s="46" t="s">
        <v>102</v>
      </c>
      <c r="F126" s="84">
        <f ca="1">-(F156)</f>
        <v>0</v>
      </c>
      <c r="G126" s="84">
        <f ca="1">-(G156)</f>
        <v>-21.088814798298131</v>
      </c>
      <c r="H126" s="84">
        <f ca="1">-(H156)</f>
        <v>-190.85698788450759</v>
      </c>
      <c r="I126" s="84">
        <f ca="1">-(I156)</f>
        <v>-340.89990116646345</v>
      </c>
      <c r="J126" s="84">
        <f ca="1">-(J156)</f>
        <v>-531.0882899409404</v>
      </c>
    </row>
    <row r="127" spans="2:10">
      <c r="B127" s="46" t="s">
        <v>104</v>
      </c>
      <c r="F127" s="84">
        <f ca="1">-(F164)</f>
        <v>0</v>
      </c>
      <c r="G127" s="84">
        <f ca="1">-(G164)</f>
        <v>0</v>
      </c>
      <c r="H127" s="84">
        <f ca="1">-(H164)</f>
        <v>0</v>
      </c>
      <c r="I127" s="84">
        <f ca="1">-(I164)</f>
        <v>0</v>
      </c>
      <c r="J127" s="84">
        <f ca="1">-(J164)</f>
        <v>0</v>
      </c>
    </row>
    <row r="128" spans="2:10">
      <c r="B128" s="30" t="s">
        <v>41</v>
      </c>
      <c r="F128" s="170">
        <f ca="1">SUM(F125:F127)</f>
        <v>0</v>
      </c>
      <c r="G128" s="170">
        <f ca="1">SUM(G125:G127)</f>
        <v>0</v>
      </c>
      <c r="H128" s="170">
        <f ca="1">SUM(H125:H127)</f>
        <v>0</v>
      </c>
      <c r="I128" s="170">
        <f ca="1">SUM(I125:I127)</f>
        <v>0</v>
      </c>
      <c r="J128" s="170">
        <f ca="1">SUM(J125:J127)</f>
        <v>0</v>
      </c>
    </row>
    <row r="129" spans="2:10">
      <c r="B129" s="30"/>
      <c r="F129" s="59"/>
      <c r="G129" s="59"/>
      <c r="H129" s="59"/>
      <c r="I129" s="59"/>
      <c r="J129" s="59"/>
    </row>
    <row r="130" spans="2:10">
      <c r="B130" s="94" t="s">
        <v>107</v>
      </c>
      <c r="C130" s="17"/>
      <c r="D130" s="17"/>
      <c r="E130" s="17"/>
      <c r="F130" s="17"/>
      <c r="G130" s="17"/>
      <c r="H130" s="17"/>
      <c r="I130" s="17"/>
      <c r="J130" s="17"/>
    </row>
    <row r="131" spans="2:10">
      <c r="B131" s="45" t="str">
        <f t="shared" ref="B131:J131" si="46">B39</f>
        <v xml:space="preserve">Fiscal year  </v>
      </c>
      <c r="C131" s="40">
        <f t="shared" si="46"/>
        <v>2013</v>
      </c>
      <c r="D131" s="40">
        <f t="shared" si="46"/>
        <v>2014</v>
      </c>
      <c r="E131" s="40">
        <f t="shared" si="46"/>
        <v>2015</v>
      </c>
      <c r="F131" s="41">
        <f t="shared" si="46"/>
        <v>2016</v>
      </c>
      <c r="G131" s="41">
        <f t="shared" si="46"/>
        <v>2017</v>
      </c>
      <c r="H131" s="41">
        <f t="shared" si="46"/>
        <v>2018</v>
      </c>
      <c r="I131" s="41">
        <f t="shared" si="46"/>
        <v>2019</v>
      </c>
      <c r="J131" s="41">
        <f t="shared" si="46"/>
        <v>2020</v>
      </c>
    </row>
    <row r="132" spans="2:10">
      <c r="B132" s="17" t="str">
        <f t="shared" ref="B132:J132" si="47">B40</f>
        <v>Fiscal year end date</v>
      </c>
      <c r="C132" s="42">
        <f t="shared" si="47"/>
        <v>41545</v>
      </c>
      <c r="D132" s="42">
        <f t="shared" si="47"/>
        <v>41909</v>
      </c>
      <c r="E132" s="42">
        <f t="shared" si="47"/>
        <v>42273</v>
      </c>
      <c r="F132" s="42">
        <f t="shared" si="47"/>
        <v>42643</v>
      </c>
      <c r="G132" s="42">
        <f t="shared" si="47"/>
        <v>43008</v>
      </c>
      <c r="H132" s="42">
        <f t="shared" si="47"/>
        <v>43373</v>
      </c>
      <c r="I132" s="42">
        <f t="shared" si="47"/>
        <v>43738</v>
      </c>
      <c r="J132" s="42">
        <f t="shared" si="47"/>
        <v>44104</v>
      </c>
    </row>
    <row r="133" spans="2:10">
      <c r="B133" s="47"/>
      <c r="C133" s="13"/>
      <c r="D133" s="13"/>
      <c r="E133" s="13"/>
      <c r="F133" s="13"/>
      <c r="G133" s="13"/>
      <c r="H133" s="13"/>
      <c r="I133" s="13"/>
      <c r="J133" s="13"/>
    </row>
    <row r="134" spans="2:10">
      <c r="B134" s="32" t="s">
        <v>105</v>
      </c>
      <c r="F134" s="218">
        <f>D16</f>
        <v>0</v>
      </c>
      <c r="G134" s="81">
        <f ca="1">F136</f>
        <v>0</v>
      </c>
      <c r="H134" s="81">
        <f ca="1">G136</f>
        <v>0</v>
      </c>
      <c r="I134" s="81">
        <f ca="1">H136</f>
        <v>0</v>
      </c>
      <c r="J134" s="81">
        <f ca="1">I136</f>
        <v>0</v>
      </c>
    </row>
    <row r="135" spans="2:10">
      <c r="B135" s="49" t="s">
        <v>31</v>
      </c>
      <c r="F135" s="81">
        <f ca="1">F128</f>
        <v>0</v>
      </c>
      <c r="G135" s="81">
        <f ca="1">G128</f>
        <v>0</v>
      </c>
      <c r="H135" s="81">
        <f ca="1">H128</f>
        <v>0</v>
      </c>
      <c r="I135" s="81">
        <f ca="1">I128</f>
        <v>0</v>
      </c>
      <c r="J135" s="81">
        <f ca="1">J128</f>
        <v>0</v>
      </c>
    </row>
    <row r="136" spans="2:10">
      <c r="B136" s="60" t="s">
        <v>106</v>
      </c>
      <c r="C136" s="164">
        <v>0</v>
      </c>
      <c r="D136" s="164">
        <v>0</v>
      </c>
      <c r="E136" s="317">
        <f>D15</f>
        <v>240.73599999999996</v>
      </c>
      <c r="F136" s="170">
        <f ca="1">SUM(F134:F135)</f>
        <v>0</v>
      </c>
      <c r="G136" s="170">
        <f ca="1">SUM(G134:G135)</f>
        <v>0</v>
      </c>
      <c r="H136" s="170">
        <f ca="1">SUM(H134:H135)</f>
        <v>0</v>
      </c>
      <c r="I136" s="170">
        <f ca="1">SUM(I134:I135)</f>
        <v>0</v>
      </c>
      <c r="J136" s="170">
        <f ca="1">SUM(J134:J135)</f>
        <v>0</v>
      </c>
    </row>
    <row r="137" spans="2:10">
      <c r="B137" s="32" t="s">
        <v>48</v>
      </c>
      <c r="D137" s="160"/>
      <c r="E137" s="160">
        <f>E138/AVERAGE(D136:E136)</f>
        <v>0</v>
      </c>
      <c r="F137" s="61">
        <f>E137</f>
        <v>0</v>
      </c>
      <c r="G137" s="61">
        <f>F137</f>
        <v>0</v>
      </c>
      <c r="H137" s="61">
        <f>G137</f>
        <v>0</v>
      </c>
      <c r="I137" s="61">
        <f>H137</f>
        <v>0</v>
      </c>
      <c r="J137" s="61">
        <f>I137</f>
        <v>0</v>
      </c>
    </row>
    <row r="138" spans="2:10">
      <c r="B138" s="32" t="s">
        <v>13</v>
      </c>
      <c r="C138" s="43"/>
      <c r="D138" s="81"/>
      <c r="E138" s="81"/>
      <c r="F138" s="315">
        <f ca="1">IF($D$10="OFF",AVERAGE(F134,F136)*F137,0)</f>
        <v>0</v>
      </c>
      <c r="G138" s="315">
        <f ca="1">IF($D$10="OFF",AVERAGE(G134,G136)*G137,0)</f>
        <v>0</v>
      </c>
      <c r="H138" s="315">
        <f ca="1">IF($D$10="OFF",AVERAGE(H134,H136)*H137,0)</f>
        <v>0</v>
      </c>
      <c r="I138" s="315">
        <f ca="1">IF($D$10="OFF",AVERAGE(I134,I136)*I137,0)</f>
        <v>0</v>
      </c>
      <c r="J138" s="315">
        <f ca="1">IF($D$10="OFF",AVERAGE(J134,J136)*J137,0)</f>
        <v>0</v>
      </c>
    </row>
    <row r="139" spans="2:10">
      <c r="B139" s="32"/>
      <c r="C139" s="43"/>
      <c r="D139" s="43"/>
      <c r="E139" s="43"/>
      <c r="F139" s="62"/>
      <c r="G139" s="62"/>
      <c r="H139" s="62"/>
      <c r="I139" s="62"/>
      <c r="J139" s="62"/>
    </row>
    <row r="140" spans="2:10">
      <c r="B140" s="31" t="s">
        <v>29</v>
      </c>
      <c r="C140" s="27"/>
      <c r="D140" s="142"/>
      <c r="E140" s="142"/>
      <c r="F140" s="83"/>
      <c r="G140" s="83"/>
      <c r="H140" s="83"/>
      <c r="I140" s="83"/>
      <c r="J140" s="83"/>
    </row>
    <row r="141" spans="2:10">
      <c r="B141" s="68" t="s">
        <v>110</v>
      </c>
      <c r="C141" s="27"/>
      <c r="D141" s="27"/>
      <c r="E141" s="27"/>
      <c r="F141" s="219">
        <f>F134</f>
        <v>0</v>
      </c>
      <c r="G141" s="219">
        <f ca="1">F136</f>
        <v>0</v>
      </c>
      <c r="H141" s="219">
        <f ca="1">G136</f>
        <v>0</v>
      </c>
      <c r="I141" s="219">
        <f ca="1">H136</f>
        <v>0</v>
      </c>
      <c r="J141" s="219">
        <f ca="1">I136</f>
        <v>0</v>
      </c>
    </row>
    <row r="142" spans="2:10">
      <c r="B142" s="68" t="s">
        <v>44</v>
      </c>
      <c r="C142" s="27"/>
      <c r="D142" s="27"/>
      <c r="E142" s="27"/>
      <c r="F142" s="220">
        <f>D16</f>
        <v>0</v>
      </c>
      <c r="G142" s="220">
        <f>F142</f>
        <v>0</v>
      </c>
      <c r="H142" s="220">
        <f t="shared" ref="H142:J142" si="48">G142</f>
        <v>0</v>
      </c>
      <c r="I142" s="220">
        <f t="shared" si="48"/>
        <v>0</v>
      </c>
      <c r="J142" s="220">
        <f t="shared" si="48"/>
        <v>0</v>
      </c>
    </row>
    <row r="143" spans="2:10">
      <c r="B143" s="68" t="s">
        <v>45</v>
      </c>
      <c r="C143" s="27"/>
      <c r="D143" s="27"/>
      <c r="E143" s="27"/>
      <c r="F143" s="219">
        <f>F141-F142</f>
        <v>0</v>
      </c>
      <c r="G143" s="219">
        <f ca="1">G141-G142</f>
        <v>0</v>
      </c>
      <c r="H143" s="219">
        <f ca="1">H141-H142</f>
        <v>0</v>
      </c>
      <c r="I143" s="219">
        <f ca="1">I141-I142</f>
        <v>0</v>
      </c>
      <c r="J143" s="219">
        <f ca="1">J141-J142</f>
        <v>0</v>
      </c>
    </row>
    <row r="144" spans="2:10">
      <c r="B144" s="144" t="s">
        <v>46</v>
      </c>
      <c r="C144" s="36"/>
      <c r="D144" s="36"/>
      <c r="E144" s="36"/>
      <c r="F144" s="221">
        <f ca="1">F123</f>
        <v>-130.04322433364723</v>
      </c>
      <c r="G144" s="221">
        <f ca="1">G123</f>
        <v>151.13203913194536</v>
      </c>
      <c r="H144" s="221">
        <f ca="1">H123</f>
        <v>190.85698788450759</v>
      </c>
      <c r="I144" s="221">
        <f ca="1">I123</f>
        <v>340.89990116646345</v>
      </c>
      <c r="J144" s="221">
        <f ca="1">J123</f>
        <v>531.0882899409404</v>
      </c>
    </row>
    <row r="145" spans="2:10">
      <c r="B145" s="136" t="s">
        <v>111</v>
      </c>
      <c r="C145" s="72"/>
      <c r="D145" s="72"/>
      <c r="E145" s="72"/>
      <c r="F145" s="222">
        <f ca="1">SUM(F143:F144)</f>
        <v>-130.04322433364723</v>
      </c>
      <c r="G145" s="222">
        <f ca="1">SUM(G143:G144)</f>
        <v>151.13203913194536</v>
      </c>
      <c r="H145" s="222">
        <f ca="1">SUM(H143:H144)</f>
        <v>190.85698788450759</v>
      </c>
      <c r="I145" s="222">
        <f ca="1">SUM(I143:I144)</f>
        <v>340.89990116646345</v>
      </c>
      <c r="J145" s="222">
        <f ca="1">SUM(J143:J144)</f>
        <v>531.0882899409404</v>
      </c>
    </row>
    <row r="146" spans="2:10">
      <c r="B146" s="27"/>
      <c r="C146" s="27"/>
      <c r="D146" s="27"/>
      <c r="E146" s="27"/>
      <c r="F146" s="27"/>
      <c r="G146" s="27"/>
      <c r="H146" s="27"/>
      <c r="I146" s="27"/>
      <c r="J146" s="27"/>
    </row>
    <row r="147" spans="2:10">
      <c r="B147" s="35" t="s">
        <v>108</v>
      </c>
      <c r="C147" s="27"/>
      <c r="D147" s="27"/>
      <c r="E147" s="27"/>
      <c r="F147" s="223">
        <f>D28</f>
        <v>0</v>
      </c>
      <c r="G147" s="219">
        <f ca="1">F149</f>
        <v>130.04322433364723</v>
      </c>
      <c r="H147" s="219">
        <f ca="1">G149</f>
        <v>0</v>
      </c>
      <c r="I147" s="219">
        <f ca="1">H149</f>
        <v>0</v>
      </c>
      <c r="J147" s="219">
        <f ca="1">I149</f>
        <v>0</v>
      </c>
    </row>
    <row r="148" spans="2:10">
      <c r="B148" s="138" t="s">
        <v>31</v>
      </c>
      <c r="C148" s="27"/>
      <c r="D148" s="27"/>
      <c r="E148" s="27"/>
      <c r="F148" s="219">
        <f ca="1">-MIN(F145,F147)</f>
        <v>130.04322433364723</v>
      </c>
      <c r="G148" s="219">
        <f ca="1">-MIN(G145,G147)</f>
        <v>-130.04322433364723</v>
      </c>
      <c r="H148" s="219">
        <f ca="1">-MIN(H145,H147)</f>
        <v>0</v>
      </c>
      <c r="I148" s="219">
        <f ca="1">-MIN(I145,I147)</f>
        <v>0</v>
      </c>
      <c r="J148" s="219">
        <f ca="1">-MIN(J145,J147)</f>
        <v>0</v>
      </c>
    </row>
    <row r="149" spans="2:10">
      <c r="B149" s="139" t="s">
        <v>109</v>
      </c>
      <c r="C149" s="27"/>
      <c r="D149" s="27"/>
      <c r="E149" s="27"/>
      <c r="F149" s="224">
        <f ca="1">SUM(F147:F148)</f>
        <v>130.04322433364723</v>
      </c>
      <c r="G149" s="224">
        <f ca="1">SUM(G147:G148)</f>
        <v>0</v>
      </c>
      <c r="H149" s="224">
        <f ca="1">SUM(H147:H148)</f>
        <v>0</v>
      </c>
      <c r="I149" s="224">
        <f ca="1">SUM(I147:I148)</f>
        <v>0</v>
      </c>
      <c r="J149" s="224">
        <f ca="1">SUM(J147:J148)</f>
        <v>0</v>
      </c>
    </row>
    <row r="150" spans="2:10">
      <c r="B150" s="136" t="s">
        <v>42</v>
      </c>
      <c r="C150" s="27"/>
      <c r="D150" s="140" t="s">
        <v>147</v>
      </c>
      <c r="E150" s="140" t="s">
        <v>148</v>
      </c>
      <c r="F150" s="222">
        <f>$D$151*F74+$E$151*F76</f>
        <v>498.75755488359403</v>
      </c>
      <c r="G150" s="222">
        <f>$D$151*G74+$E$151*G76</f>
        <v>546.13952259753535</v>
      </c>
      <c r="H150" s="222">
        <f>$D$151*H74+$E$151*H76</f>
        <v>666.29021756899294</v>
      </c>
      <c r="I150" s="222">
        <f>$D$151*I74+$E$151*I76</f>
        <v>819.53696760986145</v>
      </c>
      <c r="J150" s="222">
        <f>$D$151*J74+$E$151*J76</f>
        <v>1073.5934275689185</v>
      </c>
    </row>
    <row r="151" spans="2:10">
      <c r="B151" s="136" t="s">
        <v>43</v>
      </c>
      <c r="C151" s="27"/>
      <c r="D151" s="141">
        <v>0.8</v>
      </c>
      <c r="E151" s="141">
        <v>0.65</v>
      </c>
      <c r="F151" s="145" t="str">
        <f ca="1">IF(F149&gt;F150,"OVERDRAWN","OK")</f>
        <v>OK</v>
      </c>
      <c r="G151" s="145" t="str">
        <f t="shared" ref="G151:J151" ca="1" si="49">IF(G149&gt;G150,"OVERDRAWN","OK")</f>
        <v>OK</v>
      </c>
      <c r="H151" s="145" t="str">
        <f t="shared" ca="1" si="49"/>
        <v>OK</v>
      </c>
      <c r="I151" s="145" t="str">
        <f t="shared" ca="1" si="49"/>
        <v>OK</v>
      </c>
      <c r="J151" s="145" t="str">
        <f t="shared" ca="1" si="49"/>
        <v>OK</v>
      </c>
    </row>
    <row r="152" spans="2:10">
      <c r="B152" s="27"/>
      <c r="C152" s="27"/>
      <c r="D152" s="27"/>
      <c r="E152" s="27"/>
      <c r="F152" s="27"/>
      <c r="G152" s="27"/>
      <c r="H152" s="27"/>
      <c r="I152" s="27"/>
      <c r="J152" s="27"/>
    </row>
    <row r="153" spans="2:10">
      <c r="B153" s="31" t="s">
        <v>86</v>
      </c>
      <c r="C153" s="27"/>
      <c r="D153" s="27"/>
      <c r="E153" s="27"/>
      <c r="F153" s="27"/>
      <c r="G153" s="27"/>
      <c r="H153" s="27"/>
      <c r="I153" s="27"/>
      <c r="J153" s="27"/>
    </row>
    <row r="154" spans="2:10">
      <c r="B154" s="35" t="s">
        <v>90</v>
      </c>
      <c r="C154" s="27"/>
      <c r="D154" s="27"/>
      <c r="E154" s="27"/>
      <c r="F154" s="223">
        <f>D29</f>
        <v>2946.0918399999996</v>
      </c>
      <c r="G154" s="219">
        <f ca="1">F157</f>
        <v>2651.4826559999997</v>
      </c>
      <c r="H154" s="219">
        <f ca="1">G157</f>
        <v>2483.0892492017015</v>
      </c>
      <c r="I154" s="219">
        <f ca="1">H157</f>
        <v>2144.9276693171942</v>
      </c>
      <c r="J154" s="219">
        <f ca="1">I157</f>
        <v>1656.7231761507308</v>
      </c>
    </row>
    <row r="155" spans="2:10">
      <c r="B155" s="35" t="s">
        <v>99</v>
      </c>
      <c r="C155" s="27"/>
      <c r="D155" s="27"/>
      <c r="E155" s="27"/>
      <c r="F155" s="220">
        <f>MIN(F158*$F$154,F154)</f>
        <v>294.60918399999997</v>
      </c>
      <c r="G155" s="220">
        <f ca="1">MIN(G158*$F$154,G154)</f>
        <v>147.30459199999999</v>
      </c>
      <c r="H155" s="220">
        <f ca="1">MIN(H158*$F$154,H154)</f>
        <v>147.30459199999999</v>
      </c>
      <c r="I155" s="220">
        <f ca="1">MIN(I158*$F$154,I154)</f>
        <v>147.30459199999999</v>
      </c>
      <c r="J155" s="220">
        <f ca="1">MIN(J158*$F$154,J154)</f>
        <v>147.30459199999999</v>
      </c>
    </row>
    <row r="156" spans="2:10">
      <c r="B156" s="35" t="s">
        <v>101</v>
      </c>
      <c r="C156" s="27"/>
      <c r="D156" s="27"/>
      <c r="E156" s="27"/>
      <c r="F156" s="220">
        <f ca="1">MIN(F154-F155,F159)</f>
        <v>0</v>
      </c>
      <c r="G156" s="220">
        <f ca="1">MIN(G154-G155,G159)</f>
        <v>21.088814798298131</v>
      </c>
      <c r="H156" s="220">
        <f ca="1">MIN(H154-H155,H159)</f>
        <v>190.85698788450759</v>
      </c>
      <c r="I156" s="220">
        <f ca="1">MIN(I154-I155,I159)</f>
        <v>340.89990116646345</v>
      </c>
      <c r="J156" s="220">
        <f ca="1">MIN(J154-J155,J159)</f>
        <v>531.0882899409404</v>
      </c>
    </row>
    <row r="157" spans="2:10">
      <c r="B157" s="139" t="s">
        <v>93</v>
      </c>
      <c r="C157" s="54"/>
      <c r="D157" s="146"/>
      <c r="E157" s="54"/>
      <c r="F157" s="165">
        <f ca="1">F154-F155-F156</f>
        <v>2651.4826559999997</v>
      </c>
      <c r="G157" s="165">
        <f ca="1">G154-G155-G156</f>
        <v>2483.0892492017015</v>
      </c>
      <c r="H157" s="165">
        <f ca="1">H154-H155-H156</f>
        <v>2144.9276693171942</v>
      </c>
      <c r="I157" s="165">
        <f ca="1">I154-I155-I156</f>
        <v>1656.7231761507308</v>
      </c>
      <c r="J157" s="165">
        <f ca="1">J154-J155-J156</f>
        <v>978.3302942097904</v>
      </c>
    </row>
    <row r="158" spans="2:10">
      <c r="B158" s="136" t="s">
        <v>116</v>
      </c>
      <c r="C158" s="72"/>
      <c r="E158" s="142" t="s">
        <v>165</v>
      </c>
      <c r="F158" s="147">
        <v>0.1</v>
      </c>
      <c r="G158" s="147">
        <v>0.05</v>
      </c>
      <c r="H158" s="147">
        <v>0.05</v>
      </c>
      <c r="I158" s="147">
        <v>0.05</v>
      </c>
      <c r="J158" s="147">
        <v>0.05</v>
      </c>
    </row>
    <row r="159" spans="2:10">
      <c r="B159" s="136" t="s">
        <v>164</v>
      </c>
      <c r="C159" s="72"/>
      <c r="E159" s="148">
        <v>1</v>
      </c>
      <c r="F159" s="225">
        <f ca="1">$E$159*(F145+F148)</f>
        <v>0</v>
      </c>
      <c r="G159" s="225">
        <f ca="1">$E$159*(G145+G148)</f>
        <v>21.088814798298131</v>
      </c>
      <c r="H159" s="225">
        <f ca="1">$E$159*(H145+H148)</f>
        <v>190.85698788450759</v>
      </c>
      <c r="I159" s="225">
        <f ca="1">$E$159*(I145+I148)</f>
        <v>340.89990116646345</v>
      </c>
      <c r="J159" s="225">
        <f ca="1">$E$159*(J145+J148)</f>
        <v>531.0882899409404</v>
      </c>
    </row>
    <row r="160" spans="2:10">
      <c r="B160" s="35"/>
      <c r="C160" s="27"/>
      <c r="F160" s="143"/>
      <c r="G160" s="143"/>
      <c r="H160" s="143"/>
      <c r="I160" s="143"/>
      <c r="J160" s="143"/>
    </row>
    <row r="161" spans="2:10">
      <c r="B161" s="31" t="s">
        <v>87</v>
      </c>
      <c r="C161" s="27"/>
      <c r="F161" s="83"/>
      <c r="G161" s="27"/>
      <c r="H161" s="27"/>
      <c r="I161" s="27"/>
      <c r="J161" s="27"/>
    </row>
    <row r="162" spans="2:10">
      <c r="B162" s="35" t="s">
        <v>91</v>
      </c>
      <c r="C162" s="27"/>
      <c r="F162" s="223">
        <f>D30</f>
        <v>2671.2698399999995</v>
      </c>
      <c r="G162" s="219">
        <f ca="1">F165</f>
        <v>2404.1428559999995</v>
      </c>
      <c r="H162" s="219">
        <f ca="1">G165</f>
        <v>2270.5793639999997</v>
      </c>
      <c r="I162" s="219">
        <f ca="1">H165</f>
        <v>2137.0158719999999</v>
      </c>
      <c r="J162" s="219">
        <f ca="1">I165</f>
        <v>2003.4523799999999</v>
      </c>
    </row>
    <row r="163" spans="2:10">
      <c r="B163" s="35" t="s">
        <v>85</v>
      </c>
      <c r="C163" s="27"/>
      <c r="F163" s="220">
        <f>MIN(F166*$F$162,F162)</f>
        <v>267.12698399999994</v>
      </c>
      <c r="G163" s="220">
        <f ca="1">MIN(G166*$F$162,G162)</f>
        <v>133.56349199999997</v>
      </c>
      <c r="H163" s="220">
        <f ca="1">MIN(H166*$F$162,H162)</f>
        <v>133.56349199999997</v>
      </c>
      <c r="I163" s="220">
        <f ca="1">MIN(I166*$F$162,I162)</f>
        <v>133.56349199999997</v>
      </c>
      <c r="J163" s="220">
        <f ca="1">MIN(J166*$F$162,J162)</f>
        <v>133.56349199999997</v>
      </c>
    </row>
    <row r="164" spans="2:10">
      <c r="B164" s="35" t="s">
        <v>101</v>
      </c>
      <c r="C164" s="27"/>
      <c r="F164" s="220">
        <f ca="1">MIN(F162-F163,F167)</f>
        <v>0</v>
      </c>
      <c r="G164" s="220">
        <f ca="1">MIN(G162-G163,G167)</f>
        <v>0</v>
      </c>
      <c r="H164" s="220">
        <f ca="1">MIN(H162-H163,H167)</f>
        <v>0</v>
      </c>
      <c r="I164" s="220">
        <f ca="1">MIN(I162-I163,I167)</f>
        <v>0</v>
      </c>
      <c r="J164" s="220">
        <f ca="1">MIN(J162-J163,J167)</f>
        <v>0</v>
      </c>
    </row>
    <row r="165" spans="2:10">
      <c r="B165" s="139" t="s">
        <v>92</v>
      </c>
      <c r="C165" s="54"/>
      <c r="F165" s="165">
        <f ca="1">F162-F163-F164</f>
        <v>2404.1428559999995</v>
      </c>
      <c r="G165" s="165">
        <f ca="1">G162-G163-G164</f>
        <v>2270.5793639999997</v>
      </c>
      <c r="H165" s="165">
        <f ca="1">H162-H163-H164</f>
        <v>2137.0158719999999</v>
      </c>
      <c r="I165" s="165">
        <f ca="1">I162-I163-I164</f>
        <v>2003.4523799999999</v>
      </c>
      <c r="J165" s="165">
        <f ca="1">J162-J163-J164</f>
        <v>1869.888888</v>
      </c>
    </row>
    <row r="166" spans="2:10">
      <c r="B166" s="136" t="s">
        <v>116</v>
      </c>
      <c r="C166" s="72"/>
      <c r="E166" s="142" t="s">
        <v>165</v>
      </c>
      <c r="F166" s="147">
        <v>0.1</v>
      </c>
      <c r="G166" s="147">
        <v>0.05</v>
      </c>
      <c r="H166" s="147">
        <v>0.05</v>
      </c>
      <c r="I166" s="147">
        <v>0.05</v>
      </c>
      <c r="J166" s="147">
        <v>0.05</v>
      </c>
    </row>
    <row r="167" spans="2:10">
      <c r="B167" s="136" t="s">
        <v>133</v>
      </c>
      <c r="C167" s="72"/>
      <c r="E167" s="148">
        <v>1</v>
      </c>
      <c r="F167" s="226">
        <f ca="1">$E$167*(F145+F148-F156)</f>
        <v>0</v>
      </c>
      <c r="G167" s="226">
        <f ca="1">$E$167*(G145+G148-G156)</f>
        <v>0</v>
      </c>
      <c r="H167" s="226">
        <f ca="1">$E$167*(H145+H148-H156)</f>
        <v>0</v>
      </c>
      <c r="I167" s="226">
        <f ca="1">$E$167*(I145+I148-I156)</f>
        <v>0</v>
      </c>
      <c r="J167" s="226">
        <f ca="1">$E$167*(J145+J148-J156)</f>
        <v>0</v>
      </c>
    </row>
    <row r="168" spans="2:10">
      <c r="B168" s="89"/>
      <c r="C168" s="66"/>
      <c r="D168" s="66"/>
      <c r="E168" s="66"/>
      <c r="F168" s="97"/>
      <c r="G168" s="97"/>
      <c r="H168" s="97"/>
      <c r="I168" s="97"/>
      <c r="J168" s="97"/>
    </row>
    <row r="169" spans="2:10">
      <c r="B169" s="31" t="s">
        <v>88</v>
      </c>
      <c r="F169" s="43"/>
    </row>
    <row r="170" spans="2:10">
      <c r="B170" s="32" t="s">
        <v>95</v>
      </c>
      <c r="F170" s="218">
        <f>D31</f>
        <v>0</v>
      </c>
      <c r="G170" s="81">
        <f>F172</f>
        <v>0</v>
      </c>
      <c r="H170" s="81">
        <f t="shared" ref="H170:J170" si="50">G172</f>
        <v>0</v>
      </c>
      <c r="I170" s="81">
        <f t="shared" si="50"/>
        <v>0</v>
      </c>
      <c r="J170" s="81">
        <f t="shared" si="50"/>
        <v>0</v>
      </c>
    </row>
    <row r="171" spans="2:10">
      <c r="B171" s="32" t="s">
        <v>85</v>
      </c>
      <c r="F171" s="171">
        <f>MIN(F173*$F$170,F170)</f>
        <v>0</v>
      </c>
      <c r="G171" s="171">
        <f>MIN(G173*$F$170,G170)</f>
        <v>0</v>
      </c>
      <c r="H171" s="171">
        <f>MIN(H173*$F$170,H170)</f>
        <v>0</v>
      </c>
      <c r="I171" s="171">
        <f>MIN(I173*$F$170,I170)</f>
        <v>0</v>
      </c>
      <c r="J171" s="171">
        <f>MIN(J173*$F$170,J170)</f>
        <v>0</v>
      </c>
    </row>
    <row r="172" spans="2:10">
      <c r="B172" s="60" t="s">
        <v>94</v>
      </c>
      <c r="C172" s="30"/>
      <c r="D172" s="30"/>
      <c r="E172" s="30"/>
      <c r="F172" s="169">
        <f>F170-F171</f>
        <v>0</v>
      </c>
      <c r="G172" s="169">
        <f>G170-G171</f>
        <v>0</v>
      </c>
      <c r="H172" s="169">
        <f>H170-H171</f>
        <v>0</v>
      </c>
      <c r="I172" s="169">
        <f>I170-I171</f>
        <v>0</v>
      </c>
      <c r="J172" s="169">
        <f>J170-J171</f>
        <v>0</v>
      </c>
    </row>
    <row r="173" spans="2:10">
      <c r="B173" s="89" t="s">
        <v>116</v>
      </c>
      <c r="F173" s="93">
        <v>0</v>
      </c>
      <c r="G173" s="93">
        <v>0</v>
      </c>
      <c r="H173" s="93">
        <v>0</v>
      </c>
      <c r="I173" s="93">
        <v>0</v>
      </c>
      <c r="J173" s="93">
        <v>0</v>
      </c>
    </row>
    <row r="174" spans="2:10">
      <c r="B174" s="89"/>
      <c r="F174" s="93"/>
      <c r="G174" s="93"/>
      <c r="H174" s="93"/>
      <c r="I174" s="93"/>
      <c r="J174" s="93"/>
    </row>
    <row r="175" spans="2:10">
      <c r="B175" s="31" t="s">
        <v>89</v>
      </c>
      <c r="F175" s="43"/>
    </row>
    <row r="176" spans="2:10">
      <c r="B176" s="32" t="s">
        <v>97</v>
      </c>
      <c r="F176" s="218">
        <f>D32</f>
        <v>274.82199999999995</v>
      </c>
      <c r="G176" s="81">
        <f>F179</f>
        <v>274.82199999999995</v>
      </c>
      <c r="H176" s="81">
        <f t="shared" ref="H176:J176" si="51">G179</f>
        <v>274.82199999999995</v>
      </c>
      <c r="I176" s="81">
        <f t="shared" si="51"/>
        <v>274.82199999999995</v>
      </c>
      <c r="J176" s="81">
        <f t="shared" si="51"/>
        <v>274.82199999999995</v>
      </c>
    </row>
    <row r="177" spans="2:10">
      <c r="B177" s="32" t="s">
        <v>85</v>
      </c>
      <c r="D177" s="75"/>
      <c r="F177" s="171">
        <f>F180*$F$176</f>
        <v>0</v>
      </c>
      <c r="G177" s="171">
        <f>G180*$F$176</f>
        <v>0</v>
      </c>
      <c r="H177" s="171">
        <f>H180*$F$176</f>
        <v>0</v>
      </c>
      <c r="I177" s="171">
        <f>I180*$F$176</f>
        <v>0</v>
      </c>
      <c r="J177" s="171">
        <f>J180*$F$176</f>
        <v>0</v>
      </c>
    </row>
    <row r="178" spans="2:10">
      <c r="B178" s="92" t="s">
        <v>144</v>
      </c>
      <c r="F178" s="171">
        <f>$E$204*F176</f>
        <v>0</v>
      </c>
      <c r="G178" s="171">
        <f>$E$204*G176</f>
        <v>0</v>
      </c>
      <c r="H178" s="171">
        <f>$E$204*H176</f>
        <v>0</v>
      </c>
      <c r="I178" s="171">
        <f>$E$204*I176</f>
        <v>0</v>
      </c>
      <c r="J178" s="171">
        <f>$E$204*J176</f>
        <v>0</v>
      </c>
    </row>
    <row r="179" spans="2:10">
      <c r="B179" s="60" t="s">
        <v>96</v>
      </c>
      <c r="C179" s="30"/>
      <c r="D179" s="55"/>
      <c r="E179" s="30"/>
      <c r="F179" s="169">
        <f>F176-F177+F178</f>
        <v>274.82199999999995</v>
      </c>
      <c r="G179" s="169">
        <f t="shared" ref="G179:J179" si="52">G176-G177+G178</f>
        <v>274.82199999999995</v>
      </c>
      <c r="H179" s="169">
        <f t="shared" si="52"/>
        <v>274.82199999999995</v>
      </c>
      <c r="I179" s="169">
        <f t="shared" si="52"/>
        <v>274.82199999999995</v>
      </c>
      <c r="J179" s="169">
        <f t="shared" si="52"/>
        <v>274.82199999999995</v>
      </c>
    </row>
    <row r="180" spans="2:10">
      <c r="B180" s="89" t="s">
        <v>116</v>
      </c>
      <c r="F180" s="93">
        <v>0</v>
      </c>
      <c r="G180" s="93">
        <v>0</v>
      </c>
      <c r="H180" s="93">
        <v>0</v>
      </c>
      <c r="I180" s="93">
        <v>0</v>
      </c>
      <c r="J180" s="93">
        <v>0</v>
      </c>
    </row>
    <row r="181" spans="2:10">
      <c r="B181" s="89"/>
      <c r="F181" s="93"/>
      <c r="G181" s="93"/>
      <c r="H181" s="93"/>
      <c r="I181" s="93"/>
      <c r="J181" s="93"/>
    </row>
    <row r="182" spans="2:10">
      <c r="B182" s="31" t="s">
        <v>114</v>
      </c>
      <c r="D182" s="106"/>
      <c r="E182" s="75"/>
      <c r="F182" s="93"/>
      <c r="G182" s="93"/>
      <c r="H182" s="93"/>
      <c r="I182" s="93"/>
      <c r="J182" s="93"/>
    </row>
    <row r="183" spans="2:10">
      <c r="B183" s="32" t="s">
        <v>115</v>
      </c>
      <c r="F183" s="227">
        <f>D33</f>
        <v>0</v>
      </c>
      <c r="G183" s="81">
        <f>F185</f>
        <v>0</v>
      </c>
      <c r="H183" s="81">
        <f t="shared" ref="H183:J183" si="53">G185</f>
        <v>0</v>
      </c>
      <c r="I183" s="81">
        <f t="shared" si="53"/>
        <v>0</v>
      </c>
      <c r="J183" s="81">
        <f t="shared" si="53"/>
        <v>0</v>
      </c>
    </row>
    <row r="184" spans="2:10">
      <c r="B184" s="92" t="s">
        <v>34</v>
      </c>
      <c r="F184" s="171">
        <f>$C$186*F183</f>
        <v>0</v>
      </c>
      <c r="G184" s="171">
        <f>$C$186*G183</f>
        <v>0</v>
      </c>
      <c r="H184" s="171">
        <f>$C$186*H183</f>
        <v>0</v>
      </c>
      <c r="I184" s="171">
        <f>$C$186*I183</f>
        <v>0</v>
      </c>
      <c r="J184" s="171">
        <f>$C$186*J183</f>
        <v>0</v>
      </c>
    </row>
    <row r="185" spans="2:10">
      <c r="B185" s="30" t="s">
        <v>117</v>
      </c>
      <c r="C185" s="75" t="s">
        <v>142</v>
      </c>
      <c r="D185" s="75" t="s">
        <v>143</v>
      </c>
      <c r="E185" s="30"/>
      <c r="F185" s="169">
        <f>F183+F184</f>
        <v>0</v>
      </c>
      <c r="G185" s="169">
        <f>G183+G184</f>
        <v>0</v>
      </c>
      <c r="H185" s="169">
        <f>H183+H184</f>
        <v>0</v>
      </c>
      <c r="I185" s="169">
        <f>I183+I184</f>
        <v>0</v>
      </c>
      <c r="J185" s="169">
        <f>J183+J184</f>
        <v>0</v>
      </c>
    </row>
    <row r="186" spans="2:10">
      <c r="B186" s="92" t="s">
        <v>149</v>
      </c>
      <c r="C186" s="91">
        <v>0.04</v>
      </c>
      <c r="D186" s="55">
        <v>0.08</v>
      </c>
      <c r="F186" s="81">
        <f>$D$186*F185</f>
        <v>0</v>
      </c>
      <c r="G186" s="81">
        <f>$D$186*G185</f>
        <v>0</v>
      </c>
      <c r="H186" s="81">
        <f>$D$186*H185</f>
        <v>0</v>
      </c>
      <c r="I186" s="81">
        <f>$D$186*I185</f>
        <v>0</v>
      </c>
      <c r="J186" s="81">
        <f>$D$186*J185</f>
        <v>0</v>
      </c>
    </row>
    <row r="187" spans="2:10">
      <c r="B187" s="92"/>
      <c r="F187" s="43"/>
    </row>
    <row r="188" spans="2:10">
      <c r="B188" s="183" t="s">
        <v>223</v>
      </c>
      <c r="F188" s="43"/>
    </row>
    <row r="189" spans="2:10">
      <c r="B189" s="32" t="s">
        <v>225</v>
      </c>
      <c r="C189" s="84"/>
      <c r="D189" s="241"/>
      <c r="E189" s="241"/>
      <c r="F189" s="218">
        <f>H33</f>
        <v>117.84367359999997</v>
      </c>
      <c r="G189" s="81">
        <f>F191</f>
        <v>97.641900982857123</v>
      </c>
      <c r="H189" s="81">
        <f t="shared" ref="H189:J189" si="54">G191</f>
        <v>77.440128365714273</v>
      </c>
      <c r="I189" s="81">
        <f t="shared" si="54"/>
        <v>57.238355748571422</v>
      </c>
      <c r="J189" s="81">
        <f t="shared" si="54"/>
        <v>37.036583131428571</v>
      </c>
    </row>
    <row r="190" spans="2:10">
      <c r="B190" s="32" t="s">
        <v>79</v>
      </c>
      <c r="C190" s="84"/>
      <c r="D190" s="84"/>
      <c r="E190" s="84"/>
      <c r="F190" s="81">
        <f>-(SUM($J$28:$J$32))</f>
        <v>-20.201772617142854</v>
      </c>
      <c r="G190" s="81">
        <f>-(SUM($J$28:$J$32))</f>
        <v>-20.201772617142854</v>
      </c>
      <c r="H190" s="81">
        <f>-(SUM($J$28:$J$32))</f>
        <v>-20.201772617142854</v>
      </c>
      <c r="I190" s="81">
        <f>-(SUM($J$28:$J$32))</f>
        <v>-20.201772617142854</v>
      </c>
      <c r="J190" s="81">
        <f>-(SUM($J$28:$J$32))</f>
        <v>-20.201772617142854</v>
      </c>
    </row>
    <row r="191" spans="2:10">
      <c r="B191" s="30" t="s">
        <v>226</v>
      </c>
      <c r="C191" s="84"/>
      <c r="D191" s="84"/>
      <c r="E191" s="84"/>
      <c r="F191" s="170">
        <f>F189+F190</f>
        <v>97.641900982857123</v>
      </c>
      <c r="G191" s="170">
        <f t="shared" ref="G191:J191" si="55">G189+G190</f>
        <v>77.440128365714273</v>
      </c>
      <c r="H191" s="170">
        <f t="shared" si="55"/>
        <v>57.238355748571422</v>
      </c>
      <c r="I191" s="170">
        <f t="shared" si="55"/>
        <v>37.036583131428571</v>
      </c>
      <c r="J191" s="170">
        <f t="shared" si="55"/>
        <v>16.834810514285717</v>
      </c>
    </row>
    <row r="192" spans="2:10">
      <c r="B192" s="92"/>
      <c r="F192" s="43"/>
    </row>
    <row r="193" spans="2:10">
      <c r="B193" s="15" t="s">
        <v>186</v>
      </c>
      <c r="C193" s="17"/>
      <c r="D193" s="17"/>
      <c r="E193" s="17"/>
      <c r="F193" s="17"/>
      <c r="G193" s="17"/>
      <c r="H193" s="17"/>
      <c r="I193" s="17"/>
      <c r="J193" s="17"/>
    </row>
    <row r="194" spans="2:10">
      <c r="B194" s="13" t="s">
        <v>5</v>
      </c>
      <c r="C194" s="18">
        <f>C$39</f>
        <v>2013</v>
      </c>
      <c r="D194" s="18">
        <f>D$39</f>
        <v>2014</v>
      </c>
      <c r="E194" s="18">
        <f t="shared" ref="E194:J194" si="56">E$39</f>
        <v>2015</v>
      </c>
      <c r="F194" s="19">
        <f t="shared" si="56"/>
        <v>2016</v>
      </c>
      <c r="G194" s="19">
        <f t="shared" si="56"/>
        <v>2017</v>
      </c>
      <c r="H194" s="19">
        <f t="shared" si="56"/>
        <v>2018</v>
      </c>
      <c r="I194" s="19">
        <f t="shared" si="56"/>
        <v>2019</v>
      </c>
      <c r="J194" s="19">
        <f t="shared" si="56"/>
        <v>2020</v>
      </c>
    </row>
    <row r="195" spans="2:10">
      <c r="B195" s="20" t="s">
        <v>6</v>
      </c>
      <c r="C195" s="22">
        <f>C$40</f>
        <v>41545</v>
      </c>
      <c r="D195" s="22">
        <f>D$40</f>
        <v>41909</v>
      </c>
      <c r="E195" s="22">
        <f t="shared" ref="E195:J195" si="57">E$40</f>
        <v>42273</v>
      </c>
      <c r="F195" s="22">
        <f t="shared" si="57"/>
        <v>42643</v>
      </c>
      <c r="G195" s="22">
        <f t="shared" si="57"/>
        <v>43008</v>
      </c>
      <c r="H195" s="22">
        <f t="shared" si="57"/>
        <v>43373</v>
      </c>
      <c r="I195" s="22">
        <f t="shared" si="57"/>
        <v>43738</v>
      </c>
      <c r="J195" s="22">
        <f t="shared" si="57"/>
        <v>44104</v>
      </c>
    </row>
    <row r="196" spans="2:10">
      <c r="B196" s="26"/>
      <c r="C196" s="13"/>
      <c r="D196" s="13"/>
      <c r="E196" s="13"/>
      <c r="F196" s="13"/>
      <c r="G196" s="13"/>
      <c r="H196" s="13"/>
      <c r="I196" s="13"/>
      <c r="J196" s="13"/>
    </row>
    <row r="197" spans="2:10">
      <c r="B197" s="92" t="s">
        <v>182</v>
      </c>
      <c r="C197" s="176"/>
      <c r="D197" s="23"/>
      <c r="E197" s="13"/>
      <c r="F197" s="177">
        <v>50</v>
      </c>
      <c r="G197" s="177">
        <v>60</v>
      </c>
      <c r="H197" s="177">
        <v>80</v>
      </c>
      <c r="I197" s="177">
        <v>100</v>
      </c>
      <c r="J197" s="177">
        <v>200</v>
      </c>
    </row>
    <row r="198" spans="2:10">
      <c r="B198" s="32"/>
      <c r="C198" s="75" t="s">
        <v>183</v>
      </c>
      <c r="D198" s="75" t="s">
        <v>184</v>
      </c>
      <c r="E198" s="75" t="s">
        <v>185</v>
      </c>
      <c r="F198" s="174"/>
      <c r="G198" s="174"/>
      <c r="H198" s="174"/>
      <c r="I198" s="174"/>
      <c r="J198" s="174"/>
    </row>
    <row r="199" spans="2:10">
      <c r="B199" s="37" t="s">
        <v>29</v>
      </c>
      <c r="C199" s="178">
        <v>0.02</v>
      </c>
      <c r="D199" s="67">
        <v>0.01</v>
      </c>
      <c r="E199" s="137"/>
      <c r="F199" s="185">
        <f ca="1">IF($D$10="OFF",($C$199+MAX(F197/10000,$D$199))*AVERAGE(F147,F149),0)</f>
        <v>1.9506483650047084</v>
      </c>
      <c r="G199" s="185">
        <f ca="1">IF($D$10="OFF",($C$199+MAX(G197/10000,$D$199))*AVERAGE(G147,G149),0)</f>
        <v>1.9506483650047084</v>
      </c>
      <c r="H199" s="185">
        <f ca="1">IF($D$10="OFF",($C$199+MAX(H197/10000,$D$199))*AVERAGE(H147,H149),0)</f>
        <v>0</v>
      </c>
      <c r="I199" s="185">
        <f ca="1">IF($D$10="OFF",($C$199+MAX(I197/10000,$D$199))*AVERAGE(I147,I149),0)</f>
        <v>0</v>
      </c>
      <c r="J199" s="185">
        <f ca="1">IF($D$10="OFF",($C$199+MAX(J197/10000,$D$199))*AVERAGE(J147,J149),0)</f>
        <v>0</v>
      </c>
    </row>
    <row r="200" spans="2:10">
      <c r="B200" s="32" t="s">
        <v>86</v>
      </c>
      <c r="C200" s="178">
        <v>2.2499999999999999E-2</v>
      </c>
      <c r="D200" s="67">
        <v>0.01</v>
      </c>
      <c r="E200" s="137"/>
      <c r="F200" s="185">
        <f ca="1">IF($D$10="OFF",($C$200+MAX(F197/10000,$D$200))*AVERAGE(F154,F157),0)</f>
        <v>90.960585559999984</v>
      </c>
      <c r="G200" s="185">
        <f ca="1">IF($D$10="OFF",($C$200+MAX(G197/10000,$D$200))*AVERAGE(G154,G157),0)</f>
        <v>83.436793459527649</v>
      </c>
      <c r="H200" s="185">
        <f ca="1">IF($D$10="OFF",($C$200+MAX(H197/10000,$D$200))*AVERAGE(H154,H157),0)</f>
        <v>75.205274925932045</v>
      </c>
      <c r="I200" s="185">
        <f ca="1">IF($D$10="OFF",($C$200+MAX(I197/10000,$D$200))*AVERAGE(I154,I157),0)</f>
        <v>61.776826238853786</v>
      </c>
      <c r="J200" s="185">
        <f ca="1">IF($D$10="OFF",($C$200+MAX(J197/10000,$D$200))*AVERAGE(J154,J157),0)</f>
        <v>55.994886245161069</v>
      </c>
    </row>
    <row r="201" spans="2:10">
      <c r="B201" s="32" t="s">
        <v>87</v>
      </c>
      <c r="C201" s="178">
        <v>0.04</v>
      </c>
      <c r="D201" s="67">
        <v>7.4999999999999997E-3</v>
      </c>
      <c r="E201" s="137"/>
      <c r="F201" s="185">
        <f ca="1">IF($D$10="OFF",($C$201+MAX(F197/10000,$D$201))*AVERAGE(F162,F165),0)</f>
        <v>120.54105152999999</v>
      </c>
      <c r="G201" s="185">
        <f ca="1">IF($D$10="OFF",($C$201+MAX(G197/10000,$D$201))*AVERAGE(G162,G165),0)</f>
        <v>111.024652725</v>
      </c>
      <c r="H201" s="185">
        <f ca="1">IF($D$10="OFF",($C$201+MAX(H197/10000,$D$201))*AVERAGE(H162,H165),0)</f>
        <v>105.78228566399999</v>
      </c>
      <c r="I201" s="185">
        <f ca="1">IF($D$10="OFF",($C$201+MAX(I197/10000,$D$201))*AVERAGE(I162,I165),0)</f>
        <v>103.5117063</v>
      </c>
      <c r="J201" s="185">
        <f ca="1">IF($D$10="OFF",($C$201+MAX(J197/10000,$D$201))*AVERAGE(J162,J165),0)</f>
        <v>116.20023804</v>
      </c>
    </row>
    <row r="202" spans="2:10">
      <c r="B202" s="32" t="s">
        <v>88</v>
      </c>
      <c r="C202" s="137"/>
      <c r="D202" s="137"/>
      <c r="E202" s="181"/>
      <c r="F202" s="81">
        <f>$E$202*AVERAGE(F170,F172)</f>
        <v>0</v>
      </c>
      <c r="G202" s="81">
        <f t="shared" ref="G202:J202" si="58">$E$202*AVERAGE(G170,G172)</f>
        <v>0</v>
      </c>
      <c r="H202" s="81">
        <f t="shared" si="58"/>
        <v>0</v>
      </c>
      <c r="I202" s="81">
        <f t="shared" si="58"/>
        <v>0</v>
      </c>
      <c r="J202" s="81">
        <f t="shared" si="58"/>
        <v>0</v>
      </c>
    </row>
    <row r="203" spans="2:10">
      <c r="B203" s="32" t="s">
        <v>146</v>
      </c>
      <c r="C203" s="137"/>
      <c r="D203" s="137"/>
      <c r="E203" s="181">
        <v>0.08</v>
      </c>
      <c r="F203" s="81">
        <f>$E$203*(F176-F177)</f>
        <v>21.985759999999996</v>
      </c>
      <c r="G203" s="81">
        <f t="shared" ref="G203:J203" si="59">$E$203*(G176-G177)</f>
        <v>21.985759999999996</v>
      </c>
      <c r="H203" s="81">
        <f t="shared" si="59"/>
        <v>21.985759999999996</v>
      </c>
      <c r="I203" s="81">
        <f t="shared" si="59"/>
        <v>21.985759999999996</v>
      </c>
      <c r="J203" s="81">
        <f t="shared" si="59"/>
        <v>21.985759999999996</v>
      </c>
    </row>
    <row r="204" spans="2:10">
      <c r="B204" s="32" t="s">
        <v>145</v>
      </c>
      <c r="C204" s="172"/>
      <c r="D204" s="137"/>
      <c r="E204" s="182"/>
      <c r="F204" s="81">
        <f>F178</f>
        <v>0</v>
      </c>
      <c r="G204" s="81">
        <f t="shared" ref="G204:J204" si="60">G178</f>
        <v>0</v>
      </c>
      <c r="H204" s="81">
        <f t="shared" si="60"/>
        <v>0</v>
      </c>
      <c r="I204" s="81">
        <f t="shared" si="60"/>
        <v>0</v>
      </c>
      <c r="J204" s="81">
        <f t="shared" si="60"/>
        <v>0</v>
      </c>
    </row>
    <row r="205" spans="2:10">
      <c r="B205" s="32"/>
      <c r="C205" s="30"/>
      <c r="D205" s="30"/>
      <c r="E205" s="26"/>
      <c r="F205" s="100"/>
      <c r="G205" s="100"/>
      <c r="H205" s="100"/>
      <c r="I205" s="100"/>
      <c r="J205" s="59"/>
    </row>
    <row r="206" spans="2:10">
      <c r="B206" s="15" t="s">
        <v>126</v>
      </c>
      <c r="C206" s="17"/>
      <c r="D206" s="17"/>
      <c r="E206" s="17"/>
      <c r="F206" s="17"/>
      <c r="G206" s="17"/>
      <c r="H206" s="17"/>
      <c r="I206" s="17"/>
      <c r="J206" s="17"/>
    </row>
    <row r="208" spans="2:10">
      <c r="F208" s="293">
        <f>J195</f>
        <v>44104</v>
      </c>
      <c r="G208" s="293"/>
      <c r="H208" s="293"/>
      <c r="I208" s="293"/>
      <c r="J208" s="293"/>
    </row>
    <row r="210" spans="2:10">
      <c r="B210" s="4" t="s">
        <v>136</v>
      </c>
      <c r="C210" s="26"/>
      <c r="D210" s="13"/>
      <c r="E210" s="75" t="s">
        <v>135</v>
      </c>
      <c r="F210" s="133">
        <f>D17-1</f>
        <v>12</v>
      </c>
      <c r="G210" s="112">
        <f>F210+$E$211</f>
        <v>12.5</v>
      </c>
      <c r="H210" s="112">
        <f t="shared" ref="H210:J210" si="61">G210+$E$211</f>
        <v>13</v>
      </c>
      <c r="I210" s="112">
        <f t="shared" si="61"/>
        <v>13.5</v>
      </c>
      <c r="J210" s="112">
        <f t="shared" si="61"/>
        <v>14</v>
      </c>
    </row>
    <row r="211" spans="2:10">
      <c r="B211" s="6" t="s">
        <v>69</v>
      </c>
      <c r="E211" s="180">
        <v>0.5</v>
      </c>
      <c r="F211" s="81">
        <f>$J$60</f>
        <v>2444.6745313348415</v>
      </c>
      <c r="G211" s="81">
        <f>F211</f>
        <v>2444.6745313348415</v>
      </c>
      <c r="H211" s="81">
        <f t="shared" ref="H211:J211" si="62">G211</f>
        <v>2444.6745313348415</v>
      </c>
      <c r="I211" s="81">
        <f t="shared" si="62"/>
        <v>2444.6745313348415</v>
      </c>
      <c r="J211" s="81">
        <f t="shared" si="62"/>
        <v>2444.6745313348415</v>
      </c>
    </row>
    <row r="212" spans="2:10">
      <c r="B212" s="30" t="s">
        <v>56</v>
      </c>
      <c r="F212" s="170">
        <f>F210*F211</f>
        <v>29336.094376018096</v>
      </c>
      <c r="G212" s="170">
        <f>G210*G211</f>
        <v>30558.431641685518</v>
      </c>
      <c r="H212" s="170">
        <f>H210*H211</f>
        <v>31780.76890735294</v>
      </c>
      <c r="I212" s="170">
        <f>I210*I211</f>
        <v>33003.106173020358</v>
      </c>
      <c r="J212" s="170">
        <f>J210*J211</f>
        <v>34225.443438687784</v>
      </c>
    </row>
    <row r="213" spans="2:10">
      <c r="B213" s="98" t="s">
        <v>118</v>
      </c>
      <c r="F213" s="43"/>
    </row>
    <row r="214" spans="2:10">
      <c r="B214" s="99" t="s">
        <v>29</v>
      </c>
      <c r="F214" s="81">
        <f ca="1">J149</f>
        <v>0</v>
      </c>
      <c r="G214" s="81">
        <f t="shared" ref="G214:J216" ca="1" si="63">F214</f>
        <v>0</v>
      </c>
      <c r="H214" s="81">
        <f t="shared" ca="1" si="63"/>
        <v>0</v>
      </c>
      <c r="I214" s="81">
        <f t="shared" ca="1" si="63"/>
        <v>0</v>
      </c>
      <c r="J214" s="81">
        <f t="shared" ca="1" si="63"/>
        <v>0</v>
      </c>
    </row>
    <row r="215" spans="2:10">
      <c r="B215" s="64" t="s">
        <v>86</v>
      </c>
      <c r="F215" s="81">
        <f ca="1">+J157</f>
        <v>978.3302942097904</v>
      </c>
      <c r="G215" s="81">
        <f t="shared" ca="1" si="63"/>
        <v>978.3302942097904</v>
      </c>
      <c r="H215" s="81">
        <f t="shared" ca="1" si="63"/>
        <v>978.3302942097904</v>
      </c>
      <c r="I215" s="81">
        <f t="shared" ca="1" si="63"/>
        <v>978.3302942097904</v>
      </c>
      <c r="J215" s="81">
        <f t="shared" ca="1" si="63"/>
        <v>978.3302942097904</v>
      </c>
    </row>
    <row r="216" spans="2:10">
      <c r="B216" s="64" t="s">
        <v>87</v>
      </c>
      <c r="E216" s="137"/>
      <c r="F216" s="81">
        <f ca="1">J165</f>
        <v>1869.888888</v>
      </c>
      <c r="G216" s="81">
        <f t="shared" ca="1" si="63"/>
        <v>1869.888888</v>
      </c>
      <c r="H216" s="81">
        <f t="shared" ca="1" si="63"/>
        <v>1869.888888</v>
      </c>
      <c r="I216" s="81">
        <f t="shared" ca="1" si="63"/>
        <v>1869.888888</v>
      </c>
      <c r="J216" s="81">
        <f t="shared" ca="1" si="63"/>
        <v>1869.888888</v>
      </c>
    </row>
    <row r="217" spans="2:10">
      <c r="B217" s="64" t="s">
        <v>88</v>
      </c>
      <c r="E217" s="263"/>
      <c r="F217" s="81">
        <f>J172</f>
        <v>0</v>
      </c>
      <c r="G217" s="81">
        <f t="shared" ref="G217:J219" si="64">F217</f>
        <v>0</v>
      </c>
      <c r="H217" s="81">
        <f t="shared" si="64"/>
        <v>0</v>
      </c>
      <c r="I217" s="81">
        <f t="shared" si="64"/>
        <v>0</v>
      </c>
      <c r="J217" s="81">
        <f t="shared" si="64"/>
        <v>0</v>
      </c>
    </row>
    <row r="218" spans="2:10">
      <c r="B218" s="64" t="s">
        <v>89</v>
      </c>
      <c r="E218" s="264"/>
      <c r="F218" s="81">
        <f>J179</f>
        <v>274.82199999999995</v>
      </c>
      <c r="G218" s="81">
        <f t="shared" si="64"/>
        <v>274.82199999999995</v>
      </c>
      <c r="H218" s="81">
        <f t="shared" si="64"/>
        <v>274.82199999999995</v>
      </c>
      <c r="I218" s="81">
        <f t="shared" si="64"/>
        <v>274.82199999999995</v>
      </c>
      <c r="J218" s="81">
        <f t="shared" si="64"/>
        <v>274.82199999999995</v>
      </c>
    </row>
    <row r="219" spans="2:10">
      <c r="B219" s="64" t="s">
        <v>134</v>
      </c>
      <c r="E219" s="264"/>
      <c r="F219" s="81">
        <f>J185</f>
        <v>0</v>
      </c>
      <c r="G219" s="81">
        <f t="shared" si="64"/>
        <v>0</v>
      </c>
      <c r="H219" s="81">
        <f t="shared" si="64"/>
        <v>0</v>
      </c>
      <c r="I219" s="81">
        <f t="shared" si="64"/>
        <v>0</v>
      </c>
      <c r="J219" s="81">
        <f t="shared" si="64"/>
        <v>0</v>
      </c>
    </row>
    <row r="220" spans="2:10">
      <c r="B220" s="68" t="s">
        <v>47</v>
      </c>
      <c r="F220" s="81">
        <f ca="1">-(J136)</f>
        <v>0</v>
      </c>
      <c r="G220" s="81">
        <f ca="1">F220</f>
        <v>0</v>
      </c>
      <c r="H220" s="81">
        <f ca="1">G220</f>
        <v>0</v>
      </c>
      <c r="I220" s="81">
        <f ca="1">H220</f>
        <v>0</v>
      </c>
      <c r="J220" s="81">
        <f ca="1">I220</f>
        <v>0</v>
      </c>
    </row>
    <row r="221" spans="2:10">
      <c r="B221" s="56" t="s">
        <v>49</v>
      </c>
      <c r="C221" s="125" t="s">
        <v>242</v>
      </c>
      <c r="D221" s="126" t="s">
        <v>156</v>
      </c>
      <c r="E221" s="127" t="s">
        <v>198</v>
      </c>
      <c r="F221" s="170">
        <f ca="1">F212-SUM(F214:F220)</f>
        <v>26213.053193808308</v>
      </c>
      <c r="G221" s="170">
        <f ca="1">G212-SUM(G214:G220)</f>
        <v>27435.390459475726</v>
      </c>
      <c r="H221" s="170">
        <f ca="1">H212-SUM(H214:H220)</f>
        <v>28657.727725143151</v>
      </c>
      <c r="I221" s="170">
        <f ca="1">I212-SUM(I214:I220)</f>
        <v>29880.06499081057</v>
      </c>
      <c r="J221" s="170">
        <f ca="1">J212-SUM(J214:J220)</f>
        <v>31102.402256477995</v>
      </c>
    </row>
    <row r="222" spans="2:10">
      <c r="B222" s="32" t="s">
        <v>74</v>
      </c>
      <c r="C222" s="128">
        <f>D35</f>
        <v>8752.690328054201</v>
      </c>
      <c r="D222" s="124">
        <f>C222/SUM($C$222:$C$225)</f>
        <v>1</v>
      </c>
      <c r="E222" s="129">
        <f>(1-$E$225-$E$224)*(D222/SUM($D$222:$D$223))</f>
        <v>1</v>
      </c>
      <c r="F222" s="81">
        <f t="shared" ref="F222:J225" ca="1" si="65">F$221*$E222</f>
        <v>26213.053193808308</v>
      </c>
      <c r="G222" s="81">
        <f t="shared" ca="1" si="65"/>
        <v>27435.390459475726</v>
      </c>
      <c r="H222" s="81">
        <f t="shared" ca="1" si="65"/>
        <v>28657.727725143151</v>
      </c>
      <c r="I222" s="81">
        <f t="shared" ca="1" si="65"/>
        <v>29880.06499081057</v>
      </c>
      <c r="J222" s="81">
        <f t="shared" ca="1" si="65"/>
        <v>31102.402256477995</v>
      </c>
    </row>
    <row r="223" spans="2:10">
      <c r="B223" s="35" t="s">
        <v>141</v>
      </c>
      <c r="C223" s="128">
        <f>D34</f>
        <v>0</v>
      </c>
      <c r="D223" s="124">
        <f>C223/SUM($C$222:$C$225)</f>
        <v>0</v>
      </c>
      <c r="E223" s="129">
        <f>(1-$E$225-$E$224)*(D223/SUM($D$222:$D$223))</f>
        <v>0</v>
      </c>
      <c r="F223" s="81">
        <f t="shared" ca="1" si="65"/>
        <v>0</v>
      </c>
      <c r="G223" s="81">
        <f t="shared" ca="1" si="65"/>
        <v>0</v>
      </c>
      <c r="H223" s="81">
        <f t="shared" ca="1" si="65"/>
        <v>0</v>
      </c>
      <c r="I223" s="81">
        <f t="shared" ca="1" si="65"/>
        <v>0</v>
      </c>
      <c r="J223" s="81">
        <f t="shared" ca="1" si="65"/>
        <v>0</v>
      </c>
    </row>
    <row r="224" spans="2:10">
      <c r="B224" s="35" t="s">
        <v>134</v>
      </c>
      <c r="C224" s="130"/>
      <c r="D224" s="124">
        <f>C224/SUM($C$222:$C$225)</f>
        <v>0</v>
      </c>
      <c r="E224" s="265"/>
      <c r="F224" s="81">
        <f t="shared" ca="1" si="65"/>
        <v>0</v>
      </c>
      <c r="G224" s="81">
        <f t="shared" ca="1" si="65"/>
        <v>0</v>
      </c>
      <c r="H224" s="81">
        <f t="shared" ca="1" si="65"/>
        <v>0</v>
      </c>
      <c r="I224" s="81">
        <f t="shared" ca="1" si="65"/>
        <v>0</v>
      </c>
      <c r="J224" s="81">
        <f t="shared" ca="1" si="65"/>
        <v>0</v>
      </c>
    </row>
    <row r="225" spans="2:10">
      <c r="B225" s="35" t="s">
        <v>140</v>
      </c>
      <c r="C225" s="131"/>
      <c r="D225" s="132">
        <f>C225/SUM($C$222:$C$225)</f>
        <v>0</v>
      </c>
      <c r="E225" s="266"/>
      <c r="F225" s="81">
        <f t="shared" ca="1" si="65"/>
        <v>0</v>
      </c>
      <c r="G225" s="81">
        <f t="shared" ca="1" si="65"/>
        <v>0</v>
      </c>
      <c r="H225" s="81">
        <f t="shared" ca="1" si="65"/>
        <v>0</v>
      </c>
      <c r="I225" s="81">
        <f t="shared" ca="1" si="65"/>
        <v>0</v>
      </c>
      <c r="J225" s="81">
        <f t="shared" ca="1" si="65"/>
        <v>0</v>
      </c>
    </row>
    <row r="226" spans="2:10">
      <c r="B226" s="56"/>
      <c r="C226" s="56"/>
      <c r="D226" s="56"/>
      <c r="E226" s="56"/>
      <c r="F226" s="58"/>
      <c r="G226" s="58"/>
      <c r="H226" s="58"/>
      <c r="I226" s="58"/>
      <c r="J226" s="13"/>
    </row>
    <row r="227" spans="2:10">
      <c r="B227" s="254" t="s">
        <v>112</v>
      </c>
      <c r="C227" s="56"/>
      <c r="D227" s="56"/>
      <c r="E227" s="56"/>
      <c r="F227" s="58"/>
      <c r="G227" s="58"/>
      <c r="H227" s="58"/>
      <c r="I227" s="58"/>
      <c r="J227" s="13"/>
    </row>
    <row r="228" spans="2:10">
      <c r="B228" s="13"/>
      <c r="C228" s="255" t="s">
        <v>151</v>
      </c>
      <c r="D228" s="255" t="s">
        <v>113</v>
      </c>
      <c r="E228" s="256" t="s">
        <v>129</v>
      </c>
      <c r="F228" s="257">
        <f>F39</f>
        <v>2016</v>
      </c>
      <c r="G228" s="257">
        <f>G39</f>
        <v>2017</v>
      </c>
      <c r="H228" s="257">
        <f>H39</f>
        <v>2018</v>
      </c>
      <c r="I228" s="257">
        <f>I39</f>
        <v>2019</v>
      </c>
      <c r="J228" s="257">
        <f>J39</f>
        <v>2020</v>
      </c>
    </row>
    <row r="229" spans="2:10">
      <c r="B229" s="6" t="s">
        <v>29</v>
      </c>
      <c r="C229" s="121" t="str">
        <f ca="1">IFERROR(SUM(F229:J229)/-E229, "NM")</f>
        <v>NM</v>
      </c>
      <c r="D229" s="109">
        <f ca="1">IFERROR(IRR(E229:J229),0)</f>
        <v>3.045685279187782E-2</v>
      </c>
      <c r="E229" s="84">
        <f>-D28</f>
        <v>0</v>
      </c>
      <c r="F229" s="84">
        <f ca="1">-F148+F199</f>
        <v>-128.09257596864254</v>
      </c>
      <c r="G229" s="84">
        <f ca="1">-G148+G199</f>
        <v>131.99387269865193</v>
      </c>
      <c r="H229" s="84">
        <f ca="1">-H148+H199</f>
        <v>0</v>
      </c>
      <c r="I229" s="84">
        <f ca="1">-I148+I199</f>
        <v>0</v>
      </c>
      <c r="J229" s="228">
        <f ca="1">-J148+J199+F214</f>
        <v>0</v>
      </c>
    </row>
    <row r="230" spans="2:10">
      <c r="B230" s="13" t="s">
        <v>86</v>
      </c>
      <c r="C230" s="121">
        <f ca="1">IFERROR(SUM(F230:J230)/-E230, "NM")</f>
        <v>1.1246988846177568</v>
      </c>
      <c r="D230" s="109">
        <f ca="1">IFERROR(IRR(E230:J230),0)</f>
        <v>3.0908683838502204E-2</v>
      </c>
      <c r="E230" s="84">
        <f>-D29</f>
        <v>-2946.0918399999996</v>
      </c>
      <c r="F230" s="84">
        <f ca="1">F155+F156+F200</f>
        <v>385.56976955999994</v>
      </c>
      <c r="G230" s="84">
        <f ca="1">G155+G156+G200</f>
        <v>251.83020025782577</v>
      </c>
      <c r="H230" s="84">
        <f ca="1">H155+H156+H200</f>
        <v>413.36685481043958</v>
      </c>
      <c r="I230" s="84">
        <f ca="1">I155+I156+I200</f>
        <v>549.98131940531721</v>
      </c>
      <c r="J230" s="228">
        <f ca="1">J155+J156+J200+F215</f>
        <v>1712.7180623958918</v>
      </c>
    </row>
    <row r="231" spans="2:10">
      <c r="B231" s="13" t="s">
        <v>87</v>
      </c>
      <c r="C231" s="121">
        <f ca="1">IFERROR(SUM(F231:J231)/-E231, "NM")</f>
        <v>1.2085375000000003</v>
      </c>
      <c r="D231" s="109">
        <f ca="1">IFERROR(IRR(E231:J231),0)</f>
        <v>4.8249818686768586E-2</v>
      </c>
      <c r="E231" s="84">
        <f>-D30</f>
        <v>-2671.2698399999995</v>
      </c>
      <c r="F231" s="84">
        <f ca="1">F163+F164+F201</f>
        <v>387.66803552999994</v>
      </c>
      <c r="G231" s="84">
        <f ca="1">G163+G164+G201</f>
        <v>244.58814472499995</v>
      </c>
      <c r="H231" s="84">
        <f ca="1">H163+H164+H201</f>
        <v>239.34577766399997</v>
      </c>
      <c r="I231" s="84">
        <f ca="1">I163+I164+I201</f>
        <v>237.07519829999995</v>
      </c>
      <c r="J231" s="228">
        <f ca="1">J163+J164+J201+F216</f>
        <v>2119.6526180400001</v>
      </c>
    </row>
    <row r="232" spans="2:10">
      <c r="B232" s="13" t="s">
        <v>88</v>
      </c>
      <c r="C232" s="121" t="str">
        <f>IFERROR(SUM(F232:J232)/-E232, "NM")</f>
        <v>NM</v>
      </c>
      <c r="D232" s="109">
        <f>IFERROR(IRR(E232:J232),0)</f>
        <v>0</v>
      </c>
      <c r="E232" s="84">
        <f>-D31</f>
        <v>0</v>
      </c>
      <c r="F232" s="84">
        <f>F171+F202</f>
        <v>0</v>
      </c>
      <c r="G232" s="84">
        <f>G171+G202</f>
        <v>0</v>
      </c>
      <c r="H232" s="84">
        <f>H171+H202</f>
        <v>0</v>
      </c>
      <c r="I232" s="84">
        <f>I171+I202</f>
        <v>0</v>
      </c>
      <c r="J232" s="228">
        <f>J171+J202+F217</f>
        <v>0</v>
      </c>
    </row>
    <row r="233" spans="2:10">
      <c r="B233" s="48" t="s">
        <v>152</v>
      </c>
      <c r="C233" s="113"/>
      <c r="D233" s="109"/>
      <c r="E233" s="28"/>
      <c r="F233" s="28"/>
      <c r="G233" s="28"/>
      <c r="H233" s="28"/>
      <c r="I233" s="28"/>
      <c r="J233" s="105"/>
    </row>
    <row r="234" spans="2:10">
      <c r="B234" s="122">
        <f>$F$210</f>
        <v>12</v>
      </c>
      <c r="C234" s="121">
        <f ca="1">IFERROR(SUM(F234:J234)/-E234, "NM")</f>
        <v>1.4</v>
      </c>
      <c r="D234" s="109">
        <f ca="1">IFERROR(IRR(E234:J234),0)</f>
        <v>7.9999999998561222E-2</v>
      </c>
      <c r="E234" s="84">
        <f>-D32</f>
        <v>-274.82199999999995</v>
      </c>
      <c r="F234" s="84">
        <f>F177+F203</f>
        <v>21.985759999999996</v>
      </c>
      <c r="G234" s="84">
        <f>G177+G203</f>
        <v>21.985759999999996</v>
      </c>
      <c r="H234" s="84">
        <f>H177+H203</f>
        <v>21.985759999999996</v>
      </c>
      <c r="I234" s="84">
        <f>I177+I203</f>
        <v>21.985759999999996</v>
      </c>
      <c r="J234" s="228">
        <f ca="1">J177+J203+F218+F225</f>
        <v>296.80775999999992</v>
      </c>
    </row>
    <row r="235" spans="2:10">
      <c r="B235" s="122">
        <f>$G$210</f>
        <v>12.5</v>
      </c>
      <c r="C235" s="121">
        <f ca="1">IFERROR(SUM(F235:J235)/-E235, "NM")</f>
        <v>1.4</v>
      </c>
      <c r="D235" s="109">
        <f ca="1">IFERROR(IRR(E235:J235),0)</f>
        <v>7.9999999998561222E-2</v>
      </c>
      <c r="E235" s="84">
        <f>E234</f>
        <v>-274.82199999999995</v>
      </c>
      <c r="F235" s="84">
        <f t="shared" ref="F235:I238" si="66">F234</f>
        <v>21.985759999999996</v>
      </c>
      <c r="G235" s="84">
        <f t="shared" si="66"/>
        <v>21.985759999999996</v>
      </c>
      <c r="H235" s="84">
        <f t="shared" si="66"/>
        <v>21.985759999999996</v>
      </c>
      <c r="I235" s="84">
        <f t="shared" si="66"/>
        <v>21.985759999999996</v>
      </c>
      <c r="J235" s="228">
        <f ca="1">J177+J203+G218+G225</f>
        <v>296.80775999999992</v>
      </c>
    </row>
    <row r="236" spans="2:10">
      <c r="B236" s="122">
        <f>$H$210</f>
        <v>13</v>
      </c>
      <c r="C236" s="121">
        <f ca="1">IFERROR(SUM(F236:J236)/-E236, "NM")</f>
        <v>1.4</v>
      </c>
      <c r="D236" s="109">
        <f ca="1">IFERROR(IRR(E236:J236),0)</f>
        <v>7.9999999998561222E-2</v>
      </c>
      <c r="E236" s="84">
        <f t="shared" ref="E236:E238" si="67">E235</f>
        <v>-274.82199999999995</v>
      </c>
      <c r="F236" s="84">
        <f t="shared" si="66"/>
        <v>21.985759999999996</v>
      </c>
      <c r="G236" s="84">
        <f t="shared" si="66"/>
        <v>21.985759999999996</v>
      </c>
      <c r="H236" s="84">
        <f t="shared" si="66"/>
        <v>21.985759999999996</v>
      </c>
      <c r="I236" s="84">
        <f t="shared" si="66"/>
        <v>21.985759999999996</v>
      </c>
      <c r="J236" s="228">
        <f ca="1">J177+J203+H218+H225</f>
        <v>296.80775999999992</v>
      </c>
    </row>
    <row r="237" spans="2:10">
      <c r="B237" s="122">
        <f>$I$210</f>
        <v>13.5</v>
      </c>
      <c r="C237" s="121">
        <f ca="1">IFERROR(SUM(F237:J237)/-E237, "NM")</f>
        <v>1.4</v>
      </c>
      <c r="D237" s="109">
        <f ca="1">IFERROR(IRR(E237:J237),0)</f>
        <v>7.9999999998561222E-2</v>
      </c>
      <c r="E237" s="84">
        <f t="shared" si="67"/>
        <v>-274.82199999999995</v>
      </c>
      <c r="F237" s="84">
        <f t="shared" si="66"/>
        <v>21.985759999999996</v>
      </c>
      <c r="G237" s="84">
        <f t="shared" si="66"/>
        <v>21.985759999999996</v>
      </c>
      <c r="H237" s="84">
        <f t="shared" si="66"/>
        <v>21.985759999999996</v>
      </c>
      <c r="I237" s="84">
        <f t="shared" si="66"/>
        <v>21.985759999999996</v>
      </c>
      <c r="J237" s="228">
        <f ca="1">J177+J203+I218+I225</f>
        <v>296.80775999999992</v>
      </c>
    </row>
    <row r="238" spans="2:10">
      <c r="B238" s="122">
        <f>$J$210</f>
        <v>14</v>
      </c>
      <c r="C238" s="121">
        <f ca="1">IFERROR(SUM(F238:J238)/-E238, "NM")</f>
        <v>1.4</v>
      </c>
      <c r="D238" s="109">
        <f ca="1">IFERROR(IRR(E238:J238),0)</f>
        <v>7.9999999998561222E-2</v>
      </c>
      <c r="E238" s="84">
        <f t="shared" si="67"/>
        <v>-274.82199999999995</v>
      </c>
      <c r="F238" s="84">
        <f t="shared" si="66"/>
        <v>21.985759999999996</v>
      </c>
      <c r="G238" s="84">
        <f t="shared" si="66"/>
        <v>21.985759999999996</v>
      </c>
      <c r="H238" s="84">
        <f t="shared" si="66"/>
        <v>21.985759999999996</v>
      </c>
      <c r="I238" s="84">
        <f t="shared" si="66"/>
        <v>21.985759999999996</v>
      </c>
      <c r="J238" s="228">
        <f ca="1">J177+J203+J218+J225</f>
        <v>296.80775999999992</v>
      </c>
    </row>
    <row r="239" spans="2:10">
      <c r="B239" s="48" t="s">
        <v>153</v>
      </c>
      <c r="C239" s="113"/>
      <c r="D239" s="109"/>
      <c r="E239" s="28"/>
      <c r="F239" s="28"/>
      <c r="G239" s="28"/>
      <c r="H239" s="28"/>
      <c r="I239" s="28"/>
      <c r="J239" s="105"/>
    </row>
    <row r="240" spans="2:10">
      <c r="B240" s="122">
        <f>$F$210</f>
        <v>12</v>
      </c>
      <c r="C240" s="121" t="str">
        <f ca="1">IFERROR(SUM(F240:J240)/-E240, "NM")</f>
        <v>NM</v>
      </c>
      <c r="D240" s="109">
        <f ca="1">IFERROR(IRR(E240:J240),0)</f>
        <v>0</v>
      </c>
      <c r="E240" s="84">
        <f>-D33</f>
        <v>0</v>
      </c>
      <c r="F240" s="166">
        <f>F186</f>
        <v>0</v>
      </c>
      <c r="G240" s="166">
        <f>G186</f>
        <v>0</v>
      </c>
      <c r="H240" s="166">
        <f>H186</f>
        <v>0</v>
      </c>
      <c r="I240" s="166">
        <f>I186</f>
        <v>0</v>
      </c>
      <c r="J240" s="228">
        <f ca="1">J185+J186+F224</f>
        <v>0</v>
      </c>
    </row>
    <row r="241" spans="2:10">
      <c r="B241" s="122">
        <f>$G$210</f>
        <v>12.5</v>
      </c>
      <c r="C241" s="121" t="str">
        <f ca="1">IFERROR(SUM(F241:J241)/-E241, "NM")</f>
        <v>NM</v>
      </c>
      <c r="D241" s="109">
        <f ca="1">IFERROR(IRR(E241:J241),0)</f>
        <v>0</v>
      </c>
      <c r="E241" s="84">
        <f>E240</f>
        <v>0</v>
      </c>
      <c r="F241" s="84">
        <f t="shared" ref="F241:I241" si="68">F240</f>
        <v>0</v>
      </c>
      <c r="G241" s="84">
        <f t="shared" si="68"/>
        <v>0</v>
      </c>
      <c r="H241" s="84">
        <f t="shared" si="68"/>
        <v>0</v>
      </c>
      <c r="I241" s="84">
        <f t="shared" si="68"/>
        <v>0</v>
      </c>
      <c r="J241" s="228">
        <f ca="1">J185+J186+G224</f>
        <v>0</v>
      </c>
    </row>
    <row r="242" spans="2:10">
      <c r="B242" s="122">
        <f>$H$210</f>
        <v>13</v>
      </c>
      <c r="C242" s="121" t="str">
        <f ca="1">IFERROR(SUM(F242:J242)/-E242, "NM")</f>
        <v>NM</v>
      </c>
      <c r="D242" s="109">
        <f ca="1">IFERROR(IRR(E242:J242),0)</f>
        <v>0</v>
      </c>
      <c r="E242" s="84">
        <f t="shared" ref="E242:E244" si="69">E241</f>
        <v>0</v>
      </c>
      <c r="F242" s="84">
        <f t="shared" ref="F242:F244" si="70">F241</f>
        <v>0</v>
      </c>
      <c r="G242" s="84">
        <f t="shared" ref="G242:G244" si="71">G241</f>
        <v>0</v>
      </c>
      <c r="H242" s="84">
        <f t="shared" ref="H242:H244" si="72">H241</f>
        <v>0</v>
      </c>
      <c r="I242" s="84">
        <f t="shared" ref="I242:I244" si="73">I241</f>
        <v>0</v>
      </c>
      <c r="J242" s="228">
        <f ca="1">J185+J186+H224</f>
        <v>0</v>
      </c>
    </row>
    <row r="243" spans="2:10">
      <c r="B243" s="122">
        <f>$I$210</f>
        <v>13.5</v>
      </c>
      <c r="C243" s="121" t="str">
        <f ca="1">IFERROR(SUM(F243:J243)/-E243, "NM")</f>
        <v>NM</v>
      </c>
      <c r="D243" s="109">
        <f ca="1">IFERROR(IRR(E243:J243),0)</f>
        <v>0</v>
      </c>
      <c r="E243" s="84">
        <f t="shared" si="69"/>
        <v>0</v>
      </c>
      <c r="F243" s="84">
        <f t="shared" si="70"/>
        <v>0</v>
      </c>
      <c r="G243" s="84">
        <f t="shared" si="71"/>
        <v>0</v>
      </c>
      <c r="H243" s="84">
        <f t="shared" si="72"/>
        <v>0</v>
      </c>
      <c r="I243" s="84">
        <f t="shared" si="73"/>
        <v>0</v>
      </c>
      <c r="J243" s="228">
        <f ca="1">J185+J186+I224</f>
        <v>0</v>
      </c>
    </row>
    <row r="244" spans="2:10">
      <c r="B244" s="122">
        <f>$J$210</f>
        <v>14</v>
      </c>
      <c r="C244" s="121" t="str">
        <f ca="1">IFERROR(SUM(F244:J244)/-E244, "NM")</f>
        <v>NM</v>
      </c>
      <c r="D244" s="109">
        <f ca="1">IFERROR(IRR(E244:J244),0)</f>
        <v>0</v>
      </c>
      <c r="E244" s="84">
        <f t="shared" si="69"/>
        <v>0</v>
      </c>
      <c r="F244" s="84">
        <f t="shared" si="70"/>
        <v>0</v>
      </c>
      <c r="G244" s="84">
        <f t="shared" si="71"/>
        <v>0</v>
      </c>
      <c r="H244" s="84">
        <f t="shared" si="72"/>
        <v>0</v>
      </c>
      <c r="I244" s="84">
        <f t="shared" si="73"/>
        <v>0</v>
      </c>
      <c r="J244" s="228">
        <f ca="1">J185+J186+J224</f>
        <v>0</v>
      </c>
    </row>
    <row r="245" spans="2:10">
      <c r="B245" s="48" t="s">
        <v>154</v>
      </c>
      <c r="C245" s="114"/>
      <c r="D245" s="109"/>
      <c r="E245" s="28"/>
      <c r="F245" s="28"/>
      <c r="G245" s="28"/>
      <c r="H245" s="28"/>
      <c r="I245" s="28"/>
      <c r="J245" s="105"/>
    </row>
    <row r="246" spans="2:10">
      <c r="B246" s="122">
        <f>$F$210</f>
        <v>12</v>
      </c>
      <c r="C246" s="121" t="str">
        <f ca="1">IFERROR(SUM(F246:J246)/-E246, "NM")</f>
        <v>NM</v>
      </c>
      <c r="D246" s="109">
        <f ca="1">IFERROR(IRR(E246:J246),0)</f>
        <v>0</v>
      </c>
      <c r="E246" s="84">
        <f>-(D34)</f>
        <v>0</v>
      </c>
      <c r="F246" s="200">
        <v>0</v>
      </c>
      <c r="G246" s="200">
        <v>0</v>
      </c>
      <c r="H246" s="200">
        <v>0</v>
      </c>
      <c r="I246" s="200">
        <v>0</v>
      </c>
      <c r="J246" s="187">
        <f ca="1">F223</f>
        <v>0</v>
      </c>
    </row>
    <row r="247" spans="2:10">
      <c r="B247" s="122">
        <f>$G$210</f>
        <v>12.5</v>
      </c>
      <c r="C247" s="121" t="str">
        <f ca="1">IFERROR(SUM(F247:J247)/-E247, "NM")</f>
        <v>NM</v>
      </c>
      <c r="D247" s="109">
        <f ca="1">IFERROR(IRR(E247:J247),0)</f>
        <v>0</v>
      </c>
      <c r="E247" s="84">
        <f>E246</f>
        <v>0</v>
      </c>
      <c r="F247" s="84">
        <f t="shared" ref="F247:F250" si="74">F246</f>
        <v>0</v>
      </c>
      <c r="G247" s="84">
        <f t="shared" ref="G247:G250" si="75">G246</f>
        <v>0</v>
      </c>
      <c r="H247" s="84">
        <f t="shared" ref="H247:H250" si="76">H246</f>
        <v>0</v>
      </c>
      <c r="I247" s="84">
        <f t="shared" ref="I247:I250" si="77">I246</f>
        <v>0</v>
      </c>
      <c r="J247" s="187">
        <f ca="1">G223</f>
        <v>0</v>
      </c>
    </row>
    <row r="248" spans="2:10">
      <c r="B248" s="122">
        <f>$H$210</f>
        <v>13</v>
      </c>
      <c r="C248" s="121" t="str">
        <f ca="1">IFERROR(SUM(F248:J248)/-E248, "NM")</f>
        <v>NM</v>
      </c>
      <c r="D248" s="109">
        <f ca="1">IFERROR(IRR(E248:J248),0)</f>
        <v>0</v>
      </c>
      <c r="E248" s="84">
        <f t="shared" ref="E248:E250" si="78">E247</f>
        <v>0</v>
      </c>
      <c r="F248" s="84">
        <f t="shared" si="74"/>
        <v>0</v>
      </c>
      <c r="G248" s="84">
        <f t="shared" si="75"/>
        <v>0</v>
      </c>
      <c r="H248" s="84">
        <f t="shared" si="76"/>
        <v>0</v>
      </c>
      <c r="I248" s="84">
        <f t="shared" si="77"/>
        <v>0</v>
      </c>
      <c r="J248" s="187">
        <f ca="1">H223</f>
        <v>0</v>
      </c>
    </row>
    <row r="249" spans="2:10">
      <c r="B249" s="122">
        <f>$I$210</f>
        <v>13.5</v>
      </c>
      <c r="C249" s="121" t="str">
        <f ca="1">IFERROR(SUM(F249:J249)/-E249, "NM")</f>
        <v>NM</v>
      </c>
      <c r="D249" s="109">
        <f ca="1">IFERROR(IRR(E249:J249),0)</f>
        <v>0</v>
      </c>
      <c r="E249" s="84">
        <f t="shared" si="78"/>
        <v>0</v>
      </c>
      <c r="F249" s="84">
        <f t="shared" si="74"/>
        <v>0</v>
      </c>
      <c r="G249" s="84">
        <f t="shared" si="75"/>
        <v>0</v>
      </c>
      <c r="H249" s="84">
        <f t="shared" si="76"/>
        <v>0</v>
      </c>
      <c r="I249" s="84">
        <f t="shared" si="77"/>
        <v>0</v>
      </c>
      <c r="J249" s="187">
        <f ca="1">I223</f>
        <v>0</v>
      </c>
    </row>
    <row r="250" spans="2:10">
      <c r="B250" s="122">
        <f>$J$210</f>
        <v>14</v>
      </c>
      <c r="C250" s="121" t="str">
        <f ca="1">IFERROR(SUM(F250:J250)/-E250, "NM")</f>
        <v>NM</v>
      </c>
      <c r="D250" s="109">
        <f ca="1">IFERROR(IRR(E250:J250),0)</f>
        <v>0</v>
      </c>
      <c r="E250" s="84">
        <f t="shared" si="78"/>
        <v>0</v>
      </c>
      <c r="F250" s="84">
        <f t="shared" si="74"/>
        <v>0</v>
      </c>
      <c r="G250" s="84">
        <f t="shared" si="75"/>
        <v>0</v>
      </c>
      <c r="H250" s="84">
        <f t="shared" si="76"/>
        <v>0</v>
      </c>
      <c r="I250" s="84">
        <f t="shared" si="77"/>
        <v>0</v>
      </c>
      <c r="J250" s="187">
        <f ca="1">J223</f>
        <v>0</v>
      </c>
    </row>
    <row r="251" spans="2:10">
      <c r="B251" s="48" t="s">
        <v>155</v>
      </c>
      <c r="C251" s="108"/>
      <c r="D251" s="110"/>
      <c r="E251" s="28"/>
      <c r="F251" s="29"/>
      <c r="G251" s="29"/>
      <c r="H251" s="29"/>
      <c r="I251" s="29"/>
      <c r="J251" s="111"/>
    </row>
    <row r="252" spans="2:10">
      <c r="B252" s="122">
        <f>$F$210</f>
        <v>12</v>
      </c>
      <c r="C252" s="121">
        <f ca="1">IFERROR(SUM(F252:J252)/-E252, "NM")</f>
        <v>2.9948566910667451</v>
      </c>
      <c r="D252" s="109">
        <f ca="1">IRR(E252:J252)</f>
        <v>0.24530350111711496</v>
      </c>
      <c r="E252" s="84">
        <f>-D35</f>
        <v>-8752.690328054201</v>
      </c>
      <c r="F252" s="200">
        <v>0</v>
      </c>
      <c r="G252" s="200">
        <v>0</v>
      </c>
      <c r="H252" s="200">
        <v>0</v>
      </c>
      <c r="I252" s="200">
        <v>0</v>
      </c>
      <c r="J252" s="187">
        <f ca="1">F222</f>
        <v>26213.053193808308</v>
      </c>
    </row>
    <row r="253" spans="2:10">
      <c r="B253" s="122">
        <f>$G$210</f>
        <v>12.5</v>
      </c>
      <c r="C253" s="121">
        <f ca="1">IFERROR(SUM(F253:J253)/-E253, "NM")</f>
        <v>3.1345094400906164</v>
      </c>
      <c r="D253" s="109">
        <f ca="1">IRR(E253:J253)</f>
        <v>0.25670665932261438</v>
      </c>
      <c r="E253" s="84">
        <f>E252</f>
        <v>-8752.690328054201</v>
      </c>
      <c r="F253" s="84">
        <f t="shared" ref="F253:F256" si="79">F252</f>
        <v>0</v>
      </c>
      <c r="G253" s="84">
        <f t="shared" ref="G253:G256" si="80">G252</f>
        <v>0</v>
      </c>
      <c r="H253" s="84">
        <f t="shared" ref="H253:H256" si="81">H252</f>
        <v>0</v>
      </c>
      <c r="I253" s="84">
        <f t="shared" ref="I253:I256" si="82">I252</f>
        <v>0</v>
      </c>
      <c r="J253" s="187">
        <f ca="1">G222</f>
        <v>27435.390459475726</v>
      </c>
    </row>
    <row r="254" spans="2:10">
      <c r="B254" s="122">
        <f>$H$210</f>
        <v>13</v>
      </c>
      <c r="C254" s="121">
        <f ca="1">IFERROR(SUM(F254:J254)/-E254, "NM")</f>
        <v>3.2741621891144881</v>
      </c>
      <c r="D254" s="109">
        <f ca="1">IRR(E254:J254)</f>
        <v>0.26771035497785944</v>
      </c>
      <c r="E254" s="84">
        <f t="shared" ref="E254:E256" si="83">E253</f>
        <v>-8752.690328054201</v>
      </c>
      <c r="F254" s="84">
        <f t="shared" si="79"/>
        <v>0</v>
      </c>
      <c r="G254" s="84">
        <f t="shared" si="80"/>
        <v>0</v>
      </c>
      <c r="H254" s="84">
        <f t="shared" si="81"/>
        <v>0</v>
      </c>
      <c r="I254" s="84">
        <f t="shared" si="82"/>
        <v>0</v>
      </c>
      <c r="J254" s="187">
        <f ca="1">H222</f>
        <v>28657.727725143151</v>
      </c>
    </row>
    <row r="255" spans="2:10">
      <c r="B255" s="122">
        <f>$I$210</f>
        <v>13.5</v>
      </c>
      <c r="C255" s="121">
        <f ca="1">IFERROR(SUM(F255:J255)/-E255, "NM")</f>
        <v>3.4138149381383593</v>
      </c>
      <c r="D255" s="109">
        <f ca="1">IRR(E255:J255)</f>
        <v>0.27834475794853208</v>
      </c>
      <c r="E255" s="84">
        <f t="shared" si="83"/>
        <v>-8752.690328054201</v>
      </c>
      <c r="F255" s="84">
        <f t="shared" si="79"/>
        <v>0</v>
      </c>
      <c r="G255" s="84">
        <f t="shared" si="80"/>
        <v>0</v>
      </c>
      <c r="H255" s="84">
        <f t="shared" si="81"/>
        <v>0</v>
      </c>
      <c r="I255" s="84">
        <f t="shared" si="82"/>
        <v>0</v>
      </c>
      <c r="J255" s="187">
        <f ca="1">I222</f>
        <v>29880.06499081057</v>
      </c>
    </row>
    <row r="256" spans="2:10">
      <c r="B256" s="122">
        <f>$J$210</f>
        <v>14</v>
      </c>
      <c r="C256" s="121">
        <f ca="1">IFERROR(SUM(F256:J256)/-E256, "NM")</f>
        <v>3.5534676871622315</v>
      </c>
      <c r="D256" s="109">
        <f ca="1">IRR(E256:J256)</f>
        <v>0.2886366357766994</v>
      </c>
      <c r="E256" s="84">
        <f t="shared" si="83"/>
        <v>-8752.690328054201</v>
      </c>
      <c r="F256" s="84">
        <f t="shared" si="79"/>
        <v>0</v>
      </c>
      <c r="G256" s="84">
        <f t="shared" si="80"/>
        <v>0</v>
      </c>
      <c r="H256" s="84">
        <f t="shared" si="81"/>
        <v>0</v>
      </c>
      <c r="I256" s="84">
        <f t="shared" si="82"/>
        <v>0</v>
      </c>
      <c r="J256" s="187">
        <f ca="1">J222</f>
        <v>31102.402256477995</v>
      </c>
    </row>
    <row r="258" spans="2:11">
      <c r="B258" s="258" t="str">
        <f>"SUMMARY AT "&amp;TEXT(H210,"0.0x")&amp;" EXIT EBITDA MULTIPLE"</f>
        <v>SUMMARY AT 13.0x EXIT EBITDA MULTIPLE</v>
      </c>
      <c r="C258" s="17"/>
      <c r="D258" s="17"/>
      <c r="E258" s="17"/>
      <c r="F258" s="13"/>
      <c r="G258" s="13"/>
      <c r="H258" s="13"/>
      <c r="I258" s="13"/>
      <c r="J258" s="13"/>
    </row>
    <row r="259" spans="2:11">
      <c r="B259" s="54"/>
      <c r="C259" s="13"/>
      <c r="D259" s="13"/>
      <c r="E259" s="13"/>
      <c r="F259" s="255" t="s">
        <v>137</v>
      </c>
      <c r="G259" s="255" t="s">
        <v>138</v>
      </c>
      <c r="H259" s="255" t="s">
        <v>157</v>
      </c>
      <c r="I259" s="255" t="s">
        <v>151</v>
      </c>
      <c r="J259" s="255" t="s">
        <v>139</v>
      </c>
    </row>
    <row r="260" spans="2:11">
      <c r="B260" s="10" t="str">
        <f t="shared" ref="B260:B267" si="84">B28</f>
        <v>Revolver</v>
      </c>
      <c r="F260" s="208">
        <f t="shared" ref="F260:F267" si="85">D28</f>
        <v>0</v>
      </c>
      <c r="G260" s="118">
        <f t="shared" ref="G260:G268" si="86">F260/SUM($F$260:$F$267)</f>
        <v>0</v>
      </c>
      <c r="H260" s="117"/>
      <c r="I260" s="123" t="str">
        <f t="shared" ref="I260:J263" ca="1" si="87">C229</f>
        <v>NM</v>
      </c>
      <c r="J260" s="116">
        <f t="shared" ca="1" si="87"/>
        <v>3.045685279187782E-2</v>
      </c>
    </row>
    <row r="261" spans="2:11">
      <c r="B261" s="10" t="str">
        <f t="shared" si="84"/>
        <v>Term Loan A</v>
      </c>
      <c r="F261" s="208">
        <f t="shared" si="85"/>
        <v>2946.0918399999996</v>
      </c>
      <c r="G261" s="118">
        <f t="shared" si="86"/>
        <v>0.20116880748716209</v>
      </c>
      <c r="H261" s="117"/>
      <c r="I261" s="123">
        <f t="shared" ca="1" si="87"/>
        <v>1.1246988846177568</v>
      </c>
      <c r="J261" s="116">
        <f t="shared" ca="1" si="87"/>
        <v>3.0908683838502204E-2</v>
      </c>
    </row>
    <row r="262" spans="2:11">
      <c r="B262" s="10" t="str">
        <f t="shared" si="84"/>
        <v>Term Loan B</v>
      </c>
      <c r="F262" s="208">
        <f t="shared" si="85"/>
        <v>2671.2698399999995</v>
      </c>
      <c r="G262" s="118">
        <f t="shared" si="86"/>
        <v>0.18240306052007607</v>
      </c>
      <c r="H262" s="117"/>
      <c r="I262" s="123">
        <f t="shared" ca="1" si="87"/>
        <v>1.2085375000000003</v>
      </c>
      <c r="J262" s="116">
        <f t="shared" ca="1" si="87"/>
        <v>4.8249818686768586E-2</v>
      </c>
    </row>
    <row r="263" spans="2:11">
      <c r="B263" s="10" t="str">
        <f t="shared" si="84"/>
        <v>Senior Note</v>
      </c>
      <c r="F263" s="208">
        <f t="shared" si="85"/>
        <v>0</v>
      </c>
      <c r="G263" s="118">
        <f t="shared" si="86"/>
        <v>0</v>
      </c>
      <c r="H263" s="117"/>
      <c r="I263" s="123" t="str">
        <f t="shared" si="87"/>
        <v>NM</v>
      </c>
      <c r="J263" s="116">
        <f t="shared" si="87"/>
        <v>0</v>
      </c>
    </row>
    <row r="264" spans="2:11">
      <c r="B264" s="10" t="str">
        <f t="shared" si="84"/>
        <v>Sub Note</v>
      </c>
      <c r="F264" s="208">
        <f t="shared" si="85"/>
        <v>274.82199999999995</v>
      </c>
      <c r="G264" s="118">
        <f t="shared" si="86"/>
        <v>1.8765746967086015E-2</v>
      </c>
      <c r="H264" s="118">
        <f>E225</f>
        <v>0</v>
      </c>
      <c r="I264" s="123">
        <f ca="1">C236</f>
        <v>1.4</v>
      </c>
      <c r="J264" s="116">
        <f ca="1">D236</f>
        <v>7.9999999998561222E-2</v>
      </c>
      <c r="K264" s="43"/>
    </row>
    <row r="265" spans="2:11">
      <c r="B265" s="10" t="str">
        <f t="shared" si="84"/>
        <v>Preferred stock</v>
      </c>
      <c r="F265" s="208">
        <f t="shared" si="85"/>
        <v>0</v>
      </c>
      <c r="G265" s="118">
        <f t="shared" si="86"/>
        <v>0</v>
      </c>
      <c r="H265" s="118">
        <f>E224</f>
        <v>0</v>
      </c>
      <c r="I265" s="123" t="str">
        <f ca="1">C242</f>
        <v>NM</v>
      </c>
      <c r="J265" s="116">
        <f ca="1">D242</f>
        <v>0</v>
      </c>
    </row>
    <row r="266" spans="2:11">
      <c r="B266" s="10" t="str">
        <f t="shared" si="84"/>
        <v>Mgmt rollover</v>
      </c>
      <c r="F266" s="208">
        <f t="shared" si="85"/>
        <v>0</v>
      </c>
      <c r="G266" s="118">
        <f t="shared" si="86"/>
        <v>0</v>
      </c>
      <c r="H266" s="118">
        <f>E223</f>
        <v>0</v>
      </c>
      <c r="I266" s="123" t="str">
        <f ca="1">C248</f>
        <v>NM</v>
      </c>
      <c r="J266" s="116">
        <f ca="1">D248</f>
        <v>0</v>
      </c>
    </row>
    <row r="267" spans="2:11">
      <c r="B267" s="10" t="str">
        <f t="shared" si="84"/>
        <v>Sponsor equity</v>
      </c>
      <c r="F267" s="208">
        <f t="shared" si="85"/>
        <v>8752.690328054201</v>
      </c>
      <c r="G267" s="118">
        <f t="shared" si="86"/>
        <v>0.5976623850256757</v>
      </c>
      <c r="H267" s="118">
        <f>E222</f>
        <v>1</v>
      </c>
      <c r="I267" s="123">
        <f ca="1">C254</f>
        <v>3.2741621891144881</v>
      </c>
      <c r="J267" s="116">
        <f ca="1">D254</f>
        <v>0.26771035497785944</v>
      </c>
    </row>
    <row r="268" spans="2:11">
      <c r="B268" s="38" t="s">
        <v>28</v>
      </c>
      <c r="F268" s="229">
        <f>SUM(F260:F267)</f>
        <v>14644.874008054201</v>
      </c>
      <c r="G268" s="120">
        <f t="shared" si="86"/>
        <v>1</v>
      </c>
      <c r="H268" s="120">
        <f>SUM(H260:H267)</f>
        <v>1</v>
      </c>
    </row>
    <row r="269" spans="2:11">
      <c r="B269" s="38"/>
      <c r="E269" s="119"/>
      <c r="G269" s="120"/>
      <c r="H269" s="120"/>
    </row>
    <row r="270" spans="2:11">
      <c r="B270" s="15" t="s">
        <v>244</v>
      </c>
      <c r="C270" s="17"/>
      <c r="D270" s="153"/>
      <c r="E270" s="261"/>
      <c r="F270" s="153"/>
      <c r="G270" s="153"/>
      <c r="H270" s="153"/>
      <c r="I270" s="17"/>
      <c r="J270" s="17"/>
      <c r="K270" s="13"/>
    </row>
    <row r="271" spans="2:11">
      <c r="B271" s="155"/>
      <c r="C271" s="154"/>
      <c r="D271" s="154"/>
      <c r="E271" s="259"/>
      <c r="F271" s="154"/>
      <c r="G271" s="154"/>
      <c r="H271" s="154"/>
      <c r="I271" s="13"/>
      <c r="J271" s="13"/>
      <c r="K271" s="13"/>
    </row>
    <row r="272" spans="2:11">
      <c r="B272" s="47"/>
      <c r="C272" s="300" t="s">
        <v>243</v>
      </c>
      <c r="E272" s="302" t="s">
        <v>230</v>
      </c>
      <c r="F272" s="303"/>
      <c r="G272" s="303"/>
      <c r="H272" s="303"/>
      <c r="I272" s="303"/>
      <c r="J272" s="304"/>
      <c r="K272" s="13"/>
    </row>
    <row r="273" spans="2:14">
      <c r="B273" s="10" t="s">
        <v>228</v>
      </c>
      <c r="C273" s="294">
        <f ca="1">J267</f>
        <v>0.26771035497785944</v>
      </c>
      <c r="E273" s="305">
        <v>0.15</v>
      </c>
      <c r="F273" s="306">
        <f>E273+0.05</f>
        <v>0.2</v>
      </c>
      <c r="G273" s="306">
        <f t="shared" ref="G273:I273" si="88">F273+0.05</f>
        <v>0.25</v>
      </c>
      <c r="H273" s="306">
        <f t="shared" si="88"/>
        <v>0.3</v>
      </c>
      <c r="I273" s="306">
        <f t="shared" si="88"/>
        <v>0.35</v>
      </c>
      <c r="J273" s="307">
        <f t="shared" ref="J273" si="89">I273+0.05</f>
        <v>0.39999999999999997</v>
      </c>
      <c r="K273" s="13"/>
    </row>
    <row r="274" spans="2:14">
      <c r="B274" s="10" t="s">
        <v>70</v>
      </c>
      <c r="C274" s="281">
        <f>H17</f>
        <v>13887.611112209999</v>
      </c>
      <c r="E274" s="276">
        <f ca="1">-(PV(E273,5,0,LBO!$H$222))+SUM(LBO!$D$27:$D$34)-LBO!$D$21-LBO!$D$22</f>
        <v>19382.876295609763</v>
      </c>
      <c r="F274" s="58">
        <f ca="1">-(PV(F273,5,0,LBO!$H$222))+SUM(LBO!$D$27:$D$34)-LBO!$D$21-LBO!$D$22</f>
        <v>16651.818821845147</v>
      </c>
      <c r="G274" s="58">
        <f ca="1">-(PV(G273,5,0,LBO!$H$222))+SUM(LBO!$D$27:$D$34)-LBO!$D$21-LBO!$D$22</f>
        <v>14525.485005130706</v>
      </c>
      <c r="H274" s="58">
        <f ca="1">-(PV(H273,5,0,LBO!$H$222))+SUM(LBO!$D$27:$D$34)-LBO!$D$21-LBO!$D$22</f>
        <v>12853.280065139588</v>
      </c>
      <c r="I274" s="58">
        <f ca="1">-(PV(I273,5,0,LBO!$H$222))+SUM(LBO!$D$27:$D$34)-LBO!$D$21-LBO!$D$22</f>
        <v>11525.981003617675</v>
      </c>
      <c r="J274" s="308">
        <f ca="1">-(PV(J273,5,0,LBO!$H$222))+SUM(LBO!$D$27:$D$34)-LBO!$D$21-LBO!$D$22</f>
        <v>10463.379113487172</v>
      </c>
      <c r="K274" s="13"/>
    </row>
    <row r="275" spans="2:14">
      <c r="B275" s="10" t="str">
        <f>F18</f>
        <v>Diluted shares outstanding</v>
      </c>
      <c r="C275" s="295">
        <f>H18</f>
        <v>150.95229469793478</v>
      </c>
      <c r="E275" s="273">
        <f>$C$275</f>
        <v>150.95229469793478</v>
      </c>
      <c r="F275" s="28">
        <f>$C$275</f>
        <v>150.95229469793478</v>
      </c>
      <c r="G275" s="28">
        <f>$C$275</f>
        <v>150.95229469793478</v>
      </c>
      <c r="H275" s="28">
        <f>$C$275</f>
        <v>150.95229469793478</v>
      </c>
      <c r="I275" s="28">
        <f>$C$275</f>
        <v>150.95229469793478</v>
      </c>
      <c r="J275" s="309">
        <f t="shared" ref="J275" si="90">$C$275</f>
        <v>150.95229469793478</v>
      </c>
      <c r="K275" s="13"/>
    </row>
    <row r="276" spans="2:14">
      <c r="B276" s="10" t="str">
        <f>F20</f>
        <v>Offer value / per share</v>
      </c>
      <c r="C276" s="296">
        <f>H20</f>
        <v>92</v>
      </c>
      <c r="E276" s="274">
        <f ca="1">E274/E275</f>
        <v>128.40398573864772</v>
      </c>
      <c r="F276" s="78">
        <f ca="1">F274/F275</f>
        <v>110.31179655245721</v>
      </c>
      <c r="G276" s="78">
        <f ca="1">G274/G275</f>
        <v>96.225665427591764</v>
      </c>
      <c r="H276" s="78">
        <f ca="1">H274/H275</f>
        <v>85.147960757137383</v>
      </c>
      <c r="I276" s="78">
        <f ca="1">I274/I275</f>
        <v>76.355122833222921</v>
      </c>
      <c r="J276" s="252">
        <f t="shared" ref="J276" ca="1" si="91">J274/J275</f>
        <v>69.315800295881985</v>
      </c>
      <c r="K276" s="13"/>
    </row>
    <row r="277" spans="2:14">
      <c r="B277" s="69" t="str">
        <f>F21</f>
        <v>% Premium / discount</v>
      </c>
      <c r="C277" s="297">
        <f>C276/$D$8-1</f>
        <v>0.77899999999999991</v>
      </c>
      <c r="E277" s="275">
        <f ca="1">E276/$D$8-1</f>
        <v>1.4829422894462421</v>
      </c>
      <c r="F277" s="278">
        <f ca="1">F276/$D$8-1</f>
        <v>1.1330944137697974</v>
      </c>
      <c r="G277" s="278">
        <f ca="1">G276/$D$8-1</f>
        <v>0.86071150864875801</v>
      </c>
      <c r="H277" s="278">
        <f ca="1">H276/$D$8-1</f>
        <v>0.6465024150755152</v>
      </c>
      <c r="I277" s="278">
        <f ca="1">I276/$D$8-1</f>
        <v>0.47647569043808224</v>
      </c>
      <c r="J277" s="310">
        <f t="shared" ref="J277" ca="1" si="92">J276/$D$8-1</f>
        <v>0.34035661659102234</v>
      </c>
      <c r="K277" s="13"/>
    </row>
    <row r="278" spans="2:14">
      <c r="B278" s="69"/>
      <c r="C278" s="298"/>
      <c r="E278" s="275"/>
      <c r="F278" s="278"/>
      <c r="G278" s="278"/>
      <c r="H278" s="278"/>
      <c r="I278" s="278"/>
      <c r="J278" s="310"/>
      <c r="K278" s="13"/>
    </row>
    <row r="279" spans="2:14">
      <c r="B279" s="90" t="s">
        <v>56</v>
      </c>
      <c r="C279" s="299">
        <f>C274-$D$14-$D$15</f>
        <v>14249.278112209999</v>
      </c>
      <c r="E279" s="276">
        <f ca="1">E274-$D$14-$D$15</f>
        <v>19744.543295609761</v>
      </c>
      <c r="F279" s="58">
        <f ca="1">F274-$D$14-$D$15</f>
        <v>17013.485821845145</v>
      </c>
      <c r="G279" s="58">
        <f ca="1">G274-$D$14-$D$15</f>
        <v>14887.152005130705</v>
      </c>
      <c r="H279" s="58">
        <f ca="1">H274-$D$14-$D$15</f>
        <v>13214.947065139588</v>
      </c>
      <c r="I279" s="58">
        <f ca="1">I274-$D$14-$D$15</f>
        <v>11887.648003617674</v>
      </c>
      <c r="J279" s="308">
        <f t="shared" ref="J279" ca="1" si="93">J274-$D$14-$D$15</f>
        <v>10825.046113487171</v>
      </c>
    </row>
    <row r="280" spans="2:14">
      <c r="B280" s="69" t="s">
        <v>229</v>
      </c>
      <c r="C280" s="301">
        <f>C279/$D$13</f>
        <v>12.962279322807127</v>
      </c>
      <c r="E280" s="277">
        <f ca="1">E279/$D$13</f>
        <v>17.961210615971215</v>
      </c>
      <c r="F280" s="311">
        <f ca="1">F279/$D$13</f>
        <v>15.476823018030895</v>
      </c>
      <c r="G280" s="311">
        <f ca="1">G279/$D$13</f>
        <v>13.542540267091706</v>
      </c>
      <c r="H280" s="311">
        <f ca="1">H279/$D$13</f>
        <v>12.021369345557844</v>
      </c>
      <c r="I280" s="311">
        <f ca="1">I279/$D$13</f>
        <v>10.81395230696385</v>
      </c>
      <c r="J280" s="312">
        <f t="shared" ref="J280" ca="1" si="94">J279/$D$13</f>
        <v>9.8473249171165094</v>
      </c>
      <c r="K280" s="13"/>
    </row>
    <row r="281" spans="2:14">
      <c r="B281" s="48"/>
      <c r="E281" s="162"/>
      <c r="G281" s="13"/>
      <c r="H281" s="13"/>
      <c r="I281" s="13"/>
      <c r="J281" s="13"/>
      <c r="K281" s="13"/>
    </row>
    <row r="282" spans="2:14">
      <c r="D282" s="260" t="s">
        <v>231</v>
      </c>
      <c r="E282" s="153"/>
      <c r="F282" s="153"/>
      <c r="G282" s="261"/>
      <c r="H282" s="153"/>
      <c r="I282" s="153"/>
      <c r="J282" s="153"/>
    </row>
    <row r="283" spans="2:14">
      <c r="B283" s="313" t="s">
        <v>245</v>
      </c>
      <c r="D283" s="235" t="s">
        <v>218</v>
      </c>
      <c r="E283" s="236"/>
      <c r="F283" s="236"/>
      <c r="G283" s="236"/>
      <c r="H283" s="236"/>
      <c r="I283" s="236"/>
      <c r="J283" s="236"/>
    </row>
    <row r="284" spans="2:14">
      <c r="B284" s="314">
        <v>0.3</v>
      </c>
      <c r="F284" s="155" t="str">
        <f>"Term A / EBITDA ratio (other cumulative leverage of "&amp;TEXT(SUM(C30:C32,C28),"0.0x")&amp;")"</f>
        <v>Term A / EBITDA ratio (other cumulative leverage of 2.7x)</v>
      </c>
      <c r="G284" s="156"/>
      <c r="H284" s="156"/>
      <c r="I284" s="156"/>
      <c r="J284" s="157"/>
      <c r="L284" s="13"/>
      <c r="M284" s="63"/>
      <c r="N284" s="63"/>
    </row>
    <row r="285" spans="2:14">
      <c r="D285" s="13"/>
      <c r="E285" s="158">
        <f ca="1">J267</f>
        <v>0.26771035497785944</v>
      </c>
      <c r="F285" s="237">
        <v>2</v>
      </c>
      <c r="G285" s="230">
        <f>F285+0.25</f>
        <v>2.25</v>
      </c>
      <c r="H285" s="230">
        <f>G285+0.25</f>
        <v>2.5</v>
      </c>
      <c r="I285" s="230">
        <f>H285+0.25</f>
        <v>2.75</v>
      </c>
      <c r="J285" s="230">
        <f>I285+0.25</f>
        <v>3</v>
      </c>
    </row>
    <row r="286" spans="2:14" ht="15" customHeight="1">
      <c r="D286" s="232"/>
      <c r="E286" s="237">
        <v>7</v>
      </c>
      <c r="F286" s="34">
        <f t="dataTable" ref="F286:J289" dt2D="1" dtr="1" r1="C29" r2="I11" ca="1"/>
        <v>0.25469527926807989</v>
      </c>
      <c r="G286" s="34">
        <v>0.25930104013777067</v>
      </c>
      <c r="H286" s="34">
        <v>0.26411161982678077</v>
      </c>
      <c r="I286" s="34">
        <v>0.2691418893442592</v>
      </c>
      <c r="J286" s="52">
        <v>0.27440901979077514</v>
      </c>
    </row>
    <row r="287" spans="2:14">
      <c r="D287" s="232" t="s">
        <v>129</v>
      </c>
      <c r="E287" s="233">
        <f>E286+0.25</f>
        <v>7.25</v>
      </c>
      <c r="F287" s="34">
        <v>0.25469528845688494</v>
      </c>
      <c r="G287" s="34">
        <v>0.25930104013777067</v>
      </c>
      <c r="H287" s="34">
        <v>0.26411161982678077</v>
      </c>
      <c r="I287" s="34">
        <v>0.2691418893442592</v>
      </c>
      <c r="J287" s="52">
        <v>0.27440901979077514</v>
      </c>
    </row>
    <row r="288" spans="2:14">
      <c r="D288" s="232" t="s">
        <v>27</v>
      </c>
      <c r="E288" s="233">
        <f>E287+0.25</f>
        <v>7.5</v>
      </c>
      <c r="F288" s="34">
        <v>0.25469528845688494</v>
      </c>
      <c r="G288" s="34">
        <v>0.25930104013777067</v>
      </c>
      <c r="H288" s="34">
        <v>0.26411161982678077</v>
      </c>
      <c r="I288" s="34">
        <v>0.2691418893442592</v>
      </c>
      <c r="J288" s="52">
        <v>0.27440901979077514</v>
      </c>
    </row>
    <row r="289" spans="4:10">
      <c r="D289" s="232" t="s">
        <v>166</v>
      </c>
      <c r="E289" s="233">
        <f>E288+0.25</f>
        <v>7.75</v>
      </c>
      <c r="F289" s="34">
        <v>0.25469528845688494</v>
      </c>
      <c r="G289" s="34">
        <v>0.25930104013777067</v>
      </c>
      <c r="H289" s="34">
        <v>0.26411161982678077</v>
      </c>
      <c r="I289" s="34">
        <v>0.2691418893442592</v>
      </c>
      <c r="J289" s="52">
        <v>0.27440901979077514</v>
      </c>
    </row>
    <row r="290" spans="4:10">
      <c r="D290" s="232"/>
      <c r="E290" s="233">
        <f>E289+0.25</f>
        <v>8</v>
      </c>
      <c r="F290" s="34">
        <v>0.15372676270055052</v>
      </c>
      <c r="G290" s="34">
        <v>0.15372676270055052</v>
      </c>
      <c r="H290" s="34">
        <v>0.15372676270055052</v>
      </c>
      <c r="I290" s="34">
        <v>0.15372676270055052</v>
      </c>
      <c r="J290" s="52">
        <v>0.15372676270055052</v>
      </c>
    </row>
    <row r="292" spans="4:10">
      <c r="D292" s="260" t="s">
        <v>232</v>
      </c>
      <c r="E292" s="153"/>
      <c r="F292" s="153"/>
      <c r="G292" s="261"/>
      <c r="H292" s="153"/>
      <c r="I292" s="153"/>
      <c r="J292" s="153"/>
    </row>
    <row r="293" spans="4:10">
      <c r="D293" s="235" t="s">
        <v>222</v>
      </c>
      <c r="E293" s="236"/>
      <c r="F293" s="236"/>
      <c r="G293" s="236"/>
      <c r="H293" s="236"/>
      <c r="I293" s="236"/>
      <c r="J293" s="236"/>
    </row>
    <row r="294" spans="4:10">
      <c r="D294" s="13"/>
      <c r="E294" s="13"/>
      <c r="F294" s="155" t="str">
        <f>"Term A / EBITDA ratio (other cumulative leverage of "&amp;TEXT(SUM(C30:C32,C28),"0.0x")&amp;")"</f>
        <v>Term A / EBITDA ratio (other cumulative leverage of 2.7x)</v>
      </c>
      <c r="G294" s="156"/>
      <c r="H294" s="156"/>
      <c r="I294" s="156"/>
      <c r="J294" s="156"/>
    </row>
    <row r="295" spans="4:10">
      <c r="D295" s="13"/>
      <c r="E295" s="158">
        <f ca="1">J267</f>
        <v>0.26771035497785944</v>
      </c>
      <c r="F295" s="237">
        <v>2</v>
      </c>
      <c r="G295" s="230">
        <f>F295+0.25</f>
        <v>2.25</v>
      </c>
      <c r="H295" s="230">
        <f>G295+0.25</f>
        <v>2.5</v>
      </c>
      <c r="I295" s="230">
        <f>H295+0.25</f>
        <v>2.75</v>
      </c>
      <c r="J295" s="230">
        <f>I295+0.25</f>
        <v>3</v>
      </c>
    </row>
    <row r="296" spans="4:10">
      <c r="D296" s="232"/>
      <c r="E296" s="238">
        <v>82</v>
      </c>
      <c r="F296" s="34">
        <f t="dataTable" ref="F296:J300" dt2D="1" dtr="1" r1="C29" r2="J20" ca="1"/>
        <v>0.29994016782664112</v>
      </c>
      <c r="G296" s="34">
        <v>0.30619480129301468</v>
      </c>
      <c r="H296" s="34">
        <v>0.31277373452833568</v>
      </c>
      <c r="I296" s="34">
        <v>0.31970501826933262</v>
      </c>
      <c r="J296" s="52">
        <v>0.32702102221658214</v>
      </c>
    </row>
    <row r="297" spans="4:10">
      <c r="D297" s="232" t="s">
        <v>129</v>
      </c>
      <c r="E297" s="231">
        <f>E296+5</f>
        <v>87</v>
      </c>
      <c r="F297" s="34">
        <v>0.27611737186332608</v>
      </c>
      <c r="G297" s="34">
        <v>0.28146404715708617</v>
      </c>
      <c r="H297" s="34">
        <v>0.2870663931088977</v>
      </c>
      <c r="I297" s="34">
        <v>0.29294456298972293</v>
      </c>
      <c r="J297" s="52">
        <v>0.29912178380289678</v>
      </c>
    </row>
    <row r="298" spans="4:10">
      <c r="D298" s="232" t="s">
        <v>216</v>
      </c>
      <c r="E298" s="231">
        <f t="shared" ref="E298:E300" si="95">E297+5</f>
        <v>92</v>
      </c>
      <c r="F298" s="34">
        <v>0.25469528845688494</v>
      </c>
      <c r="G298" s="34">
        <v>0.25930104013777067</v>
      </c>
      <c r="H298" s="34">
        <v>0.26411161982678077</v>
      </c>
      <c r="I298" s="34">
        <v>0.2691418893442592</v>
      </c>
      <c r="J298" s="52">
        <v>0.27440901979077514</v>
      </c>
    </row>
    <row r="299" spans="4:10">
      <c r="D299" s="232" t="s">
        <v>217</v>
      </c>
      <c r="E299" s="231">
        <f t="shared" si="95"/>
        <v>97</v>
      </c>
      <c r="F299" s="34">
        <v>0.23526458638846282</v>
      </c>
      <c r="G299" s="34">
        <v>0.23925573873513528</v>
      </c>
      <c r="H299" s="34">
        <v>0.24341312476625121</v>
      </c>
      <c r="I299" s="34">
        <v>0.24774793666492112</v>
      </c>
      <c r="J299" s="52">
        <v>0.25227318889873263</v>
      </c>
    </row>
    <row r="300" spans="4:10">
      <c r="D300" s="232"/>
      <c r="E300" s="231">
        <f t="shared" si="95"/>
        <v>102</v>
      </c>
      <c r="F300" s="34">
        <v>0.21751017588184074</v>
      </c>
      <c r="G300" s="34">
        <v>0.22098440487066462</v>
      </c>
      <c r="H300" s="34">
        <v>0.22459495972848975</v>
      </c>
      <c r="I300" s="34">
        <v>0.22835041566847636</v>
      </c>
      <c r="J300" s="52">
        <v>0.23226084794217394</v>
      </c>
    </row>
    <row r="302" spans="4:10">
      <c r="D302" s="260" t="s">
        <v>233</v>
      </c>
      <c r="E302" s="153"/>
      <c r="F302" s="153"/>
      <c r="G302" s="261"/>
      <c r="H302" s="153"/>
      <c r="I302" s="153"/>
      <c r="J302" s="153"/>
    </row>
    <row r="303" spans="4:10">
      <c r="F303" s="155" t="s">
        <v>167</v>
      </c>
      <c r="G303" s="156"/>
      <c r="H303" s="156"/>
      <c r="I303" s="156"/>
      <c r="J303" s="157"/>
    </row>
    <row r="304" spans="4:10">
      <c r="E304" s="158">
        <f ca="1">J267</f>
        <v>0.26771035497785944</v>
      </c>
      <c r="F304" s="239">
        <v>0</v>
      </c>
      <c r="G304" s="159">
        <f>F304+0.02</f>
        <v>0.02</v>
      </c>
      <c r="H304" s="159">
        <f>G304+0.02</f>
        <v>0.04</v>
      </c>
      <c r="I304" s="159">
        <f>H304+0.02</f>
        <v>0.06</v>
      </c>
      <c r="J304" s="159">
        <f>I304+0.02</f>
        <v>0.08</v>
      </c>
    </row>
    <row r="305" spans="2:11">
      <c r="D305" s="232"/>
      <c r="E305" s="239">
        <v>0</v>
      </c>
      <c r="F305" s="9">
        <f t="dataTable" ref="F305:J309" dt2D="1" dtr="1" r1="E225" r2="E224" ca="1"/>
        <v>0.26771035497785944</v>
      </c>
      <c r="G305" s="9">
        <v>0.26259845310549323</v>
      </c>
      <c r="H305" s="9">
        <v>0.25740239833864775</v>
      </c>
      <c r="I305" s="9">
        <v>0.25211900803892484</v>
      </c>
      <c r="J305" s="8">
        <v>0.2467449083039146</v>
      </c>
    </row>
    <row r="306" spans="2:11">
      <c r="D306" s="232" t="s">
        <v>168</v>
      </c>
      <c r="E306" s="234">
        <f>E305+0.02</f>
        <v>0.02</v>
      </c>
      <c r="F306" s="9">
        <v>0.26259845310549323</v>
      </c>
      <c r="G306" s="9">
        <v>0.25740239833864775</v>
      </c>
      <c r="H306" s="9">
        <v>0.25211900803892484</v>
      </c>
      <c r="I306" s="9">
        <v>0.2467449083039146</v>
      </c>
      <c r="J306" s="8">
        <v>0.24127651802499672</v>
      </c>
    </row>
    <row r="307" spans="2:11">
      <c r="D307" s="232" t="s">
        <v>169</v>
      </c>
      <c r="E307" s="234">
        <f>E306+0.02</f>
        <v>0.04</v>
      </c>
      <c r="F307" s="9">
        <v>0.25740239833864775</v>
      </c>
      <c r="G307" s="9">
        <v>0.25211900803892484</v>
      </c>
      <c r="H307" s="9">
        <v>0.2467449083039146</v>
      </c>
      <c r="I307" s="9">
        <v>0.24127651802499672</v>
      </c>
      <c r="J307" s="8">
        <v>0.23571003122891132</v>
      </c>
      <c r="K307" s="13"/>
    </row>
    <row r="308" spans="2:11">
      <c r="D308" s="232" t="s">
        <v>170</v>
      </c>
      <c r="E308" s="234">
        <f>E307+0.02</f>
        <v>0.06</v>
      </c>
      <c r="F308" s="9">
        <v>0.25211900803892484</v>
      </c>
      <c r="G308" s="9">
        <v>0.2467449083039146</v>
      </c>
      <c r="H308" s="9">
        <v>0.24127651802499672</v>
      </c>
      <c r="I308" s="9">
        <v>0.23571003122891132</v>
      </c>
      <c r="J308" s="8">
        <v>0.23004139747471908</v>
      </c>
      <c r="K308" s="13"/>
    </row>
    <row r="309" spans="2:11">
      <c r="D309" s="232"/>
      <c r="E309" s="234">
        <f>E308+0.02</f>
        <v>0.08</v>
      </c>
      <c r="F309" s="9">
        <v>0.2467449083039146</v>
      </c>
      <c r="G309" s="9">
        <v>0.24127651802499672</v>
      </c>
      <c r="H309" s="9">
        <v>0.23571003122891132</v>
      </c>
      <c r="I309" s="9">
        <v>0.23004139747471908</v>
      </c>
      <c r="J309" s="8">
        <v>0.22426630004129811</v>
      </c>
      <c r="K309" s="13"/>
    </row>
    <row r="310" spans="2:11">
      <c r="K310" s="13"/>
    </row>
    <row r="311" spans="2:11">
      <c r="B311" s="15" t="s">
        <v>212</v>
      </c>
      <c r="C311" s="17"/>
      <c r="D311" s="17"/>
      <c r="E311" s="17"/>
      <c r="F311" s="17"/>
      <c r="G311" s="17"/>
      <c r="H311" s="17"/>
      <c r="I311" s="17"/>
      <c r="J311" s="17"/>
      <c r="K311" s="13"/>
    </row>
    <row r="312" spans="2:11">
      <c r="G312" s="13"/>
      <c r="H312" s="213"/>
      <c r="I312" s="13"/>
      <c r="J312" s="214" t="s">
        <v>208</v>
      </c>
      <c r="K312" s="13"/>
    </row>
    <row r="313" spans="2:11">
      <c r="E313" s="216">
        <f>D39</f>
        <v>2014</v>
      </c>
      <c r="F313" s="216">
        <f>E39</f>
        <v>2015</v>
      </c>
      <c r="G313" s="63" t="s">
        <v>211</v>
      </c>
      <c r="H313" s="206"/>
      <c r="I313" s="63"/>
      <c r="J313" s="204">
        <f>F313</f>
        <v>2015</v>
      </c>
    </row>
    <row r="314" spans="2:11">
      <c r="B314" s="17"/>
      <c r="C314" s="17"/>
      <c r="D314" s="17"/>
      <c r="E314" s="205">
        <f>D40</f>
        <v>41909</v>
      </c>
      <c r="F314" s="205">
        <f>E40</f>
        <v>42273</v>
      </c>
      <c r="G314" s="207" t="s">
        <v>203</v>
      </c>
      <c r="H314" s="207" t="s">
        <v>204</v>
      </c>
      <c r="I314" s="207" t="s">
        <v>207</v>
      </c>
      <c r="J314" s="205">
        <f>F314</f>
        <v>42273</v>
      </c>
    </row>
    <row r="315" spans="2:11">
      <c r="B315" s="37" t="s">
        <v>47</v>
      </c>
      <c r="E315" s="81">
        <f>D136</f>
        <v>0</v>
      </c>
      <c r="F315" s="81">
        <f>E136</f>
        <v>240.73599999999996</v>
      </c>
      <c r="G315" s="208">
        <f>G327+G331-G320</f>
        <v>-14885.6100080542</v>
      </c>
      <c r="H315" s="208">
        <f>H327+H330+H331</f>
        <v>14644.874008054201</v>
      </c>
      <c r="I315" s="208"/>
      <c r="J315" s="81">
        <f t="shared" ref="J315:J321" si="96">SUM(F315:I315)</f>
        <v>0</v>
      </c>
    </row>
    <row r="316" spans="2:11">
      <c r="B316" s="37" t="str">
        <f>B74</f>
        <v>Accounts receivable, EOP</v>
      </c>
      <c r="E316" s="81">
        <f>D74</f>
        <v>621.45100000000002</v>
      </c>
      <c r="F316" s="81">
        <f>E74</f>
        <v>517.93599999999992</v>
      </c>
      <c r="G316" s="117"/>
      <c r="H316" s="208"/>
      <c r="I316" s="208"/>
      <c r="J316" s="81">
        <f t="shared" si="96"/>
        <v>517.93599999999992</v>
      </c>
    </row>
    <row r="317" spans="2:11">
      <c r="B317" s="37" t="str">
        <f>B76</f>
        <v>Other current assets, EOP</v>
      </c>
      <c r="E317" s="81">
        <f>D76</f>
        <v>69.272000000000006</v>
      </c>
      <c r="F317" s="81">
        <f>E76</f>
        <v>95.525999999999996</v>
      </c>
      <c r="G317" s="117"/>
      <c r="H317" s="208"/>
      <c r="I317" s="208"/>
      <c r="J317" s="81">
        <f t="shared" si="96"/>
        <v>95.525999999999996</v>
      </c>
    </row>
    <row r="318" spans="2:11">
      <c r="B318" s="37" t="str">
        <f>B91</f>
        <v>PP&amp;E</v>
      </c>
      <c r="E318" s="81">
        <f>D91</f>
        <v>1171.425</v>
      </c>
      <c r="F318" s="81">
        <f>E91</f>
        <v>1293.5630000000001</v>
      </c>
      <c r="G318" s="117"/>
      <c r="H318" s="208"/>
      <c r="I318" s="208"/>
      <c r="J318" s="81">
        <f t="shared" si="96"/>
        <v>1293.5630000000001</v>
      </c>
    </row>
    <row r="319" spans="2:11">
      <c r="B319" s="37" t="e">
        <f>#REF!</f>
        <v>#REF!</v>
      </c>
      <c r="E319" s="81" t="e">
        <f>#REF!</f>
        <v>#REF!</v>
      </c>
      <c r="F319" s="81" t="e">
        <f>#REF!</f>
        <v>#REF!</v>
      </c>
      <c r="G319" s="117"/>
      <c r="H319" s="208"/>
      <c r="I319" s="208"/>
      <c r="J319" s="81" t="e">
        <f t="shared" si="96"/>
        <v>#REF!</v>
      </c>
    </row>
    <row r="320" spans="2:11">
      <c r="B320" s="37" t="str">
        <f>B97</f>
        <v>Intangible assets</v>
      </c>
      <c r="E320" s="81">
        <f>D97</f>
        <v>365.44400000000002</v>
      </c>
      <c r="F320" s="81">
        <f>E97</f>
        <v>423.887</v>
      </c>
      <c r="G320" s="208">
        <f>H33</f>
        <v>117.84367359999997</v>
      </c>
      <c r="H320" s="208"/>
      <c r="I320" s="208"/>
      <c r="J320" s="81">
        <f t="shared" si="96"/>
        <v>541.73067359999993</v>
      </c>
      <c r="K320" s="117" t="s">
        <v>214</v>
      </c>
    </row>
    <row r="321" spans="2:11">
      <c r="B321" s="37" t="str">
        <f>B101</f>
        <v>Goodwill and other assets</v>
      </c>
      <c r="E321" s="188">
        <f>D101</f>
        <v>814.78700000000003</v>
      </c>
      <c r="F321" s="188">
        <f>E101</f>
        <v>765.79200000000003</v>
      </c>
      <c r="G321" s="209"/>
      <c r="H321" s="210"/>
      <c r="I321" s="211">
        <f>IF(K321="LBO",H17-F331,0)</f>
        <v>11214.611112209999</v>
      </c>
      <c r="J321" s="188">
        <f t="shared" si="96"/>
        <v>11980.403112209999</v>
      </c>
      <c r="K321" s="217" t="s">
        <v>215</v>
      </c>
    </row>
    <row r="322" spans="2:11">
      <c r="B322" s="30" t="s">
        <v>199</v>
      </c>
      <c r="E322" s="170" t="e">
        <f>SUM(E315:E321)</f>
        <v>#REF!</v>
      </c>
      <c r="F322" s="170" t="e">
        <f t="shared" ref="F322" si="97">SUM(F315:F321)</f>
        <v>#REF!</v>
      </c>
      <c r="G322" s="117"/>
      <c r="H322" s="117"/>
      <c r="I322" s="117"/>
      <c r="J322" s="170" t="e">
        <f t="shared" ref="J322" si="98">SUM(J315:J321)</f>
        <v>#REF!</v>
      </c>
    </row>
    <row r="323" spans="2:11">
      <c r="E323" s="43"/>
      <c r="F323" s="43"/>
      <c r="G323" s="117"/>
      <c r="H323" s="117"/>
      <c r="I323" s="117"/>
    </row>
    <row r="324" spans="2:11">
      <c r="B324" s="37" t="str">
        <f>B80</f>
        <v>Accounts payable, EOP</v>
      </c>
      <c r="E324" s="81">
        <f>D80</f>
        <v>411.10699999999997</v>
      </c>
      <c r="F324" s="81">
        <f>E80</f>
        <v>298.60900000000004</v>
      </c>
      <c r="G324" s="117"/>
      <c r="H324" s="208"/>
      <c r="I324" s="208"/>
      <c r="J324" s="81">
        <f>SUM(F324:I324)</f>
        <v>298.60900000000004</v>
      </c>
    </row>
    <row r="325" spans="2:11">
      <c r="B325" s="37" t="str">
        <f>B82</f>
        <v>Accrued expenses &amp; def revenues, EOP</v>
      </c>
      <c r="E325" s="81">
        <f>D82</f>
        <v>307.90300000000002</v>
      </c>
      <c r="F325" s="81">
        <f>E82</f>
        <v>229.79</v>
      </c>
      <c r="G325" s="117"/>
      <c r="H325" s="208"/>
      <c r="I325" s="208"/>
      <c r="J325" s="81">
        <f>SUM(F325:I325)</f>
        <v>229.79</v>
      </c>
    </row>
    <row r="326" spans="2:11">
      <c r="B326" s="37" t="str">
        <f>B103</f>
        <v>Other liabilities</v>
      </c>
      <c r="E326" s="84">
        <f>D103</f>
        <v>23.085000000000001</v>
      </c>
      <c r="F326" s="84">
        <f>E103</f>
        <v>42.524999999999999</v>
      </c>
      <c r="G326" s="117"/>
      <c r="H326" s="212"/>
      <c r="I326" s="212"/>
      <c r="J326" s="81">
        <f>SUM(F326:I326)</f>
        <v>42.524999999999999</v>
      </c>
    </row>
    <row r="327" spans="2:11">
      <c r="B327" s="37" t="s">
        <v>205</v>
      </c>
      <c r="E327" s="76">
        <v>0</v>
      </c>
      <c r="F327" s="200">
        <v>1000</v>
      </c>
      <c r="G327" s="208">
        <f>-D21</f>
        <v>-602.40300000000002</v>
      </c>
      <c r="H327" s="115">
        <f>SUM(D28:D32)</f>
        <v>5892.1836799999992</v>
      </c>
      <c r="I327" s="117"/>
      <c r="J327" s="81">
        <f>SUM(F327:I327)</f>
        <v>6289.7806799999989</v>
      </c>
    </row>
    <row r="328" spans="2:11">
      <c r="B328" s="30" t="s">
        <v>200</v>
      </c>
      <c r="E328" s="170">
        <f>SUM(E324:E327)</f>
        <v>742.09500000000003</v>
      </c>
      <c r="F328" s="170">
        <f>SUM(F324:F327)</f>
        <v>1570.924</v>
      </c>
      <c r="G328" s="117"/>
      <c r="H328" s="117"/>
      <c r="I328" s="117"/>
      <c r="J328" s="170">
        <f>SUM(J324:J327)</f>
        <v>6860.7046799999989</v>
      </c>
    </row>
    <row r="329" spans="2:11">
      <c r="E329" s="43"/>
      <c r="F329" s="43"/>
      <c r="G329" s="117"/>
      <c r="H329" s="117"/>
      <c r="I329" s="117"/>
    </row>
    <row r="330" spans="2:11">
      <c r="B330" s="37" t="s">
        <v>206</v>
      </c>
      <c r="E330" s="202" t="s">
        <v>210</v>
      </c>
      <c r="F330" s="202" t="s">
        <v>210</v>
      </c>
      <c r="G330" s="117"/>
      <c r="H330" s="115">
        <f>D33</f>
        <v>0</v>
      </c>
      <c r="I330" s="117"/>
      <c r="J330" s="81">
        <f>SUM(F330:I330)</f>
        <v>0</v>
      </c>
    </row>
    <row r="331" spans="2:11">
      <c r="B331" s="37" t="s">
        <v>169</v>
      </c>
      <c r="E331" s="168">
        <v>2683</v>
      </c>
      <c r="F331" s="168">
        <v>2673</v>
      </c>
      <c r="G331" s="208">
        <f>-D20-H36+D34</f>
        <v>-14165.3633344542</v>
      </c>
      <c r="H331" s="115">
        <f>D35</f>
        <v>8752.690328054201</v>
      </c>
      <c r="I331" s="208">
        <f>I321</f>
        <v>11214.611112209999</v>
      </c>
      <c r="J331" s="81">
        <f>SUM(F331:I331)</f>
        <v>8474.9381058100007</v>
      </c>
    </row>
    <row r="332" spans="2:11">
      <c r="B332" s="30" t="s">
        <v>209</v>
      </c>
      <c r="E332" s="59">
        <f>SUM(E330:E331)</f>
        <v>2683</v>
      </c>
      <c r="F332" s="59">
        <f t="shared" ref="F332" si="99">SUM(F330:F331)</f>
        <v>2673</v>
      </c>
      <c r="J332" s="170">
        <f t="shared" ref="J332" si="100">SUM(J330:J331)</f>
        <v>8474.9381058100007</v>
      </c>
    </row>
    <row r="333" spans="2:11">
      <c r="B333" s="69" t="s">
        <v>201</v>
      </c>
      <c r="E333" s="201" t="e">
        <f>E322-E328-E332</f>
        <v>#REF!</v>
      </c>
      <c r="F333" s="201" t="e">
        <f>F322-F328-F332</f>
        <v>#REF!</v>
      </c>
      <c r="G333" s="81"/>
      <c r="H333" s="43"/>
      <c r="J333" s="201" t="e">
        <f>J322-J328-J332</f>
        <v>#REF!</v>
      </c>
    </row>
    <row r="334" spans="2:11">
      <c r="B334" s="66"/>
      <c r="D334" s="66"/>
      <c r="E334" s="201"/>
      <c r="F334" s="201"/>
      <c r="G334" s="81"/>
      <c r="H334" s="43"/>
      <c r="J334" s="201"/>
    </row>
    <row r="335" spans="2:11">
      <c r="B335" s="15" t="s">
        <v>213</v>
      </c>
      <c r="D335" s="20"/>
      <c r="E335" s="215"/>
      <c r="F335" s="215"/>
      <c r="G335" s="188"/>
      <c r="H335" s="85"/>
      <c r="I335" s="17"/>
      <c r="J335" s="215"/>
      <c r="K335" s="17"/>
    </row>
    <row r="336" spans="2:11">
      <c r="B336" s="45" t="str">
        <f>B39</f>
        <v xml:space="preserve">Fiscal year  </v>
      </c>
      <c r="C336" s="135"/>
      <c r="D336" s="40">
        <f t="shared" ref="D336:K337" si="101">C39</f>
        <v>2013</v>
      </c>
      <c r="E336" s="40">
        <f t="shared" si="101"/>
        <v>2014</v>
      </c>
      <c r="F336" s="40">
        <f t="shared" si="101"/>
        <v>2015</v>
      </c>
      <c r="G336" s="41">
        <f t="shared" si="101"/>
        <v>2016</v>
      </c>
      <c r="H336" s="41">
        <f t="shared" si="101"/>
        <v>2017</v>
      </c>
      <c r="I336" s="41">
        <f t="shared" si="101"/>
        <v>2018</v>
      </c>
      <c r="J336" s="41">
        <f t="shared" si="101"/>
        <v>2019</v>
      </c>
      <c r="K336" s="41">
        <f t="shared" si="101"/>
        <v>2020</v>
      </c>
    </row>
    <row r="337" spans="2:11">
      <c r="B337" s="17" t="str">
        <f>B40</f>
        <v>Fiscal year end date</v>
      </c>
      <c r="C337" s="17"/>
      <c r="D337" s="42">
        <f t="shared" si="101"/>
        <v>41545</v>
      </c>
      <c r="E337" s="42">
        <f t="shared" si="101"/>
        <v>41909</v>
      </c>
      <c r="F337" s="42">
        <f t="shared" si="101"/>
        <v>42273</v>
      </c>
      <c r="G337" s="42">
        <f t="shared" si="101"/>
        <v>42643</v>
      </c>
      <c r="H337" s="42">
        <f t="shared" si="101"/>
        <v>43008</v>
      </c>
      <c r="I337" s="42">
        <f t="shared" si="101"/>
        <v>43373</v>
      </c>
      <c r="J337" s="42">
        <f t="shared" si="101"/>
        <v>43738</v>
      </c>
      <c r="K337" s="42">
        <f t="shared" si="101"/>
        <v>44104</v>
      </c>
    </row>
    <row r="338" spans="2:11">
      <c r="B338" s="37" t="str">
        <f>B315</f>
        <v>Cash</v>
      </c>
      <c r="D338" s="81">
        <f t="shared" ref="D338:E345" si="102">E315</f>
        <v>0</v>
      </c>
      <c r="E338" s="81">
        <f t="shared" si="102"/>
        <v>240.73599999999996</v>
      </c>
      <c r="F338" s="81">
        <f t="shared" ref="F338:F344" si="103">J315</f>
        <v>0</v>
      </c>
      <c r="G338" s="185">
        <f ca="1">F136</f>
        <v>0</v>
      </c>
      <c r="H338" s="185">
        <f ca="1">G136</f>
        <v>0</v>
      </c>
      <c r="I338" s="185">
        <f ca="1">H136</f>
        <v>0</v>
      </c>
      <c r="J338" s="185">
        <f ca="1">I136</f>
        <v>0</v>
      </c>
      <c r="K338" s="185">
        <f ca="1">J136</f>
        <v>0</v>
      </c>
    </row>
    <row r="339" spans="2:11">
      <c r="B339" s="37" t="str">
        <f t="shared" ref="B339:B356" si="104">B316</f>
        <v>Accounts receivable, EOP</v>
      </c>
      <c r="D339" s="81">
        <f t="shared" si="102"/>
        <v>621.45100000000002</v>
      </c>
      <c r="E339" s="81">
        <f t="shared" si="102"/>
        <v>517.93599999999992</v>
      </c>
      <c r="F339" s="81">
        <f t="shared" si="103"/>
        <v>517.93599999999992</v>
      </c>
      <c r="G339" s="185">
        <f>F74</f>
        <v>557.58657776524001</v>
      </c>
      <c r="H339" s="185">
        <f>G74</f>
        <v>610.55730265293766</v>
      </c>
      <c r="I339" s="185">
        <f>H74</f>
        <v>744.8799092365839</v>
      </c>
      <c r="J339" s="185">
        <f>I74</f>
        <v>916.20228836099818</v>
      </c>
      <c r="K339" s="185">
        <f>J74</f>
        <v>1200.2249977529077</v>
      </c>
    </row>
    <row r="340" spans="2:11">
      <c r="B340" s="37" t="str">
        <f t="shared" si="104"/>
        <v>Other current assets, EOP</v>
      </c>
      <c r="D340" s="81">
        <f t="shared" si="102"/>
        <v>69.272000000000006</v>
      </c>
      <c r="E340" s="81">
        <f t="shared" si="102"/>
        <v>95.525999999999996</v>
      </c>
      <c r="F340" s="81">
        <f t="shared" si="103"/>
        <v>95.525999999999996</v>
      </c>
      <c r="G340" s="185">
        <f>F76</f>
        <v>81.058911802156899</v>
      </c>
      <c r="H340" s="185">
        <f>G76</f>
        <v>88.759508423361794</v>
      </c>
      <c r="I340" s="185">
        <f>H76</f>
        <v>108.28660027650137</v>
      </c>
      <c r="J340" s="185">
        <f>I76</f>
        <v>133.19251834009668</v>
      </c>
      <c r="K340" s="185">
        <f>J76</f>
        <v>174.48219902552668</v>
      </c>
    </row>
    <row r="341" spans="2:11">
      <c r="B341" s="37" t="str">
        <f t="shared" si="104"/>
        <v>PP&amp;E</v>
      </c>
      <c r="D341" s="81">
        <f t="shared" si="102"/>
        <v>1171.425</v>
      </c>
      <c r="E341" s="81">
        <f t="shared" si="102"/>
        <v>1293.5630000000001</v>
      </c>
      <c r="F341" s="81">
        <f t="shared" si="103"/>
        <v>1293.5630000000001</v>
      </c>
      <c r="G341" s="185">
        <f>F91</f>
        <v>1349.4558455922477</v>
      </c>
      <c r="H341" s="185">
        <f>G91</f>
        <v>1391.3855566215761</v>
      </c>
      <c r="I341" s="185">
        <f>H91</f>
        <v>1448.1039502918454</v>
      </c>
      <c r="J341" s="185">
        <f>I91</f>
        <v>1490.9335170564013</v>
      </c>
      <c r="K341" s="185">
        <f>J91</f>
        <v>1490.9335170564013</v>
      </c>
    </row>
    <row r="342" spans="2:11">
      <c r="B342" s="37" t="e">
        <f t="shared" si="104"/>
        <v>#REF!</v>
      </c>
      <c r="D342" s="81" t="e">
        <f t="shared" si="102"/>
        <v>#REF!</v>
      </c>
      <c r="E342" s="81" t="e">
        <f t="shared" si="102"/>
        <v>#REF!</v>
      </c>
      <c r="F342" s="81" t="e">
        <f t="shared" si="103"/>
        <v>#REF!</v>
      </c>
      <c r="G342" s="185" t="e">
        <f>#REF!</f>
        <v>#REF!</v>
      </c>
      <c r="H342" s="185" t="e">
        <f>#REF!</f>
        <v>#REF!</v>
      </c>
      <c r="I342" s="185" t="e">
        <f>#REF!</f>
        <v>#REF!</v>
      </c>
      <c r="J342" s="185" t="e">
        <f>#REF!</f>
        <v>#REF!</v>
      </c>
      <c r="K342" s="185" t="e">
        <f>#REF!</f>
        <v>#REF!</v>
      </c>
    </row>
    <row r="343" spans="2:11">
      <c r="B343" s="37" t="str">
        <f t="shared" si="104"/>
        <v>Intangible assets</v>
      </c>
      <c r="D343" s="81">
        <f t="shared" si="102"/>
        <v>365.44400000000002</v>
      </c>
      <c r="E343" s="81">
        <f t="shared" si="102"/>
        <v>423.887</v>
      </c>
      <c r="F343" s="81">
        <f t="shared" si="103"/>
        <v>541.73067359999993</v>
      </c>
      <c r="G343" s="185">
        <f>F97+F191</f>
        <v>473.44690098285713</v>
      </c>
      <c r="H343" s="185">
        <f>G97+G191</f>
        <v>406.56212836571427</v>
      </c>
      <c r="I343" s="185">
        <f>H97+H191</f>
        <v>340.55335574857145</v>
      </c>
      <c r="J343" s="185">
        <f>I97+I191</f>
        <v>274.91058313142855</v>
      </c>
      <c r="K343" s="185">
        <f>J97+J191</f>
        <v>213.35981051428573</v>
      </c>
    </row>
    <row r="344" spans="2:11">
      <c r="B344" s="37" t="str">
        <f t="shared" si="104"/>
        <v>Goodwill and other assets</v>
      </c>
      <c r="D344" s="188">
        <f t="shared" si="102"/>
        <v>814.78700000000003</v>
      </c>
      <c r="E344" s="188">
        <f t="shared" si="102"/>
        <v>765.79200000000003</v>
      </c>
      <c r="F344" s="188">
        <f t="shared" si="103"/>
        <v>11980.403112209999</v>
      </c>
      <c r="G344" s="74">
        <f>F101+$I$321</f>
        <v>11980.403112209999</v>
      </c>
      <c r="H344" s="74">
        <f>G101+$I$321</f>
        <v>11980.403112209999</v>
      </c>
      <c r="I344" s="74">
        <f>H101+$I$321</f>
        <v>11980.403112209999</v>
      </c>
      <c r="J344" s="74">
        <f>I101+$I$321</f>
        <v>11980.403112209999</v>
      </c>
      <c r="K344" s="74">
        <f>J101+$I$321</f>
        <v>11980.403112209999</v>
      </c>
    </row>
    <row r="345" spans="2:11">
      <c r="B345" s="38" t="str">
        <f t="shared" si="104"/>
        <v>Total Assets</v>
      </c>
      <c r="D345" s="170" t="e">
        <f t="shared" si="102"/>
        <v>#REF!</v>
      </c>
      <c r="E345" s="170" t="e">
        <f t="shared" si="102"/>
        <v>#REF!</v>
      </c>
      <c r="F345" s="170" t="e">
        <f t="shared" ref="F345:K345" si="105">SUM(F338:F344)</f>
        <v>#REF!</v>
      </c>
      <c r="G345" s="203" t="e">
        <f t="shared" ca="1" si="105"/>
        <v>#REF!</v>
      </c>
      <c r="H345" s="203" t="e">
        <f t="shared" ca="1" si="105"/>
        <v>#REF!</v>
      </c>
      <c r="I345" s="203" t="e">
        <f t="shared" ca="1" si="105"/>
        <v>#REF!</v>
      </c>
      <c r="J345" s="203" t="e">
        <f t="shared" ca="1" si="105"/>
        <v>#REF!</v>
      </c>
      <c r="K345" s="203" t="e">
        <f t="shared" ca="1" si="105"/>
        <v>#REF!</v>
      </c>
    </row>
    <row r="346" spans="2:11">
      <c r="B346" s="37"/>
      <c r="D346" s="81"/>
      <c r="E346" s="81"/>
      <c r="F346" s="81"/>
      <c r="G346" s="185"/>
      <c r="H346" s="185"/>
      <c r="I346" s="185"/>
      <c r="J346" s="185"/>
      <c r="K346" s="185"/>
    </row>
    <row r="347" spans="2:11">
      <c r="B347" s="37" t="str">
        <f t="shared" si="104"/>
        <v>Accounts payable, EOP</v>
      </c>
      <c r="D347" s="81">
        <f t="shared" ref="D347:E350" si="106">E324</f>
        <v>411.10699999999997</v>
      </c>
      <c r="E347" s="81">
        <f t="shared" si="106"/>
        <v>298.60900000000004</v>
      </c>
      <c r="F347" s="81">
        <f>J324</f>
        <v>298.60900000000004</v>
      </c>
      <c r="G347" s="185">
        <f>F80</f>
        <v>348.02033476907513</v>
      </c>
      <c r="H347" s="185">
        <f>G80</f>
        <v>379.56767282808931</v>
      </c>
      <c r="I347" s="185">
        <f>H80</f>
        <v>461.22475648253049</v>
      </c>
      <c r="J347" s="185">
        <f>I80</f>
        <v>565.03365110119421</v>
      </c>
      <c r="K347" s="185">
        <f>J80</f>
        <v>737.21671576482754</v>
      </c>
    </row>
    <row r="348" spans="2:11">
      <c r="B348" s="37" t="str">
        <f t="shared" si="104"/>
        <v>Accrued expenses &amp; def revenues, EOP</v>
      </c>
      <c r="D348" s="81">
        <f t="shared" si="106"/>
        <v>307.90300000000002</v>
      </c>
      <c r="E348" s="81">
        <f t="shared" si="106"/>
        <v>229.79</v>
      </c>
      <c r="F348" s="81">
        <f>J325</f>
        <v>229.79</v>
      </c>
      <c r="G348" s="185">
        <f>F82</f>
        <v>262.84131957132774</v>
      </c>
      <c r="H348" s="185">
        <f>G82</f>
        <v>287.81124493060383</v>
      </c>
      <c r="I348" s="185">
        <f>H82</f>
        <v>351.12971881533667</v>
      </c>
      <c r="J348" s="185">
        <f>I82</f>
        <v>431.88955414286409</v>
      </c>
      <c r="K348" s="185">
        <f>J82</f>
        <v>565.77531592715195</v>
      </c>
    </row>
    <row r="349" spans="2:11">
      <c r="B349" s="37" t="str">
        <f t="shared" si="104"/>
        <v>Other liabilities</v>
      </c>
      <c r="D349" s="81">
        <f t="shared" si="106"/>
        <v>23.085000000000001</v>
      </c>
      <c r="E349" s="81">
        <f t="shared" si="106"/>
        <v>42.524999999999999</v>
      </c>
      <c r="F349" s="81">
        <f>J326</f>
        <v>42.524999999999999</v>
      </c>
      <c r="G349" s="51">
        <f>F103</f>
        <v>42.524999999999999</v>
      </c>
      <c r="H349" s="51">
        <f>G103</f>
        <v>42.524999999999999</v>
      </c>
      <c r="I349" s="51">
        <f>H103</f>
        <v>42.524999999999999</v>
      </c>
      <c r="J349" s="51">
        <f>I103</f>
        <v>42.524999999999999</v>
      </c>
      <c r="K349" s="51">
        <f>J103</f>
        <v>42.524999999999999</v>
      </c>
    </row>
    <row r="350" spans="2:11">
      <c r="B350" s="37" t="str">
        <f t="shared" si="104"/>
        <v xml:space="preserve">Debt </v>
      </c>
      <c r="D350" s="81">
        <f t="shared" si="106"/>
        <v>0</v>
      </c>
      <c r="E350" s="81">
        <f t="shared" si="106"/>
        <v>1000</v>
      </c>
      <c r="F350" s="81">
        <f>J327</f>
        <v>6289.7806799999989</v>
      </c>
      <c r="G350" s="185">
        <f ca="1">F149+F157+F165+F172+F179</f>
        <v>5460.4907363336461</v>
      </c>
      <c r="H350" s="185">
        <f ca="1">G149+G157+G165+G172+G179</f>
        <v>5028.4906132017013</v>
      </c>
      <c r="I350" s="185">
        <f ca="1">H149+H157+H165+H172+H179</f>
        <v>4556.7655413171942</v>
      </c>
      <c r="J350" s="185">
        <f ca="1">I149+I157+I165+I172+I179</f>
        <v>3934.9975561507308</v>
      </c>
      <c r="K350" s="185">
        <f ca="1">J149+J157+J165+J172+J179</f>
        <v>3123.0411822097903</v>
      </c>
    </row>
    <row r="351" spans="2:11">
      <c r="B351" s="37" t="str">
        <f t="shared" si="104"/>
        <v>Total Liabilities</v>
      </c>
      <c r="D351" s="170">
        <f t="shared" ref="D351:F351" si="107">SUM(D347:D350)</f>
        <v>742.09500000000003</v>
      </c>
      <c r="E351" s="170">
        <f t="shared" si="107"/>
        <v>1570.924</v>
      </c>
      <c r="F351" s="170">
        <f t="shared" si="107"/>
        <v>6860.7046799999989</v>
      </c>
      <c r="G351" s="203">
        <f ca="1">SUM(G347:G350)</f>
        <v>6113.8773906740489</v>
      </c>
      <c r="H351" s="203">
        <f ca="1">SUM(H347:H350)</f>
        <v>5738.3945309603941</v>
      </c>
      <c r="I351" s="203">
        <f ca="1">SUM(I347:I350)</f>
        <v>5411.6450166150616</v>
      </c>
      <c r="J351" s="203">
        <f ca="1">SUM(J347:J350)</f>
        <v>4974.4457613947889</v>
      </c>
      <c r="K351" s="203">
        <f ca="1">SUM(K347:K350)</f>
        <v>4468.5582139017697</v>
      </c>
    </row>
    <row r="352" spans="2:11">
      <c r="B352" s="37"/>
      <c r="D352" s="81"/>
      <c r="E352" s="81"/>
      <c r="F352" s="81"/>
      <c r="G352" s="185"/>
      <c r="H352" s="185"/>
      <c r="I352" s="185"/>
      <c r="J352" s="185"/>
      <c r="K352" s="185"/>
    </row>
    <row r="353" spans="2:11">
      <c r="B353" s="37" t="str">
        <f t="shared" si="104"/>
        <v>LBO Preferred stock</v>
      </c>
      <c r="D353" s="189" t="str">
        <f>E330</f>
        <v>NM</v>
      </c>
      <c r="E353" s="189" t="str">
        <f>F330</f>
        <v>NM</v>
      </c>
      <c r="F353" s="81">
        <f>J330</f>
        <v>0</v>
      </c>
      <c r="G353" s="185">
        <f>F185</f>
        <v>0</v>
      </c>
      <c r="H353" s="185">
        <f>G185</f>
        <v>0</v>
      </c>
      <c r="I353" s="185">
        <f>H185</f>
        <v>0</v>
      </c>
      <c r="J353" s="185">
        <f>I185</f>
        <v>0</v>
      </c>
      <c r="K353" s="185">
        <f>J185</f>
        <v>0</v>
      </c>
    </row>
    <row r="354" spans="2:11">
      <c r="B354" s="37" t="str">
        <f t="shared" si="104"/>
        <v>Equity</v>
      </c>
      <c r="D354" s="81">
        <f>E331</f>
        <v>2683</v>
      </c>
      <c r="E354" s="81">
        <f>F331</f>
        <v>2673</v>
      </c>
      <c r="F354" s="81">
        <f>J331</f>
        <v>8474.9381058100007</v>
      </c>
      <c r="G354" s="185">
        <f ca="1">F354+F53-F186-F184+F58+F190</f>
        <v>8877.6065288722748</v>
      </c>
      <c r="H354" s="185">
        <f ca="1">G354+G53-G186-G184+G58+G190</f>
        <v>9339.4399359307099</v>
      </c>
      <c r="I354" s="185">
        <f ca="1">H354+H53-H186-H184+H58+H190</f>
        <v>9941.8104852173492</v>
      </c>
      <c r="J354" s="185">
        <f ca="1">I354+I53-I186-I184+I58+I190</f>
        <v>10719.040772472206</v>
      </c>
      <c r="K354" s="185">
        <f ca="1">J354+J53-J186-J184+J58+J190</f>
        <v>11765.048176252465</v>
      </c>
    </row>
    <row r="355" spans="2:11">
      <c r="B355" s="37" t="str">
        <f t="shared" si="104"/>
        <v>Total equity</v>
      </c>
      <c r="D355" s="170">
        <f t="shared" ref="D355:E355" si="108">SUM(D353:D354)</f>
        <v>2683</v>
      </c>
      <c r="E355" s="170">
        <f t="shared" si="108"/>
        <v>2673</v>
      </c>
      <c r="F355" s="170">
        <f t="shared" ref="F355:K355" si="109">SUM(F353:F354)</f>
        <v>8474.9381058100007</v>
      </c>
      <c r="G355" s="203">
        <f t="shared" ca="1" si="109"/>
        <v>8877.6065288722748</v>
      </c>
      <c r="H355" s="203">
        <f t="shared" ca="1" si="109"/>
        <v>9339.4399359307099</v>
      </c>
      <c r="I355" s="203">
        <f t="shared" ca="1" si="109"/>
        <v>9941.8104852173492</v>
      </c>
      <c r="J355" s="203">
        <f t="shared" ca="1" si="109"/>
        <v>10719.040772472206</v>
      </c>
      <c r="K355" s="203">
        <f t="shared" ca="1" si="109"/>
        <v>11765.048176252465</v>
      </c>
    </row>
    <row r="356" spans="2:11">
      <c r="B356" s="37" t="str">
        <f t="shared" si="104"/>
        <v>Balance check</v>
      </c>
      <c r="D356" s="81" t="e">
        <f>D345-D351-D355</f>
        <v>#REF!</v>
      </c>
      <c r="E356" s="81" t="e">
        <f t="shared" ref="E356:F356" si="110">E345-E351-E355</f>
        <v>#REF!</v>
      </c>
      <c r="F356" s="81" t="e">
        <f t="shared" si="110"/>
        <v>#REF!</v>
      </c>
      <c r="G356" s="81" t="e">
        <f ca="1">G345-G351-G355</f>
        <v>#REF!</v>
      </c>
      <c r="H356" s="81" t="e">
        <f ca="1">H345-H351-H355</f>
        <v>#REF!</v>
      </c>
      <c r="I356" s="81" t="e">
        <f ca="1">I345-I351-I355</f>
        <v>#REF!</v>
      </c>
      <c r="J356" s="81" t="e">
        <f ca="1">J345-J351-J355</f>
        <v>#REF!</v>
      </c>
      <c r="K356" s="81" t="e">
        <f ca="1">K345-K351-K355</f>
        <v>#REF!</v>
      </c>
    </row>
    <row r="357" spans="2:11">
      <c r="G357" s="81"/>
      <c r="H357" s="81"/>
      <c r="I357" s="81"/>
      <c r="J357" s="81"/>
    </row>
  </sheetData>
  <conditionalFormatting sqref="D294:J300">
    <cfRule type="expression" dxfId="4" priority="51" stopIfTrue="1">
      <formula>$H$7=1</formula>
    </cfRule>
  </conditionalFormatting>
  <conditionalFormatting sqref="D284:J290">
    <cfRule type="expression" dxfId="3" priority="52" stopIfTrue="1">
      <formula>$H$7=2</formula>
    </cfRule>
  </conditionalFormatting>
  <conditionalFormatting sqref="D283:J283">
    <cfRule type="expression" dxfId="2" priority="53">
      <formula>$H$7=1</formula>
    </cfRule>
  </conditionalFormatting>
  <conditionalFormatting sqref="D293:J293">
    <cfRule type="expression" dxfId="1" priority="54">
      <formula>$H$7=2</formula>
    </cfRule>
  </conditionalFormatting>
  <conditionalFormatting sqref="F286:J290 F305:J309 F296:J300">
    <cfRule type="cellIs" dxfId="0" priority="64" operator="greaterThan">
      <formula>$B$284</formula>
    </cfRule>
  </conditionalFormatting>
  <dataValidations count="6">
    <dataValidation type="list" allowBlank="1" showInputMessage="1" showErrorMessage="1" sqref="B3">
      <formula1>"$ bns except per share, $ mm except per share,$ in thousands except per share"</formula1>
    </dataValidation>
    <dataValidation type="list" allowBlank="1" showInputMessage="1" showErrorMessage="1" sqref="D10">
      <formula1>"ON,OFF"</formula1>
    </dataValidation>
    <dataValidation type="list" allowBlank="1" showInputMessage="1" showErrorMessage="1" sqref="K94">
      <formula1>"Yes,No"</formula1>
    </dataValidation>
    <dataValidation type="list" allowBlank="1" showInputMessage="1" showErrorMessage="1" sqref="H7">
      <formula1>$I$7:$J$7</formula1>
    </dataValidation>
    <dataValidation type="list" allowBlank="1" showInputMessage="1" showErrorMessage="1" sqref="K321">
      <formula1>"LBO,Lev. Recap"</formula1>
    </dataValidation>
    <dataValidation allowBlank="1" showInputMessage="1" showErrorMessage="1" promptTitle="Input transaction fee assumption" prompt="Includes legal, accounting and advisory related fees.  Input as a % of the offer value." sqref="G36 C18"/>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28"/>
  <sheetViews>
    <sheetView zoomScaleNormal="100" workbookViewId="0">
      <selection activeCell="E6" sqref="E6"/>
    </sheetView>
  </sheetViews>
  <sheetFormatPr defaultRowHeight="14.4"/>
  <cols>
    <col min="1" max="1" width="1.6640625" customWidth="1"/>
    <col min="2" max="2" width="36.5546875" bestFit="1" customWidth="1"/>
    <col min="3" max="5" width="15.88671875" customWidth="1"/>
  </cols>
  <sheetData>
    <row r="1" spans="2:5" ht="15" thickBot="1"/>
    <row r="2" spans="2:5" ht="26.4" thickBot="1">
      <c r="B2" s="1" t="str">
        <f>"Diluted shares for "&amp;LBO!D6</f>
        <v>Diluted shares for Keurig Green Mountain</v>
      </c>
      <c r="C2" s="11"/>
      <c r="D2" s="11"/>
      <c r="E2" s="251"/>
    </row>
    <row r="3" spans="2:5">
      <c r="B3" s="248" t="str">
        <f>LBO!B3</f>
        <v>$ mm except per share</v>
      </c>
      <c r="C3" s="10"/>
    </row>
    <row r="4" spans="2:5">
      <c r="B4" s="37"/>
      <c r="C4" s="10"/>
    </row>
    <row r="5" spans="2:5">
      <c r="B5" s="37" t="s">
        <v>187</v>
      </c>
      <c r="C5" s="10"/>
      <c r="E5" s="186">
        <v>92</v>
      </c>
    </row>
    <row r="6" spans="2:5">
      <c r="B6" s="250" t="str">
        <f>IF(E6&lt;&gt;E5,"Please ensure offer price matches offer price in model.","")</f>
        <v/>
      </c>
      <c r="C6" s="10"/>
      <c r="E6" s="249">
        <f>LBO!H20</f>
        <v>92</v>
      </c>
    </row>
    <row r="7" spans="2:5">
      <c r="B7" s="82" t="s">
        <v>191</v>
      </c>
      <c r="E7" s="322">
        <v>149.493728</v>
      </c>
    </row>
    <row r="8" spans="2:5">
      <c r="B8" s="37" t="s">
        <v>58</v>
      </c>
      <c r="C8" s="10"/>
      <c r="E8" s="323">
        <f>E28</f>
        <v>2.0399690000000001</v>
      </c>
    </row>
    <row r="9" spans="2:5">
      <c r="B9" s="32" t="s">
        <v>50</v>
      </c>
      <c r="C9" s="10"/>
      <c r="E9" s="321">
        <f>SUMPRODUCT(D18:D27,E18:E27)</f>
        <v>91.615007789999993</v>
      </c>
    </row>
    <row r="10" spans="2:5">
      <c r="B10" s="32" t="s">
        <v>51</v>
      </c>
      <c r="C10" s="10"/>
      <c r="E10" s="321">
        <f>E9/E5</f>
        <v>0.99581530206521729</v>
      </c>
    </row>
    <row r="11" spans="2:5">
      <c r="B11" s="32" t="s">
        <v>52</v>
      </c>
      <c r="C11" s="10"/>
      <c r="E11" s="321">
        <f>E8-E10</f>
        <v>1.044153697934783</v>
      </c>
    </row>
    <row r="12" spans="2:5" ht="15.6">
      <c r="B12" s="32" t="s">
        <v>53</v>
      </c>
      <c r="C12" s="10"/>
      <c r="E12" s="324">
        <v>0.41441299999999998</v>
      </c>
    </row>
    <row r="13" spans="2:5">
      <c r="B13" s="32"/>
      <c r="C13" s="10"/>
      <c r="E13" s="319"/>
    </row>
    <row r="14" spans="2:5">
      <c r="B14" s="47" t="s">
        <v>54</v>
      </c>
      <c r="C14" s="10"/>
      <c r="D14" s="81"/>
      <c r="E14" s="321">
        <f>E7+E11+E12</f>
        <v>150.95229469793478</v>
      </c>
    </row>
    <row r="15" spans="2:5">
      <c r="B15" s="47"/>
      <c r="C15" s="10"/>
      <c r="D15" s="81"/>
      <c r="E15" s="185"/>
    </row>
    <row r="16" spans="2:5">
      <c r="B16" s="94" t="s">
        <v>227</v>
      </c>
      <c r="C16" s="17"/>
      <c r="D16" s="188"/>
      <c r="E16" s="74"/>
    </row>
    <row r="17" spans="2:5">
      <c r="C17" s="98" t="s">
        <v>188</v>
      </c>
      <c r="D17" s="98" t="s">
        <v>57</v>
      </c>
      <c r="E17" s="184" t="s">
        <v>189</v>
      </c>
    </row>
    <row r="18" spans="2:5">
      <c r="B18" s="243">
        <v>1</v>
      </c>
      <c r="C18" s="320">
        <v>2.0399690000000001</v>
      </c>
      <c r="D18" s="320">
        <v>44.91</v>
      </c>
      <c r="E18" s="245">
        <f t="shared" ref="E18:E27" si="0">IF(D18&lt;$E$5,C18,0)</f>
        <v>2.0399690000000001</v>
      </c>
    </row>
    <row r="19" spans="2:5">
      <c r="B19" s="243">
        <f>B18+1</f>
        <v>2</v>
      </c>
      <c r="C19" s="318"/>
      <c r="D19" s="318"/>
      <c r="E19" s="245">
        <f t="shared" si="0"/>
        <v>0</v>
      </c>
    </row>
    <row r="20" spans="2:5">
      <c r="B20" s="243">
        <f t="shared" ref="B20:B24" si="1">B19+1</f>
        <v>3</v>
      </c>
      <c r="C20" s="244"/>
      <c r="D20" s="244"/>
      <c r="E20" s="245">
        <f t="shared" si="0"/>
        <v>0</v>
      </c>
    </row>
    <row r="21" spans="2:5">
      <c r="B21" s="243">
        <f t="shared" si="1"/>
        <v>4</v>
      </c>
      <c r="C21" s="244"/>
      <c r="D21" s="244"/>
      <c r="E21" s="245">
        <f t="shared" si="0"/>
        <v>0</v>
      </c>
    </row>
    <row r="22" spans="2:5">
      <c r="B22" s="243">
        <f t="shared" si="1"/>
        <v>5</v>
      </c>
      <c r="C22" s="244"/>
      <c r="D22" s="244"/>
      <c r="E22" s="245">
        <f t="shared" si="0"/>
        <v>0</v>
      </c>
    </row>
    <row r="23" spans="2:5">
      <c r="B23" s="243">
        <f t="shared" si="1"/>
        <v>6</v>
      </c>
      <c r="C23" s="244"/>
      <c r="D23" s="244"/>
      <c r="E23" s="245">
        <f t="shared" si="0"/>
        <v>0</v>
      </c>
    </row>
    <row r="24" spans="2:5">
      <c r="B24" s="243">
        <f t="shared" si="1"/>
        <v>7</v>
      </c>
      <c r="C24" s="244"/>
      <c r="D24" s="244"/>
      <c r="E24" s="245">
        <f t="shared" si="0"/>
        <v>0</v>
      </c>
    </row>
    <row r="25" spans="2:5">
      <c r="B25" s="243">
        <f t="shared" ref="B25:B26" si="2">B24+1</f>
        <v>8</v>
      </c>
      <c r="C25" s="244"/>
      <c r="D25" s="244"/>
      <c r="E25" s="245">
        <f t="shared" si="0"/>
        <v>0</v>
      </c>
    </row>
    <row r="26" spans="2:5">
      <c r="B26" s="243">
        <f t="shared" si="2"/>
        <v>9</v>
      </c>
      <c r="C26" s="244"/>
      <c r="D26" s="244"/>
      <c r="E26" s="245">
        <f t="shared" si="0"/>
        <v>0</v>
      </c>
    </row>
    <row r="27" spans="2:5">
      <c r="B27" s="243">
        <f t="shared" ref="B27" si="3">B26+1</f>
        <v>10</v>
      </c>
      <c r="C27" s="244"/>
      <c r="D27" s="244"/>
      <c r="E27" s="246">
        <f t="shared" si="0"/>
        <v>0</v>
      </c>
    </row>
    <row r="28" spans="2:5">
      <c r="E28" s="247">
        <f>SUM(E18:E27)</f>
        <v>2.0399690000000001</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8"/>
  <sheetViews>
    <sheetView zoomScaleNormal="100" workbookViewId="0">
      <selection activeCell="D92" sqref="D92"/>
    </sheetView>
  </sheetViews>
  <sheetFormatPr defaultRowHeight="14.4"/>
  <cols>
    <col min="1" max="1" width="19.44140625" bestFit="1" customWidth="1"/>
    <col min="2" max="5" width="9.33203125" bestFit="1" customWidth="1"/>
    <col min="6" max="6" width="10" bestFit="1" customWidth="1"/>
    <col min="9" max="9" width="9.33203125" bestFit="1" customWidth="1"/>
  </cols>
  <sheetData>
    <row r="2" spans="1:6" ht="18" thickBot="1">
      <c r="A2" s="73" t="s">
        <v>61</v>
      </c>
      <c r="B2" s="71"/>
      <c r="C2" s="71"/>
      <c r="D2" s="71"/>
      <c r="E2" s="71"/>
      <c r="F2" s="71"/>
    </row>
    <row r="4" spans="1:6">
      <c r="A4" t="s">
        <v>62</v>
      </c>
      <c r="E4" s="30">
        <f>MAX(E8:E268)</f>
        <v>46.33</v>
      </c>
    </row>
    <row r="5" spans="1:6">
      <c r="A5" t="s">
        <v>63</v>
      </c>
      <c r="E5" s="30">
        <f>MIN(E8:E268)</f>
        <v>37.51</v>
      </c>
    </row>
    <row r="7" spans="1:6">
      <c r="A7" t="s">
        <v>64</v>
      </c>
      <c r="B7" t="s">
        <v>65</v>
      </c>
      <c r="C7" t="s">
        <v>59</v>
      </c>
      <c r="D7" t="s">
        <v>60</v>
      </c>
      <c r="E7" s="30" t="s">
        <v>66</v>
      </c>
      <c r="F7" t="s">
        <v>67</v>
      </c>
    </row>
    <row r="8" spans="1:6">
      <c r="A8" s="70">
        <v>41400</v>
      </c>
      <c r="B8">
        <v>45.5</v>
      </c>
      <c r="C8">
        <v>45.71</v>
      </c>
      <c r="D8">
        <v>45.07</v>
      </c>
      <c r="E8" s="30">
        <v>45.42</v>
      </c>
      <c r="F8">
        <v>34229100</v>
      </c>
    </row>
    <row r="9" spans="1:6">
      <c r="A9" s="70">
        <v>41397</v>
      </c>
      <c r="B9">
        <v>45.67</v>
      </c>
      <c r="C9">
        <v>45.77</v>
      </c>
      <c r="D9">
        <v>45.35</v>
      </c>
      <c r="E9" s="30">
        <v>45.42</v>
      </c>
      <c r="F9">
        <v>2058200</v>
      </c>
    </row>
    <row r="10" spans="1:6">
      <c r="A10" s="70">
        <v>41396</v>
      </c>
      <c r="B10">
        <v>45.45</v>
      </c>
      <c r="C10">
        <v>45.49</v>
      </c>
      <c r="D10">
        <v>44.97</v>
      </c>
      <c r="E10" s="30">
        <v>45.24</v>
      </c>
      <c r="F10">
        <v>3022300</v>
      </c>
    </row>
    <row r="11" spans="1:6">
      <c r="A11" s="70">
        <v>41395</v>
      </c>
      <c r="B11">
        <v>45.84</v>
      </c>
      <c r="C11">
        <v>45.96</v>
      </c>
      <c r="D11">
        <v>45.25</v>
      </c>
      <c r="E11" s="30">
        <v>45.39</v>
      </c>
      <c r="F11">
        <v>2306800</v>
      </c>
    </row>
    <row r="12" spans="1:6">
      <c r="A12" s="70">
        <v>41394</v>
      </c>
      <c r="B12">
        <v>45.34</v>
      </c>
      <c r="C12">
        <v>45.52</v>
      </c>
      <c r="D12">
        <v>45.17</v>
      </c>
      <c r="E12" s="30">
        <v>45.48</v>
      </c>
      <c r="F12">
        <v>2096700</v>
      </c>
    </row>
    <row r="13" spans="1:6">
      <c r="A13" s="70">
        <v>41393</v>
      </c>
      <c r="B13">
        <v>45.5</v>
      </c>
      <c r="C13">
        <v>45.7</v>
      </c>
      <c r="D13">
        <v>45.28</v>
      </c>
      <c r="E13" s="30">
        <v>45.43</v>
      </c>
      <c r="F13">
        <v>2294400</v>
      </c>
    </row>
    <row r="14" spans="1:6">
      <c r="A14" s="70">
        <v>41390</v>
      </c>
      <c r="B14">
        <v>45.68</v>
      </c>
      <c r="C14">
        <v>45.86</v>
      </c>
      <c r="D14">
        <v>45.53</v>
      </c>
      <c r="E14" s="30">
        <v>45.6</v>
      </c>
      <c r="F14">
        <v>1694700</v>
      </c>
    </row>
    <row r="15" spans="1:6">
      <c r="A15" s="70">
        <v>41389</v>
      </c>
      <c r="B15">
        <v>45.07</v>
      </c>
      <c r="C15">
        <v>45.83</v>
      </c>
      <c r="D15">
        <v>44.87</v>
      </c>
      <c r="E15" s="30">
        <v>45.69</v>
      </c>
      <c r="F15">
        <v>2360900</v>
      </c>
    </row>
    <row r="16" spans="1:6">
      <c r="A16" s="70">
        <v>41388</v>
      </c>
      <c r="B16">
        <v>45</v>
      </c>
      <c r="C16">
        <v>45.62</v>
      </c>
      <c r="D16">
        <v>44.22</v>
      </c>
      <c r="E16" s="30">
        <v>44.9</v>
      </c>
      <c r="F16">
        <v>6814000</v>
      </c>
    </row>
    <row r="17" spans="1:6">
      <c r="A17" s="70">
        <v>41387</v>
      </c>
      <c r="B17">
        <v>44.05</v>
      </c>
      <c r="C17">
        <v>44.29</v>
      </c>
      <c r="D17">
        <v>43.66</v>
      </c>
      <c r="E17" s="30">
        <v>44.13</v>
      </c>
      <c r="F17">
        <v>2856300</v>
      </c>
    </row>
    <row r="18" spans="1:6">
      <c r="A18" s="70">
        <v>41386</v>
      </c>
      <c r="B18">
        <v>44.08</v>
      </c>
      <c r="C18">
        <v>44.09</v>
      </c>
      <c r="D18">
        <v>43.41</v>
      </c>
      <c r="E18" s="30">
        <v>43.88</v>
      </c>
      <c r="F18">
        <v>1078900</v>
      </c>
    </row>
    <row r="19" spans="1:6">
      <c r="A19" s="70">
        <v>41383</v>
      </c>
      <c r="B19">
        <v>43.56</v>
      </c>
      <c r="C19">
        <v>44.08</v>
      </c>
      <c r="D19">
        <v>43.3</v>
      </c>
      <c r="E19" s="30">
        <v>43.86</v>
      </c>
      <c r="F19">
        <v>1367800</v>
      </c>
    </row>
    <row r="20" spans="1:6">
      <c r="A20" s="70">
        <v>41382</v>
      </c>
      <c r="B20">
        <v>44.21</v>
      </c>
      <c r="C20">
        <v>44.25</v>
      </c>
      <c r="D20">
        <v>43.44</v>
      </c>
      <c r="E20" s="30">
        <v>43.75</v>
      </c>
      <c r="F20">
        <v>1451300</v>
      </c>
    </row>
    <row r="21" spans="1:6">
      <c r="A21" s="70">
        <v>41381</v>
      </c>
      <c r="B21">
        <v>44.51</v>
      </c>
      <c r="C21">
        <v>44.68</v>
      </c>
      <c r="D21">
        <v>43.54</v>
      </c>
      <c r="E21" s="30">
        <v>44.03</v>
      </c>
      <c r="F21">
        <v>2156400</v>
      </c>
    </row>
    <row r="22" spans="1:6">
      <c r="A22" s="70">
        <v>41380</v>
      </c>
      <c r="B22">
        <v>44.59</v>
      </c>
      <c r="C22">
        <v>45.03</v>
      </c>
      <c r="D22">
        <v>44.5</v>
      </c>
      <c r="E22" s="30">
        <v>44.88</v>
      </c>
      <c r="F22">
        <v>1223400</v>
      </c>
    </row>
    <row r="23" spans="1:6">
      <c r="A23" s="70">
        <v>41379</v>
      </c>
      <c r="B23">
        <v>44.9</v>
      </c>
      <c r="C23">
        <v>45</v>
      </c>
      <c r="D23">
        <v>44.32</v>
      </c>
      <c r="E23" s="30">
        <v>44.32</v>
      </c>
      <c r="F23">
        <v>1273900</v>
      </c>
    </row>
    <row r="24" spans="1:6">
      <c r="A24" s="70">
        <v>41376</v>
      </c>
      <c r="B24">
        <v>45.02</v>
      </c>
      <c r="C24">
        <v>45.02</v>
      </c>
      <c r="D24">
        <v>44.65</v>
      </c>
      <c r="E24" s="30">
        <v>44.93</v>
      </c>
      <c r="F24">
        <v>1566600</v>
      </c>
    </row>
    <row r="25" spans="1:6">
      <c r="A25" s="70">
        <v>41375</v>
      </c>
      <c r="B25">
        <v>44.72</v>
      </c>
      <c r="C25">
        <v>45.65</v>
      </c>
      <c r="D25">
        <v>44.53</v>
      </c>
      <c r="E25" s="30">
        <v>45.02</v>
      </c>
      <c r="F25">
        <v>4248900</v>
      </c>
    </row>
    <row r="26" spans="1:6">
      <c r="A26" s="70">
        <v>41374</v>
      </c>
      <c r="B26">
        <v>44.45</v>
      </c>
      <c r="C26">
        <v>44.93</v>
      </c>
      <c r="D26">
        <v>44.37</v>
      </c>
      <c r="E26" s="30">
        <v>44.75</v>
      </c>
      <c r="F26">
        <v>2023200</v>
      </c>
    </row>
    <row r="27" spans="1:6">
      <c r="A27" s="70">
        <v>41373</v>
      </c>
      <c r="B27">
        <v>44.5</v>
      </c>
      <c r="C27">
        <v>44.62</v>
      </c>
      <c r="D27">
        <v>43.98</v>
      </c>
      <c r="E27" s="30">
        <v>44.34</v>
      </c>
      <c r="F27">
        <v>1952800</v>
      </c>
    </row>
    <row r="28" spans="1:6">
      <c r="A28" s="70">
        <v>41372</v>
      </c>
      <c r="B28">
        <v>45.05</v>
      </c>
      <c r="C28">
        <v>45.1</v>
      </c>
      <c r="D28">
        <v>44.42</v>
      </c>
      <c r="E28" s="30">
        <v>44.45</v>
      </c>
      <c r="F28">
        <v>1625500</v>
      </c>
    </row>
    <row r="29" spans="1:6">
      <c r="A29" s="70">
        <v>41369</v>
      </c>
      <c r="B29">
        <v>44.55</v>
      </c>
      <c r="C29">
        <v>45.28</v>
      </c>
      <c r="D29">
        <v>44.03</v>
      </c>
      <c r="E29" s="30">
        <v>45.11</v>
      </c>
      <c r="F29">
        <v>1635700</v>
      </c>
    </row>
    <row r="30" spans="1:6">
      <c r="A30" s="70">
        <v>41368</v>
      </c>
      <c r="B30">
        <v>45.42</v>
      </c>
      <c r="C30">
        <v>45.59</v>
      </c>
      <c r="D30">
        <v>44.93</v>
      </c>
      <c r="E30" s="30">
        <v>45.14</v>
      </c>
      <c r="F30">
        <v>1004100</v>
      </c>
    </row>
    <row r="31" spans="1:6">
      <c r="A31" s="70">
        <v>41367</v>
      </c>
      <c r="B31">
        <v>46.09</v>
      </c>
      <c r="C31">
        <v>46.3</v>
      </c>
      <c r="D31">
        <v>45.07</v>
      </c>
      <c r="E31" s="30">
        <v>45.44</v>
      </c>
      <c r="F31">
        <v>1471300</v>
      </c>
    </row>
    <row r="32" spans="1:6">
      <c r="A32" s="70">
        <v>41366</v>
      </c>
      <c r="B32">
        <v>46.19</v>
      </c>
      <c r="C32">
        <v>46.49</v>
      </c>
      <c r="D32">
        <v>46.03</v>
      </c>
      <c r="E32" s="30">
        <v>46.06</v>
      </c>
      <c r="F32">
        <v>1169600</v>
      </c>
    </row>
    <row r="33" spans="1:6">
      <c r="A33" s="70">
        <v>41365</v>
      </c>
      <c r="B33">
        <v>46.29</v>
      </c>
      <c r="C33">
        <v>46.5</v>
      </c>
      <c r="D33">
        <v>45.87</v>
      </c>
      <c r="E33" s="30">
        <v>46.02</v>
      </c>
      <c r="F33">
        <v>1124600</v>
      </c>
    </row>
    <row r="34" spans="1:6">
      <c r="A34" s="70">
        <v>41362</v>
      </c>
      <c r="B34">
        <v>46.33</v>
      </c>
      <c r="C34">
        <v>46.33</v>
      </c>
      <c r="D34">
        <v>46.33</v>
      </c>
      <c r="E34" s="30">
        <v>46.33</v>
      </c>
      <c r="F34">
        <v>0</v>
      </c>
    </row>
    <row r="35" spans="1:6">
      <c r="A35" s="70">
        <v>41361</v>
      </c>
      <c r="B35">
        <v>45.61</v>
      </c>
      <c r="C35">
        <v>46.48</v>
      </c>
      <c r="D35">
        <v>45.61</v>
      </c>
      <c r="E35" s="30">
        <v>46.33</v>
      </c>
      <c r="F35">
        <v>1145800</v>
      </c>
    </row>
    <row r="36" spans="1:6">
      <c r="A36" s="70">
        <v>41360</v>
      </c>
      <c r="B36">
        <v>45.63</v>
      </c>
      <c r="C36">
        <v>45.92</v>
      </c>
      <c r="D36">
        <v>45.25</v>
      </c>
      <c r="E36" s="30">
        <v>45.73</v>
      </c>
      <c r="F36">
        <v>1127000</v>
      </c>
    </row>
    <row r="37" spans="1:6">
      <c r="A37" s="70">
        <v>41359</v>
      </c>
      <c r="B37">
        <v>45.86</v>
      </c>
      <c r="C37">
        <v>46.18</v>
      </c>
      <c r="D37">
        <v>45.66</v>
      </c>
      <c r="E37" s="30">
        <v>45.78</v>
      </c>
      <c r="F37">
        <v>1283100</v>
      </c>
    </row>
    <row r="38" spans="1:6">
      <c r="A38" s="70">
        <v>41358</v>
      </c>
      <c r="B38">
        <v>45.95</v>
      </c>
      <c r="C38">
        <v>46.05</v>
      </c>
      <c r="D38">
        <v>45.49</v>
      </c>
      <c r="E38" s="30">
        <v>45.7</v>
      </c>
      <c r="F38">
        <v>1757200</v>
      </c>
    </row>
    <row r="39" spans="1:6">
      <c r="A39" s="70">
        <v>41355</v>
      </c>
      <c r="B39">
        <v>45.49</v>
      </c>
      <c r="C39">
        <v>45.93</v>
      </c>
      <c r="D39">
        <v>45.39</v>
      </c>
      <c r="E39" s="30">
        <v>45.74</v>
      </c>
      <c r="F39">
        <v>2110000</v>
      </c>
    </row>
    <row r="40" spans="1:6">
      <c r="A40" s="70">
        <v>41354</v>
      </c>
      <c r="B40">
        <v>43.61</v>
      </c>
      <c r="C40">
        <v>47.98</v>
      </c>
      <c r="D40">
        <v>43.5</v>
      </c>
      <c r="E40" s="30">
        <v>45.48</v>
      </c>
      <c r="F40">
        <v>6592300</v>
      </c>
    </row>
    <row r="41" spans="1:6">
      <c r="A41" s="70">
        <v>41353</v>
      </c>
      <c r="B41">
        <v>44.03</v>
      </c>
      <c r="C41">
        <v>44.45</v>
      </c>
      <c r="D41">
        <v>43.83</v>
      </c>
      <c r="E41" s="30">
        <v>43.99</v>
      </c>
      <c r="F41">
        <v>914200</v>
      </c>
    </row>
    <row r="42" spans="1:6">
      <c r="A42" s="70">
        <v>41352</v>
      </c>
      <c r="B42">
        <v>44.09</v>
      </c>
      <c r="C42">
        <v>44.16</v>
      </c>
      <c r="D42">
        <v>43.4</v>
      </c>
      <c r="E42" s="30">
        <v>43.68</v>
      </c>
      <c r="F42">
        <v>1214500</v>
      </c>
    </row>
    <row r="43" spans="1:6">
      <c r="A43" s="70">
        <v>41351</v>
      </c>
      <c r="B43">
        <v>43.65</v>
      </c>
      <c r="C43">
        <v>44.4</v>
      </c>
      <c r="D43">
        <v>43.56</v>
      </c>
      <c r="E43" s="30">
        <v>43.98</v>
      </c>
      <c r="F43">
        <v>1173700</v>
      </c>
    </row>
    <row r="44" spans="1:6">
      <c r="A44" s="70">
        <v>41348</v>
      </c>
      <c r="B44">
        <v>44.12</v>
      </c>
      <c r="C44">
        <v>44.69</v>
      </c>
      <c r="D44">
        <v>44.09</v>
      </c>
      <c r="E44" s="30">
        <v>44.12</v>
      </c>
      <c r="F44">
        <v>2730000</v>
      </c>
    </row>
    <row r="45" spans="1:6">
      <c r="A45" s="70">
        <v>41347</v>
      </c>
      <c r="B45">
        <v>43.88</v>
      </c>
      <c r="C45">
        <v>44.5</v>
      </c>
      <c r="D45">
        <v>43.83</v>
      </c>
      <c r="E45" s="30">
        <v>44.29</v>
      </c>
      <c r="F45">
        <v>2030500</v>
      </c>
    </row>
    <row r="46" spans="1:6">
      <c r="A46" s="70">
        <v>41346</v>
      </c>
      <c r="B46">
        <v>43.72</v>
      </c>
      <c r="C46">
        <v>44.12</v>
      </c>
      <c r="D46">
        <v>43.62</v>
      </c>
      <c r="E46" s="30">
        <v>43.66</v>
      </c>
      <c r="F46">
        <v>1725200</v>
      </c>
    </row>
    <row r="47" spans="1:6">
      <c r="A47" s="70">
        <v>41345</v>
      </c>
      <c r="B47">
        <v>43</v>
      </c>
      <c r="C47">
        <v>43.77</v>
      </c>
      <c r="D47">
        <v>43</v>
      </c>
      <c r="E47" s="30">
        <v>43.72</v>
      </c>
      <c r="F47">
        <v>1969000</v>
      </c>
    </row>
    <row r="48" spans="1:6">
      <c r="A48" s="70">
        <v>41344</v>
      </c>
      <c r="B48">
        <v>42.88</v>
      </c>
      <c r="C48">
        <v>43.48</v>
      </c>
      <c r="D48">
        <v>42.81</v>
      </c>
      <c r="E48" s="30">
        <v>43.4</v>
      </c>
      <c r="F48">
        <v>1858400</v>
      </c>
    </row>
    <row r="49" spans="1:6">
      <c r="A49" s="70">
        <v>41341</v>
      </c>
      <c r="B49">
        <v>42.46</v>
      </c>
      <c r="C49">
        <v>43.13</v>
      </c>
      <c r="D49">
        <v>42.35</v>
      </c>
      <c r="E49" s="30">
        <v>42.91</v>
      </c>
      <c r="F49">
        <v>1595900</v>
      </c>
    </row>
    <row r="50" spans="1:6">
      <c r="A50" s="70">
        <v>41340</v>
      </c>
      <c r="B50">
        <v>42.2</v>
      </c>
      <c r="C50">
        <v>42.55</v>
      </c>
      <c r="D50">
        <v>42.18</v>
      </c>
      <c r="E50" s="30">
        <v>42.33</v>
      </c>
      <c r="F50">
        <v>844600</v>
      </c>
    </row>
    <row r="51" spans="1:6">
      <c r="A51" s="70">
        <v>41339</v>
      </c>
      <c r="B51">
        <v>42.34</v>
      </c>
      <c r="C51">
        <v>42.63</v>
      </c>
      <c r="D51">
        <v>42.18</v>
      </c>
      <c r="E51" s="30">
        <v>42.22</v>
      </c>
      <c r="F51">
        <v>1318300</v>
      </c>
    </row>
    <row r="52" spans="1:6">
      <c r="A52" s="70">
        <v>41338</v>
      </c>
      <c r="B52">
        <v>41.41</v>
      </c>
      <c r="C52">
        <v>42.77</v>
      </c>
      <c r="D52">
        <v>41.37</v>
      </c>
      <c r="E52" s="30">
        <v>42.32</v>
      </c>
      <c r="F52">
        <v>2841500</v>
      </c>
    </row>
    <row r="53" spans="1:6">
      <c r="A53" s="70">
        <v>41337</v>
      </c>
      <c r="B53">
        <v>40.35</v>
      </c>
      <c r="C53">
        <v>40.880000000000003</v>
      </c>
      <c r="D53">
        <v>40.35</v>
      </c>
      <c r="E53" s="30">
        <v>40.799999999999997</v>
      </c>
      <c r="F53">
        <v>1428200</v>
      </c>
    </row>
    <row r="54" spans="1:6">
      <c r="A54" s="70">
        <v>41334</v>
      </c>
      <c r="B54">
        <v>39.83</v>
      </c>
      <c r="C54">
        <v>40.69</v>
      </c>
      <c r="D54">
        <v>39.46</v>
      </c>
      <c r="E54" s="30">
        <v>40.43</v>
      </c>
      <c r="F54">
        <v>1672500</v>
      </c>
    </row>
    <row r="55" spans="1:6">
      <c r="A55" s="70">
        <v>41333</v>
      </c>
      <c r="B55">
        <v>40.17</v>
      </c>
      <c r="C55">
        <v>40.619999999999997</v>
      </c>
      <c r="D55">
        <v>40.049999999999997</v>
      </c>
      <c r="E55" s="30">
        <v>40.11</v>
      </c>
      <c r="F55">
        <v>2814900</v>
      </c>
    </row>
    <row r="56" spans="1:6">
      <c r="A56" s="70">
        <v>41332</v>
      </c>
      <c r="B56">
        <v>40.01</v>
      </c>
      <c r="C56">
        <v>40.53</v>
      </c>
      <c r="D56">
        <v>39.880000000000003</v>
      </c>
      <c r="E56" s="30">
        <v>40.06</v>
      </c>
      <c r="F56">
        <v>1715200</v>
      </c>
    </row>
    <row r="57" spans="1:6">
      <c r="A57" s="70">
        <v>41331</v>
      </c>
      <c r="B57">
        <v>40.200000000000003</v>
      </c>
      <c r="C57">
        <v>40.270000000000003</v>
      </c>
      <c r="D57">
        <v>39.549999999999997</v>
      </c>
      <c r="E57" s="30">
        <v>40.03</v>
      </c>
      <c r="F57">
        <v>1904600</v>
      </c>
    </row>
    <row r="58" spans="1:6">
      <c r="A58" s="70">
        <v>41330</v>
      </c>
      <c r="B58">
        <v>40.61</v>
      </c>
      <c r="C58">
        <v>40.9</v>
      </c>
      <c r="D58">
        <v>40.06</v>
      </c>
      <c r="E58" s="30">
        <v>40.1</v>
      </c>
      <c r="F58">
        <v>1926800</v>
      </c>
    </row>
    <row r="59" spans="1:6">
      <c r="A59" s="70">
        <v>41327</v>
      </c>
      <c r="B59">
        <v>40.619999999999997</v>
      </c>
      <c r="C59">
        <v>40.74</v>
      </c>
      <c r="D59">
        <v>40.4</v>
      </c>
      <c r="E59" s="30">
        <v>40.54</v>
      </c>
      <c r="F59">
        <v>1363200</v>
      </c>
    </row>
    <row r="60" spans="1:6">
      <c r="A60" s="70">
        <v>41326</v>
      </c>
      <c r="B60">
        <v>41.09</v>
      </c>
      <c r="C60">
        <v>41.2</v>
      </c>
      <c r="D60">
        <v>40.15</v>
      </c>
      <c r="E60" s="30">
        <v>40.46</v>
      </c>
      <c r="F60">
        <v>1580100</v>
      </c>
    </row>
    <row r="61" spans="1:6">
      <c r="A61" s="70">
        <v>41325</v>
      </c>
      <c r="B61">
        <v>41.62</v>
      </c>
      <c r="C61">
        <v>42.13</v>
      </c>
      <c r="D61">
        <v>41.1</v>
      </c>
      <c r="E61" s="30">
        <v>41.11</v>
      </c>
      <c r="F61">
        <v>1591200</v>
      </c>
    </row>
    <row r="62" spans="1:6">
      <c r="A62" s="70">
        <v>41324</v>
      </c>
      <c r="B62">
        <v>41.42</v>
      </c>
      <c r="C62">
        <v>41.79</v>
      </c>
      <c r="D62">
        <v>41.2</v>
      </c>
      <c r="E62" s="30">
        <v>41.59</v>
      </c>
      <c r="F62">
        <v>1148200</v>
      </c>
    </row>
    <row r="63" spans="1:6">
      <c r="A63" s="70">
        <v>41323</v>
      </c>
      <c r="B63">
        <v>41.37</v>
      </c>
      <c r="C63">
        <v>41.37</v>
      </c>
      <c r="D63">
        <v>41.37</v>
      </c>
      <c r="E63" s="30">
        <v>41.37</v>
      </c>
      <c r="F63">
        <v>0</v>
      </c>
    </row>
    <row r="64" spans="1:6">
      <c r="A64" s="70">
        <v>41320</v>
      </c>
      <c r="B64">
        <v>41.29</v>
      </c>
      <c r="C64">
        <v>41.82</v>
      </c>
      <c r="D64">
        <v>41.27</v>
      </c>
      <c r="E64" s="30">
        <v>41.37</v>
      </c>
      <c r="F64">
        <v>1437300</v>
      </c>
    </row>
    <row r="65" spans="1:6">
      <c r="A65" s="70">
        <v>41319</v>
      </c>
      <c r="B65">
        <v>41</v>
      </c>
      <c r="C65">
        <v>41.57</v>
      </c>
      <c r="D65">
        <v>40.92</v>
      </c>
      <c r="E65" s="30">
        <v>41.46</v>
      </c>
      <c r="F65">
        <v>1182500</v>
      </c>
    </row>
    <row r="66" spans="1:6">
      <c r="A66" s="70">
        <v>41318</v>
      </c>
      <c r="B66">
        <v>41.28</v>
      </c>
      <c r="C66">
        <v>41.43</v>
      </c>
      <c r="D66">
        <v>40.97</v>
      </c>
      <c r="E66" s="30">
        <v>41.09</v>
      </c>
      <c r="F66">
        <v>1813600</v>
      </c>
    </row>
    <row r="67" spans="1:6">
      <c r="A67" s="70">
        <v>41317</v>
      </c>
      <c r="B67">
        <v>41.4</v>
      </c>
      <c r="C67">
        <v>41.59</v>
      </c>
      <c r="D67">
        <v>41.17</v>
      </c>
      <c r="E67" s="30">
        <v>41.24</v>
      </c>
      <c r="F67">
        <v>1378100</v>
      </c>
    </row>
    <row r="68" spans="1:6">
      <c r="A68" s="70">
        <v>41316</v>
      </c>
      <c r="B68">
        <v>41.8</v>
      </c>
      <c r="C68">
        <v>41.86</v>
      </c>
      <c r="D68">
        <v>40.94</v>
      </c>
      <c r="E68" s="30">
        <v>41.4</v>
      </c>
      <c r="F68">
        <v>2472600</v>
      </c>
    </row>
    <row r="69" spans="1:6">
      <c r="A69" s="70">
        <v>41313</v>
      </c>
      <c r="B69">
        <v>42</v>
      </c>
      <c r="C69">
        <v>42.46</v>
      </c>
      <c r="D69">
        <v>41.56</v>
      </c>
      <c r="E69" s="30">
        <v>41.86</v>
      </c>
      <c r="F69">
        <v>1231600</v>
      </c>
    </row>
    <row r="70" spans="1:6">
      <c r="A70" s="70">
        <v>41312</v>
      </c>
      <c r="B70">
        <v>41.6</v>
      </c>
      <c r="C70">
        <v>41.98</v>
      </c>
      <c r="D70">
        <v>41.49</v>
      </c>
      <c r="E70" s="30">
        <v>41.95</v>
      </c>
      <c r="F70">
        <v>1919200</v>
      </c>
    </row>
    <row r="71" spans="1:6">
      <c r="A71" s="70">
        <v>41311</v>
      </c>
      <c r="B71">
        <v>41.91</v>
      </c>
      <c r="C71">
        <v>42.17</v>
      </c>
      <c r="D71">
        <v>41.6</v>
      </c>
      <c r="E71" s="30">
        <v>41.85</v>
      </c>
      <c r="F71">
        <v>2420600</v>
      </c>
    </row>
    <row r="72" spans="1:6">
      <c r="A72" s="70">
        <v>41310</v>
      </c>
      <c r="B72">
        <v>41.84</v>
      </c>
      <c r="C72">
        <v>42.25</v>
      </c>
      <c r="D72">
        <v>41.59</v>
      </c>
      <c r="E72" s="30">
        <v>42.1</v>
      </c>
      <c r="F72">
        <v>1671600</v>
      </c>
    </row>
    <row r="73" spans="1:6">
      <c r="A73" s="70">
        <v>41309</v>
      </c>
      <c r="B73">
        <v>41.81</v>
      </c>
      <c r="C73">
        <v>42.21</v>
      </c>
      <c r="D73">
        <v>41.55</v>
      </c>
      <c r="E73" s="30">
        <v>41.56</v>
      </c>
      <c r="F73">
        <v>1851700</v>
      </c>
    </row>
    <row r="74" spans="1:6">
      <c r="A74" s="70">
        <v>41306</v>
      </c>
      <c r="B74">
        <v>41.97</v>
      </c>
      <c r="C74">
        <v>42.44</v>
      </c>
      <c r="D74">
        <v>41.63</v>
      </c>
      <c r="E74" s="30">
        <v>42.17</v>
      </c>
      <c r="F74">
        <v>1643200</v>
      </c>
    </row>
    <row r="75" spans="1:6">
      <c r="A75" s="70">
        <v>41305</v>
      </c>
      <c r="B75">
        <v>41.34</v>
      </c>
      <c r="C75">
        <v>41.95</v>
      </c>
      <c r="D75">
        <v>41.34</v>
      </c>
      <c r="E75" s="30">
        <v>41.55</v>
      </c>
      <c r="F75">
        <v>1523700</v>
      </c>
    </row>
    <row r="76" spans="1:6">
      <c r="A76" s="70">
        <v>41304</v>
      </c>
      <c r="B76">
        <v>41.65</v>
      </c>
      <c r="C76">
        <v>41.85</v>
      </c>
      <c r="D76">
        <v>41.22</v>
      </c>
      <c r="E76" s="30">
        <v>41.47</v>
      </c>
      <c r="F76">
        <v>2894600</v>
      </c>
    </row>
    <row r="77" spans="1:6">
      <c r="A77" s="70">
        <v>41303</v>
      </c>
      <c r="B77">
        <v>40</v>
      </c>
      <c r="C77">
        <v>41.71</v>
      </c>
      <c r="D77">
        <v>40</v>
      </c>
      <c r="E77" s="30">
        <v>41.71</v>
      </c>
      <c r="F77">
        <v>4776700</v>
      </c>
    </row>
    <row r="78" spans="1:6">
      <c r="A78" s="70">
        <v>41302</v>
      </c>
      <c r="B78">
        <v>44.8</v>
      </c>
      <c r="C78">
        <v>44.99</v>
      </c>
      <c r="D78">
        <v>44.42</v>
      </c>
      <c r="E78" s="30">
        <v>44.48</v>
      </c>
      <c r="F78">
        <v>1739200</v>
      </c>
    </row>
    <row r="79" spans="1:6">
      <c r="A79" s="70">
        <v>41299</v>
      </c>
      <c r="B79">
        <v>44.25</v>
      </c>
      <c r="C79">
        <v>44.82</v>
      </c>
      <c r="D79">
        <v>44.1</v>
      </c>
      <c r="E79" s="30">
        <v>44.5</v>
      </c>
      <c r="F79">
        <v>1062100</v>
      </c>
    </row>
    <row r="80" spans="1:6">
      <c r="A80" s="70">
        <v>41298</v>
      </c>
      <c r="B80">
        <v>43.86</v>
      </c>
      <c r="C80">
        <v>44.53</v>
      </c>
      <c r="D80">
        <v>43.85</v>
      </c>
      <c r="E80" s="30">
        <v>44.05</v>
      </c>
      <c r="F80">
        <v>993700</v>
      </c>
    </row>
    <row r="81" spans="1:6">
      <c r="A81" s="70">
        <v>41297</v>
      </c>
      <c r="B81">
        <v>43.73</v>
      </c>
      <c r="C81">
        <v>44.22</v>
      </c>
      <c r="D81">
        <v>43.54</v>
      </c>
      <c r="E81" s="30">
        <v>43.91</v>
      </c>
      <c r="F81">
        <v>1443000</v>
      </c>
    </row>
    <row r="82" spans="1:6">
      <c r="A82" s="70">
        <v>41296</v>
      </c>
      <c r="B82">
        <v>43.7</v>
      </c>
      <c r="C82">
        <v>43.83</v>
      </c>
      <c r="D82">
        <v>43.22</v>
      </c>
      <c r="E82" s="30">
        <v>43.36</v>
      </c>
      <c r="F82">
        <v>1117200</v>
      </c>
    </row>
    <row r="83" spans="1:6">
      <c r="A83" s="70">
        <v>41295</v>
      </c>
      <c r="B83">
        <v>43.81</v>
      </c>
      <c r="C83">
        <v>43.81</v>
      </c>
      <c r="D83">
        <v>43.81</v>
      </c>
      <c r="E83" s="30">
        <v>43.81</v>
      </c>
      <c r="F83">
        <v>0</v>
      </c>
    </row>
    <row r="84" spans="1:6">
      <c r="A84" s="70">
        <v>41292</v>
      </c>
      <c r="B84">
        <v>42.87</v>
      </c>
      <c r="C84">
        <v>43.82</v>
      </c>
      <c r="D84">
        <v>42.87</v>
      </c>
      <c r="E84" s="30">
        <v>43.81</v>
      </c>
      <c r="F84">
        <v>2141600</v>
      </c>
    </row>
    <row r="85" spans="1:6">
      <c r="A85" s="70">
        <v>41291</v>
      </c>
      <c r="B85">
        <v>42.82</v>
      </c>
      <c r="C85">
        <v>42.95</v>
      </c>
      <c r="D85">
        <v>42.65</v>
      </c>
      <c r="E85" s="30">
        <v>42.76</v>
      </c>
      <c r="F85">
        <v>995600</v>
      </c>
    </row>
    <row r="86" spans="1:6">
      <c r="A86" s="70">
        <v>41290</v>
      </c>
      <c r="B86">
        <v>42.61</v>
      </c>
      <c r="C86">
        <v>42.83</v>
      </c>
      <c r="D86">
        <v>42.17</v>
      </c>
      <c r="E86" s="30">
        <v>42.62</v>
      </c>
      <c r="F86">
        <v>1140500</v>
      </c>
    </row>
    <row r="87" spans="1:6">
      <c r="A87" s="70">
        <v>41289</v>
      </c>
      <c r="B87">
        <v>42.25</v>
      </c>
      <c r="C87">
        <v>42.82</v>
      </c>
      <c r="D87">
        <v>42.2</v>
      </c>
      <c r="E87" s="30">
        <v>42.65</v>
      </c>
      <c r="F87">
        <v>1545100</v>
      </c>
    </row>
    <row r="88" spans="1:6">
      <c r="A88" s="70">
        <v>41288</v>
      </c>
      <c r="B88">
        <v>42.49</v>
      </c>
      <c r="C88">
        <v>42.86</v>
      </c>
      <c r="D88">
        <v>42.28</v>
      </c>
      <c r="E88" s="30">
        <v>42.64</v>
      </c>
      <c r="F88">
        <v>957400</v>
      </c>
    </row>
    <row r="89" spans="1:6">
      <c r="A89" s="70">
        <v>41285</v>
      </c>
      <c r="B89">
        <v>42.25</v>
      </c>
      <c r="C89">
        <v>42.76</v>
      </c>
      <c r="D89">
        <v>42.13</v>
      </c>
      <c r="E89" s="30">
        <v>42.68</v>
      </c>
      <c r="F89">
        <v>1276800</v>
      </c>
    </row>
    <row r="90" spans="1:6">
      <c r="A90" s="70">
        <v>41284</v>
      </c>
      <c r="B90">
        <v>42.02</v>
      </c>
      <c r="C90">
        <v>42.41</v>
      </c>
      <c r="D90">
        <v>41.88</v>
      </c>
      <c r="E90" s="30">
        <v>42.23</v>
      </c>
      <c r="F90">
        <v>1810400</v>
      </c>
    </row>
    <row r="91" spans="1:6">
      <c r="A91" s="70">
        <v>41283</v>
      </c>
      <c r="B91">
        <v>41.05</v>
      </c>
      <c r="C91">
        <v>41.95</v>
      </c>
      <c r="D91">
        <v>41.01</v>
      </c>
      <c r="E91" s="30">
        <v>41.82</v>
      </c>
      <c r="F91">
        <v>1743400</v>
      </c>
    </row>
    <row r="92" spans="1:6">
      <c r="A92" s="70">
        <v>41282</v>
      </c>
      <c r="B92">
        <v>40.24</v>
      </c>
      <c r="C92">
        <v>41.08</v>
      </c>
      <c r="D92">
        <v>40.17</v>
      </c>
      <c r="E92" s="30">
        <v>40.92</v>
      </c>
      <c r="F92">
        <v>1186000</v>
      </c>
    </row>
    <row r="93" spans="1:6">
      <c r="A93" s="70">
        <v>41281</v>
      </c>
      <c r="B93">
        <v>40.700000000000003</v>
      </c>
      <c r="C93">
        <v>40.9</v>
      </c>
      <c r="D93">
        <v>40.28</v>
      </c>
      <c r="E93" s="30">
        <v>40.42</v>
      </c>
      <c r="F93">
        <v>916100</v>
      </c>
    </row>
    <row r="94" spans="1:6">
      <c r="A94" s="70">
        <v>41278</v>
      </c>
      <c r="B94">
        <v>40.92</v>
      </c>
      <c r="C94">
        <v>41.17</v>
      </c>
      <c r="D94">
        <v>40.72</v>
      </c>
      <c r="E94" s="30">
        <v>40.93</v>
      </c>
      <c r="F94">
        <v>818000</v>
      </c>
    </row>
    <row r="95" spans="1:6">
      <c r="A95" s="70">
        <v>41277</v>
      </c>
      <c r="B95">
        <v>41.04</v>
      </c>
      <c r="C95">
        <v>41.23</v>
      </c>
      <c r="D95">
        <v>40.68</v>
      </c>
      <c r="E95" s="30">
        <v>40.76</v>
      </c>
      <c r="F95">
        <v>976000</v>
      </c>
    </row>
    <row r="96" spans="1:6">
      <c r="A96" s="70">
        <v>41276</v>
      </c>
      <c r="B96">
        <v>40.28</v>
      </c>
      <c r="C96">
        <v>41.09</v>
      </c>
      <c r="D96">
        <v>40.21</v>
      </c>
      <c r="E96" s="30">
        <v>41.09</v>
      </c>
      <c r="F96">
        <v>2498700</v>
      </c>
    </row>
    <row r="97" spans="1:6">
      <c r="A97" s="70">
        <v>41275</v>
      </c>
      <c r="B97">
        <v>39.619999999999997</v>
      </c>
      <c r="C97">
        <v>39.619999999999997</v>
      </c>
      <c r="D97">
        <v>39.619999999999997</v>
      </c>
      <c r="E97" s="30">
        <v>39.619999999999997</v>
      </c>
      <c r="F97">
        <v>0</v>
      </c>
    </row>
    <row r="98" spans="1:6">
      <c r="A98" s="70">
        <v>41274</v>
      </c>
      <c r="B98">
        <v>39.56</v>
      </c>
      <c r="C98">
        <v>39.75</v>
      </c>
      <c r="D98">
        <v>39.31</v>
      </c>
      <c r="E98" s="30">
        <v>39.619999999999997</v>
      </c>
      <c r="F98">
        <v>1433100</v>
      </c>
    </row>
    <row r="99" spans="1:6">
      <c r="A99" s="70">
        <v>41271</v>
      </c>
      <c r="B99">
        <v>39.72</v>
      </c>
      <c r="C99">
        <v>39.880000000000003</v>
      </c>
      <c r="D99">
        <v>39.450000000000003</v>
      </c>
      <c r="E99" s="30">
        <v>39.56</v>
      </c>
      <c r="F99">
        <v>799400</v>
      </c>
    </row>
    <row r="100" spans="1:6">
      <c r="A100" s="70">
        <v>41270</v>
      </c>
      <c r="B100">
        <v>40.35</v>
      </c>
      <c r="C100">
        <v>40.39</v>
      </c>
      <c r="D100">
        <v>39.409999999999997</v>
      </c>
      <c r="E100" s="30">
        <v>39.880000000000003</v>
      </c>
      <c r="F100">
        <v>1381500</v>
      </c>
    </row>
    <row r="101" spans="1:6">
      <c r="A101" s="70">
        <v>41269</v>
      </c>
      <c r="B101">
        <v>40.74</v>
      </c>
      <c r="C101">
        <v>40.97</v>
      </c>
      <c r="D101">
        <v>40.29</v>
      </c>
      <c r="E101" s="30">
        <v>40.39</v>
      </c>
      <c r="F101">
        <v>982900</v>
      </c>
    </row>
    <row r="102" spans="1:6">
      <c r="A102" s="70">
        <v>41268</v>
      </c>
      <c r="B102">
        <v>40.869999999999997</v>
      </c>
      <c r="C102">
        <v>40.869999999999997</v>
      </c>
      <c r="D102">
        <v>40.869999999999997</v>
      </c>
      <c r="E102" s="30">
        <v>40.869999999999997</v>
      </c>
      <c r="F102">
        <v>0</v>
      </c>
    </row>
    <row r="103" spans="1:6">
      <c r="A103" s="70">
        <v>41267</v>
      </c>
      <c r="B103">
        <v>40.83</v>
      </c>
      <c r="C103">
        <v>41.04</v>
      </c>
      <c r="D103">
        <v>40.450000000000003</v>
      </c>
      <c r="E103" s="30">
        <v>40.869999999999997</v>
      </c>
      <c r="F103">
        <v>446900</v>
      </c>
    </row>
    <row r="104" spans="1:6">
      <c r="A104" s="70">
        <v>41264</v>
      </c>
      <c r="B104">
        <v>40.86</v>
      </c>
      <c r="C104">
        <v>41.1</v>
      </c>
      <c r="D104">
        <v>40.29</v>
      </c>
      <c r="E104" s="30">
        <v>40.71</v>
      </c>
      <c r="F104">
        <v>2968100</v>
      </c>
    </row>
    <row r="105" spans="1:6">
      <c r="A105" s="70">
        <v>41263</v>
      </c>
      <c r="B105">
        <v>41.98</v>
      </c>
      <c r="C105">
        <v>42.04</v>
      </c>
      <c r="D105">
        <v>41.79</v>
      </c>
      <c r="E105" s="30">
        <v>41.94</v>
      </c>
      <c r="F105">
        <v>1632100</v>
      </c>
    </row>
    <row r="106" spans="1:6">
      <c r="A106" s="70">
        <v>41262</v>
      </c>
      <c r="B106">
        <v>41.79</v>
      </c>
      <c r="C106">
        <v>42.3</v>
      </c>
      <c r="D106">
        <v>41.69</v>
      </c>
      <c r="E106" s="30">
        <v>41.91</v>
      </c>
      <c r="F106">
        <v>2858900</v>
      </c>
    </row>
    <row r="107" spans="1:6">
      <c r="A107" s="70">
        <v>41261</v>
      </c>
      <c r="B107">
        <v>41.11</v>
      </c>
      <c r="C107">
        <v>41.69</v>
      </c>
      <c r="D107">
        <v>40.82</v>
      </c>
      <c r="E107" s="30">
        <v>41.67</v>
      </c>
      <c r="F107">
        <v>2153400</v>
      </c>
    </row>
    <row r="108" spans="1:6">
      <c r="A108" s="70">
        <v>41260</v>
      </c>
      <c r="B108">
        <v>40.159999999999997</v>
      </c>
      <c r="C108">
        <v>41.1</v>
      </c>
      <c r="D108">
        <v>39.99</v>
      </c>
      <c r="E108" s="30">
        <v>41.08</v>
      </c>
      <c r="F108">
        <v>2233600</v>
      </c>
    </row>
    <row r="109" spans="1:6">
      <c r="A109" s="70">
        <v>41257</v>
      </c>
      <c r="B109">
        <v>39.729999999999997</v>
      </c>
      <c r="C109">
        <v>40.32</v>
      </c>
      <c r="D109">
        <v>39.61</v>
      </c>
      <c r="E109" s="30">
        <v>40.18</v>
      </c>
      <c r="F109">
        <v>995400</v>
      </c>
    </row>
    <row r="110" spans="1:6">
      <c r="A110" s="70">
        <v>41256</v>
      </c>
      <c r="B110">
        <v>40.68</v>
      </c>
      <c r="C110">
        <v>40.98</v>
      </c>
      <c r="D110">
        <v>39.799999999999997</v>
      </c>
      <c r="E110" s="30">
        <v>39.89</v>
      </c>
      <c r="F110">
        <v>1573100</v>
      </c>
    </row>
    <row r="111" spans="1:6">
      <c r="A111" s="70">
        <v>41255</v>
      </c>
      <c r="B111">
        <v>41.59</v>
      </c>
      <c r="C111">
        <v>41.6</v>
      </c>
      <c r="D111">
        <v>40.67</v>
      </c>
      <c r="E111" s="30">
        <v>40.799999999999997</v>
      </c>
      <c r="F111">
        <v>2112200</v>
      </c>
    </row>
    <row r="112" spans="1:6">
      <c r="A112" s="70">
        <v>41254</v>
      </c>
      <c r="B112">
        <v>41.3</v>
      </c>
      <c r="C112">
        <v>41.59</v>
      </c>
      <c r="D112">
        <v>40.950000000000003</v>
      </c>
      <c r="E112" s="30">
        <v>41.53</v>
      </c>
      <c r="F112">
        <v>1884300</v>
      </c>
    </row>
    <row r="113" spans="1:6">
      <c r="A113" s="70">
        <v>41253</v>
      </c>
      <c r="B113">
        <v>40.51</v>
      </c>
      <c r="C113">
        <v>41.42</v>
      </c>
      <c r="D113">
        <v>40.51</v>
      </c>
      <c r="E113" s="30">
        <v>41.42</v>
      </c>
      <c r="F113">
        <v>1126200</v>
      </c>
    </row>
    <row r="114" spans="1:6">
      <c r="A114" s="70">
        <v>41250</v>
      </c>
      <c r="B114">
        <v>41.01</v>
      </c>
      <c r="C114">
        <v>41.05</v>
      </c>
      <c r="D114">
        <v>40.69</v>
      </c>
      <c r="E114" s="30">
        <v>40.81</v>
      </c>
      <c r="F114">
        <v>1099200</v>
      </c>
    </row>
    <row r="115" spans="1:6">
      <c r="A115" s="70">
        <v>41249</v>
      </c>
      <c r="B115">
        <v>40.22</v>
      </c>
      <c r="C115">
        <v>40.74</v>
      </c>
      <c r="D115">
        <v>40.03</v>
      </c>
      <c r="E115" s="30">
        <v>40.729999999999997</v>
      </c>
      <c r="F115">
        <v>732200</v>
      </c>
    </row>
    <row r="116" spans="1:6">
      <c r="A116" s="70">
        <v>41248</v>
      </c>
      <c r="B116">
        <v>40.28</v>
      </c>
      <c r="C116">
        <v>40.380000000000003</v>
      </c>
      <c r="D116">
        <v>39.869999999999997</v>
      </c>
      <c r="E116" s="30">
        <v>40.200000000000003</v>
      </c>
      <c r="F116">
        <v>1217500</v>
      </c>
    </row>
    <row r="117" spans="1:6">
      <c r="A117" s="70">
        <v>41247</v>
      </c>
      <c r="B117">
        <v>40.6</v>
      </c>
      <c r="C117">
        <v>40.74</v>
      </c>
      <c r="D117">
        <v>40.22</v>
      </c>
      <c r="E117" s="30">
        <v>40.42</v>
      </c>
      <c r="F117">
        <v>937400</v>
      </c>
    </row>
    <row r="118" spans="1:6">
      <c r="A118" s="70">
        <v>41246</v>
      </c>
      <c r="B118">
        <v>41.08</v>
      </c>
      <c r="C118">
        <v>41.1</v>
      </c>
      <c r="D118">
        <v>40.54</v>
      </c>
      <c r="E118" s="30">
        <v>40.54</v>
      </c>
      <c r="F118">
        <v>861200</v>
      </c>
    </row>
    <row r="119" spans="1:6">
      <c r="A119" s="70">
        <v>41243</v>
      </c>
      <c r="B119">
        <v>40.950000000000003</v>
      </c>
      <c r="C119">
        <v>41.03</v>
      </c>
      <c r="D119">
        <v>40.72</v>
      </c>
      <c r="E119" s="30">
        <v>40.96</v>
      </c>
      <c r="F119">
        <v>1196900</v>
      </c>
    </row>
    <row r="120" spans="1:6">
      <c r="A120" s="70">
        <v>41242</v>
      </c>
      <c r="B120">
        <v>41</v>
      </c>
      <c r="C120">
        <v>41.08</v>
      </c>
      <c r="D120">
        <v>40.630000000000003</v>
      </c>
      <c r="E120" s="30">
        <v>40.880000000000003</v>
      </c>
      <c r="F120">
        <v>1101900</v>
      </c>
    </row>
    <row r="121" spans="1:6">
      <c r="A121" s="70">
        <v>41241</v>
      </c>
      <c r="B121">
        <v>40.340000000000003</v>
      </c>
      <c r="C121">
        <v>40.98</v>
      </c>
      <c r="D121">
        <v>39.93</v>
      </c>
      <c r="E121" s="30">
        <v>40.950000000000003</v>
      </c>
      <c r="F121">
        <v>1041000</v>
      </c>
    </row>
    <row r="122" spans="1:6">
      <c r="A122" s="70">
        <v>41240</v>
      </c>
      <c r="B122">
        <v>40.19</v>
      </c>
      <c r="C122">
        <v>41.36</v>
      </c>
      <c r="D122">
        <v>40.020000000000003</v>
      </c>
      <c r="E122" s="30">
        <v>40.619999999999997</v>
      </c>
      <c r="F122">
        <v>1894700</v>
      </c>
    </row>
    <row r="123" spans="1:6">
      <c r="A123" s="70">
        <v>41239</v>
      </c>
      <c r="B123">
        <v>40.090000000000003</v>
      </c>
      <c r="C123">
        <v>40.299999999999997</v>
      </c>
      <c r="D123">
        <v>39.79</v>
      </c>
      <c r="E123" s="30">
        <v>40.26</v>
      </c>
      <c r="F123">
        <v>1097800</v>
      </c>
    </row>
    <row r="124" spans="1:6">
      <c r="A124" s="70">
        <v>41236</v>
      </c>
      <c r="B124">
        <v>39.840000000000003</v>
      </c>
      <c r="C124">
        <v>40.26</v>
      </c>
      <c r="D124">
        <v>39.64</v>
      </c>
      <c r="E124" s="30">
        <v>40.19</v>
      </c>
      <c r="F124">
        <v>318800</v>
      </c>
    </row>
    <row r="125" spans="1:6">
      <c r="A125" s="70">
        <v>41235</v>
      </c>
      <c r="B125">
        <v>39.68</v>
      </c>
      <c r="C125">
        <v>39.68</v>
      </c>
      <c r="D125">
        <v>39.68</v>
      </c>
      <c r="E125" s="30">
        <v>39.68</v>
      </c>
      <c r="F125">
        <v>0</v>
      </c>
    </row>
    <row r="126" spans="1:6">
      <c r="A126" s="70">
        <v>41234</v>
      </c>
      <c r="B126">
        <v>39.53</v>
      </c>
      <c r="C126">
        <v>39.880000000000003</v>
      </c>
      <c r="D126">
        <v>39.479999999999997</v>
      </c>
      <c r="E126" s="30">
        <v>39.68</v>
      </c>
      <c r="F126">
        <v>536800</v>
      </c>
    </row>
    <row r="127" spans="1:6">
      <c r="A127" s="70">
        <v>41233</v>
      </c>
      <c r="B127">
        <v>39.58</v>
      </c>
      <c r="C127">
        <v>39.71</v>
      </c>
      <c r="D127">
        <v>39.33</v>
      </c>
      <c r="E127" s="30">
        <v>39.56</v>
      </c>
      <c r="F127">
        <v>1292700</v>
      </c>
    </row>
    <row r="128" spans="1:6">
      <c r="A128" s="70">
        <v>41232</v>
      </c>
      <c r="B128">
        <v>39.29</v>
      </c>
      <c r="C128">
        <v>39.659999999999997</v>
      </c>
      <c r="D128">
        <v>39.03</v>
      </c>
      <c r="E128" s="30">
        <v>39.590000000000003</v>
      </c>
      <c r="F128">
        <v>1018900</v>
      </c>
    </row>
    <row r="129" spans="1:6">
      <c r="A129" s="70">
        <v>41229</v>
      </c>
      <c r="B129">
        <v>38.89</v>
      </c>
      <c r="C129">
        <v>38.99</v>
      </c>
      <c r="D129">
        <v>38.04</v>
      </c>
      <c r="E129" s="30">
        <v>38.729999999999997</v>
      </c>
      <c r="F129">
        <v>1214600</v>
      </c>
    </row>
    <row r="130" spans="1:6">
      <c r="A130" s="70">
        <v>41228</v>
      </c>
      <c r="B130">
        <v>39.33</v>
      </c>
      <c r="C130">
        <v>39.47</v>
      </c>
      <c r="D130">
        <v>38.61</v>
      </c>
      <c r="E130" s="30">
        <v>39.01</v>
      </c>
      <c r="F130">
        <v>971800</v>
      </c>
    </row>
    <row r="131" spans="1:6">
      <c r="A131" s="70">
        <v>41227</v>
      </c>
      <c r="B131">
        <v>39.9</v>
      </c>
      <c r="C131">
        <v>40</v>
      </c>
      <c r="D131">
        <v>39.049999999999997</v>
      </c>
      <c r="E131" s="30">
        <v>39.26</v>
      </c>
      <c r="F131">
        <v>1222000</v>
      </c>
    </row>
    <row r="132" spans="1:6">
      <c r="A132" s="70">
        <v>41226</v>
      </c>
      <c r="B132">
        <v>39.92</v>
      </c>
      <c r="C132">
        <v>39.99</v>
      </c>
      <c r="D132">
        <v>39.54</v>
      </c>
      <c r="E132" s="30">
        <v>39.74</v>
      </c>
      <c r="F132">
        <v>805800</v>
      </c>
    </row>
    <row r="133" spans="1:6">
      <c r="A133" s="70">
        <v>41225</v>
      </c>
      <c r="B133">
        <v>40.299999999999997</v>
      </c>
      <c r="C133">
        <v>40.32</v>
      </c>
      <c r="D133">
        <v>39.729999999999997</v>
      </c>
      <c r="E133" s="30">
        <v>40.119999999999997</v>
      </c>
      <c r="F133">
        <v>642000</v>
      </c>
    </row>
    <row r="134" spans="1:6">
      <c r="A134" s="70">
        <v>41222</v>
      </c>
      <c r="B134">
        <v>39.82</v>
      </c>
      <c r="C134">
        <v>40.590000000000003</v>
      </c>
      <c r="D134">
        <v>39.82</v>
      </c>
      <c r="E134" s="30">
        <v>40.24</v>
      </c>
      <c r="F134">
        <v>972900</v>
      </c>
    </row>
    <row r="135" spans="1:6">
      <c r="A135" s="70">
        <v>41221</v>
      </c>
      <c r="B135">
        <v>40.94</v>
      </c>
      <c r="C135">
        <v>41.05</v>
      </c>
      <c r="D135">
        <v>39.96</v>
      </c>
      <c r="E135" s="30">
        <v>39.979999999999997</v>
      </c>
      <c r="F135">
        <v>1022600</v>
      </c>
    </row>
    <row r="136" spans="1:6">
      <c r="A136" s="70">
        <v>41220</v>
      </c>
      <c r="B136">
        <v>41.25</v>
      </c>
      <c r="C136">
        <v>41.34</v>
      </c>
      <c r="D136">
        <v>40.96</v>
      </c>
      <c r="E136" s="30">
        <v>41.08</v>
      </c>
      <c r="F136">
        <v>1507400</v>
      </c>
    </row>
    <row r="137" spans="1:6">
      <c r="A137" s="70">
        <v>41219</v>
      </c>
      <c r="B137">
        <v>41.21</v>
      </c>
      <c r="C137">
        <v>41.86</v>
      </c>
      <c r="D137">
        <v>41.19</v>
      </c>
      <c r="E137" s="30">
        <v>41.55</v>
      </c>
      <c r="F137">
        <v>2564300</v>
      </c>
    </row>
    <row r="138" spans="1:6">
      <c r="A138" s="70">
        <v>41218</v>
      </c>
      <c r="B138">
        <v>40.700000000000003</v>
      </c>
      <c r="C138">
        <v>41.16</v>
      </c>
      <c r="D138">
        <v>40.67</v>
      </c>
      <c r="E138" s="30">
        <v>41.06</v>
      </c>
      <c r="F138">
        <v>1298300</v>
      </c>
    </row>
    <row r="139" spans="1:6">
      <c r="A139" s="70">
        <v>41215</v>
      </c>
      <c r="B139">
        <v>41.11</v>
      </c>
      <c r="C139">
        <v>41.34</v>
      </c>
      <c r="D139">
        <v>40.97</v>
      </c>
      <c r="E139" s="30">
        <v>41.04</v>
      </c>
      <c r="F139">
        <v>1719300</v>
      </c>
    </row>
    <row r="140" spans="1:6">
      <c r="A140" s="70">
        <v>41214</v>
      </c>
      <c r="B140">
        <v>41.5</v>
      </c>
      <c r="C140">
        <v>41.72</v>
      </c>
      <c r="D140">
        <v>40.5</v>
      </c>
      <c r="E140" s="30">
        <v>40.98</v>
      </c>
      <c r="F140">
        <v>3891600</v>
      </c>
    </row>
    <row r="141" spans="1:6">
      <c r="A141" s="70">
        <v>41213</v>
      </c>
      <c r="B141">
        <v>41.02</v>
      </c>
      <c r="C141">
        <v>41.74</v>
      </c>
      <c r="D141">
        <v>40.49</v>
      </c>
      <c r="E141" s="30">
        <v>40.700000000000003</v>
      </c>
      <c r="F141">
        <v>1588900</v>
      </c>
    </row>
    <row r="142" spans="1:6">
      <c r="A142" s="70">
        <v>41212</v>
      </c>
      <c r="B142">
        <v>40.98</v>
      </c>
      <c r="C142">
        <v>40.98</v>
      </c>
      <c r="D142">
        <v>40.98</v>
      </c>
      <c r="E142" s="30">
        <v>40.98</v>
      </c>
      <c r="F142">
        <v>0</v>
      </c>
    </row>
    <row r="143" spans="1:6">
      <c r="A143" s="70">
        <v>41211</v>
      </c>
      <c r="B143">
        <v>40.98</v>
      </c>
      <c r="C143">
        <v>40.98</v>
      </c>
      <c r="D143">
        <v>40.98</v>
      </c>
      <c r="E143" s="30">
        <v>40.98</v>
      </c>
      <c r="F143">
        <v>0</v>
      </c>
    </row>
    <row r="144" spans="1:6">
      <c r="A144" s="70">
        <v>41208</v>
      </c>
      <c r="B144">
        <v>41.02</v>
      </c>
      <c r="C144">
        <v>41.58</v>
      </c>
      <c r="D144">
        <v>40.71</v>
      </c>
      <c r="E144" s="30">
        <v>40.98</v>
      </c>
      <c r="F144">
        <v>884200</v>
      </c>
    </row>
    <row r="145" spans="1:6">
      <c r="A145" s="70">
        <v>41207</v>
      </c>
      <c r="B145">
        <v>41.54</v>
      </c>
      <c r="C145">
        <v>41.74</v>
      </c>
      <c r="D145">
        <v>41.16</v>
      </c>
      <c r="E145" s="30">
        <v>41.47</v>
      </c>
      <c r="F145">
        <v>647800</v>
      </c>
    </row>
    <row r="146" spans="1:6">
      <c r="A146" s="70">
        <v>41206</v>
      </c>
      <c r="B146">
        <v>41.5</v>
      </c>
      <c r="C146">
        <v>41.76</v>
      </c>
      <c r="D146">
        <v>41.03</v>
      </c>
      <c r="E146" s="30">
        <v>41.38</v>
      </c>
      <c r="F146">
        <v>1233600</v>
      </c>
    </row>
    <row r="147" spans="1:6">
      <c r="A147" s="70">
        <v>41205</v>
      </c>
      <c r="B147">
        <v>40.770000000000003</v>
      </c>
      <c r="C147">
        <v>41.63</v>
      </c>
      <c r="D147">
        <v>40.35</v>
      </c>
      <c r="E147" s="30">
        <v>41.53</v>
      </c>
      <c r="F147">
        <v>1707300</v>
      </c>
    </row>
    <row r="148" spans="1:6">
      <c r="A148" s="70">
        <v>41204</v>
      </c>
      <c r="B148">
        <v>41.89</v>
      </c>
      <c r="C148">
        <v>41.89</v>
      </c>
      <c r="D148">
        <v>40.49</v>
      </c>
      <c r="E148" s="30">
        <v>41.02</v>
      </c>
      <c r="F148">
        <v>2081800</v>
      </c>
    </row>
    <row r="149" spans="1:6">
      <c r="A149" s="70">
        <v>41201</v>
      </c>
      <c r="B149">
        <v>41.12</v>
      </c>
      <c r="C149">
        <v>41.27</v>
      </c>
      <c r="D149">
        <v>40.24</v>
      </c>
      <c r="E149" s="30">
        <v>40.340000000000003</v>
      </c>
      <c r="F149">
        <v>1029700</v>
      </c>
    </row>
    <row r="150" spans="1:6">
      <c r="A150" s="70">
        <v>41200</v>
      </c>
      <c r="B150">
        <v>41.19</v>
      </c>
      <c r="C150">
        <v>41.46</v>
      </c>
      <c r="D150">
        <v>40.89</v>
      </c>
      <c r="E150" s="30">
        <v>41.1</v>
      </c>
      <c r="F150">
        <v>1115600</v>
      </c>
    </row>
    <row r="151" spans="1:6">
      <c r="A151" s="70">
        <v>41199</v>
      </c>
      <c r="B151">
        <v>41.59</v>
      </c>
      <c r="C151">
        <v>41.74</v>
      </c>
      <c r="D151">
        <v>41.05</v>
      </c>
      <c r="E151" s="30">
        <v>41.13</v>
      </c>
      <c r="F151">
        <v>1319000</v>
      </c>
    </row>
    <row r="152" spans="1:6">
      <c r="A152" s="70">
        <v>41198</v>
      </c>
      <c r="B152">
        <v>41.44</v>
      </c>
      <c r="C152">
        <v>42.17</v>
      </c>
      <c r="D152">
        <v>41.23</v>
      </c>
      <c r="E152" s="30">
        <v>42.02</v>
      </c>
      <c r="F152">
        <v>1311300</v>
      </c>
    </row>
    <row r="153" spans="1:6">
      <c r="A153" s="70">
        <v>41197</v>
      </c>
      <c r="B153">
        <v>42</v>
      </c>
      <c r="C153">
        <v>42.2</v>
      </c>
      <c r="D153">
        <v>41.14</v>
      </c>
      <c r="E153" s="30">
        <v>41.49</v>
      </c>
      <c r="F153">
        <v>1611200</v>
      </c>
    </row>
    <row r="154" spans="1:6">
      <c r="A154" s="70">
        <v>41194</v>
      </c>
      <c r="B154">
        <v>42.51</v>
      </c>
      <c r="C154">
        <v>42.78</v>
      </c>
      <c r="D154">
        <v>42.31</v>
      </c>
      <c r="E154" s="30">
        <v>42.55</v>
      </c>
      <c r="F154">
        <v>837300</v>
      </c>
    </row>
    <row r="155" spans="1:6">
      <c r="A155" s="70">
        <v>41193</v>
      </c>
      <c r="B155">
        <v>42.15</v>
      </c>
      <c r="C155">
        <v>42.52</v>
      </c>
      <c r="D155">
        <v>41.94</v>
      </c>
      <c r="E155" s="30">
        <v>42.43</v>
      </c>
      <c r="F155">
        <v>1319100</v>
      </c>
    </row>
    <row r="156" spans="1:6">
      <c r="A156" s="70">
        <v>41192</v>
      </c>
      <c r="B156">
        <v>42.46</v>
      </c>
      <c r="C156">
        <v>42.58</v>
      </c>
      <c r="D156">
        <v>41.91</v>
      </c>
      <c r="E156" s="30">
        <v>41.96</v>
      </c>
      <c r="F156">
        <v>1936500</v>
      </c>
    </row>
    <row r="157" spans="1:6">
      <c r="A157" s="70">
        <v>41191</v>
      </c>
      <c r="B157">
        <v>43.17</v>
      </c>
      <c r="C157">
        <v>43.24</v>
      </c>
      <c r="D157">
        <v>42.22</v>
      </c>
      <c r="E157" s="30">
        <v>42.45</v>
      </c>
      <c r="F157">
        <v>1101300</v>
      </c>
    </row>
    <row r="158" spans="1:6">
      <c r="A158" s="70">
        <v>41190</v>
      </c>
      <c r="B158">
        <v>43.19</v>
      </c>
      <c r="C158">
        <v>43.54</v>
      </c>
      <c r="D158">
        <v>43.05</v>
      </c>
      <c r="E158" s="30">
        <v>43.28</v>
      </c>
      <c r="F158">
        <v>712200</v>
      </c>
    </row>
    <row r="159" spans="1:6">
      <c r="A159" s="70">
        <v>41187</v>
      </c>
      <c r="B159">
        <v>43.67</v>
      </c>
      <c r="C159">
        <v>43.79</v>
      </c>
      <c r="D159">
        <v>43.2</v>
      </c>
      <c r="E159" s="30">
        <v>43.34</v>
      </c>
      <c r="F159">
        <v>1280300</v>
      </c>
    </row>
    <row r="160" spans="1:6">
      <c r="A160" s="70">
        <v>41186</v>
      </c>
      <c r="B160">
        <v>43.41</v>
      </c>
      <c r="C160">
        <v>43.62</v>
      </c>
      <c r="D160">
        <v>42.9</v>
      </c>
      <c r="E160" s="30">
        <v>43.39</v>
      </c>
      <c r="F160">
        <v>1049700</v>
      </c>
    </row>
    <row r="161" spans="1:6">
      <c r="A161" s="70">
        <v>41185</v>
      </c>
      <c r="B161">
        <v>43.45</v>
      </c>
      <c r="C161">
        <v>43.81</v>
      </c>
      <c r="D161">
        <v>42.97</v>
      </c>
      <c r="E161" s="30">
        <v>43.34</v>
      </c>
      <c r="F161">
        <v>1345100</v>
      </c>
    </row>
    <row r="162" spans="1:6">
      <c r="A162" s="70">
        <v>41184</v>
      </c>
      <c r="B162">
        <v>43</v>
      </c>
      <c r="C162">
        <v>44.06</v>
      </c>
      <c r="D162">
        <v>42.95</v>
      </c>
      <c r="E162" s="30">
        <v>43.48</v>
      </c>
      <c r="F162">
        <v>2710800</v>
      </c>
    </row>
    <row r="163" spans="1:6">
      <c r="A163" s="70">
        <v>41183</v>
      </c>
      <c r="B163">
        <v>41.88</v>
      </c>
      <c r="C163">
        <v>45</v>
      </c>
      <c r="D163">
        <v>41.22</v>
      </c>
      <c r="E163" s="30">
        <v>42.85</v>
      </c>
      <c r="F163">
        <v>6330500</v>
      </c>
    </row>
    <row r="164" spans="1:6">
      <c r="A164" s="70">
        <v>41180</v>
      </c>
      <c r="B164">
        <v>41.43</v>
      </c>
      <c r="C164">
        <v>41.75</v>
      </c>
      <c r="D164">
        <v>41.18</v>
      </c>
      <c r="E164" s="30">
        <v>41.49</v>
      </c>
      <c r="F164">
        <v>751200</v>
      </c>
    </row>
    <row r="165" spans="1:6">
      <c r="A165" s="70">
        <v>41179</v>
      </c>
      <c r="B165">
        <v>41.53</v>
      </c>
      <c r="C165">
        <v>41.86</v>
      </c>
      <c r="D165">
        <v>41.1</v>
      </c>
      <c r="E165" s="30">
        <v>41.67</v>
      </c>
      <c r="F165">
        <v>1022700</v>
      </c>
    </row>
    <row r="166" spans="1:6">
      <c r="A166" s="70">
        <v>41178</v>
      </c>
      <c r="B166">
        <v>41.91</v>
      </c>
      <c r="C166">
        <v>41.92</v>
      </c>
      <c r="D166">
        <v>41.26</v>
      </c>
      <c r="E166" s="30">
        <v>41.33</v>
      </c>
      <c r="F166">
        <v>1287500</v>
      </c>
    </row>
    <row r="167" spans="1:6">
      <c r="A167" s="70">
        <v>41177</v>
      </c>
      <c r="B167">
        <v>42.73</v>
      </c>
      <c r="C167">
        <v>42.87</v>
      </c>
      <c r="D167">
        <v>41.78</v>
      </c>
      <c r="E167" s="30">
        <v>41.85</v>
      </c>
      <c r="F167">
        <v>1204400</v>
      </c>
    </row>
    <row r="168" spans="1:6">
      <c r="A168" s="70">
        <v>41176</v>
      </c>
      <c r="B168">
        <v>42.51</v>
      </c>
      <c r="C168">
        <v>42.99</v>
      </c>
      <c r="D168">
        <v>42.38</v>
      </c>
      <c r="E168" s="30">
        <v>42.68</v>
      </c>
      <c r="F168">
        <v>862200</v>
      </c>
    </row>
    <row r="169" spans="1:6">
      <c r="A169" s="70">
        <v>41173</v>
      </c>
      <c r="B169">
        <v>42.83</v>
      </c>
      <c r="C169">
        <v>43.09</v>
      </c>
      <c r="D169">
        <v>42.51</v>
      </c>
      <c r="E169" s="30">
        <v>42.79</v>
      </c>
      <c r="F169">
        <v>3561100</v>
      </c>
    </row>
    <row r="170" spans="1:6">
      <c r="A170" s="70">
        <v>41172</v>
      </c>
      <c r="B170">
        <v>42.71</v>
      </c>
      <c r="C170">
        <v>43</v>
      </c>
      <c r="D170">
        <v>42.65</v>
      </c>
      <c r="E170" s="30">
        <v>42.83</v>
      </c>
      <c r="F170">
        <v>671700</v>
      </c>
    </row>
    <row r="171" spans="1:6">
      <c r="A171" s="70">
        <v>41171</v>
      </c>
      <c r="B171">
        <v>43</v>
      </c>
      <c r="C171">
        <v>43.48</v>
      </c>
      <c r="D171">
        <v>42.85</v>
      </c>
      <c r="E171" s="30">
        <v>42.94</v>
      </c>
      <c r="F171">
        <v>737300</v>
      </c>
    </row>
    <row r="172" spans="1:6">
      <c r="A172" s="70">
        <v>41170</v>
      </c>
      <c r="B172">
        <v>43.6</v>
      </c>
      <c r="C172">
        <v>44.2</v>
      </c>
      <c r="D172">
        <v>42.99</v>
      </c>
      <c r="E172" s="30">
        <v>43.09</v>
      </c>
      <c r="F172">
        <v>1080200</v>
      </c>
    </row>
    <row r="173" spans="1:6">
      <c r="A173" s="70">
        <v>41169</v>
      </c>
      <c r="B173">
        <v>43.2</v>
      </c>
      <c r="C173">
        <v>43.25</v>
      </c>
      <c r="D173">
        <v>42.71</v>
      </c>
      <c r="E173" s="30">
        <v>42.99</v>
      </c>
      <c r="F173">
        <v>769600</v>
      </c>
    </row>
    <row r="174" spans="1:6">
      <c r="A174" s="70">
        <v>41166</v>
      </c>
      <c r="B174">
        <v>42.95</v>
      </c>
      <c r="C174">
        <v>43.42</v>
      </c>
      <c r="D174">
        <v>42.76</v>
      </c>
      <c r="E174" s="30">
        <v>43.09</v>
      </c>
      <c r="F174">
        <v>920600</v>
      </c>
    </row>
    <row r="175" spans="1:6">
      <c r="A175" s="70">
        <v>41165</v>
      </c>
      <c r="B175">
        <v>42.7</v>
      </c>
      <c r="C175">
        <v>43.24</v>
      </c>
      <c r="D175">
        <v>42.37</v>
      </c>
      <c r="E175" s="30">
        <v>42.96</v>
      </c>
      <c r="F175">
        <v>785600</v>
      </c>
    </row>
    <row r="176" spans="1:6">
      <c r="A176" s="70">
        <v>41164</v>
      </c>
      <c r="B176">
        <v>42.81</v>
      </c>
      <c r="C176">
        <v>42.95</v>
      </c>
      <c r="D176">
        <v>42.49</v>
      </c>
      <c r="E176" s="30">
        <v>42.67</v>
      </c>
      <c r="F176">
        <v>769900</v>
      </c>
    </row>
    <row r="177" spans="1:6">
      <c r="A177" s="70">
        <v>41163</v>
      </c>
      <c r="B177">
        <v>42.59</v>
      </c>
      <c r="C177">
        <v>43</v>
      </c>
      <c r="D177">
        <v>42.07</v>
      </c>
      <c r="E177" s="30">
        <v>42.76</v>
      </c>
      <c r="F177">
        <v>896400</v>
      </c>
    </row>
    <row r="178" spans="1:6">
      <c r="A178" s="70">
        <v>41162</v>
      </c>
      <c r="B178">
        <v>43.08</v>
      </c>
      <c r="C178">
        <v>43.16</v>
      </c>
      <c r="D178">
        <v>42.52</v>
      </c>
      <c r="E178" s="30">
        <v>42.7</v>
      </c>
      <c r="F178">
        <v>1323600</v>
      </c>
    </row>
    <row r="179" spans="1:6">
      <c r="A179" s="70">
        <v>41159</v>
      </c>
      <c r="B179">
        <v>43.34</v>
      </c>
      <c r="C179">
        <v>43.48</v>
      </c>
      <c r="D179">
        <v>43.11</v>
      </c>
      <c r="E179" s="30">
        <v>43.33</v>
      </c>
      <c r="F179">
        <v>856800</v>
      </c>
    </row>
    <row r="180" spans="1:6">
      <c r="A180" s="70">
        <v>41158</v>
      </c>
      <c r="B180">
        <v>42.36</v>
      </c>
      <c r="C180">
        <v>43.61</v>
      </c>
      <c r="D180">
        <v>42.29</v>
      </c>
      <c r="E180" s="30">
        <v>43.49</v>
      </c>
      <c r="F180">
        <v>1710200</v>
      </c>
    </row>
    <row r="181" spans="1:6">
      <c r="A181" s="70">
        <v>41157</v>
      </c>
      <c r="B181">
        <v>41.86</v>
      </c>
      <c r="C181">
        <v>42.24</v>
      </c>
      <c r="D181">
        <v>41.74</v>
      </c>
      <c r="E181" s="30">
        <v>42.18</v>
      </c>
      <c r="F181">
        <v>1323100</v>
      </c>
    </row>
    <row r="182" spans="1:6">
      <c r="A182" s="70">
        <v>41156</v>
      </c>
      <c r="B182">
        <v>41.43</v>
      </c>
      <c r="C182">
        <v>42.13</v>
      </c>
      <c r="D182">
        <v>41.31</v>
      </c>
      <c r="E182" s="30">
        <v>42</v>
      </c>
      <c r="F182">
        <v>1093100</v>
      </c>
    </row>
    <row r="183" spans="1:6">
      <c r="A183" s="70">
        <v>41155</v>
      </c>
      <c r="B183">
        <v>41.4</v>
      </c>
      <c r="C183">
        <v>41.4</v>
      </c>
      <c r="D183">
        <v>41.4</v>
      </c>
      <c r="E183" s="30">
        <v>41.4</v>
      </c>
      <c r="F183">
        <v>0</v>
      </c>
    </row>
    <row r="184" spans="1:6">
      <c r="A184" s="70">
        <v>41152</v>
      </c>
      <c r="B184">
        <v>41.46</v>
      </c>
      <c r="C184">
        <v>41.82</v>
      </c>
      <c r="D184">
        <v>41.07</v>
      </c>
      <c r="E184" s="30">
        <v>41.4</v>
      </c>
      <c r="F184">
        <v>1066600</v>
      </c>
    </row>
    <row r="185" spans="1:6">
      <c r="A185" s="70">
        <v>41151</v>
      </c>
      <c r="B185">
        <v>41.57</v>
      </c>
      <c r="C185">
        <v>41.6</v>
      </c>
      <c r="D185">
        <v>40.98</v>
      </c>
      <c r="E185" s="30">
        <v>41.09</v>
      </c>
      <c r="F185">
        <v>780100</v>
      </c>
    </row>
    <row r="186" spans="1:6">
      <c r="A186" s="70">
        <v>41150</v>
      </c>
      <c r="B186">
        <v>41.54</v>
      </c>
      <c r="C186">
        <v>41.82</v>
      </c>
      <c r="D186">
        <v>41.44</v>
      </c>
      <c r="E186" s="30">
        <v>41.75</v>
      </c>
      <c r="F186">
        <v>815200</v>
      </c>
    </row>
    <row r="187" spans="1:6">
      <c r="A187" s="70">
        <v>41149</v>
      </c>
      <c r="B187">
        <v>41.58</v>
      </c>
      <c r="C187">
        <v>41.94</v>
      </c>
      <c r="D187">
        <v>41.36</v>
      </c>
      <c r="E187" s="30">
        <v>41.68</v>
      </c>
      <c r="F187">
        <v>980000</v>
      </c>
    </row>
    <row r="188" spans="1:6">
      <c r="A188" s="70">
        <v>41148</v>
      </c>
      <c r="B188">
        <v>42.2</v>
      </c>
      <c r="C188">
        <v>42.22</v>
      </c>
      <c r="D188">
        <v>41.48</v>
      </c>
      <c r="E188" s="30">
        <v>41.54</v>
      </c>
      <c r="F188">
        <v>1056700</v>
      </c>
    </row>
    <row r="189" spans="1:6">
      <c r="A189" s="70">
        <v>41145</v>
      </c>
      <c r="B189">
        <v>41.86</v>
      </c>
      <c r="C189">
        <v>42.51</v>
      </c>
      <c r="D189">
        <v>41.81</v>
      </c>
      <c r="E189" s="30">
        <v>42.14</v>
      </c>
      <c r="F189">
        <v>1097900</v>
      </c>
    </row>
    <row r="190" spans="1:6">
      <c r="A190" s="70">
        <v>41144</v>
      </c>
      <c r="B190">
        <v>41.99</v>
      </c>
      <c r="C190">
        <v>42.35</v>
      </c>
      <c r="D190">
        <v>41.82</v>
      </c>
      <c r="E190" s="30">
        <v>42.04</v>
      </c>
      <c r="F190">
        <v>909300</v>
      </c>
    </row>
    <row r="191" spans="1:6">
      <c r="A191" s="70">
        <v>41143</v>
      </c>
      <c r="B191">
        <v>42.27</v>
      </c>
      <c r="C191">
        <v>42.42</v>
      </c>
      <c r="D191">
        <v>42.05</v>
      </c>
      <c r="E191" s="30">
        <v>42.17</v>
      </c>
      <c r="F191">
        <v>1272600</v>
      </c>
    </row>
    <row r="192" spans="1:6">
      <c r="A192" s="70">
        <v>41142</v>
      </c>
      <c r="B192">
        <v>42.26</v>
      </c>
      <c r="C192">
        <v>42.59</v>
      </c>
      <c r="D192">
        <v>42.14</v>
      </c>
      <c r="E192" s="30">
        <v>42.28</v>
      </c>
      <c r="F192">
        <v>1156900</v>
      </c>
    </row>
    <row r="193" spans="1:6">
      <c r="A193" s="70">
        <v>41141</v>
      </c>
      <c r="B193">
        <v>42.8</v>
      </c>
      <c r="C193">
        <v>42.8</v>
      </c>
      <c r="D193">
        <v>42.15</v>
      </c>
      <c r="E193" s="30">
        <v>42.24</v>
      </c>
      <c r="F193">
        <v>1209100</v>
      </c>
    </row>
    <row r="194" spans="1:6">
      <c r="A194" s="70">
        <v>41138</v>
      </c>
      <c r="B194">
        <v>42.48</v>
      </c>
      <c r="C194">
        <v>42.8</v>
      </c>
      <c r="D194">
        <v>41.89</v>
      </c>
      <c r="E194" s="30">
        <v>42.66</v>
      </c>
      <c r="F194">
        <v>1534100</v>
      </c>
    </row>
    <row r="195" spans="1:6">
      <c r="A195" s="70">
        <v>41137</v>
      </c>
      <c r="B195">
        <v>41.5</v>
      </c>
      <c r="C195">
        <v>42.43</v>
      </c>
      <c r="D195">
        <v>41.43</v>
      </c>
      <c r="E195" s="30">
        <v>42.4</v>
      </c>
      <c r="F195">
        <v>1482700</v>
      </c>
    </row>
    <row r="196" spans="1:6">
      <c r="A196" s="70">
        <v>41136</v>
      </c>
      <c r="B196">
        <v>40.99</v>
      </c>
      <c r="C196">
        <v>41.51</v>
      </c>
      <c r="D196">
        <v>40.85</v>
      </c>
      <c r="E196" s="30">
        <v>41.4</v>
      </c>
      <c r="F196">
        <v>609600</v>
      </c>
    </row>
    <row r="197" spans="1:6">
      <c r="A197" s="70">
        <v>41135</v>
      </c>
      <c r="B197">
        <v>41.11</v>
      </c>
      <c r="C197">
        <v>41.65</v>
      </c>
      <c r="D197">
        <v>40.94</v>
      </c>
      <c r="E197" s="30">
        <v>41.05</v>
      </c>
      <c r="F197">
        <v>1387400</v>
      </c>
    </row>
    <row r="198" spans="1:6">
      <c r="A198" s="70">
        <v>41134</v>
      </c>
      <c r="B198">
        <v>41.13</v>
      </c>
      <c r="C198">
        <v>41.33</v>
      </c>
      <c r="D198">
        <v>40.9</v>
      </c>
      <c r="E198" s="30">
        <v>41.01</v>
      </c>
      <c r="F198">
        <v>1147800</v>
      </c>
    </row>
    <row r="199" spans="1:6">
      <c r="A199" s="70">
        <v>41131</v>
      </c>
      <c r="B199">
        <v>40.93</v>
      </c>
      <c r="C199">
        <v>41.29</v>
      </c>
      <c r="D199">
        <v>40.9</v>
      </c>
      <c r="E199" s="30">
        <v>41.25</v>
      </c>
      <c r="F199">
        <v>843700</v>
      </c>
    </row>
    <row r="200" spans="1:6">
      <c r="A200" s="70">
        <v>41130</v>
      </c>
      <c r="B200">
        <v>40.71</v>
      </c>
      <c r="C200">
        <v>41.4</v>
      </c>
      <c r="D200">
        <v>40.68</v>
      </c>
      <c r="E200" s="30">
        <v>41</v>
      </c>
      <c r="F200">
        <v>1527000</v>
      </c>
    </row>
    <row r="201" spans="1:6">
      <c r="A201" s="70">
        <v>41129</v>
      </c>
      <c r="B201">
        <v>40.590000000000003</v>
      </c>
      <c r="C201">
        <v>41.23</v>
      </c>
      <c r="D201">
        <v>40.5</v>
      </c>
      <c r="E201" s="30">
        <v>40.93</v>
      </c>
      <c r="F201">
        <v>2104600</v>
      </c>
    </row>
    <row r="202" spans="1:6">
      <c r="A202" s="70">
        <v>41128</v>
      </c>
      <c r="B202">
        <v>40.340000000000003</v>
      </c>
      <c r="C202">
        <v>41.07</v>
      </c>
      <c r="D202">
        <v>40.32</v>
      </c>
      <c r="E202" s="30">
        <v>40.76</v>
      </c>
      <c r="F202">
        <v>2185300</v>
      </c>
    </row>
    <row r="203" spans="1:6">
      <c r="A203" s="70">
        <v>41127</v>
      </c>
      <c r="B203">
        <v>39.35</v>
      </c>
      <c r="C203">
        <v>40.72</v>
      </c>
      <c r="D203">
        <v>39.25</v>
      </c>
      <c r="E203" s="30">
        <v>40.340000000000003</v>
      </c>
      <c r="F203">
        <v>2203300</v>
      </c>
    </row>
    <row r="204" spans="1:6">
      <c r="A204" s="70">
        <v>41124</v>
      </c>
      <c r="B204">
        <v>38.26</v>
      </c>
      <c r="C204">
        <v>39.36</v>
      </c>
      <c r="D204">
        <v>38.08</v>
      </c>
      <c r="E204" s="30">
        <v>39.130000000000003</v>
      </c>
      <c r="F204">
        <v>2363800</v>
      </c>
    </row>
    <row r="205" spans="1:6">
      <c r="A205" s="70">
        <v>41123</v>
      </c>
      <c r="B205">
        <v>36.869999999999997</v>
      </c>
      <c r="C205">
        <v>37.86</v>
      </c>
      <c r="D205">
        <v>36.61</v>
      </c>
      <c r="E205" s="30">
        <v>37.81</v>
      </c>
      <c r="F205">
        <v>1965800</v>
      </c>
    </row>
    <row r="206" spans="1:6">
      <c r="A206" s="70">
        <v>41122</v>
      </c>
      <c r="B206">
        <v>36.92</v>
      </c>
      <c r="C206">
        <v>37.96</v>
      </c>
      <c r="D206">
        <v>35.479999999999997</v>
      </c>
      <c r="E206" s="30">
        <v>37.51</v>
      </c>
      <c r="F206">
        <v>4906500</v>
      </c>
    </row>
    <row r="207" spans="1:6">
      <c r="A207" s="70">
        <v>41121</v>
      </c>
      <c r="B207">
        <v>39.770000000000003</v>
      </c>
      <c r="C207">
        <v>39.99</v>
      </c>
      <c r="D207">
        <v>39.17</v>
      </c>
      <c r="E207" s="30">
        <v>39.6</v>
      </c>
      <c r="F207">
        <v>2479700</v>
      </c>
    </row>
    <row r="208" spans="1:6">
      <c r="A208" s="70">
        <v>41120</v>
      </c>
      <c r="B208">
        <v>39.93</v>
      </c>
      <c r="C208">
        <v>40.479999999999997</v>
      </c>
      <c r="D208">
        <v>39.29</v>
      </c>
      <c r="E208" s="30">
        <v>39.520000000000003</v>
      </c>
      <c r="F208">
        <v>1893200</v>
      </c>
    </row>
    <row r="209" spans="1:6">
      <c r="A209" s="70">
        <v>41117</v>
      </c>
      <c r="B209">
        <v>40</v>
      </c>
      <c r="C209">
        <v>40.11</v>
      </c>
      <c r="D209">
        <v>39.18</v>
      </c>
      <c r="E209" s="30">
        <v>39.76</v>
      </c>
      <c r="F209">
        <v>1922400</v>
      </c>
    </row>
    <row r="210" spans="1:6">
      <c r="A210" s="70">
        <v>41116</v>
      </c>
      <c r="B210">
        <v>39.840000000000003</v>
      </c>
      <c r="C210">
        <v>40.42</v>
      </c>
      <c r="D210">
        <v>39.4</v>
      </c>
      <c r="E210" s="30">
        <v>39.92</v>
      </c>
      <c r="F210">
        <v>1069200</v>
      </c>
    </row>
    <row r="211" spans="1:6">
      <c r="A211" s="70">
        <v>41115</v>
      </c>
      <c r="B211">
        <v>38.71</v>
      </c>
      <c r="C211">
        <v>39.43</v>
      </c>
      <c r="D211">
        <v>38.58</v>
      </c>
      <c r="E211" s="30">
        <v>39.130000000000003</v>
      </c>
      <c r="F211">
        <v>1218100</v>
      </c>
    </row>
    <row r="212" spans="1:6">
      <c r="A212" s="70">
        <v>41114</v>
      </c>
      <c r="B212">
        <v>39.31</v>
      </c>
      <c r="C212">
        <v>39.44</v>
      </c>
      <c r="D212">
        <v>38.520000000000003</v>
      </c>
      <c r="E212" s="30">
        <v>38.75</v>
      </c>
      <c r="F212">
        <v>1632900</v>
      </c>
    </row>
    <row r="213" spans="1:6">
      <c r="A213" s="70">
        <v>41113</v>
      </c>
      <c r="B213">
        <v>39.64</v>
      </c>
      <c r="C213">
        <v>39.72</v>
      </c>
      <c r="D213">
        <v>38.56</v>
      </c>
      <c r="E213" s="30">
        <v>39.299999999999997</v>
      </c>
      <c r="F213">
        <v>1595300</v>
      </c>
    </row>
    <row r="214" spans="1:6">
      <c r="A214" s="70">
        <v>41110</v>
      </c>
      <c r="B214">
        <v>40.880000000000003</v>
      </c>
      <c r="C214">
        <v>40.880000000000003</v>
      </c>
      <c r="D214">
        <v>40.229999999999997</v>
      </c>
      <c r="E214" s="30">
        <v>40.42</v>
      </c>
      <c r="F214">
        <v>1012800</v>
      </c>
    </row>
    <row r="215" spans="1:6">
      <c r="A215" s="70">
        <v>41109</v>
      </c>
      <c r="B215">
        <v>40.659999999999997</v>
      </c>
      <c r="C215">
        <v>41.27</v>
      </c>
      <c r="D215">
        <v>40.54</v>
      </c>
      <c r="E215" s="30">
        <v>40.83</v>
      </c>
      <c r="F215">
        <v>1302100</v>
      </c>
    </row>
    <row r="216" spans="1:6">
      <c r="A216" s="70">
        <v>41108</v>
      </c>
      <c r="B216">
        <v>39.17</v>
      </c>
      <c r="C216">
        <v>40.94</v>
      </c>
      <c r="D216">
        <v>39.090000000000003</v>
      </c>
      <c r="E216" s="30">
        <v>40.6</v>
      </c>
      <c r="F216">
        <v>1112200</v>
      </c>
    </row>
    <row r="217" spans="1:6">
      <c r="A217" s="70">
        <v>41107</v>
      </c>
      <c r="B217">
        <v>39.47</v>
      </c>
      <c r="C217">
        <v>39.619999999999997</v>
      </c>
      <c r="D217">
        <v>38.85</v>
      </c>
      <c r="E217" s="30">
        <v>39.51</v>
      </c>
      <c r="F217">
        <v>717200</v>
      </c>
    </row>
    <row r="218" spans="1:6">
      <c r="A218" s="70">
        <v>41106</v>
      </c>
      <c r="B218">
        <v>39.29</v>
      </c>
      <c r="C218">
        <v>39.479999999999997</v>
      </c>
      <c r="D218">
        <v>38.86</v>
      </c>
      <c r="E218" s="30">
        <v>39.32</v>
      </c>
      <c r="F218">
        <v>1218100</v>
      </c>
    </row>
    <row r="219" spans="1:6">
      <c r="A219" s="70">
        <v>41103</v>
      </c>
      <c r="B219">
        <v>39.020000000000003</v>
      </c>
      <c r="C219">
        <v>39.61</v>
      </c>
      <c r="D219">
        <v>38.94</v>
      </c>
      <c r="E219" s="30">
        <v>39.53</v>
      </c>
      <c r="F219">
        <v>1245300</v>
      </c>
    </row>
    <row r="220" spans="1:6">
      <c r="A220" s="70">
        <v>41102</v>
      </c>
      <c r="B220">
        <v>39.15</v>
      </c>
      <c r="C220">
        <v>39.33</v>
      </c>
      <c r="D220">
        <v>38.76</v>
      </c>
      <c r="E220" s="30">
        <v>39.07</v>
      </c>
      <c r="F220">
        <v>1199600</v>
      </c>
    </row>
    <row r="221" spans="1:6">
      <c r="A221" s="70">
        <v>41101</v>
      </c>
      <c r="B221">
        <v>39.64</v>
      </c>
      <c r="C221">
        <v>40.1</v>
      </c>
      <c r="D221">
        <v>39.21</v>
      </c>
      <c r="E221" s="30">
        <v>39.450000000000003</v>
      </c>
      <c r="F221">
        <v>1108700</v>
      </c>
    </row>
    <row r="222" spans="1:6">
      <c r="A222" s="70">
        <v>41100</v>
      </c>
      <c r="B222">
        <v>40.340000000000003</v>
      </c>
      <c r="C222">
        <v>40.6</v>
      </c>
      <c r="D222">
        <v>39.44</v>
      </c>
      <c r="E222" s="30">
        <v>39.64</v>
      </c>
      <c r="F222">
        <v>1340900</v>
      </c>
    </row>
    <row r="223" spans="1:6">
      <c r="A223" s="70">
        <v>41099</v>
      </c>
      <c r="B223">
        <v>40.47</v>
      </c>
      <c r="C223">
        <v>40.61</v>
      </c>
      <c r="D223">
        <v>39.82</v>
      </c>
      <c r="E223" s="30">
        <v>40.18</v>
      </c>
      <c r="F223">
        <v>1689500</v>
      </c>
    </row>
    <row r="224" spans="1:6">
      <c r="A224" s="70">
        <v>41096</v>
      </c>
      <c r="B224">
        <v>41.92</v>
      </c>
      <c r="C224">
        <v>42.12</v>
      </c>
      <c r="D224">
        <v>40.33</v>
      </c>
      <c r="E224" s="30">
        <v>40.67</v>
      </c>
      <c r="F224">
        <v>2169000</v>
      </c>
    </row>
    <row r="225" spans="1:6">
      <c r="A225" s="70">
        <v>41095</v>
      </c>
      <c r="B225">
        <v>42.38</v>
      </c>
      <c r="C225">
        <v>42.8</v>
      </c>
      <c r="D225">
        <v>41.97</v>
      </c>
      <c r="E225" s="30">
        <v>42.18</v>
      </c>
      <c r="F225">
        <v>1235000</v>
      </c>
    </row>
    <row r="226" spans="1:6">
      <c r="A226" s="70">
        <v>41094</v>
      </c>
      <c r="B226">
        <v>42.29</v>
      </c>
      <c r="C226">
        <v>42.29</v>
      </c>
      <c r="D226">
        <v>42.29</v>
      </c>
      <c r="E226" s="30">
        <v>42.29</v>
      </c>
      <c r="F226">
        <v>0</v>
      </c>
    </row>
    <row r="227" spans="1:6">
      <c r="A227" s="70">
        <v>41093</v>
      </c>
      <c r="B227">
        <v>42.91</v>
      </c>
      <c r="C227">
        <v>42.94</v>
      </c>
      <c r="D227">
        <v>42.04</v>
      </c>
      <c r="E227" s="30">
        <v>42.29</v>
      </c>
      <c r="F227">
        <v>1223400</v>
      </c>
    </row>
    <row r="228" spans="1:6">
      <c r="A228" s="70">
        <v>41092</v>
      </c>
      <c r="B228">
        <v>43</v>
      </c>
      <c r="C228">
        <v>43.6</v>
      </c>
      <c r="D228">
        <v>42.44</v>
      </c>
      <c r="E228" s="30">
        <v>42.58</v>
      </c>
      <c r="F228">
        <v>1157800</v>
      </c>
    </row>
    <row r="229" spans="1:6">
      <c r="A229" s="70">
        <v>41089</v>
      </c>
      <c r="B229">
        <v>42.14</v>
      </c>
      <c r="C229">
        <v>42.7</v>
      </c>
      <c r="D229">
        <v>41.81</v>
      </c>
      <c r="E229" s="30">
        <v>42.68</v>
      </c>
      <c r="F229">
        <v>1657200</v>
      </c>
    </row>
    <row r="230" spans="1:6">
      <c r="A230" s="70">
        <v>41088</v>
      </c>
      <c r="B230">
        <v>41.5</v>
      </c>
      <c r="C230">
        <v>41.64</v>
      </c>
      <c r="D230">
        <v>40.950000000000003</v>
      </c>
      <c r="E230" s="30">
        <v>41.53</v>
      </c>
      <c r="F230">
        <v>733700</v>
      </c>
    </row>
    <row r="231" spans="1:6">
      <c r="A231" s="70">
        <v>41087</v>
      </c>
      <c r="B231">
        <v>41.69</v>
      </c>
      <c r="C231">
        <v>42.04</v>
      </c>
      <c r="D231">
        <v>41.39</v>
      </c>
      <c r="E231" s="30">
        <v>41.71</v>
      </c>
      <c r="F231">
        <v>1079600</v>
      </c>
    </row>
    <row r="232" spans="1:6">
      <c r="A232" s="70">
        <v>41086</v>
      </c>
      <c r="B232">
        <v>41.83</v>
      </c>
      <c r="C232">
        <v>42</v>
      </c>
      <c r="D232">
        <v>41.45</v>
      </c>
      <c r="E232" s="30">
        <v>41.52</v>
      </c>
      <c r="F232">
        <v>1325900</v>
      </c>
    </row>
    <row r="233" spans="1:6">
      <c r="A233" s="70">
        <v>41085</v>
      </c>
      <c r="B233">
        <v>42.67</v>
      </c>
      <c r="C233">
        <v>42.72</v>
      </c>
      <c r="D233">
        <v>41.73</v>
      </c>
      <c r="E233" s="30">
        <v>41.78</v>
      </c>
      <c r="F233">
        <v>1405400</v>
      </c>
    </row>
    <row r="234" spans="1:6">
      <c r="A234" s="70">
        <v>41082</v>
      </c>
      <c r="B234">
        <v>42.32</v>
      </c>
      <c r="C234">
        <v>43.02</v>
      </c>
      <c r="D234">
        <v>42.32</v>
      </c>
      <c r="E234" s="30">
        <v>42.9</v>
      </c>
      <c r="F234">
        <v>1898100</v>
      </c>
    </row>
    <row r="235" spans="1:6">
      <c r="A235" s="70">
        <v>41081</v>
      </c>
      <c r="B235">
        <v>43.77</v>
      </c>
      <c r="C235">
        <v>43.99</v>
      </c>
      <c r="D235">
        <v>42.18</v>
      </c>
      <c r="E235" s="30">
        <v>42.32</v>
      </c>
      <c r="F235">
        <v>2368500</v>
      </c>
    </row>
    <row r="236" spans="1:6">
      <c r="A236" s="70">
        <v>41080</v>
      </c>
      <c r="B236">
        <v>43.94</v>
      </c>
      <c r="C236">
        <v>44.2</v>
      </c>
      <c r="D236">
        <v>43.68</v>
      </c>
      <c r="E236" s="30">
        <v>43.96</v>
      </c>
      <c r="F236">
        <v>1455100</v>
      </c>
    </row>
    <row r="237" spans="1:6">
      <c r="A237" s="70">
        <v>41079</v>
      </c>
      <c r="B237">
        <v>44.3</v>
      </c>
      <c r="C237">
        <v>44.69</v>
      </c>
      <c r="D237">
        <v>43.64</v>
      </c>
      <c r="E237" s="30">
        <v>43.83</v>
      </c>
      <c r="F237">
        <v>1695400</v>
      </c>
    </row>
    <row r="238" spans="1:6">
      <c r="A238" s="70">
        <v>41078</v>
      </c>
      <c r="B238">
        <v>43.69</v>
      </c>
      <c r="C238">
        <v>44.32</v>
      </c>
      <c r="D238">
        <v>43.45</v>
      </c>
      <c r="E238" s="30">
        <v>44.01</v>
      </c>
      <c r="F238">
        <v>1407300</v>
      </c>
    </row>
    <row r="239" spans="1:6">
      <c r="A239" s="70">
        <v>41075</v>
      </c>
      <c r="B239">
        <v>43.07</v>
      </c>
      <c r="C239">
        <v>43.85</v>
      </c>
      <c r="D239">
        <v>42.92</v>
      </c>
      <c r="E239" s="30">
        <v>43.76</v>
      </c>
      <c r="F239">
        <v>2489400</v>
      </c>
    </row>
    <row r="240" spans="1:6">
      <c r="A240" s="70">
        <v>41074</v>
      </c>
      <c r="B240">
        <v>43.31</v>
      </c>
      <c r="C240">
        <v>43.65</v>
      </c>
      <c r="D240">
        <v>42.68</v>
      </c>
      <c r="E240" s="30">
        <v>43</v>
      </c>
      <c r="F240">
        <v>2866600</v>
      </c>
    </row>
    <row r="241" spans="1:6">
      <c r="A241" s="70">
        <v>41073</v>
      </c>
      <c r="B241">
        <v>43</v>
      </c>
      <c r="C241">
        <v>43.73</v>
      </c>
      <c r="D241">
        <v>42.52</v>
      </c>
      <c r="E241" s="30">
        <v>43.44</v>
      </c>
      <c r="F241">
        <v>2176800</v>
      </c>
    </row>
    <row r="242" spans="1:6">
      <c r="A242" s="70">
        <v>41072</v>
      </c>
      <c r="B242">
        <v>42.48</v>
      </c>
      <c r="C242">
        <v>43.29</v>
      </c>
      <c r="D242">
        <v>42.3</v>
      </c>
      <c r="E242" s="30">
        <v>43.25</v>
      </c>
      <c r="F242">
        <v>1772100</v>
      </c>
    </row>
    <row r="243" spans="1:6">
      <c r="A243" s="70">
        <v>41071</v>
      </c>
      <c r="B243">
        <v>43.67</v>
      </c>
      <c r="C243">
        <v>43.78</v>
      </c>
      <c r="D243">
        <v>42.38</v>
      </c>
      <c r="E243" s="30">
        <v>42.47</v>
      </c>
      <c r="F243">
        <v>1672800</v>
      </c>
    </row>
    <row r="244" spans="1:6">
      <c r="A244" s="70">
        <v>41068</v>
      </c>
      <c r="B244">
        <v>43.36</v>
      </c>
      <c r="C244">
        <v>43.84</v>
      </c>
      <c r="D244">
        <v>43.21</v>
      </c>
      <c r="E244" s="30">
        <v>43.7</v>
      </c>
      <c r="F244">
        <v>1416100</v>
      </c>
    </row>
    <row r="245" spans="1:6">
      <c r="A245" s="70">
        <v>41067</v>
      </c>
      <c r="B245">
        <v>44</v>
      </c>
      <c r="C245">
        <v>44.07</v>
      </c>
      <c r="D245">
        <v>43.32</v>
      </c>
      <c r="E245" s="30">
        <v>43.71</v>
      </c>
      <c r="F245">
        <v>2255900</v>
      </c>
    </row>
    <row r="246" spans="1:6">
      <c r="A246" s="70">
        <v>41066</v>
      </c>
      <c r="B246">
        <v>42.52</v>
      </c>
      <c r="C246">
        <v>43.71</v>
      </c>
      <c r="D246">
        <v>42.36</v>
      </c>
      <c r="E246" s="30">
        <v>43.71</v>
      </c>
      <c r="F246">
        <v>1886000</v>
      </c>
    </row>
    <row r="247" spans="1:6">
      <c r="A247" s="70">
        <v>41065</v>
      </c>
      <c r="B247">
        <v>41.24</v>
      </c>
      <c r="C247">
        <v>42.38</v>
      </c>
      <c r="D247">
        <v>41.23</v>
      </c>
      <c r="E247" s="30">
        <v>42.23</v>
      </c>
      <c r="F247">
        <v>1126500</v>
      </c>
    </row>
    <row r="248" spans="1:6">
      <c r="A248" s="70">
        <v>41064</v>
      </c>
      <c r="B248">
        <v>42.04</v>
      </c>
      <c r="C248">
        <v>42.86</v>
      </c>
      <c r="D248">
        <v>41.27</v>
      </c>
      <c r="E248" s="30">
        <v>41.71</v>
      </c>
      <c r="F248">
        <v>1466500</v>
      </c>
    </row>
    <row r="249" spans="1:6">
      <c r="A249" s="70">
        <v>41061</v>
      </c>
      <c r="B249">
        <v>41.73</v>
      </c>
      <c r="C249">
        <v>42.56</v>
      </c>
      <c r="D249">
        <v>41.62</v>
      </c>
      <c r="E249" s="30">
        <v>41.89</v>
      </c>
      <c r="F249">
        <v>2829900</v>
      </c>
    </row>
    <row r="250" spans="1:6">
      <c r="A250" s="70">
        <v>41060</v>
      </c>
      <c r="B250">
        <v>43.12</v>
      </c>
      <c r="C250">
        <v>43.12</v>
      </c>
      <c r="D250">
        <v>41.77</v>
      </c>
      <c r="E250" s="30">
        <v>42.32</v>
      </c>
      <c r="F250">
        <v>3210800</v>
      </c>
    </row>
    <row r="251" spans="1:6">
      <c r="A251" s="70">
        <v>41059</v>
      </c>
      <c r="B251">
        <v>43.36</v>
      </c>
      <c r="C251">
        <v>43.38</v>
      </c>
      <c r="D251">
        <v>42.83</v>
      </c>
      <c r="E251" s="30">
        <v>43</v>
      </c>
      <c r="F251">
        <v>1445800</v>
      </c>
    </row>
    <row r="252" spans="1:6">
      <c r="A252" s="70">
        <v>41058</v>
      </c>
      <c r="B252">
        <v>44.05</v>
      </c>
      <c r="C252">
        <v>44.29</v>
      </c>
      <c r="D252">
        <v>43.27</v>
      </c>
      <c r="E252" s="30">
        <v>43.86</v>
      </c>
      <c r="F252">
        <v>1788200</v>
      </c>
    </row>
    <row r="253" spans="1:6">
      <c r="A253" s="70">
        <v>41057</v>
      </c>
      <c r="B253">
        <v>43.69</v>
      </c>
      <c r="C253">
        <v>43.69</v>
      </c>
      <c r="D253">
        <v>43.69</v>
      </c>
      <c r="E253" s="30">
        <v>43.69</v>
      </c>
      <c r="F253">
        <v>0</v>
      </c>
    </row>
    <row r="254" spans="1:6">
      <c r="A254" s="70">
        <v>41054</v>
      </c>
      <c r="B254">
        <v>43.15</v>
      </c>
      <c r="C254">
        <v>44.16</v>
      </c>
      <c r="D254">
        <v>43.01</v>
      </c>
      <c r="E254" s="30">
        <v>43.69</v>
      </c>
      <c r="F254">
        <v>2365600</v>
      </c>
    </row>
    <row r="255" spans="1:6">
      <c r="A255" s="70">
        <v>41053</v>
      </c>
      <c r="B255">
        <v>43.19</v>
      </c>
      <c r="C255">
        <v>43.24</v>
      </c>
      <c r="D255">
        <v>42.44</v>
      </c>
      <c r="E255" s="30">
        <v>42.97</v>
      </c>
      <c r="F255">
        <v>2489100</v>
      </c>
    </row>
    <row r="256" spans="1:6">
      <c r="A256" s="70">
        <v>41052</v>
      </c>
      <c r="B256">
        <v>42.37</v>
      </c>
      <c r="C256">
        <v>43.51</v>
      </c>
      <c r="D256">
        <v>42.01</v>
      </c>
      <c r="E256" s="30">
        <v>43.39</v>
      </c>
      <c r="F256">
        <v>2624200</v>
      </c>
    </row>
    <row r="257" spans="1:6">
      <c r="A257" s="70">
        <v>41051</v>
      </c>
      <c r="B257">
        <v>42.9</v>
      </c>
      <c r="C257">
        <v>43.01</v>
      </c>
      <c r="D257">
        <v>42.47</v>
      </c>
      <c r="E257" s="30">
        <v>42.73</v>
      </c>
      <c r="F257">
        <v>1839100</v>
      </c>
    </row>
    <row r="258" spans="1:6">
      <c r="A258" s="70">
        <v>41050</v>
      </c>
      <c r="B258">
        <v>41.59</v>
      </c>
      <c r="C258">
        <v>43.18</v>
      </c>
      <c r="D258">
        <v>41.49</v>
      </c>
      <c r="E258" s="30">
        <v>42.96</v>
      </c>
      <c r="F258">
        <v>2735200</v>
      </c>
    </row>
    <row r="259" spans="1:6">
      <c r="A259" s="70">
        <v>41047</v>
      </c>
      <c r="B259">
        <v>42.52</v>
      </c>
      <c r="C259">
        <v>43.05</v>
      </c>
      <c r="D259">
        <v>41.54</v>
      </c>
      <c r="E259" s="30">
        <v>41.66</v>
      </c>
      <c r="F259">
        <v>4568800</v>
      </c>
    </row>
    <row r="260" spans="1:6">
      <c r="A260" s="70">
        <v>41046</v>
      </c>
      <c r="B260">
        <v>43.5</v>
      </c>
      <c r="C260">
        <v>43.7</v>
      </c>
      <c r="D260">
        <v>42.35</v>
      </c>
      <c r="E260" s="30">
        <v>42.38</v>
      </c>
      <c r="F260">
        <v>2546500</v>
      </c>
    </row>
    <row r="261" spans="1:6">
      <c r="A261" s="70">
        <v>41045</v>
      </c>
      <c r="B261">
        <v>44.5</v>
      </c>
      <c r="C261">
        <v>44.5</v>
      </c>
      <c r="D261">
        <v>43.29</v>
      </c>
      <c r="E261" s="30">
        <v>43.3</v>
      </c>
      <c r="F261">
        <v>5806700</v>
      </c>
    </row>
    <row r="262" spans="1:6">
      <c r="A262" s="70">
        <v>41044</v>
      </c>
      <c r="B262">
        <v>43.75</v>
      </c>
      <c r="C262">
        <v>45.7</v>
      </c>
      <c r="D262">
        <v>42.88</v>
      </c>
      <c r="E262" s="30">
        <v>44.51</v>
      </c>
      <c r="F262">
        <v>9349900</v>
      </c>
    </row>
    <row r="263" spans="1:6">
      <c r="A263" s="70">
        <v>41043</v>
      </c>
      <c r="B263">
        <v>42.03</v>
      </c>
      <c r="C263">
        <v>44.35</v>
      </c>
      <c r="D263">
        <v>41.73</v>
      </c>
      <c r="E263" s="30">
        <v>43.92</v>
      </c>
      <c r="F263">
        <v>7045700</v>
      </c>
    </row>
    <row r="264" spans="1:6">
      <c r="A264" s="70">
        <v>41040</v>
      </c>
      <c r="B264">
        <v>40.11</v>
      </c>
      <c r="C264">
        <v>40.93</v>
      </c>
      <c r="D264">
        <v>40.07</v>
      </c>
      <c r="E264" s="30">
        <v>40.4</v>
      </c>
      <c r="F264">
        <v>1823400</v>
      </c>
    </row>
    <row r="265" spans="1:6">
      <c r="A265" s="70">
        <v>41039</v>
      </c>
      <c r="B265">
        <v>38.97</v>
      </c>
      <c r="C265">
        <v>40.68</v>
      </c>
      <c r="D265">
        <v>38.97</v>
      </c>
      <c r="E265" s="30">
        <v>40.28</v>
      </c>
      <c r="F265">
        <v>3679900</v>
      </c>
    </row>
    <row r="266" spans="1:6">
      <c r="A266" s="70">
        <v>41038</v>
      </c>
      <c r="B266">
        <v>39.46</v>
      </c>
      <c r="C266">
        <v>40.15</v>
      </c>
      <c r="D266">
        <v>39.08</v>
      </c>
      <c r="E266" s="30">
        <v>39.71</v>
      </c>
      <c r="F266">
        <v>2542600</v>
      </c>
    </row>
    <row r="267" spans="1:6">
      <c r="A267" s="70">
        <v>41037</v>
      </c>
      <c r="B267">
        <v>39.81</v>
      </c>
      <c r="C267">
        <v>39.92</v>
      </c>
      <c r="D267">
        <v>39.130000000000003</v>
      </c>
      <c r="E267" s="30">
        <v>39.86</v>
      </c>
      <c r="F267">
        <v>2381000</v>
      </c>
    </row>
    <row r="268" spans="1:6">
      <c r="A268" s="70">
        <v>41036</v>
      </c>
      <c r="B268">
        <v>39.9</v>
      </c>
      <c r="C268">
        <v>40.33</v>
      </c>
      <c r="D268">
        <v>39.86</v>
      </c>
      <c r="E268" s="30">
        <v>40.06</v>
      </c>
      <c r="F268">
        <v>1631100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LBO</vt:lpstr>
      <vt:lpstr>Shares</vt:lpstr>
      <vt:lpstr>52wkHL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 Street Prep</dc:creator>
  <cp:lastModifiedBy>Mary Roberts</cp:lastModifiedBy>
  <cp:lastPrinted>2014-05-30T16:55:05Z</cp:lastPrinted>
  <dcterms:created xsi:type="dcterms:W3CDTF">2014-05-28T19:09:08Z</dcterms:created>
  <dcterms:modified xsi:type="dcterms:W3CDTF">2017-07-14T13:04:00Z</dcterms:modified>
</cp:coreProperties>
</file>