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Mary\Desktop\WSP Models\"/>
    </mc:Choice>
  </mc:AlternateContent>
  <bookViews>
    <workbookView xWindow="720" yWindow="528" windowWidth="15240" windowHeight="12180" activeTab="1"/>
  </bookViews>
  <sheets>
    <sheet name="Financial Statement Model" sheetId="1" r:id="rId1"/>
    <sheet name="DCF" sheetId="11" r:id="rId2"/>
  </sheets>
  <externalReferences>
    <externalReference r:id="rId3"/>
    <externalReference r:id="rId4"/>
  </externalReferences>
  <definedNames>
    <definedName name="Inv_Cap">[1]Results!$E$182:$AD$182</definedName>
    <definedName name="NOPLAT">[1]Results!$E$145:$AD$145</definedName>
    <definedName name="One">'[1]Forecast Drivers'!$D$330</definedName>
    <definedName name="Products">[2]Array0!$B$5:$C$7</definedName>
    <definedName name="Rev">'[1]Forecast Drivers'!$E$25:$S$25</definedName>
  </definedNames>
  <calcPr calcId="171027" calcMode="autoNoTable" iterate="1"/>
</workbook>
</file>

<file path=xl/calcChain.xml><?xml version="1.0" encoding="utf-8"?>
<calcChain xmlns="http://schemas.openxmlformats.org/spreadsheetml/2006/main">
  <c r="F41" i="1" l="1"/>
  <c r="F42" i="1"/>
  <c r="J75" i="11"/>
  <c r="G41" i="1"/>
  <c r="H41" i="1"/>
  <c r="I41" i="1"/>
  <c r="J41" i="1"/>
  <c r="G42" i="1"/>
  <c r="H42" i="1"/>
  <c r="I42" i="1"/>
  <c r="J42" i="1"/>
  <c r="G43" i="1"/>
  <c r="H43" i="1"/>
  <c r="I43" i="1"/>
  <c r="J43" i="1"/>
  <c r="G44" i="1"/>
  <c r="H44" i="1"/>
  <c r="I44" i="1"/>
  <c r="J44" i="1"/>
  <c r="F43" i="1"/>
  <c r="F44" i="1"/>
  <c r="H314" i="1" l="1"/>
  <c r="G314" i="1"/>
  <c r="E314" i="1"/>
  <c r="D314" i="1" s="1"/>
  <c r="C315" i="1"/>
  <c r="C316" i="1"/>
  <c r="C318" i="1"/>
  <c r="C319" i="1" s="1"/>
  <c r="C320" i="1" s="1"/>
  <c r="J307" i="1"/>
  <c r="E304" i="1"/>
  <c r="D272" i="1"/>
  <c r="D273" i="1" s="1"/>
  <c r="E271" i="1" s="1"/>
  <c r="E272" i="1" s="1"/>
  <c r="F25" i="1"/>
  <c r="G25" i="1" s="1"/>
  <c r="H25" i="1" s="1"/>
  <c r="I25" i="1" s="1"/>
  <c r="J25" i="1" s="1"/>
  <c r="F22" i="1"/>
  <c r="G22" i="1" s="1"/>
  <c r="H22" i="1" s="1"/>
  <c r="I22" i="1" s="1"/>
  <c r="J22" i="1" s="1"/>
  <c r="F213" i="1"/>
  <c r="G213" i="1" s="1"/>
  <c r="H213" i="1" s="1"/>
  <c r="I213" i="1" s="1"/>
  <c r="J213" i="1" s="1"/>
  <c r="F205" i="1"/>
  <c r="G205" i="1" s="1"/>
  <c r="H205" i="1" s="1"/>
  <c r="I205" i="1" s="1"/>
  <c r="J205" i="1" s="1"/>
  <c r="E71" i="1"/>
  <c r="D71" i="1"/>
  <c r="F61" i="1"/>
  <c r="G61" i="1"/>
  <c r="H61" i="1"/>
  <c r="I61" i="1"/>
  <c r="J61" i="1"/>
  <c r="E63" i="1" l="1"/>
  <c r="D63" i="1"/>
  <c r="D56" i="1"/>
  <c r="D87" i="1" s="1"/>
  <c r="E56" i="1"/>
  <c r="E87" i="1" s="1"/>
  <c r="E61" i="1"/>
  <c r="D61" i="1"/>
  <c r="C23" i="1"/>
  <c r="C34" i="1"/>
  <c r="D34" i="1"/>
  <c r="E34" i="1"/>
  <c r="E17" i="1"/>
  <c r="E206" i="1" s="1"/>
  <c r="D17" i="1"/>
  <c r="D206" i="1" s="1"/>
  <c r="C17" i="1"/>
  <c r="C206" i="1" s="1"/>
  <c r="C18" i="1" l="1"/>
  <c r="C21" i="1" s="1"/>
  <c r="E18" i="1"/>
  <c r="E21" i="1" s="1"/>
  <c r="E27" i="1" s="1"/>
  <c r="E29" i="1" s="1"/>
  <c r="E31" i="1"/>
  <c r="E46" i="1"/>
  <c r="F46" i="1" s="1"/>
  <c r="G46" i="1" s="1"/>
  <c r="H46" i="1" s="1"/>
  <c r="I46" i="1" s="1"/>
  <c r="J46" i="1" s="1"/>
  <c r="D18" i="1"/>
  <c r="D21" i="1" s="1"/>
  <c r="D27" i="1" s="1"/>
  <c r="D29" i="1" s="1"/>
  <c r="C27" i="1"/>
  <c r="C29" i="1" s="1"/>
  <c r="D115" i="11"/>
  <c r="D114" i="11"/>
  <c r="D113" i="11"/>
  <c r="D112" i="11"/>
  <c r="D111" i="11"/>
  <c r="C105" i="11"/>
  <c r="C106" i="11" s="1"/>
  <c r="C103" i="11"/>
  <c r="C102" i="11" s="1"/>
  <c r="G101" i="11"/>
  <c r="H101" i="11" s="1"/>
  <c r="E101" i="11"/>
  <c r="D101" i="11" s="1"/>
  <c r="G92" i="11"/>
  <c r="H92" i="11" s="1"/>
  <c r="E92" i="11"/>
  <c r="D92" i="11"/>
  <c r="C96" i="11"/>
  <c r="C97" i="11" s="1"/>
  <c r="C94" i="11"/>
  <c r="C93" i="11"/>
  <c r="C31" i="1" l="1"/>
  <c r="C46" i="1"/>
  <c r="D31" i="1"/>
  <c r="D46" i="1"/>
  <c r="E38" i="1"/>
  <c r="E37" i="1"/>
  <c r="C83" i="11"/>
  <c r="H83" i="11"/>
  <c r="B83" i="11"/>
  <c r="B86" i="11" s="1"/>
  <c r="I82" i="11"/>
  <c r="G82" i="11"/>
  <c r="F82" i="11"/>
  <c r="I81" i="11"/>
  <c r="H81" i="11"/>
  <c r="G81" i="11"/>
  <c r="F81" i="11"/>
  <c r="H80" i="11"/>
  <c r="G80" i="11"/>
  <c r="F80" i="11"/>
  <c r="D38" i="1" l="1"/>
  <c r="D37" i="1"/>
  <c r="C37" i="1"/>
  <c r="C38" i="1"/>
  <c r="J80" i="11"/>
  <c r="J81" i="11"/>
  <c r="J82" i="11"/>
  <c r="E140" i="11"/>
  <c r="C140" i="11"/>
  <c r="E139" i="11"/>
  <c r="C139" i="11"/>
  <c r="J126" i="11"/>
  <c r="J121" i="11"/>
  <c r="J120" i="11"/>
  <c r="H110" i="11"/>
  <c r="F110" i="11"/>
  <c r="E110" i="11" s="1"/>
  <c r="C57" i="11"/>
  <c r="J54" i="11"/>
  <c r="I54" i="11"/>
  <c r="J16" i="11"/>
  <c r="J62" i="11" s="1"/>
  <c r="I16" i="11"/>
  <c r="H16" i="11"/>
  <c r="G16" i="11"/>
  <c r="F16" i="11"/>
  <c r="D12" i="11"/>
  <c r="C12" i="11"/>
  <c r="C5" i="11"/>
  <c r="D83" i="11" s="1"/>
  <c r="B2" i="11"/>
  <c r="C53" i="11" l="1"/>
  <c r="I73" i="11" s="1"/>
  <c r="G83" i="11"/>
  <c r="B139" i="11"/>
  <c r="J63" i="11"/>
  <c r="I83" i="11"/>
  <c r="D140" i="11"/>
  <c r="B140" i="11"/>
  <c r="D139" i="11"/>
  <c r="I53" i="11"/>
  <c r="C60" i="11"/>
  <c r="J53" i="11" l="1"/>
  <c r="C61" i="11"/>
  <c r="C62" i="11" s="1"/>
  <c r="C63" i="11" s="1"/>
  <c r="C65" i="11" s="1"/>
  <c r="I72" i="11" l="1"/>
  <c r="J72" i="11" s="1"/>
  <c r="J73" i="11" s="1"/>
  <c r="E83" i="11"/>
  <c r="F83" i="11" s="1"/>
  <c r="J56" i="11"/>
  <c r="I56" i="11"/>
  <c r="J123" i="11"/>
  <c r="J124" i="11" s="1"/>
  <c r="C141" i="11" l="1"/>
  <c r="E141" i="11"/>
  <c r="D141" i="11" l="1"/>
  <c r="G330" i="1" l="1"/>
  <c r="J332" i="1" l="1"/>
  <c r="I332" i="1"/>
  <c r="H332" i="1"/>
  <c r="G332" i="1"/>
  <c r="F332" i="1"/>
  <c r="J331" i="1"/>
  <c r="I331" i="1"/>
  <c r="H331" i="1"/>
  <c r="G331" i="1"/>
  <c r="F331" i="1"/>
  <c r="J330" i="1"/>
  <c r="I330" i="1"/>
  <c r="H330" i="1"/>
  <c r="F330" i="1"/>
  <c r="F301" i="1"/>
  <c r="D298" i="1"/>
  <c r="B298" i="1"/>
  <c r="B297" i="1"/>
  <c r="E294" i="1"/>
  <c r="D294" i="1"/>
  <c r="C294" i="1"/>
  <c r="F271" i="1"/>
  <c r="D268" i="1"/>
  <c r="B268" i="1"/>
  <c r="B267" i="1"/>
  <c r="J260" i="1"/>
  <c r="I260" i="1"/>
  <c r="H260" i="1"/>
  <c r="G260" i="1"/>
  <c r="F260" i="1"/>
  <c r="J256" i="1"/>
  <c r="I256" i="1"/>
  <c r="H256" i="1"/>
  <c r="G256" i="1"/>
  <c r="F256" i="1"/>
  <c r="J248" i="1"/>
  <c r="J28" i="11" s="1"/>
  <c r="I248" i="1"/>
  <c r="I28" i="11" s="1"/>
  <c r="H248" i="1"/>
  <c r="H28" i="11" s="1"/>
  <c r="G248" i="1"/>
  <c r="G28" i="11" s="1"/>
  <c r="F248" i="1"/>
  <c r="F28" i="11" s="1"/>
  <c r="J247" i="1"/>
  <c r="J27" i="11" s="1"/>
  <c r="I247" i="1"/>
  <c r="I27" i="11" s="1"/>
  <c r="H247" i="1"/>
  <c r="H27" i="11" s="1"/>
  <c r="G247" i="1"/>
  <c r="G27" i="11" s="1"/>
  <c r="F247" i="1"/>
  <c r="F27" i="11" s="1"/>
  <c r="J246" i="1"/>
  <c r="J26" i="11" s="1"/>
  <c r="I246" i="1"/>
  <c r="I26" i="11" s="1"/>
  <c r="H246" i="1"/>
  <c r="H26" i="11" s="1"/>
  <c r="G246" i="1"/>
  <c r="G26" i="11" s="1"/>
  <c r="F246" i="1"/>
  <c r="F26" i="11" s="1"/>
  <c r="J245" i="1"/>
  <c r="J25" i="11" s="1"/>
  <c r="I245" i="1"/>
  <c r="I25" i="11" s="1"/>
  <c r="H245" i="1"/>
  <c r="H25" i="11" s="1"/>
  <c r="G245" i="1"/>
  <c r="G25" i="11" s="1"/>
  <c r="F245" i="1"/>
  <c r="F25" i="11" s="1"/>
  <c r="D236" i="1"/>
  <c r="B236" i="1"/>
  <c r="B235" i="1"/>
  <c r="E232" i="1"/>
  <c r="F230" i="1" s="1"/>
  <c r="F232" i="1" s="1"/>
  <c r="D232" i="1"/>
  <c r="E223" i="1"/>
  <c r="F220" i="1" s="1"/>
  <c r="D223" i="1"/>
  <c r="D217" i="1"/>
  <c r="C217" i="1"/>
  <c r="B217" i="1"/>
  <c r="B216" i="1"/>
  <c r="E211" i="1"/>
  <c r="F209" i="1" s="1"/>
  <c r="D211" i="1"/>
  <c r="J210" i="1"/>
  <c r="J259" i="1" s="1"/>
  <c r="I210" i="1"/>
  <c r="I259" i="1" s="1"/>
  <c r="H210" i="1"/>
  <c r="H259" i="1" s="1"/>
  <c r="G210" i="1"/>
  <c r="G259" i="1" s="1"/>
  <c r="F210" i="1"/>
  <c r="F259" i="1" s="1"/>
  <c r="E202" i="1"/>
  <c r="F199" i="1" s="1"/>
  <c r="D202" i="1"/>
  <c r="J200" i="1"/>
  <c r="J258" i="1" s="1"/>
  <c r="I200" i="1"/>
  <c r="I258" i="1" s="1"/>
  <c r="H200" i="1"/>
  <c r="H258" i="1" s="1"/>
  <c r="G200" i="1"/>
  <c r="G258" i="1" s="1"/>
  <c r="F200" i="1"/>
  <c r="F258" i="1" s="1"/>
  <c r="D196" i="1"/>
  <c r="B196" i="1"/>
  <c r="B195" i="1"/>
  <c r="J192" i="1"/>
  <c r="I192" i="1"/>
  <c r="H192" i="1"/>
  <c r="G192" i="1"/>
  <c r="F192" i="1"/>
  <c r="E186" i="1"/>
  <c r="D186" i="1"/>
  <c r="D189" i="1" s="1"/>
  <c r="D180" i="1"/>
  <c r="B180" i="1"/>
  <c r="B179" i="1"/>
  <c r="E176" i="1"/>
  <c r="F174" i="1" s="1"/>
  <c r="F176" i="1" s="1"/>
  <c r="D176" i="1"/>
  <c r="E171" i="1"/>
  <c r="F169" i="1" s="1"/>
  <c r="F171" i="1" s="1"/>
  <c r="D171" i="1"/>
  <c r="E166" i="1"/>
  <c r="F164" i="1" s="1"/>
  <c r="F166" i="1" s="1"/>
  <c r="D166" i="1"/>
  <c r="D161" i="1"/>
  <c r="D156" i="1"/>
  <c r="C156" i="1"/>
  <c r="B156" i="1"/>
  <c r="B155" i="1"/>
  <c r="E152" i="1"/>
  <c r="D152" i="1"/>
  <c r="C152" i="1"/>
  <c r="E150" i="1"/>
  <c r="D150" i="1"/>
  <c r="C150" i="1"/>
  <c r="E147" i="1"/>
  <c r="F144" i="1" s="1"/>
  <c r="D147" i="1"/>
  <c r="D142" i="1"/>
  <c r="C142" i="1"/>
  <c r="B142" i="1"/>
  <c r="B141" i="1"/>
  <c r="J134" i="1"/>
  <c r="I134" i="1"/>
  <c r="H134" i="1"/>
  <c r="G134" i="1"/>
  <c r="F134" i="1"/>
  <c r="J133" i="1"/>
  <c r="J253" i="1" s="1"/>
  <c r="J31" i="11" s="1"/>
  <c r="I133" i="1"/>
  <c r="I253" i="1" s="1"/>
  <c r="I31" i="11" s="1"/>
  <c r="H133" i="1"/>
  <c r="H253" i="1" s="1"/>
  <c r="H31" i="11" s="1"/>
  <c r="G133" i="1"/>
  <c r="G253" i="1" s="1"/>
  <c r="G31" i="11" s="1"/>
  <c r="F133" i="1"/>
  <c r="F253" i="1" s="1"/>
  <c r="F31" i="11" s="1"/>
  <c r="D130" i="1"/>
  <c r="C130" i="1"/>
  <c r="B130" i="1"/>
  <c r="B129" i="1"/>
  <c r="E116" i="1"/>
  <c r="E118" i="1" s="1"/>
  <c r="E119" i="1" s="1"/>
  <c r="D116" i="1"/>
  <c r="D118" i="1" s="1"/>
  <c r="E108" i="1"/>
  <c r="E111" i="1" s="1"/>
  <c r="D108" i="1"/>
  <c r="D111" i="1" s="1"/>
  <c r="E100" i="1"/>
  <c r="E102" i="1" s="1"/>
  <c r="E103" i="1" s="1"/>
  <c r="D100" i="1"/>
  <c r="D102" i="1" s="1"/>
  <c r="D95" i="1"/>
  <c r="B95" i="1"/>
  <c r="B94" i="1"/>
  <c r="E80" i="1"/>
  <c r="D80" i="1"/>
  <c r="E124" i="1"/>
  <c r="D74" i="1"/>
  <c r="E135" i="1"/>
  <c r="F132" i="1" s="1"/>
  <c r="D135" i="1"/>
  <c r="E161" i="1"/>
  <c r="F159" i="1" s="1"/>
  <c r="F161" i="1" s="1"/>
  <c r="F60" i="1" s="1"/>
  <c r="D291" i="1"/>
  <c r="D55" i="1"/>
  <c r="B55" i="1"/>
  <c r="B54" i="1"/>
  <c r="E44" i="1"/>
  <c r="D44" i="1"/>
  <c r="C44" i="1"/>
  <c r="E43" i="1"/>
  <c r="D43" i="1"/>
  <c r="C43" i="1"/>
  <c r="D42" i="1"/>
  <c r="E41" i="1"/>
  <c r="D41" i="1"/>
  <c r="F34" i="1"/>
  <c r="G34" i="1" s="1"/>
  <c r="H34" i="1" s="1"/>
  <c r="I34" i="1" s="1"/>
  <c r="J34" i="1" s="1"/>
  <c r="F26" i="1"/>
  <c r="G26" i="1" s="1"/>
  <c r="H26" i="1" s="1"/>
  <c r="I26" i="1" s="1"/>
  <c r="J26" i="1" s="1"/>
  <c r="E42" i="1"/>
  <c r="D15" i="11"/>
  <c r="C42" i="1"/>
  <c r="E14" i="1"/>
  <c r="E13" i="1"/>
  <c r="B2" i="1"/>
  <c r="F183" i="1" l="1"/>
  <c r="E189" i="1"/>
  <c r="F189" i="1" s="1"/>
  <c r="G189" i="1" s="1"/>
  <c r="H189" i="1" s="1"/>
  <c r="I189" i="1" s="1"/>
  <c r="J189" i="1" s="1"/>
  <c r="D119" i="1"/>
  <c r="F118" i="1"/>
  <c r="D103" i="1"/>
  <c r="F102" i="1"/>
  <c r="D293" i="1"/>
  <c r="F135" i="1"/>
  <c r="F63" i="1" s="1"/>
  <c r="F98" i="1"/>
  <c r="F106" i="1"/>
  <c r="F211" i="1"/>
  <c r="G209" i="1" s="1"/>
  <c r="G211" i="1" s="1"/>
  <c r="F64" i="1"/>
  <c r="G169" i="1"/>
  <c r="G171" i="1" s="1"/>
  <c r="H169" i="1" s="1"/>
  <c r="H171" i="1" s="1"/>
  <c r="H64" i="1" s="1"/>
  <c r="F73" i="1"/>
  <c r="G174" i="1"/>
  <c r="G176" i="1" s="1"/>
  <c r="H174" i="1" s="1"/>
  <c r="H176" i="1" s="1"/>
  <c r="H73" i="1" s="1"/>
  <c r="F59" i="1"/>
  <c r="G164" i="1"/>
  <c r="G166" i="1" s="1"/>
  <c r="G59" i="1" s="1"/>
  <c r="F114" i="1"/>
  <c r="E297" i="1"/>
  <c r="E267" i="1"/>
  <c r="E216" i="1"/>
  <c r="E179" i="1"/>
  <c r="E141" i="1"/>
  <c r="E129" i="1"/>
  <c r="E12" i="11"/>
  <c r="E11" i="11" s="1"/>
  <c r="E217" i="1"/>
  <c r="E236" i="1"/>
  <c r="E196" i="1"/>
  <c r="E180" i="1"/>
  <c r="E156" i="1"/>
  <c r="D51" i="1"/>
  <c r="D14" i="11" s="1"/>
  <c r="E55" i="1"/>
  <c r="E94" i="1"/>
  <c r="D124" i="1"/>
  <c r="D126" i="1" s="1"/>
  <c r="E130" i="1"/>
  <c r="E155" i="1"/>
  <c r="G230" i="1"/>
  <c r="G232" i="1" s="1"/>
  <c r="F79" i="1"/>
  <c r="E235" i="1"/>
  <c r="E298" i="1"/>
  <c r="D13" i="1"/>
  <c r="F13" i="1"/>
  <c r="F14" i="1"/>
  <c r="E54" i="1"/>
  <c r="G64" i="1"/>
  <c r="D65" i="1"/>
  <c r="D84" i="1" s="1"/>
  <c r="E126" i="1"/>
  <c r="F122" i="1"/>
  <c r="E95" i="1"/>
  <c r="E110" i="1"/>
  <c r="E142" i="1"/>
  <c r="G159" i="1"/>
  <c r="G161" i="1" s="1"/>
  <c r="E195" i="1"/>
  <c r="E268" i="1"/>
  <c r="E291" i="1"/>
  <c r="F289" i="1" s="1"/>
  <c r="F279" i="1"/>
  <c r="F281" i="1" s="1"/>
  <c r="E65" i="1"/>
  <c r="E74" i="1"/>
  <c r="D110" i="1"/>
  <c r="F110" i="1" l="1"/>
  <c r="G110" i="1" s="1"/>
  <c r="H110" i="1" s="1"/>
  <c r="I110" i="1" s="1"/>
  <c r="J110" i="1" s="1"/>
  <c r="E293" i="1"/>
  <c r="F293" i="1" s="1"/>
  <c r="G293" i="1" s="1"/>
  <c r="H293" i="1" s="1"/>
  <c r="I293" i="1" s="1"/>
  <c r="J293" i="1" s="1"/>
  <c r="G118" i="1"/>
  <c r="F119" i="1"/>
  <c r="E84" i="1"/>
  <c r="F126" i="1"/>
  <c r="G126" i="1" s="1"/>
  <c r="H126" i="1" s="1"/>
  <c r="I126" i="1" s="1"/>
  <c r="J126" i="1" s="1"/>
  <c r="G102" i="1"/>
  <c r="F103" i="1"/>
  <c r="H164" i="1"/>
  <c r="H166" i="1" s="1"/>
  <c r="I164" i="1" s="1"/>
  <c r="I166" i="1" s="1"/>
  <c r="I169" i="1"/>
  <c r="I171" i="1" s="1"/>
  <c r="J169" i="1" s="1"/>
  <c r="J171" i="1" s="1"/>
  <c r="J64" i="1" s="1"/>
  <c r="G132" i="1"/>
  <c r="G135" i="1" s="1"/>
  <c r="G63" i="1" s="1"/>
  <c r="F77" i="1"/>
  <c r="G73" i="1"/>
  <c r="I174" i="1"/>
  <c r="I176" i="1" s="1"/>
  <c r="I73" i="1" s="1"/>
  <c r="H159" i="1"/>
  <c r="H161" i="1" s="1"/>
  <c r="G60" i="1"/>
  <c r="C15" i="11"/>
  <c r="C51" i="1"/>
  <c r="C14" i="11" s="1"/>
  <c r="F297" i="1"/>
  <c r="F267" i="1"/>
  <c r="F235" i="1"/>
  <c r="F216" i="1"/>
  <c r="F195" i="1"/>
  <c r="F155" i="1"/>
  <c r="F94" i="1"/>
  <c r="F54" i="1"/>
  <c r="F179" i="1"/>
  <c r="F141" i="1"/>
  <c r="F129" i="1"/>
  <c r="G13" i="1"/>
  <c r="D45" i="1"/>
  <c r="D16" i="11" s="1"/>
  <c r="D17" i="11" s="1"/>
  <c r="I64" i="1"/>
  <c r="E88" i="1"/>
  <c r="D88" i="1"/>
  <c r="E15" i="11"/>
  <c r="E51" i="1"/>
  <c r="E14" i="11" s="1"/>
  <c r="F12" i="11"/>
  <c r="F35" i="11" s="1"/>
  <c r="F37" i="11" s="1"/>
  <c r="F298" i="1"/>
  <c r="F268" i="1"/>
  <c r="F236" i="1"/>
  <c r="F196" i="1"/>
  <c r="F217" i="1"/>
  <c r="F142" i="1"/>
  <c r="F130" i="1"/>
  <c r="F95" i="1"/>
  <c r="F55" i="1"/>
  <c r="F180" i="1"/>
  <c r="F156" i="1"/>
  <c r="G14" i="1"/>
  <c r="D297" i="1"/>
  <c r="D267" i="1"/>
  <c r="D235" i="1"/>
  <c r="D216" i="1"/>
  <c r="D195" i="1"/>
  <c r="D155" i="1"/>
  <c r="D94" i="1"/>
  <c r="D54" i="1"/>
  <c r="D129" i="1"/>
  <c r="D179" i="1"/>
  <c r="D141" i="1"/>
  <c r="C13" i="1"/>
  <c r="H230" i="1"/>
  <c r="H232" i="1" s="1"/>
  <c r="G79" i="1"/>
  <c r="H59" i="1"/>
  <c r="D11" i="11"/>
  <c r="C11" i="11" s="1"/>
  <c r="F11" i="11"/>
  <c r="G11" i="11" s="1"/>
  <c r="H11" i="11" s="1"/>
  <c r="I11" i="11" s="1"/>
  <c r="J11" i="11" s="1"/>
  <c r="H209" i="1"/>
  <c r="H211" i="1" s="1"/>
  <c r="G77" i="1"/>
  <c r="H102" i="1" l="1"/>
  <c r="G103" i="1"/>
  <c r="H118" i="1"/>
  <c r="G119" i="1"/>
  <c r="H132" i="1"/>
  <c r="H135" i="1" s="1"/>
  <c r="I132" i="1" s="1"/>
  <c r="I135" i="1" s="1"/>
  <c r="J174" i="1"/>
  <c r="J176" i="1" s="1"/>
  <c r="J73" i="1" s="1"/>
  <c r="F329" i="1"/>
  <c r="I209" i="1"/>
  <c r="I211" i="1" s="1"/>
  <c r="H77" i="1"/>
  <c r="C141" i="1"/>
  <c r="C129" i="1"/>
  <c r="C155" i="1"/>
  <c r="C216" i="1"/>
  <c r="C45" i="1"/>
  <c r="C16" i="11" s="1"/>
  <c r="C17" i="11" s="1"/>
  <c r="H60" i="1"/>
  <c r="I159" i="1"/>
  <c r="I161" i="1" s="1"/>
  <c r="J164" i="1"/>
  <c r="J166" i="1" s="1"/>
  <c r="J59" i="1" s="1"/>
  <c r="I59" i="1"/>
  <c r="I230" i="1"/>
  <c r="I232" i="1" s="1"/>
  <c r="H79" i="1"/>
  <c r="G12" i="11"/>
  <c r="G35" i="11" s="1"/>
  <c r="G37" i="11" s="1"/>
  <c r="G217" i="1"/>
  <c r="G298" i="1"/>
  <c r="G268" i="1"/>
  <c r="G180" i="1"/>
  <c r="G156" i="1"/>
  <c r="G196" i="1"/>
  <c r="G130" i="1"/>
  <c r="G55" i="1"/>
  <c r="H14" i="1"/>
  <c r="G236" i="1"/>
  <c r="G142" i="1"/>
  <c r="G95" i="1"/>
  <c r="E45" i="1"/>
  <c r="E16" i="11" s="1"/>
  <c r="E17" i="11" s="1"/>
  <c r="J119" i="11"/>
  <c r="J122" i="11" s="1"/>
  <c r="J125" i="11" s="1"/>
  <c r="D225" i="1"/>
  <c r="D226" i="1" s="1"/>
  <c r="D90" i="1"/>
  <c r="D306" i="1"/>
  <c r="D91" i="1"/>
  <c r="D89" i="1"/>
  <c r="G235" i="1"/>
  <c r="G195" i="1"/>
  <c r="G179" i="1"/>
  <c r="G141" i="1"/>
  <c r="G129" i="1"/>
  <c r="G297" i="1"/>
  <c r="G216" i="1"/>
  <c r="G155" i="1"/>
  <c r="G94" i="1"/>
  <c r="H13" i="1"/>
  <c r="G267" i="1"/>
  <c r="G54" i="1"/>
  <c r="I118" i="1" l="1"/>
  <c r="H119" i="1"/>
  <c r="I102" i="1"/>
  <c r="H103" i="1"/>
  <c r="H63" i="1"/>
  <c r="F16" i="1"/>
  <c r="G329" i="1"/>
  <c r="J230" i="1"/>
  <c r="J232" i="1" s="1"/>
  <c r="J79" i="1" s="1"/>
  <c r="I79" i="1"/>
  <c r="C225" i="1"/>
  <c r="C226" i="1" s="1"/>
  <c r="C306" i="1"/>
  <c r="D307" i="1" s="1"/>
  <c r="I63" i="1"/>
  <c r="J132" i="1"/>
  <c r="J135" i="1" s="1"/>
  <c r="J63" i="1" s="1"/>
  <c r="H297" i="1"/>
  <c r="H267" i="1"/>
  <c r="H235" i="1"/>
  <c r="H216" i="1"/>
  <c r="H195" i="1"/>
  <c r="H155" i="1"/>
  <c r="H94" i="1"/>
  <c r="H54" i="1"/>
  <c r="H129" i="1"/>
  <c r="H179" i="1"/>
  <c r="H141" i="1"/>
  <c r="I13" i="1"/>
  <c r="E91" i="1"/>
  <c r="E90" i="1"/>
  <c r="E89" i="1"/>
  <c r="E225" i="1"/>
  <c r="E226" i="1" s="1"/>
  <c r="E306" i="1"/>
  <c r="F306" i="1" s="1"/>
  <c r="G306" i="1" s="1"/>
  <c r="H306" i="1" s="1"/>
  <c r="I306" i="1" s="1"/>
  <c r="J306" i="1" s="1"/>
  <c r="H12" i="11"/>
  <c r="H35" i="11" s="1"/>
  <c r="H37" i="11" s="1"/>
  <c r="H298" i="1"/>
  <c r="H268" i="1"/>
  <c r="H236" i="1"/>
  <c r="H196" i="1"/>
  <c r="H142" i="1"/>
  <c r="H130" i="1"/>
  <c r="H95" i="1"/>
  <c r="H55" i="1"/>
  <c r="H217" i="1"/>
  <c r="H180" i="1"/>
  <c r="H156" i="1"/>
  <c r="I14" i="1"/>
  <c r="J159" i="1"/>
  <c r="J161" i="1" s="1"/>
  <c r="J60" i="1" s="1"/>
  <c r="I60" i="1"/>
  <c r="I77" i="1"/>
  <c r="J209" i="1"/>
  <c r="J211" i="1" s="1"/>
  <c r="J77" i="1" s="1"/>
  <c r="F226" i="1" l="1"/>
  <c r="G226" i="1" s="1"/>
  <c r="H226" i="1" s="1"/>
  <c r="I226" i="1" s="1"/>
  <c r="J226" i="1" s="1"/>
  <c r="J102" i="1"/>
  <c r="J103" i="1" s="1"/>
  <c r="I103" i="1"/>
  <c r="J118" i="1"/>
  <c r="J119" i="1" s="1"/>
  <c r="I119" i="1"/>
  <c r="F100" i="1"/>
  <c r="F57" i="1" s="1"/>
  <c r="F20" i="1"/>
  <c r="F124" i="1"/>
  <c r="F123" i="1" s="1"/>
  <c r="F244" i="1" s="1"/>
  <c r="F24" i="11" s="1"/>
  <c r="F19" i="1"/>
  <c r="F149" i="1"/>
  <c r="F151" i="1" s="1"/>
  <c r="F49" i="1" s="1"/>
  <c r="F18" i="1"/>
  <c r="F17" i="1" s="1"/>
  <c r="G16" i="1"/>
  <c r="H329" i="1"/>
  <c r="I12" i="11"/>
  <c r="I35" i="11" s="1"/>
  <c r="I37" i="11" s="1"/>
  <c r="I217" i="1"/>
  <c r="I236" i="1"/>
  <c r="I196" i="1"/>
  <c r="I180" i="1"/>
  <c r="I156" i="1"/>
  <c r="I298" i="1"/>
  <c r="I142" i="1"/>
  <c r="I95" i="1"/>
  <c r="J14" i="1"/>
  <c r="I268" i="1"/>
  <c r="I130" i="1"/>
  <c r="I55" i="1"/>
  <c r="E307" i="1"/>
  <c r="F308" i="1"/>
  <c r="I297" i="1"/>
  <c r="I267" i="1"/>
  <c r="I216" i="1"/>
  <c r="I179" i="1"/>
  <c r="I141" i="1"/>
  <c r="I129" i="1"/>
  <c r="I235" i="1"/>
  <c r="I54" i="1"/>
  <c r="J13" i="1"/>
  <c r="I195" i="1"/>
  <c r="I155" i="1"/>
  <c r="I94" i="1"/>
  <c r="F108" i="1" l="1"/>
  <c r="G106" i="1" s="1"/>
  <c r="F206" i="1"/>
  <c r="G124" i="1"/>
  <c r="G68" i="1" s="1"/>
  <c r="F116" i="1"/>
  <c r="G114" i="1" s="1"/>
  <c r="F201" i="1"/>
  <c r="F202" i="1" s="1"/>
  <c r="G199" i="1" s="1"/>
  <c r="F146" i="1"/>
  <c r="G19" i="1"/>
  <c r="F99" i="1"/>
  <c r="F241" i="1" s="1"/>
  <c r="F21" i="11" s="1"/>
  <c r="F145" i="1"/>
  <c r="F252" i="1" s="1"/>
  <c r="F30" i="11" s="1"/>
  <c r="G18" i="1"/>
  <c r="G17" i="1" s="1"/>
  <c r="F21" i="1"/>
  <c r="F15" i="11" s="1"/>
  <c r="F17" i="11" s="1"/>
  <c r="G98" i="1"/>
  <c r="G20" i="1"/>
  <c r="G100" i="1"/>
  <c r="H98" i="1" s="1"/>
  <c r="F68" i="1"/>
  <c r="G122" i="1"/>
  <c r="G149" i="1"/>
  <c r="G145" i="1" s="1"/>
  <c r="G252" i="1" s="1"/>
  <c r="G30" i="11" s="1"/>
  <c r="H16" i="1"/>
  <c r="H20" i="1" s="1"/>
  <c r="J297" i="1"/>
  <c r="J267" i="1"/>
  <c r="J235" i="1"/>
  <c r="J216" i="1"/>
  <c r="J195" i="1"/>
  <c r="J155" i="1"/>
  <c r="J94" i="1"/>
  <c r="J54" i="1"/>
  <c r="J179" i="1"/>
  <c r="J141" i="1"/>
  <c r="J129" i="1"/>
  <c r="G308" i="1"/>
  <c r="F302" i="1"/>
  <c r="F303" i="1"/>
  <c r="J12" i="11"/>
  <c r="J35" i="11" s="1"/>
  <c r="J37" i="11" s="1"/>
  <c r="J298" i="1"/>
  <c r="J268" i="1"/>
  <c r="J236" i="1"/>
  <c r="J196" i="1"/>
  <c r="J217" i="1"/>
  <c r="J142" i="1"/>
  <c r="J130" i="1"/>
  <c r="J95" i="1"/>
  <c r="J55" i="1"/>
  <c r="J180" i="1"/>
  <c r="J156" i="1"/>
  <c r="I329" i="1"/>
  <c r="F239" i="1"/>
  <c r="F67" i="1" l="1"/>
  <c r="H122" i="1"/>
  <c r="F58" i="1"/>
  <c r="F275" i="1" s="1"/>
  <c r="F107" i="1"/>
  <c r="F242" i="1" s="1"/>
  <c r="F22" i="11" s="1"/>
  <c r="G108" i="1"/>
  <c r="G111" i="1" s="1"/>
  <c r="G206" i="1"/>
  <c r="F111" i="1"/>
  <c r="F147" i="1"/>
  <c r="F62" i="1" s="1"/>
  <c r="G123" i="1"/>
  <c r="G244" i="1" s="1"/>
  <c r="G24" i="11" s="1"/>
  <c r="F115" i="1"/>
  <c r="F243" i="1" s="1"/>
  <c r="F23" i="11" s="1"/>
  <c r="F76" i="1"/>
  <c r="F240" i="1"/>
  <c r="F20" i="11" s="1"/>
  <c r="F50" i="1"/>
  <c r="F51" i="1" s="1"/>
  <c r="F14" i="11" s="1"/>
  <c r="G57" i="1"/>
  <c r="G201" i="1"/>
  <c r="G50" i="1" s="1"/>
  <c r="H19" i="1"/>
  <c r="I16" i="1"/>
  <c r="I19" i="1" s="1"/>
  <c r="F254" i="1"/>
  <c r="H100" i="1"/>
  <c r="H57" i="1" s="1"/>
  <c r="H124" i="1"/>
  <c r="I122" i="1" s="1"/>
  <c r="H149" i="1"/>
  <c r="H151" i="1" s="1"/>
  <c r="H146" i="1" s="1"/>
  <c r="H18" i="1"/>
  <c r="H17" i="1" s="1"/>
  <c r="G99" i="1"/>
  <c r="G241" i="1" s="1"/>
  <c r="G21" i="11" s="1"/>
  <c r="G21" i="1"/>
  <c r="G15" i="11" s="1"/>
  <c r="G17" i="11" s="1"/>
  <c r="G116" i="1"/>
  <c r="G67" i="1" s="1"/>
  <c r="G151" i="1"/>
  <c r="G146" i="1" s="1"/>
  <c r="G254" i="1"/>
  <c r="G303" i="1"/>
  <c r="H308" i="1"/>
  <c r="G302" i="1"/>
  <c r="F304" i="1"/>
  <c r="J329" i="1"/>
  <c r="F19" i="11"/>
  <c r="G107" i="1" l="1"/>
  <c r="G242" i="1" s="1"/>
  <c r="G22" i="11" s="1"/>
  <c r="H106" i="1"/>
  <c r="H206" i="1"/>
  <c r="G58" i="1"/>
  <c r="G275" i="1" s="1"/>
  <c r="G144" i="1"/>
  <c r="G147" i="1" s="1"/>
  <c r="H144" i="1" s="1"/>
  <c r="F29" i="11"/>
  <c r="F32" i="11" s="1"/>
  <c r="G240" i="1"/>
  <c r="G20" i="11" s="1"/>
  <c r="G202" i="1"/>
  <c r="H199" i="1" s="1"/>
  <c r="I98" i="1"/>
  <c r="H116" i="1"/>
  <c r="H67" i="1" s="1"/>
  <c r="H99" i="1"/>
  <c r="H241" i="1" s="1"/>
  <c r="H21" i="11" s="1"/>
  <c r="I149" i="1"/>
  <c r="I145" i="1" s="1"/>
  <c r="I252" i="1" s="1"/>
  <c r="I30" i="11" s="1"/>
  <c r="H21" i="1"/>
  <c r="H15" i="11" s="1"/>
  <c r="H17" i="11" s="1"/>
  <c r="H108" i="1"/>
  <c r="H58" i="1" s="1"/>
  <c r="H275" i="1" s="1"/>
  <c r="G115" i="1"/>
  <c r="G243" i="1" s="1"/>
  <c r="G23" i="11" s="1"/>
  <c r="I20" i="1"/>
  <c r="I18" i="1"/>
  <c r="I17" i="1" s="1"/>
  <c r="I124" i="1"/>
  <c r="I68" i="1" s="1"/>
  <c r="H49" i="1"/>
  <c r="H239" i="1" s="1"/>
  <c r="H19" i="11" s="1"/>
  <c r="I100" i="1"/>
  <c r="I57" i="1" s="1"/>
  <c r="H68" i="1"/>
  <c r="J16" i="1"/>
  <c r="J124" i="1" s="1"/>
  <c r="J68" i="1" s="1"/>
  <c r="H123" i="1"/>
  <c r="H244" i="1" s="1"/>
  <c r="H24" i="11" s="1"/>
  <c r="H114" i="1"/>
  <c r="H201" i="1"/>
  <c r="H240" i="1" s="1"/>
  <c r="H20" i="11" s="1"/>
  <c r="H145" i="1"/>
  <c r="H252" i="1" s="1"/>
  <c r="H30" i="11" s="1"/>
  <c r="G49" i="1"/>
  <c r="G51" i="1" s="1"/>
  <c r="G14" i="11" s="1"/>
  <c r="G301" i="1"/>
  <c r="F33" i="1"/>
  <c r="F35" i="1" s="1"/>
  <c r="I308" i="1"/>
  <c r="H302" i="1"/>
  <c r="H303" i="1"/>
  <c r="I206" i="1" l="1"/>
  <c r="I21" i="1"/>
  <c r="I15" i="11" s="1"/>
  <c r="I17" i="11" s="1"/>
  <c r="G76" i="1"/>
  <c r="H111" i="1"/>
  <c r="J149" i="1"/>
  <c r="J151" i="1" s="1"/>
  <c r="J146" i="1" s="1"/>
  <c r="J100" i="1"/>
  <c r="J57" i="1" s="1"/>
  <c r="I116" i="1"/>
  <c r="I67" i="1" s="1"/>
  <c r="I114" i="1"/>
  <c r="I106" i="1"/>
  <c r="I123" i="1"/>
  <c r="I244" i="1" s="1"/>
  <c r="I24" i="11" s="1"/>
  <c r="I108" i="1"/>
  <c r="I111" i="1" s="1"/>
  <c r="H115" i="1"/>
  <c r="H243" i="1" s="1"/>
  <c r="H23" i="11" s="1"/>
  <c r="J98" i="1"/>
  <c r="H50" i="1"/>
  <c r="I151" i="1"/>
  <c r="I49" i="1" s="1"/>
  <c r="I239" i="1" s="1"/>
  <c r="I19" i="11" s="1"/>
  <c r="I254" i="1"/>
  <c r="H107" i="1"/>
  <c r="H242" i="1" s="1"/>
  <c r="H22" i="11" s="1"/>
  <c r="J122" i="1"/>
  <c r="J123" i="1" s="1"/>
  <c r="J244" i="1" s="1"/>
  <c r="J24" i="11" s="1"/>
  <c r="G62" i="1"/>
  <c r="I99" i="1"/>
  <c r="I241" i="1" s="1"/>
  <c r="I21" i="11" s="1"/>
  <c r="I201" i="1"/>
  <c r="I50" i="1" s="1"/>
  <c r="H51" i="1"/>
  <c r="H14" i="11" s="1"/>
  <c r="H202" i="1"/>
  <c r="H76" i="1" s="1"/>
  <c r="J19" i="1"/>
  <c r="J20" i="1"/>
  <c r="J18" i="1"/>
  <c r="J17" i="1" s="1"/>
  <c r="G239" i="1"/>
  <c r="G19" i="11" s="1"/>
  <c r="G29" i="11" s="1"/>
  <c r="G32" i="11" s="1"/>
  <c r="G33" i="11" s="1"/>
  <c r="H147" i="1"/>
  <c r="H62" i="1" s="1"/>
  <c r="H254" i="1"/>
  <c r="I303" i="1"/>
  <c r="I302" i="1"/>
  <c r="J308" i="1"/>
  <c r="G304" i="1"/>
  <c r="H301" i="1" s="1"/>
  <c r="J206" i="1" l="1"/>
  <c r="I51" i="1"/>
  <c r="I14" i="11" s="1"/>
  <c r="J49" i="1"/>
  <c r="J239" i="1" s="1"/>
  <c r="J19" i="11" s="1"/>
  <c r="J145" i="1"/>
  <c r="J252" i="1" s="1"/>
  <c r="J30" i="11" s="1"/>
  <c r="J99" i="1"/>
  <c r="J241" i="1" s="1"/>
  <c r="J21" i="11" s="1"/>
  <c r="I115" i="1"/>
  <c r="I243" i="1" s="1"/>
  <c r="I23" i="11" s="1"/>
  <c r="I58" i="1"/>
  <c r="I275" i="1" s="1"/>
  <c r="I146" i="1"/>
  <c r="J114" i="1"/>
  <c r="H29" i="11"/>
  <c r="H32" i="11" s="1"/>
  <c r="H33" i="11" s="1"/>
  <c r="I107" i="1"/>
  <c r="I242" i="1" s="1"/>
  <c r="I22" i="11" s="1"/>
  <c r="J108" i="1"/>
  <c r="J58" i="1" s="1"/>
  <c r="J275" i="1" s="1"/>
  <c r="J106" i="1"/>
  <c r="I240" i="1"/>
  <c r="I20" i="11" s="1"/>
  <c r="I199" i="1"/>
  <c r="I202" i="1" s="1"/>
  <c r="J199" i="1" s="1"/>
  <c r="J116" i="1"/>
  <c r="J67" i="1" s="1"/>
  <c r="J21" i="1"/>
  <c r="J15" i="11" s="1"/>
  <c r="J17" i="11" s="1"/>
  <c r="J201" i="1"/>
  <c r="J50" i="1" s="1"/>
  <c r="I144" i="1"/>
  <c r="H304" i="1"/>
  <c r="I301" i="1" s="1"/>
  <c r="G33" i="1"/>
  <c r="G35" i="1" s="1"/>
  <c r="J302" i="1"/>
  <c r="J303" i="1"/>
  <c r="J254" i="1"/>
  <c r="I147" i="1" l="1"/>
  <c r="I62" i="1" s="1"/>
  <c r="I29" i="11"/>
  <c r="I32" i="11" s="1"/>
  <c r="I33" i="11" s="1"/>
  <c r="J115" i="1"/>
  <c r="J243" i="1" s="1"/>
  <c r="J23" i="11" s="1"/>
  <c r="J111" i="1"/>
  <c r="J107" i="1"/>
  <c r="J242" i="1" s="1"/>
  <c r="J22" i="11" s="1"/>
  <c r="J202" i="1"/>
  <c r="J76" i="1" s="1"/>
  <c r="I76" i="1"/>
  <c r="J51" i="1"/>
  <c r="J14" i="11" s="1"/>
  <c r="J240" i="1"/>
  <c r="J20" i="11" s="1"/>
  <c r="H33" i="1"/>
  <c r="H35" i="1" s="1"/>
  <c r="I304" i="1"/>
  <c r="J301" i="1" s="1"/>
  <c r="I33" i="1" l="1"/>
  <c r="I35" i="1" s="1"/>
  <c r="J144" i="1"/>
  <c r="J147" i="1" s="1"/>
  <c r="J62" i="1" s="1"/>
  <c r="C41" i="11"/>
  <c r="J41" i="11"/>
  <c r="J43" i="11" s="1"/>
  <c r="J29" i="11"/>
  <c r="J32" i="11" s="1"/>
  <c r="J304" i="1"/>
  <c r="J33" i="1" s="1"/>
  <c r="J35" i="1" s="1"/>
  <c r="J33" i="11" l="1"/>
  <c r="C42" i="11" l="1"/>
  <c r="J83" i="11" l="1"/>
  <c r="C85" i="11" s="1"/>
  <c r="C86" i="11" s="1"/>
  <c r="J66" i="11" s="1"/>
  <c r="J68" i="11" s="1"/>
  <c r="C8" i="11" l="1"/>
  <c r="I38" i="11" l="1"/>
  <c r="J38" i="11"/>
  <c r="H38" i="11"/>
  <c r="J47" i="11"/>
  <c r="J44" i="11"/>
  <c r="G38" i="11"/>
  <c r="C37" i="11"/>
  <c r="C44" i="11" s="1"/>
  <c r="C48" i="11" s="1"/>
  <c r="F38" i="11"/>
  <c r="C46" i="11" s="1"/>
  <c r="J45" i="11" s="1"/>
  <c r="J46" i="11" l="1"/>
  <c r="J52" i="11" s="1"/>
  <c r="J55" i="11" s="1"/>
  <c r="J57" i="11" s="1"/>
  <c r="J58" i="11" s="1"/>
  <c r="C45" i="11"/>
  <c r="C47" i="11" s="1"/>
  <c r="I52" i="11" s="1"/>
  <c r="I55" i="11" s="1"/>
  <c r="I57" i="11" s="1"/>
  <c r="C92" i="11" s="1"/>
  <c r="C101" i="11" l="1"/>
  <c r="D110" i="11"/>
  <c r="I58" i="11"/>
  <c r="F23" i="1" l="1"/>
  <c r="G23" i="1"/>
  <c r="H23" i="1"/>
  <c r="I23" i="1"/>
  <c r="J23" i="1"/>
  <c r="F24" i="1"/>
  <c r="G24" i="1"/>
  <c r="H24" i="1"/>
  <c r="I24" i="1"/>
  <c r="J24" i="1"/>
  <c r="F27" i="1"/>
  <c r="G27" i="1"/>
  <c r="H27" i="1"/>
  <c r="I27" i="1"/>
  <c r="J27" i="1"/>
  <c r="F28" i="1"/>
  <c r="G28" i="1"/>
  <c r="H28" i="1"/>
  <c r="I28" i="1"/>
  <c r="J28" i="1"/>
  <c r="F29" i="1"/>
  <c r="G29" i="1"/>
  <c r="H29" i="1"/>
  <c r="I29" i="1"/>
  <c r="J29" i="1"/>
  <c r="F30" i="1"/>
  <c r="G30" i="1"/>
  <c r="H30" i="1"/>
  <c r="I30" i="1"/>
  <c r="J30" i="1"/>
  <c r="F31" i="1"/>
  <c r="G31" i="1"/>
  <c r="H31" i="1"/>
  <c r="I31" i="1"/>
  <c r="J31" i="1"/>
  <c r="F37" i="1"/>
  <c r="G37" i="1"/>
  <c r="H37" i="1"/>
  <c r="I37" i="1"/>
  <c r="J37" i="1"/>
  <c r="F38" i="1"/>
  <c r="G38" i="1"/>
  <c r="H38" i="1"/>
  <c r="I38" i="1"/>
  <c r="J38" i="1"/>
  <c r="F56" i="1"/>
  <c r="G56" i="1"/>
  <c r="H56" i="1"/>
  <c r="I56" i="1"/>
  <c r="J56" i="1"/>
  <c r="F65" i="1"/>
  <c r="G65" i="1"/>
  <c r="H65" i="1"/>
  <c r="I65" i="1"/>
  <c r="J65" i="1"/>
  <c r="F70" i="1"/>
  <c r="G70" i="1"/>
  <c r="H70" i="1"/>
  <c r="I70" i="1"/>
  <c r="J70" i="1"/>
  <c r="F71" i="1"/>
  <c r="G71" i="1"/>
  <c r="H71" i="1"/>
  <c r="I71" i="1"/>
  <c r="J71" i="1"/>
  <c r="F74" i="1"/>
  <c r="G74" i="1"/>
  <c r="H74" i="1"/>
  <c r="I74" i="1"/>
  <c r="J74" i="1"/>
  <c r="F78" i="1"/>
  <c r="G78" i="1"/>
  <c r="H78" i="1"/>
  <c r="I78" i="1"/>
  <c r="J78" i="1"/>
  <c r="F80" i="1"/>
  <c r="G80" i="1"/>
  <c r="H80" i="1"/>
  <c r="I80" i="1"/>
  <c r="J80" i="1"/>
  <c r="F84" i="1"/>
  <c r="G84" i="1"/>
  <c r="H84" i="1"/>
  <c r="I84" i="1"/>
  <c r="J84" i="1"/>
  <c r="F87" i="1"/>
  <c r="G87" i="1"/>
  <c r="H87" i="1"/>
  <c r="I87" i="1"/>
  <c r="J87" i="1"/>
  <c r="F88" i="1"/>
  <c r="G88" i="1"/>
  <c r="H88" i="1"/>
  <c r="I88" i="1"/>
  <c r="J88" i="1"/>
  <c r="F89" i="1"/>
  <c r="G89" i="1"/>
  <c r="H89" i="1"/>
  <c r="I89" i="1"/>
  <c r="J89" i="1"/>
  <c r="F90" i="1"/>
  <c r="G90" i="1"/>
  <c r="H90" i="1"/>
  <c r="I90" i="1"/>
  <c r="J90" i="1"/>
  <c r="F91" i="1"/>
  <c r="G91" i="1"/>
  <c r="H91" i="1"/>
  <c r="I91" i="1"/>
  <c r="J91" i="1"/>
  <c r="G183" i="1"/>
  <c r="H183" i="1"/>
  <c r="I183" i="1"/>
  <c r="J183" i="1"/>
  <c r="F185" i="1"/>
  <c r="G185" i="1"/>
  <c r="H185" i="1"/>
  <c r="I185" i="1"/>
  <c r="J185" i="1"/>
  <c r="F186" i="1"/>
  <c r="G186" i="1"/>
  <c r="H186" i="1"/>
  <c r="I186" i="1"/>
  <c r="J186" i="1"/>
  <c r="F188" i="1"/>
  <c r="G188" i="1"/>
  <c r="H188" i="1"/>
  <c r="I188" i="1"/>
  <c r="J188" i="1"/>
  <c r="G220" i="1"/>
  <c r="H220" i="1"/>
  <c r="I220" i="1"/>
  <c r="J220" i="1"/>
  <c r="F221" i="1"/>
  <c r="G221" i="1"/>
  <c r="H221" i="1"/>
  <c r="I221" i="1"/>
  <c r="J221" i="1"/>
  <c r="F222" i="1"/>
  <c r="G222" i="1"/>
  <c r="H222" i="1"/>
  <c r="I222" i="1"/>
  <c r="J222" i="1"/>
  <c r="F223" i="1"/>
  <c r="G223" i="1"/>
  <c r="H223" i="1"/>
  <c r="I223" i="1"/>
  <c r="J223" i="1"/>
  <c r="F225" i="1"/>
  <c r="G225" i="1"/>
  <c r="H225" i="1"/>
  <c r="I225" i="1"/>
  <c r="J225" i="1"/>
  <c r="F227" i="1"/>
  <c r="G227" i="1"/>
  <c r="H227" i="1"/>
  <c r="I227" i="1"/>
  <c r="J227" i="1"/>
  <c r="F238" i="1"/>
  <c r="G238" i="1"/>
  <c r="H238" i="1"/>
  <c r="I238" i="1"/>
  <c r="J238" i="1"/>
  <c r="F249" i="1"/>
  <c r="G249" i="1"/>
  <c r="H249" i="1"/>
  <c r="I249" i="1"/>
  <c r="J249" i="1"/>
  <c r="F250" i="1"/>
  <c r="G250" i="1"/>
  <c r="H250" i="1"/>
  <c r="I250" i="1"/>
  <c r="J250" i="1"/>
  <c r="F257" i="1"/>
  <c r="G257" i="1"/>
  <c r="H257" i="1"/>
  <c r="I257" i="1"/>
  <c r="J257" i="1"/>
  <c r="F261" i="1"/>
  <c r="G261" i="1"/>
  <c r="H261" i="1"/>
  <c r="I261" i="1"/>
  <c r="J261" i="1"/>
  <c r="F262" i="1"/>
  <c r="G262" i="1"/>
  <c r="H262" i="1"/>
  <c r="I262" i="1"/>
  <c r="J262" i="1"/>
  <c r="F264" i="1"/>
  <c r="G264" i="1"/>
  <c r="H264" i="1"/>
  <c r="I264" i="1"/>
  <c r="J264" i="1"/>
  <c r="G271" i="1"/>
  <c r="H271" i="1"/>
  <c r="I271" i="1"/>
  <c r="J271" i="1"/>
  <c r="F272" i="1"/>
  <c r="G272" i="1"/>
  <c r="H272" i="1"/>
  <c r="I272" i="1"/>
  <c r="J272" i="1"/>
  <c r="F273" i="1"/>
  <c r="G273" i="1"/>
  <c r="H273" i="1"/>
  <c r="I273" i="1"/>
  <c r="J273" i="1"/>
  <c r="F276" i="1"/>
  <c r="G276" i="1"/>
  <c r="H276" i="1"/>
  <c r="I276" i="1"/>
  <c r="J276" i="1"/>
  <c r="G279" i="1"/>
  <c r="H279" i="1"/>
  <c r="I279" i="1"/>
  <c r="J279" i="1"/>
  <c r="G281" i="1"/>
  <c r="H281" i="1"/>
  <c r="I281" i="1"/>
  <c r="J281" i="1"/>
  <c r="F282" i="1"/>
  <c r="G282" i="1"/>
  <c r="H282" i="1"/>
  <c r="I282" i="1"/>
  <c r="J282" i="1"/>
  <c r="F283" i="1"/>
  <c r="G283" i="1"/>
  <c r="H283" i="1"/>
  <c r="I283" i="1"/>
  <c r="J283" i="1"/>
  <c r="F286" i="1"/>
  <c r="G286" i="1"/>
  <c r="H286" i="1"/>
  <c r="I286" i="1"/>
  <c r="J286" i="1"/>
  <c r="G289" i="1"/>
  <c r="H289" i="1"/>
  <c r="I289" i="1"/>
  <c r="J289" i="1"/>
  <c r="F290" i="1"/>
  <c r="G290" i="1"/>
  <c r="H290" i="1"/>
  <c r="I290" i="1"/>
  <c r="J290" i="1"/>
  <c r="F291" i="1"/>
  <c r="G291" i="1"/>
  <c r="H291" i="1"/>
  <c r="I291" i="1"/>
  <c r="J291" i="1"/>
  <c r="F294" i="1"/>
  <c r="G294" i="1"/>
  <c r="H294" i="1"/>
  <c r="I294" i="1"/>
  <c r="J294" i="1"/>
  <c r="C314" i="1"/>
</calcChain>
</file>

<file path=xl/comments1.xml><?xml version="1.0" encoding="utf-8"?>
<comments xmlns="http://schemas.openxmlformats.org/spreadsheetml/2006/main">
  <authors>
    <author>Wall Street Prep</author>
    <author>Mary Roberts</author>
  </authors>
  <commentList>
    <comment ref="C10" authorId="0" shapeId="0">
      <text>
        <r>
          <rPr>
            <b/>
            <sz val="9"/>
            <color indexed="81"/>
            <rFont val="Tahoma"/>
            <family val="2"/>
          </rPr>
          <t>Wall Street Prep:</t>
        </r>
        <r>
          <rPr>
            <sz val="9"/>
            <color indexed="81"/>
            <rFont val="Tahoma"/>
            <family val="2"/>
          </rPr>
          <t xml:space="preserve">
If the model "blows up" (i.e. REF and DIV/0 everywhere), turn the circuit breaker above on, and then immediately off again. 
</t>
        </r>
        <r>
          <rPr>
            <b/>
            <sz val="9"/>
            <color indexed="81"/>
            <rFont val="Tahoma"/>
            <family val="2"/>
          </rPr>
          <t xml:space="preserve">Why do we need this?
</t>
        </r>
        <r>
          <rPr>
            <sz val="9"/>
            <color indexed="81"/>
            <rFont val="Tahoma"/>
            <family val="2"/>
          </rPr>
          <t xml:space="preserve">This model has an intentional circularity in the calculation of interest expense and interest income. 
Interest expense is calculated as interest rate times average current and prior period revolver debt balances. Since current period revolver balance is itself impacted by current period interest expense, the circularity exists.
The same logic applies to interest expense.
</t>
        </r>
        <r>
          <rPr>
            <b/>
            <sz val="9"/>
            <color indexed="81"/>
            <rFont val="Tahoma"/>
            <family val="2"/>
          </rPr>
          <t xml:space="preserve">Setting Iterations in Excel
</t>
        </r>
        <r>
          <rPr>
            <sz val="9"/>
            <color indexed="81"/>
            <rFont val="Tahoma"/>
            <family val="2"/>
          </rPr>
          <t xml:space="preserve">Make sure that iterations are selected under Excel Options &gt; Formulas
</t>
        </r>
        <r>
          <rPr>
            <b/>
            <sz val="9"/>
            <color indexed="81"/>
            <rFont val="Tahoma"/>
            <family val="2"/>
          </rPr>
          <t>Removing circularity altogether</t>
        </r>
        <r>
          <rPr>
            <sz val="9"/>
            <color indexed="81"/>
            <rFont val="Tahoma"/>
            <family val="2"/>
          </rPr>
          <t xml:space="preserve">
To avoid a circularity altogether, calculate interest expense using prior period debt balances (as opposed to average balances).</t>
        </r>
      </text>
    </comment>
    <comment ref="F138" authorId="1" shapeId="0">
      <text>
        <r>
          <rPr>
            <b/>
            <sz val="9"/>
            <color indexed="81"/>
            <rFont val="Tahoma"/>
            <family val="2"/>
          </rPr>
          <t>10-K, p.74</t>
        </r>
      </text>
    </comment>
    <comment ref="B182" authorId="1" shapeId="0">
      <text>
        <r>
          <rPr>
            <b/>
            <sz val="9"/>
            <color indexed="81"/>
            <rFont val="Tahoma"/>
            <family val="2"/>
          </rPr>
          <t>No traunch by traunch breakdown of debt capacities. Assume maintain same capital structure.</t>
        </r>
      </text>
    </comment>
    <comment ref="C205" authorId="1" shapeId="0">
      <text>
        <r>
          <rPr>
            <b/>
            <sz val="9"/>
            <color indexed="81"/>
            <rFont val="Tahoma"/>
            <family val="2"/>
          </rPr>
          <t>10-K, p 95</t>
        </r>
      </text>
    </comment>
    <comment ref="D273" authorId="1" shapeId="0">
      <text>
        <r>
          <rPr>
            <b/>
            <sz val="9"/>
            <color indexed="81"/>
            <rFont val="Tahoma"/>
            <family val="2"/>
          </rPr>
          <t>10-K, p. 83. Commercial paper revolving credit line.</t>
        </r>
      </text>
    </comment>
    <comment ref="E304" authorId="1" shapeId="0">
      <text>
        <r>
          <rPr>
            <b/>
            <sz val="9"/>
            <color indexed="81"/>
            <rFont val="Tahoma"/>
            <family val="2"/>
          </rPr>
          <t>10-K, p.1</t>
        </r>
      </text>
    </comment>
    <comment ref="F307" authorId="1" shapeId="0">
      <text>
        <r>
          <rPr>
            <b/>
            <sz val="9"/>
            <color indexed="81"/>
            <rFont val="Tahoma"/>
            <family val="2"/>
          </rPr>
          <t>Nasdaq analyst projections.</t>
        </r>
      </text>
    </comment>
  </commentList>
</comments>
</file>

<file path=xl/comments2.xml><?xml version="1.0" encoding="utf-8"?>
<comments xmlns="http://schemas.openxmlformats.org/spreadsheetml/2006/main">
  <authors>
    <author>Wall Street Prep</author>
  </authors>
  <commentList>
    <comment ref="C7" authorId="0" shapeId="0">
      <text>
        <r>
          <rPr>
            <b/>
            <sz val="9"/>
            <color indexed="81"/>
            <rFont val="Tahoma"/>
            <family val="2"/>
          </rPr>
          <t>2nd Quarter 10-Q</t>
        </r>
      </text>
    </comment>
    <comment ref="J42" authorId="0" shapeId="0">
      <text>
        <r>
          <rPr>
            <b/>
            <sz val="9"/>
            <color indexed="81"/>
            <rFont val="Tahoma"/>
            <family val="2"/>
          </rPr>
          <t>Wall Street Prep:</t>
        </r>
        <r>
          <rPr>
            <sz val="9"/>
            <color indexed="81"/>
            <rFont val="Tahoma"/>
            <family val="2"/>
          </rPr>
          <t xml:space="preserve">
Factset Comps</t>
        </r>
      </text>
    </comment>
    <comment ref="J47" authorId="0" shapeId="0">
      <text>
        <r>
          <rPr>
            <b/>
            <sz val="9"/>
            <color indexed="81"/>
            <rFont val="Tahoma"/>
            <family val="2"/>
          </rPr>
          <t>Wall Street Prep:</t>
        </r>
        <r>
          <rPr>
            <sz val="9"/>
            <color indexed="81"/>
            <rFont val="Tahoma"/>
            <family val="2"/>
          </rPr>
          <t xml:space="preserve">
With a midyear adjustment, the implied growth formula is as follows
[r -FCF(t)*(1+r)^0.5/TV]/(1+FCF(t)*(1+r)^0.5/TV)
</t>
        </r>
      </text>
    </comment>
    <comment ref="J65" authorId="0" shapeId="0">
      <text>
        <r>
          <rPr>
            <b/>
            <sz val="9"/>
            <color indexed="81"/>
            <rFont val="Tahoma"/>
            <family val="2"/>
          </rPr>
          <t>Wall Street Prep:</t>
        </r>
        <r>
          <rPr>
            <sz val="9"/>
            <color indexed="81"/>
            <rFont val="Tahoma"/>
            <family val="2"/>
          </rPr>
          <t xml:space="preserve">
Yield on 10 Year US Treasury</t>
        </r>
      </text>
    </comment>
    <comment ref="K66" authorId="0" shapeId="0">
      <text>
        <r>
          <rPr>
            <b/>
            <sz val="9"/>
            <color indexed="81"/>
            <rFont val="Tahoma"/>
            <family val="2"/>
          </rPr>
          <t>Wall Street Prep:</t>
        </r>
        <r>
          <rPr>
            <sz val="9"/>
            <color indexed="81"/>
            <rFont val="Tahoma"/>
            <family val="2"/>
          </rPr>
          <t xml:space="preserve">
CIQ</t>
        </r>
      </text>
    </comment>
    <comment ref="C80" authorId="0" shapeId="0">
      <text>
        <r>
          <rPr>
            <b/>
            <sz val="9"/>
            <color indexed="81"/>
            <rFont val="Tahoma"/>
            <family val="2"/>
          </rPr>
          <t>Wall Street Prep:</t>
        </r>
        <r>
          <rPr>
            <sz val="9"/>
            <color indexed="81"/>
            <rFont val="Tahoma"/>
            <family val="2"/>
          </rPr>
          <t xml:space="preserve">
CIQ</t>
        </r>
      </text>
    </comment>
    <comment ref="I80" authorId="0" shapeId="0">
      <text>
        <r>
          <rPr>
            <b/>
            <sz val="9"/>
            <color indexed="81"/>
            <rFont val="Tahoma"/>
            <family val="2"/>
          </rPr>
          <t>Wall Street Prep:</t>
        </r>
        <r>
          <rPr>
            <sz val="9"/>
            <color indexed="81"/>
            <rFont val="Tahoma"/>
            <family val="2"/>
          </rPr>
          <t xml:space="preserve">
Last 9 month per latest 10Q footnotes</t>
        </r>
      </text>
    </comment>
    <comment ref="C81" authorId="0" shapeId="0">
      <text>
        <r>
          <rPr>
            <b/>
            <sz val="9"/>
            <color indexed="81"/>
            <rFont val="Tahoma"/>
            <family val="2"/>
          </rPr>
          <t>Wall Street Prep:</t>
        </r>
        <r>
          <rPr>
            <sz val="9"/>
            <color indexed="81"/>
            <rFont val="Tahoma"/>
            <family val="2"/>
          </rPr>
          <t xml:space="preserve">
CIQ</t>
        </r>
      </text>
    </comment>
    <comment ref="I81" authorId="0" shapeId="0">
      <text>
        <r>
          <rPr>
            <b/>
            <sz val="9"/>
            <color indexed="81"/>
            <rFont val="Tahoma"/>
            <family val="2"/>
          </rPr>
          <t>Wall Street Prep:</t>
        </r>
        <r>
          <rPr>
            <sz val="9"/>
            <color indexed="81"/>
            <rFont val="Tahoma"/>
            <family val="2"/>
          </rPr>
          <t xml:space="preserve">
Non-GAAP tax rate from latest 10Q</t>
        </r>
      </text>
    </comment>
    <comment ref="C82" authorId="0" shapeId="0">
      <text>
        <r>
          <rPr>
            <b/>
            <sz val="9"/>
            <color indexed="81"/>
            <rFont val="Tahoma"/>
            <family val="2"/>
          </rPr>
          <t>Wall Street Prep:</t>
        </r>
        <r>
          <rPr>
            <sz val="9"/>
            <color indexed="81"/>
            <rFont val="Tahoma"/>
            <family val="2"/>
          </rPr>
          <t xml:space="preserve">
CIQ</t>
        </r>
      </text>
    </comment>
    <comment ref="I82" authorId="0" shapeId="0">
      <text>
        <r>
          <rPr>
            <b/>
            <sz val="9"/>
            <color indexed="81"/>
            <rFont val="Tahoma"/>
            <family val="2"/>
          </rPr>
          <t>Wall Street Prep:</t>
        </r>
        <r>
          <rPr>
            <sz val="9"/>
            <color indexed="81"/>
            <rFont val="Tahoma"/>
            <family val="2"/>
          </rPr>
          <t xml:space="preserve">
Annualized tax rate</t>
        </r>
      </text>
    </comment>
    <comment ref="C83" authorId="0" shapeId="0">
      <text>
        <r>
          <rPr>
            <b/>
            <sz val="9"/>
            <color indexed="81"/>
            <rFont val="Tahoma"/>
            <family val="2"/>
          </rPr>
          <t>Wall Street Prep:</t>
        </r>
        <r>
          <rPr>
            <sz val="9"/>
            <color indexed="81"/>
            <rFont val="Tahoma"/>
            <family val="2"/>
          </rPr>
          <t xml:space="preserve">
CIQ</t>
        </r>
      </text>
    </comment>
  </commentList>
</comments>
</file>

<file path=xl/sharedStrings.xml><?xml version="1.0" encoding="utf-8"?>
<sst xmlns="http://schemas.openxmlformats.org/spreadsheetml/2006/main" count="399" uniqueCount="265">
  <si>
    <t>$ mm except per share</t>
  </si>
  <si>
    <t>Company name</t>
  </si>
  <si>
    <t>Ticker</t>
  </si>
  <si>
    <t>Share price as of last close</t>
  </si>
  <si>
    <t>Latest closing share price date</t>
  </si>
  <si>
    <t>Latest fiscal year end date</t>
  </si>
  <si>
    <t>Circuit breaker:</t>
  </si>
  <si>
    <t>OFF</t>
  </si>
  <si>
    <t>INCOME STATEMENT</t>
  </si>
  <si>
    <t xml:space="preserve">Fiscal year  </t>
  </si>
  <si>
    <t>Fiscal year end date</t>
  </si>
  <si>
    <t>Revenue</t>
  </si>
  <si>
    <t>Cost of sales (enter as -)</t>
  </si>
  <si>
    <t>Gross Profit</t>
  </si>
  <si>
    <t>Research &amp; development (enter as -)</t>
  </si>
  <si>
    <t>Selling, general &amp; administrative (enter as -)</t>
  </si>
  <si>
    <t>Operating profit (EBIT)</t>
  </si>
  <si>
    <t>Interest income</t>
  </si>
  <si>
    <t>Interest expense (enter as -)</t>
  </si>
  <si>
    <t>Other expense (enter as -)</t>
  </si>
  <si>
    <t>Pretax profit</t>
  </si>
  <si>
    <t>Taxes (enter expense as -)</t>
  </si>
  <si>
    <t>Net income</t>
  </si>
  <si>
    <t>Basic shares outstanding</t>
  </si>
  <si>
    <t>Impact of dilutive securities</t>
  </si>
  <si>
    <t>Diluted shares outstanding</t>
  </si>
  <si>
    <t>Basic EPS</t>
  </si>
  <si>
    <t>Diluted EPS</t>
  </si>
  <si>
    <t>Growth rates &amp; margins</t>
  </si>
  <si>
    <t>Revenue growth</t>
  </si>
  <si>
    <t>NA</t>
  </si>
  <si>
    <t>Gross profit as % of sales</t>
  </si>
  <si>
    <t>R&amp;D margin</t>
  </si>
  <si>
    <t>SG&amp;A margin</t>
  </si>
  <si>
    <t>Tax rate</t>
  </si>
  <si>
    <t>EBITDA reconciliation</t>
  </si>
  <si>
    <t>Depreciation &amp; amortization</t>
  </si>
  <si>
    <t>Stock based compensation</t>
  </si>
  <si>
    <t>EBITDA</t>
  </si>
  <si>
    <t>% growth</t>
  </si>
  <si>
    <t>BALANCE SHEET</t>
  </si>
  <si>
    <t>Cash &amp; equivalents ST &amp; LT market. securities</t>
  </si>
  <si>
    <t>Accounts receivable</t>
  </si>
  <si>
    <t>Inventory</t>
  </si>
  <si>
    <t>Deferred tax assets</t>
  </si>
  <si>
    <t>Other current assets (inc. non-trade receivables)</t>
  </si>
  <si>
    <t>Property, plant &amp; equipment</t>
  </si>
  <si>
    <t>Acquired intangible assets (inc. Goodwill)</t>
  </si>
  <si>
    <t>Other assets</t>
  </si>
  <si>
    <t>Total assets</t>
  </si>
  <si>
    <t>Accounts payable</t>
  </si>
  <si>
    <t>Accrued expenses &amp; def rev. (current &amp; non-current)</t>
  </si>
  <si>
    <t>Revolver</t>
  </si>
  <si>
    <t>Long term debt</t>
  </si>
  <si>
    <t>Other non-current liabilities</t>
  </si>
  <si>
    <t>Total liabilities</t>
  </si>
  <si>
    <t>Common stock / additional paid in capital</t>
  </si>
  <si>
    <t>Treasury stock</t>
  </si>
  <si>
    <t>Retained earnings / accumulated deficit</t>
  </si>
  <si>
    <t>Other comprehensive income / (loss)</t>
  </si>
  <si>
    <t>Total equity</t>
  </si>
  <si>
    <t>Balance check</t>
  </si>
  <si>
    <t>Ratios</t>
  </si>
  <si>
    <t>Net debt</t>
  </si>
  <si>
    <t>Asset turnover (Revenue / Total assets)</t>
  </si>
  <si>
    <t>Net profit margin</t>
  </si>
  <si>
    <t>Return on assets (ROA)</t>
  </si>
  <si>
    <t>Return on book equity (ROE)</t>
  </si>
  <si>
    <t>WORKING CAPITAL</t>
  </si>
  <si>
    <t>Beginning of period</t>
  </si>
  <si>
    <t>Increases / (decreases)</t>
  </si>
  <si>
    <t>End of period</t>
  </si>
  <si>
    <t>AR as % of sales</t>
  </si>
  <si>
    <t>Days sales outstanding (DSO)</t>
  </si>
  <si>
    <t xml:space="preserve">Inventory </t>
  </si>
  <si>
    <t>Inventory as % of COGS</t>
  </si>
  <si>
    <t>Inventory turnover</t>
  </si>
  <si>
    <t>AP as % of COGS</t>
  </si>
  <si>
    <t>Days payables outstanding (DPO)</t>
  </si>
  <si>
    <t>Accrued expenses &amp; def revenues</t>
  </si>
  <si>
    <t>Accrued expenses &amp; def revs as % of sales</t>
  </si>
  <si>
    <t>INTANGIBLE ASSETS (INC. GOODWILL)</t>
  </si>
  <si>
    <t>Plus: Purchases of intangible assets</t>
  </si>
  <si>
    <t>Less: Amortization</t>
  </si>
  <si>
    <t>Purchases of intangible assets (enter as +)</t>
  </si>
  <si>
    <t>Amortization (enter as -)</t>
  </si>
  <si>
    <t>PROPERTY, PLANT &amp; EQUIPMENT</t>
  </si>
  <si>
    <t>Plus: Capital expenditures</t>
  </si>
  <si>
    <t>Less: Depreciation</t>
  </si>
  <si>
    <t>Capex (enter as +)</t>
  </si>
  <si>
    <t>Capital expenditures as % of revenue</t>
  </si>
  <si>
    <t>Depreciation (enter as -)</t>
  </si>
  <si>
    <t>Depreciation as a % of capital expenditures</t>
  </si>
  <si>
    <t>OTHER ASSETS / LIABILITIES &amp; DEFERRED TAXES</t>
  </si>
  <si>
    <t>Deferred tax assets (DTAs)</t>
  </si>
  <si>
    <t>Other non current liabilities</t>
  </si>
  <si>
    <t>DEBT</t>
  </si>
  <si>
    <t xml:space="preserve">Long term debt </t>
  </si>
  <si>
    <t xml:space="preserve">Additional borrowing / (pay down) </t>
  </si>
  <si>
    <t>PIK accrual</t>
  </si>
  <si>
    <t>Interest expense on long term debt</t>
  </si>
  <si>
    <t>Weighted average interest rate</t>
  </si>
  <si>
    <t>% of interest expense paid in cash</t>
  </si>
  <si>
    <t>% of interest expense accrues as PIK</t>
  </si>
  <si>
    <t>CAPITAL STOCK</t>
  </si>
  <si>
    <t>Common stock / APIC</t>
  </si>
  <si>
    <t>Plus: new share issuances</t>
  </si>
  <si>
    <t>Plus: Stock based compensation</t>
  </si>
  <si>
    <t>New share issuance</t>
  </si>
  <si>
    <t>SBC as % of all operating expenses</t>
  </si>
  <si>
    <t>Less: Stock repurchases</t>
  </si>
  <si>
    <t>Stock repurchases</t>
  </si>
  <si>
    <t>RETAINED EARNINGS &amp; OCI</t>
  </si>
  <si>
    <t>Retained earnings</t>
  </si>
  <si>
    <t>Plus: Net income</t>
  </si>
  <si>
    <t>Less: Common dividends</t>
  </si>
  <si>
    <t>Dividend payout ratio</t>
  </si>
  <si>
    <t>Common dividends</t>
  </si>
  <si>
    <t>Plus: Income / (loss)</t>
  </si>
  <si>
    <t>CASH FLOW STATEMENT</t>
  </si>
  <si>
    <t>Depreciation and amortization</t>
  </si>
  <si>
    <t xml:space="preserve">Non-cash (PIK) interest </t>
  </si>
  <si>
    <t>Cash from operating activities</t>
  </si>
  <si>
    <t>Capital expenditures</t>
  </si>
  <si>
    <t>Purchases of intangible assets</t>
  </si>
  <si>
    <t>Cash from investing activities</t>
  </si>
  <si>
    <t>New share issuances</t>
  </si>
  <si>
    <t>Share repurchases</t>
  </si>
  <si>
    <t>Cash from financing activities</t>
  </si>
  <si>
    <t>Net change in cash during period</t>
  </si>
  <si>
    <t>MODEL PLUG: REVOLVER &amp; CASH</t>
  </si>
  <si>
    <t>Maximum availability</t>
  </si>
  <si>
    <t>Compliance check</t>
  </si>
  <si>
    <t>Revolver needs analysis</t>
  </si>
  <si>
    <t>Less: Minimum cash desired</t>
  </si>
  <si>
    <t>Equals: Excess cash at BOP</t>
  </si>
  <si>
    <t>Plus: Free cash flows generated during period</t>
  </si>
  <si>
    <t>Equals: Cash available (needed) to paydown (draw from) revolver</t>
  </si>
  <si>
    <t>Interest rate on revolver</t>
  </si>
  <si>
    <t>Interest expense</t>
  </si>
  <si>
    <t>Cash</t>
  </si>
  <si>
    <t>+/- additions</t>
  </si>
  <si>
    <t>Interest rate on cash</t>
  </si>
  <si>
    <t>SHARES OUTSTANDING</t>
  </si>
  <si>
    <t>+ new shares issued</t>
  </si>
  <si>
    <t>- shares repurchased</t>
  </si>
  <si>
    <t>Consensus EPS</t>
  </si>
  <si>
    <t>% change in EPS, year-over-year</t>
  </si>
  <si>
    <t>Average share price</t>
  </si>
  <si>
    <t>SENSITIVITY ANALYSIS</t>
  </si>
  <si>
    <t>Revenue growth rate</t>
  </si>
  <si>
    <t>Gross</t>
  </si>
  <si>
    <t>Profit</t>
  </si>
  <si>
    <t>Margin:</t>
  </si>
  <si>
    <t>SCENARIO ANALYSIS</t>
  </si>
  <si>
    <t>Select an operating scenario:</t>
  </si>
  <si>
    <t>Base case</t>
  </si>
  <si>
    <t>Best case</t>
  </si>
  <si>
    <t>Weak case</t>
  </si>
  <si>
    <t>General assumptions</t>
  </si>
  <si>
    <t>Latest basic share count</t>
  </si>
  <si>
    <t>Weighted average cost of capital</t>
  </si>
  <si>
    <t>Free cash flow buildup</t>
  </si>
  <si>
    <t>EBIT</t>
  </si>
  <si>
    <t>tax rate</t>
  </si>
  <si>
    <t>EBIAT (NOPAT)</t>
  </si>
  <si>
    <t>Unlevered CFO</t>
  </si>
  <si>
    <t>Less: Capital expenditures</t>
  </si>
  <si>
    <t>Less: Purchases of intangible assets</t>
  </si>
  <si>
    <t>Unlevered FCF</t>
  </si>
  <si>
    <t>Discount factor</t>
  </si>
  <si>
    <t>Present value of Unlevered FCF</t>
  </si>
  <si>
    <t>Perpetuity approach</t>
  </si>
  <si>
    <t>Exit EBITDA multiple approach</t>
  </si>
  <si>
    <t>Terminal year EBITDA</t>
  </si>
  <si>
    <t>Terminal value EBITDA multiple</t>
  </si>
  <si>
    <t>Long term growth rate (g)</t>
  </si>
  <si>
    <t xml:space="preserve">Terminal value </t>
  </si>
  <si>
    <t>Present value of terminal value</t>
  </si>
  <si>
    <t>Present value of stage 1 cash flows</t>
  </si>
  <si>
    <t xml:space="preserve">Enterprise value </t>
  </si>
  <si>
    <t>Less: Net debt</t>
  </si>
  <si>
    <t>Equity value</t>
  </si>
  <si>
    <t>Diluted shares</t>
  </si>
  <si>
    <t>Equity value per share</t>
  </si>
  <si>
    <t>Cost of capital assumptions</t>
  </si>
  <si>
    <t>Cost of debt</t>
  </si>
  <si>
    <t>Risk free rate</t>
  </si>
  <si>
    <t>Beta</t>
  </si>
  <si>
    <t>Market risk premium</t>
  </si>
  <si>
    <t>Cost of capital (WACC)</t>
  </si>
  <si>
    <t>Total proceeds ($mm)</t>
  </si>
  <si>
    <t>Total shares repurchased (mm)</t>
  </si>
  <si>
    <t>Net dilutive options</t>
  </si>
  <si>
    <t xml:space="preserve">Dilutive impact of shares from other securities </t>
  </si>
  <si>
    <t>Net diluted shares outstanding</t>
  </si>
  <si>
    <t>x</t>
  </si>
  <si>
    <t>Net Debt</t>
  </si>
  <si>
    <t>Perpetuity</t>
  </si>
  <si>
    <t>Enterprise value</t>
  </si>
  <si>
    <t>Less: Trapped cash</t>
  </si>
  <si>
    <t>Fair value per share</t>
  </si>
  <si>
    <t>Market premium / (discount) to fair value</t>
  </si>
  <si>
    <t>Exercisable options</t>
  </si>
  <si>
    <t>Exercise price</t>
  </si>
  <si>
    <t>In-the-money exercisable options</t>
  </si>
  <si>
    <t>Sensitivity analysis</t>
  </si>
  <si>
    <t>Exit EBITDA Multiple</t>
  </si>
  <si>
    <t>Operating income</t>
  </si>
  <si>
    <t>Market cap</t>
  </si>
  <si>
    <t>EV/EBITDA</t>
  </si>
  <si>
    <t>Assume cash flows are generated at:</t>
  </si>
  <si>
    <t>Middle of period</t>
  </si>
  <si>
    <t>Midperiod adjustment factor</t>
  </si>
  <si>
    <t>Comps derived EV/EBITDA</t>
  </si>
  <si>
    <t>EBITDA % of plan</t>
  </si>
  <si>
    <t>Implied TV exit EBITDA multiple</t>
  </si>
  <si>
    <t>Implied TV perpetual growth rate</t>
  </si>
  <si>
    <t>High</t>
  </si>
  <si>
    <t>Low</t>
  </si>
  <si>
    <t>Diff.</t>
  </si>
  <si>
    <t>52 Week Market High/Low</t>
  </si>
  <si>
    <t>Football field</t>
  </si>
  <si>
    <t>Options / warrants data</t>
  </si>
  <si>
    <t>LTM EBITDA multiple</t>
  </si>
  <si>
    <t>WACC:</t>
  </si>
  <si>
    <t>LTM calculations</t>
  </si>
  <si>
    <t>D&amp;A</t>
  </si>
  <si>
    <t>LTM EBITDA</t>
  </si>
  <si>
    <t>Long term growth rate (g):</t>
  </si>
  <si>
    <t xml:space="preserve">After tax cost of debt </t>
  </si>
  <si>
    <t>Cost of equity</t>
  </si>
  <si>
    <t>Capital weights</t>
  </si>
  <si>
    <t>Amount</t>
  </si>
  <si>
    <t>% of total</t>
  </si>
  <si>
    <t>Market value of equity</t>
  </si>
  <si>
    <r>
      <t>Normalized FCF</t>
    </r>
    <r>
      <rPr>
        <vertAlign val="superscript"/>
        <sz val="11"/>
        <color theme="1"/>
        <rFont val="Calibri"/>
        <family val="2"/>
        <scheme val="minor"/>
      </rPr>
      <t xml:space="preserve">t+1 </t>
    </r>
  </si>
  <si>
    <t>Normalized FCF in last forecast period (t)</t>
  </si>
  <si>
    <t>Beta calculation</t>
  </si>
  <si>
    <r>
      <t xml:space="preserve">Observed </t>
    </r>
    <r>
      <rPr>
        <sz val="11"/>
        <color theme="1"/>
        <rFont val="Symbol"/>
        <family val="1"/>
        <charset val="2"/>
      </rPr>
      <t>b</t>
    </r>
  </si>
  <si>
    <t>Share price</t>
  </si>
  <si>
    <t>Dil. shares</t>
  </si>
  <si>
    <t>Debt</t>
  </si>
  <si>
    <r>
      <t xml:space="preserve">Delev. </t>
    </r>
    <r>
      <rPr>
        <sz val="11"/>
        <color theme="1"/>
        <rFont val="Symbol"/>
        <family val="1"/>
        <charset val="2"/>
      </rPr>
      <t>b</t>
    </r>
  </si>
  <si>
    <t>MSFT</t>
  </si>
  <si>
    <t>GOOG</t>
  </si>
  <si>
    <t>AMZN</t>
  </si>
  <si>
    <t>Industry average delevered beta</t>
  </si>
  <si>
    <r>
      <t xml:space="preserve">Observed </t>
    </r>
    <r>
      <rPr>
        <u val="singleAccounting"/>
        <sz val="9"/>
        <color theme="1"/>
        <rFont val="Symbol"/>
        <family val="1"/>
        <charset val="2"/>
      </rPr>
      <t>b</t>
    </r>
  </si>
  <si>
    <r>
      <t xml:space="preserve">Select </t>
    </r>
    <r>
      <rPr>
        <u val="singleAccounting"/>
        <sz val="9"/>
        <color theme="1"/>
        <rFont val="Symbol"/>
        <family val="1"/>
        <charset val="2"/>
      </rPr>
      <t>b:</t>
    </r>
  </si>
  <si>
    <t>Observed</t>
  </si>
  <si>
    <t>Disney</t>
  </si>
  <si>
    <t>DIS</t>
  </si>
  <si>
    <t>Restructuring and impairment charges</t>
  </si>
  <si>
    <t>Less: Net income attributable to NCI</t>
  </si>
  <si>
    <t>Net income to DIS</t>
  </si>
  <si>
    <t>Equity in income of investees</t>
  </si>
  <si>
    <t>Projections from finbox.io</t>
  </si>
  <si>
    <t>finbox.io</t>
  </si>
  <si>
    <t>Television costs and advances</t>
  </si>
  <si>
    <t>DTL's</t>
  </si>
  <si>
    <t>Noncontrolling Interests</t>
  </si>
  <si>
    <t>ST Debt</t>
  </si>
  <si>
    <t>NCI % of NI</t>
  </si>
  <si>
    <t>2017 EPS 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</si>
</sst>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4">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quot; &quot;"/>
    <numFmt numFmtId="165" formatCode="&quot;$&quot;#,##0.00_);\(&quot;$&quot;#,##0.00\);@_)"/>
    <numFmt numFmtId="166" formatCode="#,##0.0_);\(#,##0.0\);@_)"/>
    <numFmt numFmtId="167" formatCode="0\A;[Red]0\A"/>
    <numFmt numFmtId="168" formatCode="0\P_);\(0\P\)"/>
    <numFmt numFmtId="169" formatCode="m/d/yy;@"/>
    <numFmt numFmtId="170" formatCode="#,##0_);\(#,##0\);@_)"/>
    <numFmt numFmtId="171" formatCode="0.0%_);\(0.0%\);@_)"/>
    <numFmt numFmtId="172" formatCode="0.0%"/>
    <numFmt numFmtId="173" formatCode="&quot;$&quot;#,##0.0_);\(&quot;$&quot;#,##0.0\)"/>
    <numFmt numFmtId="174" formatCode="0.00\x_);\(0.00\x\);@_)"/>
    <numFmt numFmtId="175" formatCode="0\ &quot;days&quot;"/>
    <numFmt numFmtId="176" formatCode="0.0\x"/>
    <numFmt numFmtId="177" formatCode="#,##0.000_);\(#,##0.000\)"/>
    <numFmt numFmtId="178" formatCode="0.0%;\(0.0%\)"/>
    <numFmt numFmtId="179" formatCode="0.0%;\ \(0.0%\)"/>
    <numFmt numFmtId="180" formatCode="#,##0.00_);\(#,##0.00\);@_)"/>
    <numFmt numFmtId="181" formatCode="0%_);\(0%\);@_)"/>
    <numFmt numFmtId="182" formatCode="#,##0.00_);\(#,##0\)"/>
    <numFmt numFmtId="183" formatCode="#,##0.0%_);\(#,##0.0%\)"/>
    <numFmt numFmtId="184" formatCode="0.0\ \x"/>
    <numFmt numFmtId="185" formatCode="#,##0.00\ ;\(#,##0.00\)"/>
    <numFmt numFmtId="186" formatCode="&quot;$&quot;#,##0.00\ ;\(&quot;$&quot;#,##0.00\)"/>
    <numFmt numFmtId="187" formatCode="0.0%_);\(0.0%\)"/>
    <numFmt numFmtId="188" formatCode="0.000\ \x&quot;rate&quot;"/>
    <numFmt numFmtId="189" formatCode="#,##0.000_);[Red]\(#,##0.000\)"/>
    <numFmt numFmtId="190" formatCode="0.00_);\(0.00\);0.00"/>
    <numFmt numFmtId="191" formatCode="\C&quot;$&quot;#,##0.00_);[Red]\(&quot;$&quot;#,##0.00\)"/>
    <numFmt numFmtId="192" formatCode="#,##0%_);\(#,##0.0%\)"/>
    <numFmt numFmtId="193" formatCode="_(* #,##0.00000000_);_(* \(#,##0.00000000\);_(* &quot;-&quot;?_);_(@_)"/>
    <numFmt numFmtId="194" formatCode="mmm\-d\-yyyy"/>
    <numFmt numFmtId="195" formatCode="mmm\-yyyy"/>
    <numFmt numFmtId="196" formatCode="yyyy"/>
    <numFmt numFmtId="197" formatCode="0.00\x&quot;rate&quot;"/>
    <numFmt numFmtId="198" formatCode="0.0&quot;  &quot;"/>
    <numFmt numFmtId="199" formatCode="&quot;$&quot;#,##0.0\ ;[Red]\(&quot;$&quot;#,##0\)"/>
    <numFmt numFmtId="200" formatCode="_(&quot;$&quot;* #,##0.00_);_(&quot;$&quot;* \(#,##0.00\);_(&quot;$&quot;* &quot;-&quot;?_);_(@_)"/>
    <numFmt numFmtId="201" formatCode="&quot;$&quot;#,##0.000_);[Red]\(&quot;$&quot;#,##0.000\)"/>
    <numFmt numFmtId="202" formatCode="&quot;$&quot;#,##0.00&quot;A&quot;;[Red]\(&quot;$&quot;#,##0.00\)&quot;A&quot;"/>
    <numFmt numFmtId="203" formatCode="#,##0.0\ ;[Red]\(&quot;$&quot;#,##0\)"/>
    <numFmt numFmtId="204" formatCode="&quot;$&quot;#,##0.00&quot;E&quot;;[Red]\(&quot;$&quot;#,##0.00\)&quot;E&quot;"/>
    <numFmt numFmtId="205" formatCode="_([$€-2]* #,##0.00_);_([$€-2]* \(#,##0.00\);_([$€-2]* &quot;-&quot;??_)"/>
    <numFmt numFmtId="206" formatCode="#,##0.00;\(#,##0.00\)"/>
    <numFmt numFmtId="207" formatCode=".%\,\(0.0%%;\t"/>
    <numFmt numFmtId="208" formatCode="#,##0.0_);[Red]\(#,##0.0\)"/>
    <numFmt numFmtId="209" formatCode="0.0%_);[Red]\(0.0%\)"/>
    <numFmt numFmtId="210" formatCode="0.00_);\(0.00\);0.00_)"/>
    <numFmt numFmtId="211" formatCode="#,##0\x"/>
    <numFmt numFmtId="212" formatCode="&quot;TKR&quot;\ 0"/>
    <numFmt numFmtId="213" formatCode=".%\,\(0.%%;\t"/>
    <numFmt numFmtId="214" formatCode="&quot;$&quot;#,###.0\ \ "/>
    <numFmt numFmtId="215" formatCode="#,##0.00\x_);[Red]\(#,##0.00\x\)"/>
    <numFmt numFmtId="216" formatCode="#,##0.0_);\(#,##0.0\)"/>
    <numFmt numFmtId="217" formatCode="#,##0.00\x_);[Red]\(#,##0.00\x\);&quot;--  &quot;"/>
    <numFmt numFmtId="218" formatCode="_(* #,##0.0_);_(* \(#,##0.0\);_(* &quot;-&quot;??_);_(@_)"/>
    <numFmt numFmtId="219" formatCode="0.0\x_);[Red]\(0.0\x\)"/>
    <numFmt numFmtId="220" formatCode="0.0\ "/>
    <numFmt numFmtId="221" formatCode="&quot;$&quot;#,##0.0;\(&quot;$&quot;#,##0.00\)"/>
    <numFmt numFmtId="222" formatCode="#,##0.00%_);\(#,##0.00%\)"/>
    <numFmt numFmtId="223" formatCode="0.00\%;\-0.00\%;0.00\%"/>
    <numFmt numFmtId="224" formatCode="0.0%\ ;\(0.0%\)"/>
    <numFmt numFmtId="225" formatCode="_(&quot;$&quot;* #,##0_);_(&quot;$&quot;* \(#,##0\);_(&quot;$&quot;* &quot;-&quot;??_);_(@_)"/>
    <numFmt numFmtId="226" formatCode="&quot;$&quot;0.00\ "/>
    <numFmt numFmtId="227" formatCode="0.0\ \ \ \ \ "/>
    <numFmt numFmtId="228" formatCode="0.00\x;\-0.00\x;0.00\x"/>
    <numFmt numFmtId="229" formatCode="&quot;$&quot;#,##0.000_);\(&quot;$&quot;#,##0.000\)"/>
    <numFmt numFmtId="230" formatCode="#,##0.0_);\(#,##0.0\);_(* &quot;-&quot;_)"/>
    <numFmt numFmtId="231" formatCode="_(&quot;$&quot;* #,##0.00_);_(&quot;$&quot;* \(#,##0.00\);_(* &quot;-&quot;_);_(@_)"/>
    <numFmt numFmtId="232" formatCode="0.00%_);[Red]\(0.00%\)"/>
    <numFmt numFmtId="233" formatCode="#,##0.0\x_);\(#,##0.0\x\)"/>
    <numFmt numFmtId="234" formatCode="#,##0.00\x_);\(#,##0.00\x\)"/>
    <numFmt numFmtId="235" formatCode="###0&quot;E&quot;_)"/>
    <numFmt numFmtId="236" formatCode="0.0\x_);\(0.0\x\);@_)"/>
    <numFmt numFmtId="237" formatCode="#,##0.0_);\(#,##0.0\);\-_);@_)"/>
    <numFmt numFmtId="238" formatCode="#,##0.000"/>
    <numFmt numFmtId="239" formatCode="0.000%_);\(0.000%\);@_)"/>
    <numFmt numFmtId="240" formatCode="0.000%"/>
    <numFmt numFmtId="241" formatCode="0.000\x_);\(0.000\x\);@_)"/>
    <numFmt numFmtId="242" formatCode="#,##0.00_);\(#,##0.00\);\-_);@_)"/>
  </numFmts>
  <fonts count="84">
    <font>
      <sz val="11"/>
      <color theme="1"/>
      <name val="Calibri"/>
      <family val="2"/>
      <scheme val="minor"/>
    </font>
    <font>
      <b/>
      <sz val="11"/>
      <color theme="1"/>
      <name val="Calibri"/>
      <family val="2"/>
      <scheme val="minor"/>
    </font>
    <font>
      <b/>
      <sz val="20"/>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b/>
      <sz val="11"/>
      <color rgb="FF000000"/>
      <name val="Calibri"/>
      <family val="2"/>
      <scheme val="minor"/>
    </font>
    <font>
      <b/>
      <sz val="11"/>
      <color rgb="FF0000FF"/>
      <name val="Calibri"/>
      <family val="2"/>
      <scheme val="minor"/>
    </font>
    <font>
      <b/>
      <sz val="9"/>
      <color indexed="81"/>
      <name val="Tahoma"/>
      <family val="2"/>
    </font>
    <font>
      <sz val="9"/>
      <color indexed="81"/>
      <name val="Tahoma"/>
      <family val="2"/>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1"/>
      <name val="Calibri"/>
      <family val="2"/>
      <scheme val="minor"/>
    </font>
    <font>
      <sz val="11"/>
      <color rgb="FF008000"/>
      <name val="Calibri"/>
      <family val="2"/>
      <scheme val="minor"/>
    </font>
    <font>
      <b/>
      <sz val="11"/>
      <color indexed="8"/>
      <name val="Calibri"/>
      <family val="2"/>
      <scheme val="minor"/>
    </font>
    <font>
      <vertAlign val="superscript"/>
      <sz val="11"/>
      <color theme="1"/>
      <name val="Calibri"/>
      <family val="2"/>
      <scheme val="minor"/>
    </font>
    <font>
      <i/>
      <sz val="11"/>
      <color rgb="FF008000"/>
      <name val="Calibri"/>
      <family val="2"/>
      <scheme val="minor"/>
    </font>
    <font>
      <u val="singleAccounting"/>
      <sz val="11"/>
      <color theme="1"/>
      <name val="Calibri"/>
      <family val="2"/>
      <scheme val="minor"/>
    </font>
    <font>
      <sz val="8"/>
      <color theme="1"/>
      <name val="Calibri"/>
      <family val="2"/>
      <scheme val="minor"/>
    </font>
    <font>
      <b/>
      <sz val="8"/>
      <color rgb="FF0000FF"/>
      <name val="Calibri"/>
      <family val="2"/>
      <scheme val="minor"/>
    </font>
    <font>
      <i/>
      <sz val="10"/>
      <color rgb="FF0000FF"/>
      <name val="Calibri"/>
      <family val="2"/>
      <scheme val="minor"/>
    </font>
    <font>
      <u val="singleAccounting"/>
      <sz val="11"/>
      <color rgb="FF000000"/>
      <name val="Calibri"/>
      <family val="2"/>
      <scheme val="minor"/>
    </font>
    <font>
      <sz val="11"/>
      <color theme="1"/>
      <name val="Symbol"/>
      <family val="1"/>
      <charset val="2"/>
    </font>
    <font>
      <u val="singleAccounting"/>
      <sz val="9"/>
      <color theme="1"/>
      <name val="Calibri"/>
      <family val="2"/>
      <scheme val="minor"/>
    </font>
    <font>
      <u val="singleAccounting"/>
      <sz val="9"/>
      <color theme="1"/>
      <name val="Symbol"/>
      <family val="1"/>
      <charset val="2"/>
    </font>
  </fonts>
  <fills count="33">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rgb="FFFFFF99"/>
        <bgColor indexed="64"/>
      </patternFill>
    </fill>
    <fill>
      <patternFill patternType="solid">
        <fgColor rgb="FFCCFFFF"/>
        <bgColor indexed="64"/>
      </patternFill>
    </fill>
  </fills>
  <borders count="37">
    <border>
      <left/>
      <right/>
      <top/>
      <bottom/>
      <diagonal/>
    </border>
    <border>
      <left/>
      <right/>
      <top style="medium">
        <color rgb="FF000000"/>
      </top>
      <bottom style="medium">
        <color rgb="FF000000"/>
      </bottom>
      <diagonal/>
    </border>
    <border>
      <left/>
      <right/>
      <top/>
      <bottom style="thin">
        <color rgb="FF000000"/>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right/>
      <top/>
      <bottom style="double">
        <color indexed="64"/>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bottom/>
      <diagonal/>
    </border>
    <border>
      <left style="thin">
        <color indexed="9"/>
      </left>
      <right style="thin">
        <color indexed="9"/>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top/>
      <bottom style="thick">
        <color indexed="64"/>
      </bottom>
      <diagonal/>
    </border>
    <border>
      <left/>
      <right/>
      <top style="thin">
        <color indexed="62"/>
      </top>
      <bottom style="double">
        <color indexed="62"/>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86">
    <xf numFmtId="0" fontId="0" fillId="0" borderId="0"/>
    <xf numFmtId="0" fontId="10" fillId="0" borderId="0"/>
    <xf numFmtId="182" fontId="10" fillId="0" borderId="0">
      <alignment horizontal="right"/>
    </xf>
    <xf numFmtId="183" fontId="10" fillId="2" borderId="0"/>
    <xf numFmtId="184" fontId="10" fillId="2" borderId="0"/>
    <xf numFmtId="183" fontId="10" fillId="2" borderId="0"/>
    <xf numFmtId="185" fontId="10" fillId="2" borderId="0"/>
    <xf numFmtId="186" fontId="10" fillId="2" borderId="0">
      <alignment horizontal="right"/>
    </xf>
    <xf numFmtId="187" fontId="11" fillId="0" borderId="0" applyFont="0" applyFill="0" applyBorder="0" applyAlignment="0" applyProtection="0"/>
    <xf numFmtId="0" fontId="12" fillId="0" borderId="0" applyNumberFormat="0" applyFont="0" applyFill="0" applyBorder="0" applyAlignment="0" applyProtection="0"/>
    <xf numFmtId="188" fontId="13" fillId="0" borderId="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6" borderId="0" applyNumberFormat="0" applyBorder="0" applyAlignment="0" applyProtection="0"/>
    <xf numFmtId="0" fontId="14" fillId="9" borderId="0" applyNumberFormat="0" applyBorder="0" applyAlignment="0" applyProtection="0"/>
    <xf numFmtId="0" fontId="14" fillId="12" borderId="0" applyNumberFormat="0" applyBorder="0" applyAlignment="0" applyProtection="0"/>
    <xf numFmtId="0" fontId="15" fillId="13"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20" borderId="0" applyNumberFormat="0" applyBorder="0" applyAlignment="0" applyProtection="0"/>
    <xf numFmtId="0" fontId="13" fillId="0" borderId="0"/>
    <xf numFmtId="0" fontId="16" fillId="4" borderId="0" applyNumberFormat="0" applyBorder="0" applyAlignment="0" applyProtection="0"/>
    <xf numFmtId="189" fontId="17" fillId="0" borderId="0" applyFont="0" applyFill="0" applyBorder="0" applyAlignment="0" applyProtection="0"/>
    <xf numFmtId="38" fontId="17" fillId="0" borderId="0" applyFill="0" applyBorder="0" applyAlignment="0" applyProtection="0">
      <protection locked="0"/>
    </xf>
    <xf numFmtId="0" fontId="18" fillId="0" borderId="0"/>
    <xf numFmtId="37" fontId="19" fillId="0" borderId="0">
      <alignment horizontal="centerContinuous"/>
    </xf>
    <xf numFmtId="0" fontId="20" fillId="21" borderId="9" applyNumberFormat="0" applyAlignment="0" applyProtection="0"/>
    <xf numFmtId="189" fontId="17" fillId="0" borderId="0" applyFont="0" applyFill="0" applyBorder="0" applyAlignment="0" applyProtection="0">
      <protection locked="0"/>
    </xf>
    <xf numFmtId="189" fontId="17" fillId="0" borderId="10" applyFont="0" applyFill="0" applyAlignment="0" applyProtection="0"/>
    <xf numFmtId="0" fontId="21" fillId="22" borderId="11" applyNumberFormat="0" applyAlignment="0" applyProtection="0"/>
    <xf numFmtId="0" fontId="12" fillId="0" borderId="0">
      <alignment horizontal="center" wrapText="1"/>
      <protection hidden="1"/>
    </xf>
    <xf numFmtId="0" fontId="22" fillId="0" borderId="12" applyNumberFormat="0" applyFill="0" applyBorder="0" applyProtection="0">
      <alignment horizontal="left" vertical="center"/>
    </xf>
    <xf numFmtId="0" fontId="22" fillId="0" borderId="12" applyNumberFormat="0" applyFill="0" applyBorder="0" applyProtection="0">
      <alignment horizontal="right" vertical="center"/>
    </xf>
    <xf numFmtId="43" fontId="12" fillId="0" borderId="0" applyFont="0" applyFill="0" applyBorder="0" applyAlignment="0" applyProtection="0"/>
    <xf numFmtId="37" fontId="23" fillId="0" borderId="0" applyFont="0" applyFill="0" applyBorder="0" applyAlignment="0" applyProtection="0"/>
    <xf numFmtId="39" fontId="23" fillId="0" borderId="0" applyFont="0" applyFill="0" applyBorder="0" applyAlignment="0" applyProtection="0"/>
    <xf numFmtId="0" fontId="24" fillId="23" borderId="0">
      <alignment horizontal="center" vertical="center" wrapText="1"/>
    </xf>
    <xf numFmtId="190" fontId="12" fillId="0" borderId="0" applyFill="0" applyBorder="0">
      <alignment horizontal="right"/>
      <protection locked="0"/>
    </xf>
    <xf numFmtId="0" fontId="25" fillId="0" borderId="0" applyFont="0" applyFill="0" applyBorder="0" applyAlignment="0"/>
    <xf numFmtId="7" fontId="26" fillId="0" borderId="0" applyFont="0" applyFill="0" applyBorder="0" applyAlignment="0" applyProtection="0"/>
    <xf numFmtId="5" fontId="23" fillId="0" borderId="0" applyFont="0" applyFill="0" applyBorder="0" applyAlignment="0" applyProtection="0"/>
    <xf numFmtId="191" fontId="13" fillId="0" borderId="0" applyFill="0" applyBorder="0" applyProtection="0">
      <alignment horizontal="right"/>
    </xf>
    <xf numFmtId="192" fontId="10" fillId="2" borderId="13">
      <alignment horizontal="right"/>
    </xf>
    <xf numFmtId="193" fontId="10" fillId="2" borderId="13">
      <alignment horizontal="right"/>
    </xf>
    <xf numFmtId="192" fontId="10" fillId="2" borderId="13">
      <alignment horizontal="right"/>
    </xf>
    <xf numFmtId="15" fontId="27" fillId="0" borderId="0" applyFill="0" applyBorder="0" applyAlignment="0"/>
    <xf numFmtId="194" fontId="25" fillId="24" borderId="0" applyFont="0" applyFill="0" applyBorder="0" applyAlignment="0" applyProtection="0"/>
    <xf numFmtId="195" fontId="27" fillId="0" borderId="12"/>
    <xf numFmtId="14" fontId="28" fillId="0" borderId="0" applyFont="0" applyFill="0" applyBorder="0" applyAlignment="0" applyProtection="0">
      <alignment horizontal="center"/>
    </xf>
    <xf numFmtId="196" fontId="28" fillId="0" borderId="0" applyFont="0" applyFill="0" applyBorder="0" applyAlignment="0" applyProtection="0">
      <alignment horizontal="center"/>
    </xf>
    <xf numFmtId="197" fontId="13" fillId="0" borderId="0" applyFont="0" applyFill="0" applyBorder="0" applyAlignment="0" applyProtection="0"/>
    <xf numFmtId="8" fontId="17" fillId="0" borderId="0" applyFont="0" applyFill="0" applyBorder="0" applyAlignment="0" applyProtection="0"/>
    <xf numFmtId="6" fontId="17" fillId="0" borderId="0" applyFont="0" applyFill="0" applyBorder="0" applyAlignment="0" applyProtection="0">
      <alignment horizontal="right"/>
    </xf>
    <xf numFmtId="6" fontId="17" fillId="0" borderId="0" applyFont="0" applyFill="0" applyBorder="0" applyAlignment="0" applyProtection="0"/>
    <xf numFmtId="39" fontId="10" fillId="25" borderId="0"/>
    <xf numFmtId="7" fontId="10" fillId="25" borderId="0" applyBorder="0"/>
    <xf numFmtId="198" fontId="10" fillId="25" borderId="0"/>
    <xf numFmtId="199" fontId="10" fillId="0" borderId="0"/>
    <xf numFmtId="200" fontId="10" fillId="25" borderId="0"/>
    <xf numFmtId="201" fontId="10" fillId="25" borderId="0"/>
    <xf numFmtId="202" fontId="18" fillId="0" borderId="0" applyFont="0" applyFill="0" applyBorder="0" applyProtection="0">
      <alignment horizontal="left"/>
      <protection locked="0"/>
    </xf>
    <xf numFmtId="203" fontId="10" fillId="0" borderId="0"/>
    <xf numFmtId="204" fontId="18" fillId="0" borderId="0" applyFont="0" applyFill="0" applyBorder="0" applyProtection="0">
      <alignment horizontal="left"/>
      <protection locked="0"/>
    </xf>
    <xf numFmtId="205" fontId="12" fillId="0" borderId="0" applyFont="0" applyFill="0" applyBorder="0" applyAlignment="0" applyProtection="0"/>
    <xf numFmtId="0" fontId="29" fillId="0" borderId="0" applyNumberFormat="0" applyFill="0" applyBorder="0" applyAlignment="0" applyProtection="0"/>
    <xf numFmtId="187" fontId="10" fillId="0" borderId="14"/>
    <xf numFmtId="206" fontId="10" fillId="2" borderId="13">
      <alignment horizontal="right"/>
    </xf>
    <xf numFmtId="207" fontId="10" fillId="2" borderId="13">
      <alignment horizontal="right"/>
    </xf>
    <xf numFmtId="206" fontId="10" fillId="2" borderId="13">
      <alignment horizontal="right"/>
    </xf>
    <xf numFmtId="208" fontId="17" fillId="0" borderId="0" applyFill="0" applyBorder="0" applyAlignment="0" applyProtection="0">
      <protection locked="0"/>
    </xf>
    <xf numFmtId="0" fontId="30" fillId="5" borderId="0" applyNumberFormat="0" applyBorder="0" applyAlignment="0" applyProtection="0"/>
    <xf numFmtId="209" fontId="31" fillId="0" borderId="0" applyFill="0" applyBorder="0" applyAlignment="0" applyProtection="0"/>
    <xf numFmtId="187" fontId="32" fillId="0" borderId="0" applyAlignment="0">
      <alignment horizontal="left"/>
      <protection locked="0"/>
    </xf>
    <xf numFmtId="208" fontId="13" fillId="26" borderId="15" applyNumberFormat="0" applyFont="0" applyAlignment="0" applyProtection="0"/>
    <xf numFmtId="0" fontId="33" fillId="0" borderId="16" applyNumberFormat="0" applyFill="0" applyAlignment="0" applyProtection="0"/>
    <xf numFmtId="0" fontId="34" fillId="0" borderId="17" applyNumberFormat="0" applyFill="0" applyAlignment="0" applyProtection="0"/>
    <xf numFmtId="0" fontId="35" fillId="0" borderId="18" applyNumberFormat="0" applyFill="0" applyAlignment="0" applyProtection="0"/>
    <xf numFmtId="0" fontId="35" fillId="0" borderId="0" applyNumberFormat="0" applyFill="0" applyBorder="0" applyAlignment="0" applyProtection="0"/>
    <xf numFmtId="208" fontId="36" fillId="0" borderId="0" applyNumberFormat="0" applyFill="0" applyBorder="0" applyAlignment="0" applyProtection="0"/>
    <xf numFmtId="0" fontId="37" fillId="0" borderId="0"/>
    <xf numFmtId="189" fontId="17" fillId="0" borderId="0" applyFont="0" applyFill="0" applyBorder="0" applyAlignment="0" applyProtection="0"/>
    <xf numFmtId="38" fontId="17" fillId="0" borderId="0" applyFill="0" applyBorder="0" applyAlignment="0" applyProtection="0">
      <alignment horizontal="right"/>
      <protection locked="0"/>
    </xf>
    <xf numFmtId="0" fontId="38" fillId="8" borderId="9" applyNumberFormat="0" applyAlignment="0" applyProtection="0"/>
    <xf numFmtId="0" fontId="25" fillId="24" borderId="0" applyFont="0" applyBorder="0" applyAlignment="0">
      <protection locked="0"/>
    </xf>
    <xf numFmtId="0" fontId="12" fillId="0" borderId="0" applyFill="0" applyBorder="0">
      <alignment horizontal="right"/>
      <protection locked="0"/>
    </xf>
    <xf numFmtId="17" fontId="39" fillId="27" borderId="0"/>
    <xf numFmtId="210" fontId="12" fillId="0" borderId="0" applyFill="0" applyBorder="0">
      <alignment horizontal="right"/>
      <protection locked="0"/>
    </xf>
    <xf numFmtId="0" fontId="40" fillId="28" borderId="19">
      <alignment horizontal="left" vertical="center" wrapText="1"/>
    </xf>
    <xf numFmtId="0" fontId="41" fillId="0" borderId="20" applyNumberFormat="0" applyFill="0" applyAlignment="0" applyProtection="0"/>
    <xf numFmtId="172" fontId="17" fillId="0" borderId="0" applyFont="0" applyFill="0" applyBorder="0" applyAlignment="0" applyProtection="0">
      <alignment horizontal="right"/>
    </xf>
    <xf numFmtId="211" fontId="10" fillId="0" borderId="0">
      <alignment horizontal="right"/>
    </xf>
    <xf numFmtId="212" fontId="10" fillId="25" borderId="0">
      <alignment horizontal="right"/>
    </xf>
    <xf numFmtId="213" fontId="10" fillId="0" borderId="0">
      <alignment horizontal="right"/>
    </xf>
    <xf numFmtId="211" fontId="10" fillId="0" borderId="0">
      <alignment horizontal="right"/>
    </xf>
    <xf numFmtId="187" fontId="42" fillId="0" borderId="0" applyFill="0" applyBorder="0" applyAlignment="0" applyProtection="0">
      <alignment horizontal="right"/>
    </xf>
    <xf numFmtId="187" fontId="42" fillId="0" borderId="0" applyFill="0" applyBorder="0" applyAlignment="0" applyProtection="0"/>
    <xf numFmtId="214" fontId="10" fillId="2" borderId="13">
      <alignment horizontal="right"/>
    </xf>
    <xf numFmtId="215" fontId="17" fillId="0" borderId="0" applyFont="0" applyFill="0" applyBorder="0" applyAlignment="0" applyProtection="0"/>
    <xf numFmtId="0" fontId="23" fillId="2" borderId="0" applyFont="0" applyBorder="0" applyAlignment="0" applyProtection="0">
      <alignment horizontal="right"/>
      <protection hidden="1"/>
    </xf>
    <xf numFmtId="0" fontId="43" fillId="26" borderId="0" applyNumberFormat="0" applyBorder="0" applyAlignment="0" applyProtection="0"/>
    <xf numFmtId="37" fontId="26" fillId="0" borderId="0" applyFont="0" applyFill="0" applyBorder="0" applyAlignment="0" applyProtection="0"/>
    <xf numFmtId="216" fontId="12" fillId="0" borderId="0" applyFont="0" applyFill="0" applyBorder="0" applyAlignment="0" applyProtection="0"/>
    <xf numFmtId="39" fontId="12" fillId="0" borderId="0" applyFont="0" applyFill="0" applyBorder="0" applyAlignment="0" applyProtection="0"/>
    <xf numFmtId="177" fontId="12" fillId="0" borderId="0" applyFont="0" applyFill="0" applyBorder="0" applyAlignment="0" applyProtection="0"/>
    <xf numFmtId="0" fontId="12" fillId="0" borderId="0"/>
    <xf numFmtId="0" fontId="27" fillId="0" borderId="0" applyNumberFormat="0" applyFill="0" applyBorder="0" applyAlignment="0" applyProtection="0"/>
    <xf numFmtId="0" fontId="25" fillId="0" borderId="0" applyFont="0" applyFill="0" applyBorder="0" applyAlignment="0" applyProtection="0"/>
    <xf numFmtId="217" fontId="25" fillId="0" borderId="0" applyFont="0" applyFill="0" applyBorder="0" applyAlignment="0" applyProtection="0"/>
    <xf numFmtId="0" fontId="14" fillId="29" borderId="21" applyNumberFormat="0" applyFont="0" applyAlignment="0" applyProtection="0"/>
    <xf numFmtId="0" fontId="23" fillId="0" borderId="0" applyFont="0" applyFill="0" applyBorder="0" applyAlignment="0" applyProtection="0"/>
    <xf numFmtId="218" fontId="12" fillId="0" borderId="0" applyFont="0" applyFill="0" applyBorder="0" applyAlignment="0" applyProtection="0"/>
    <xf numFmtId="0" fontId="23" fillId="0" borderId="0" applyFont="0" applyFill="0" applyBorder="0" applyAlignment="0" applyProtection="0"/>
    <xf numFmtId="0" fontId="44" fillId="21" borderId="22" applyNumberFormat="0" applyAlignment="0" applyProtection="0"/>
    <xf numFmtId="219" fontId="17" fillId="0" borderId="0" applyFont="0" applyFill="0" applyBorder="0" applyAlignment="0" applyProtection="0">
      <alignment horizontal="right"/>
    </xf>
    <xf numFmtId="0" fontId="45" fillId="0" borderId="0" applyNumberFormat="0" applyFill="0" applyBorder="0" applyAlignment="0" applyProtection="0"/>
    <xf numFmtId="0" fontId="25" fillId="0" borderId="0"/>
    <xf numFmtId="220" fontId="10" fillId="25" borderId="0"/>
    <xf numFmtId="9" fontId="17" fillId="0" borderId="0" applyFont="0" applyFill="0" applyBorder="0" applyAlignment="0" applyProtection="0">
      <alignment horizontal="right"/>
    </xf>
    <xf numFmtId="221" fontId="10" fillId="0" borderId="0"/>
    <xf numFmtId="0" fontId="12" fillId="0" borderId="0" applyFont="0" applyFill="0" applyBorder="0" applyAlignment="0"/>
    <xf numFmtId="183" fontId="12" fillId="0" borderId="0" applyFont="0" applyFill="0" applyBorder="0" applyAlignment="0" applyProtection="0"/>
    <xf numFmtId="222" fontId="12" fillId="0" borderId="0" applyFont="0" applyFill="0" applyBorder="0" applyAlignment="0" applyProtection="0"/>
    <xf numFmtId="223" fontId="12" fillId="0" borderId="0" applyFill="0" applyBorder="0">
      <alignment horizontal="right"/>
      <protection locked="0"/>
    </xf>
    <xf numFmtId="209" fontId="17" fillId="0" borderId="0" applyFont="0" applyFill="0" applyBorder="0" applyAlignment="0" applyProtection="0"/>
    <xf numFmtId="8" fontId="17" fillId="0" borderId="0" applyFont="0" applyFill="0" applyBorder="0" applyAlignment="0" applyProtection="0"/>
    <xf numFmtId="189" fontId="17" fillId="0" borderId="0" applyFont="0" applyFill="0" applyBorder="0" applyAlignment="0" applyProtection="0">
      <protection locked="0"/>
    </xf>
    <xf numFmtId="208" fontId="17" fillId="0" borderId="0" applyFill="0" applyBorder="0" applyAlignment="0" applyProtection="0"/>
    <xf numFmtId="38" fontId="17" fillId="0" borderId="0" applyFont="0" applyFill="0" applyBorder="0" applyAlignment="0" applyProtection="0"/>
    <xf numFmtId="185" fontId="10" fillId="2" borderId="23">
      <alignment horizontal="right"/>
    </xf>
    <xf numFmtId="224" fontId="46" fillId="2" borderId="0"/>
    <xf numFmtId="225" fontId="10" fillId="2" borderId="0"/>
    <xf numFmtId="0" fontId="47" fillId="0" borderId="0">
      <alignment horizontal="center"/>
    </xf>
    <xf numFmtId="0" fontId="10" fillId="0" borderId="12">
      <alignment horizontal="centerContinuous"/>
    </xf>
    <xf numFmtId="226" fontId="10" fillId="2" borderId="0">
      <alignment horizontal="right"/>
    </xf>
    <xf numFmtId="227" fontId="10" fillId="2" borderId="13">
      <alignment horizontal="right"/>
    </xf>
    <xf numFmtId="228" fontId="12" fillId="0" borderId="0">
      <alignment horizontal="right"/>
      <protection locked="0"/>
    </xf>
    <xf numFmtId="208" fontId="28" fillId="0" borderId="0" applyFont="0" applyFill="0" applyBorder="0" applyAlignment="0" applyProtection="0"/>
    <xf numFmtId="0" fontId="48" fillId="0" borderId="0" applyNumberFormat="0" applyFill="0" applyBorder="0" applyProtection="0">
      <alignment horizontal="right" vertical="center"/>
    </xf>
    <xf numFmtId="0" fontId="49" fillId="23" borderId="15">
      <alignment horizontal="center" vertical="center" wrapText="1"/>
      <protection hidden="1"/>
    </xf>
    <xf numFmtId="189" fontId="17" fillId="0" borderId="0" applyFill="0" applyBorder="0" applyAlignment="0" applyProtection="0">
      <protection locked="0"/>
    </xf>
    <xf numFmtId="229" fontId="28" fillId="0" borderId="0" applyFont="0" applyFill="0" applyBorder="0" applyAlignment="0" applyProtection="0">
      <alignment horizontal="right"/>
    </xf>
    <xf numFmtId="38" fontId="12" fillId="0" borderId="0" applyFont="0" applyFill="0" applyBorder="0" applyAlignment="0" applyProtection="0"/>
    <xf numFmtId="0" fontId="50" fillId="0" borderId="24" applyNumberFormat="0" applyFill="0" applyProtection="0">
      <alignment horizontal="left" vertical="top" wrapText="1"/>
    </xf>
    <xf numFmtId="0" fontId="37" fillId="0" borderId="0" applyNumberFormat="0" applyFill="0" applyBorder="0" applyProtection="0">
      <alignment horizontal="left" vertical="top" wrapText="1"/>
    </xf>
    <xf numFmtId="0" fontId="51" fillId="0" borderId="0" applyNumberFormat="0" applyFill="0" applyProtection="0">
      <alignment horizontal="left" vertical="top" wrapText="1"/>
    </xf>
    <xf numFmtId="0" fontId="52" fillId="0" borderId="0" applyNumberFormat="0" applyFill="0" applyBorder="0" applyProtection="0"/>
    <xf numFmtId="0" fontId="53" fillId="30" borderId="0" applyNumberFormat="0" applyBorder="0" applyProtection="0"/>
    <xf numFmtId="0" fontId="54" fillId="0" borderId="0" applyNumberFormat="0" applyFill="0" applyBorder="0" applyProtection="0">
      <alignment vertical="top"/>
    </xf>
    <xf numFmtId="230" fontId="55" fillId="0" borderId="0" applyFill="0" applyBorder="0" applyProtection="0">
      <alignment horizontal="right" wrapText="1"/>
    </xf>
    <xf numFmtId="231" fontId="55" fillId="0" borderId="0" applyFill="0" applyBorder="0" applyProtection="0">
      <alignment horizontal="right"/>
    </xf>
    <xf numFmtId="4" fontId="25" fillId="0" borderId="0" applyFill="0" applyBorder="0" applyProtection="0">
      <alignment horizontal="right"/>
    </xf>
    <xf numFmtId="201" fontId="56" fillId="0" borderId="0" applyFill="0" applyBorder="0" applyAlignment="0" applyProtection="0"/>
    <xf numFmtId="232" fontId="57" fillId="0" borderId="0" applyFill="0" applyBorder="0" applyAlignment="0" applyProtection="0">
      <alignment horizontal="left"/>
      <protection locked="0"/>
    </xf>
    <xf numFmtId="232" fontId="57" fillId="0" borderId="0" applyFill="0" applyBorder="0" applyAlignment="0" applyProtection="0"/>
    <xf numFmtId="232" fontId="58" fillId="0" borderId="0" applyFill="0" applyBorder="0" applyAlignment="0" applyProtection="0">
      <alignment horizontal="left"/>
      <protection locked="0"/>
    </xf>
    <xf numFmtId="232" fontId="58" fillId="0" borderId="0" applyFill="0" applyBorder="0" applyAlignment="0" applyProtection="0">
      <protection locked="0"/>
    </xf>
    <xf numFmtId="208" fontId="17" fillId="0" borderId="0" applyFill="0" applyBorder="0" applyAlignment="0" applyProtection="0">
      <protection locked="0"/>
    </xf>
    <xf numFmtId="208" fontId="56" fillId="0" borderId="0" applyFill="0" applyBorder="0" applyAlignment="0" applyProtection="0"/>
    <xf numFmtId="49" fontId="59" fillId="0" borderId="0"/>
    <xf numFmtId="233" fontId="12" fillId="0" borderId="0" applyFont="0" applyFill="0" applyBorder="0" applyAlignment="0" applyProtection="0"/>
    <xf numFmtId="234" fontId="12" fillId="0" borderId="0" applyFont="0" applyFill="0" applyBorder="0" applyAlignment="0" applyProtection="0"/>
    <xf numFmtId="0" fontId="60" fillId="0" borderId="0" applyNumberFormat="0" applyFill="0" applyBorder="0" applyAlignment="0" applyProtection="0"/>
    <xf numFmtId="0" fontId="61" fillId="1" borderId="0" applyNumberFormat="0" applyBorder="0" applyProtection="0">
      <alignment horizontal="left" vertical="center"/>
    </xf>
    <xf numFmtId="208" fontId="62" fillId="0" borderId="0" applyNumberFormat="0" applyFill="0" applyBorder="0" applyAlignment="0" applyProtection="0"/>
    <xf numFmtId="0" fontId="12" fillId="0" borderId="0" applyBorder="0"/>
    <xf numFmtId="38" fontId="63" fillId="0" borderId="0" applyFill="0" applyBorder="0" applyAlignment="0" applyProtection="0">
      <alignment horizontal="left"/>
    </xf>
    <xf numFmtId="0" fontId="64" fillId="0" borderId="0"/>
    <xf numFmtId="0" fontId="65" fillId="0" borderId="25" applyNumberFormat="0" applyFill="0" applyAlignment="0" applyProtection="0"/>
    <xf numFmtId="0" fontId="66" fillId="0" borderId="0" applyNumberFormat="0" applyFill="0" applyBorder="0" applyAlignment="0" applyProtection="0"/>
    <xf numFmtId="1" fontId="17" fillId="0" borderId="0" applyFont="0" applyFill="0" applyBorder="0" applyAlignment="0" applyProtection="0"/>
    <xf numFmtId="235" fontId="26" fillId="0" borderId="0" applyFont="0" applyFill="0" applyBorder="0" applyAlignment="0" applyProtection="0"/>
  </cellStyleXfs>
  <cellXfs count="230">
    <xf numFmtId="0" fontId="0" fillId="0" borderId="0" xfId="0"/>
    <xf numFmtId="0" fontId="2" fillId="0" borderId="1" xfId="0" applyFont="1" applyBorder="1"/>
    <xf numFmtId="14" fontId="3" fillId="0" borderId="0" xfId="0" applyNumberFormat="1" applyFont="1" applyFill="1" applyBorder="1" applyAlignment="1">
      <alignment horizontal="left"/>
    </xf>
    <xf numFmtId="0" fontId="4" fillId="0" borderId="0" xfId="0" applyFont="1" applyBorder="1"/>
    <xf numFmtId="0" fontId="5" fillId="0" borderId="0" xfId="0" applyFont="1" applyFill="1" applyBorder="1" applyAlignment="1">
      <alignment horizontal="right"/>
    </xf>
    <xf numFmtId="164" fontId="0" fillId="0" borderId="0" xfId="0" applyNumberFormat="1" applyFont="1" applyBorder="1"/>
    <xf numFmtId="165" fontId="5" fillId="0" borderId="0" xfId="0" applyNumberFormat="1" applyFont="1" applyFill="1" applyBorder="1" applyAlignment="1">
      <alignment horizontal="right"/>
    </xf>
    <xf numFmtId="0" fontId="6" fillId="0" borderId="0" xfId="0" applyFont="1" applyFill="1" applyBorder="1"/>
    <xf numFmtId="166" fontId="7" fillId="0" borderId="0" xfId="0" applyNumberFormat="1" applyFont="1" applyFill="1" applyBorder="1" applyAlignment="1">
      <alignment horizontal="right"/>
    </xf>
    <xf numFmtId="14" fontId="5" fillId="0" borderId="0" xfId="0" applyNumberFormat="1" applyFont="1" applyFill="1" applyBorder="1" applyAlignment="1">
      <alignment horizontal="right"/>
    </xf>
    <xf numFmtId="0" fontId="4" fillId="0" borderId="0" xfId="0" applyFont="1" applyFill="1" applyBorder="1"/>
    <xf numFmtId="166" fontId="5" fillId="0" borderId="0" xfId="0" applyNumberFormat="1" applyFont="1" applyFill="1" applyBorder="1" applyAlignment="1">
      <alignment horizontal="right"/>
    </xf>
    <xf numFmtId="176" fontId="0" fillId="0" borderId="0" xfId="0" applyNumberFormat="1" applyFont="1"/>
    <xf numFmtId="176" fontId="4" fillId="0" borderId="0" xfId="0" applyNumberFormat="1" applyFont="1"/>
    <xf numFmtId="171" fontId="0" fillId="0" borderId="0" xfId="0" applyNumberFormat="1" applyFont="1"/>
    <xf numFmtId="175" fontId="4" fillId="0" borderId="0" xfId="0" applyNumberFormat="1" applyFont="1"/>
    <xf numFmtId="171" fontId="4" fillId="0" borderId="0" xfId="0" applyNumberFormat="1" applyFont="1"/>
    <xf numFmtId="0" fontId="0" fillId="0" borderId="0" xfId="0" applyFont="1"/>
    <xf numFmtId="0" fontId="0" fillId="0" borderId="1" xfId="0" applyFont="1" applyBorder="1"/>
    <xf numFmtId="0" fontId="67" fillId="0" borderId="0" xfId="0" applyFont="1" applyBorder="1"/>
    <xf numFmtId="0" fontId="0" fillId="0" borderId="0" xfId="0" applyFont="1" applyBorder="1"/>
    <xf numFmtId="14" fontId="68" fillId="0" borderId="0" xfId="0" applyNumberFormat="1" applyFont="1" applyBorder="1"/>
    <xf numFmtId="0" fontId="1" fillId="0" borderId="2" xfId="0" applyFont="1" applyBorder="1"/>
    <xf numFmtId="0" fontId="67" fillId="0" borderId="2" xfId="0" applyFont="1" applyBorder="1"/>
    <xf numFmtId="0" fontId="0" fillId="0" borderId="2" xfId="0" applyFont="1" applyBorder="1"/>
    <xf numFmtId="167" fontId="1" fillId="0" borderId="0" xfId="0" applyNumberFormat="1" applyFont="1" applyBorder="1"/>
    <xf numFmtId="168" fontId="1" fillId="0" borderId="0" xfId="0" applyNumberFormat="1" applyFont="1" applyBorder="1"/>
    <xf numFmtId="0" fontId="68" fillId="0" borderId="2" xfId="0" applyFont="1" applyBorder="1"/>
    <xf numFmtId="169" fontId="69" fillId="0" borderId="2" xfId="0" applyNumberFormat="1" applyFont="1" applyBorder="1"/>
    <xf numFmtId="169" fontId="68" fillId="0" borderId="2" xfId="0" applyNumberFormat="1" applyFont="1" applyBorder="1"/>
    <xf numFmtId="0" fontId="68" fillId="0" borderId="0" xfId="0" applyFont="1" applyBorder="1"/>
    <xf numFmtId="169" fontId="69" fillId="0" borderId="0" xfId="0" applyNumberFormat="1" applyFont="1" applyBorder="1"/>
    <xf numFmtId="169" fontId="68" fillId="0" borderId="0" xfId="0" applyNumberFormat="1" applyFont="1" applyBorder="1"/>
    <xf numFmtId="37" fontId="5" fillId="0" borderId="0" xfId="0" applyNumberFormat="1" applyFont="1" applyFill="1" applyBorder="1"/>
    <xf numFmtId="37" fontId="4" fillId="0" borderId="0" xfId="0" applyNumberFormat="1" applyFont="1" applyBorder="1"/>
    <xf numFmtId="0" fontId="1" fillId="0" borderId="0" xfId="0" applyFont="1" applyBorder="1"/>
    <xf numFmtId="37" fontId="6" fillId="0" borderId="0" xfId="0" applyNumberFormat="1" applyFont="1" applyFill="1" applyBorder="1"/>
    <xf numFmtId="0" fontId="0" fillId="0" borderId="0" xfId="0" applyFont="1" applyFill="1" applyBorder="1"/>
    <xf numFmtId="37" fontId="0" fillId="0" borderId="0" xfId="0" applyNumberFormat="1" applyFont="1" applyBorder="1"/>
    <xf numFmtId="37" fontId="6" fillId="0" borderId="0" xfId="0" applyNumberFormat="1" applyFont="1" applyBorder="1"/>
    <xf numFmtId="3" fontId="5" fillId="0" borderId="0" xfId="0" applyNumberFormat="1" applyFont="1"/>
    <xf numFmtId="170" fontId="0" fillId="0" borderId="0" xfId="0" applyNumberFormat="1" applyFont="1"/>
    <xf numFmtId="3" fontId="4" fillId="0" borderId="0" xfId="0" applyNumberFormat="1" applyFont="1"/>
    <xf numFmtId="7" fontId="0" fillId="0" borderId="0" xfId="0" applyNumberFormat="1" applyFont="1"/>
    <xf numFmtId="0" fontId="1" fillId="0" borderId="0" xfId="0" applyFont="1"/>
    <xf numFmtId="7" fontId="1" fillId="0" borderId="0" xfId="0" applyNumberFormat="1" applyFont="1"/>
    <xf numFmtId="0" fontId="70" fillId="0" borderId="0" xfId="0" applyFont="1"/>
    <xf numFmtId="0" fontId="0" fillId="0" borderId="0" xfId="0" applyFont="1" applyBorder="1" applyAlignment="1">
      <alignment horizontal="left" indent="1"/>
    </xf>
    <xf numFmtId="171" fontId="0" fillId="0" borderId="0" xfId="0" applyNumberFormat="1" applyFont="1" applyBorder="1" applyAlignment="1">
      <alignment horizontal="right"/>
    </xf>
    <xf numFmtId="171" fontId="4" fillId="0" borderId="0" xfId="0" applyNumberFormat="1" applyFont="1" applyBorder="1"/>
    <xf numFmtId="171" fontId="4" fillId="0" borderId="0" xfId="0" applyNumberFormat="1" applyFont="1" applyFill="1" applyBorder="1"/>
    <xf numFmtId="0" fontId="0" fillId="0" borderId="0" xfId="0" applyFont="1" applyFill="1" applyBorder="1" applyAlignment="1">
      <alignment horizontal="left" indent="1"/>
    </xf>
    <xf numFmtId="171" fontId="5" fillId="0" borderId="0" xfId="0" applyNumberFormat="1" applyFont="1" applyBorder="1" applyAlignment="1"/>
    <xf numFmtId="0" fontId="70" fillId="0" borderId="0" xfId="0" applyFont="1" applyFill="1" applyBorder="1"/>
    <xf numFmtId="0" fontId="0" fillId="0" borderId="0" xfId="0" applyFont="1" applyAlignment="1">
      <alignment horizontal="left" indent="1"/>
    </xf>
    <xf numFmtId="0" fontId="1" fillId="0" borderId="0" xfId="0" applyFont="1" applyAlignment="1">
      <alignment horizontal="left" indent="1"/>
    </xf>
    <xf numFmtId="3" fontId="6" fillId="0" borderId="0" xfId="0" applyNumberFormat="1" applyFont="1"/>
    <xf numFmtId="3" fontId="0" fillId="0" borderId="0" xfId="0" applyNumberFormat="1" applyFont="1"/>
    <xf numFmtId="167" fontId="6" fillId="0" borderId="0" xfId="0" applyNumberFormat="1" applyFont="1" applyBorder="1"/>
    <xf numFmtId="168" fontId="6" fillId="0" borderId="0" xfId="0" applyNumberFormat="1" applyFont="1" applyBorder="1"/>
    <xf numFmtId="169" fontId="3" fillId="0" borderId="2" xfId="0" applyNumberFormat="1" applyFont="1" applyBorder="1"/>
    <xf numFmtId="37" fontId="4" fillId="0" borderId="0" xfId="0" applyNumberFormat="1" applyFont="1"/>
    <xf numFmtId="37" fontId="0" fillId="0" borderId="0" xfId="0" applyNumberFormat="1" applyFont="1"/>
    <xf numFmtId="171" fontId="5" fillId="0" borderId="0" xfId="0" applyNumberFormat="1" applyFont="1"/>
    <xf numFmtId="166" fontId="0" fillId="0" borderId="0" xfId="0" applyNumberFormat="1" applyFont="1"/>
    <xf numFmtId="14" fontId="68" fillId="0" borderId="0" xfId="0" applyNumberFormat="1" applyFont="1"/>
    <xf numFmtId="173" fontId="5" fillId="0" borderId="0" xfId="0" applyNumberFormat="1" applyFont="1" applyFill="1"/>
    <xf numFmtId="37" fontId="5" fillId="0" borderId="0" xfId="0" applyNumberFormat="1" applyFont="1" applyFill="1" applyAlignment="1"/>
    <xf numFmtId="166" fontId="5" fillId="0" borderId="0" xfId="0" applyNumberFormat="1" applyFont="1" applyFill="1" applyBorder="1"/>
    <xf numFmtId="37" fontId="5" fillId="0" borderId="0" xfId="0" applyNumberFormat="1" applyFont="1" applyFill="1" applyBorder="1" applyAlignment="1"/>
    <xf numFmtId="37" fontId="4" fillId="0" borderId="0" xfId="0" applyNumberFormat="1" applyFont="1" applyFill="1" applyBorder="1" applyAlignment="1"/>
    <xf numFmtId="0" fontId="0" fillId="0" borderId="0" xfId="0" applyFont="1" applyFill="1" applyBorder="1" applyAlignment="1">
      <alignment horizontal="left"/>
    </xf>
    <xf numFmtId="166" fontId="5" fillId="0" borderId="0" xfId="0" applyNumberFormat="1" applyFont="1" applyFill="1" applyBorder="1" applyAlignment="1">
      <alignment horizontal="left" indent="3"/>
    </xf>
    <xf numFmtId="0" fontId="1" fillId="0" borderId="0" xfId="0" applyFont="1" applyBorder="1" applyAlignment="1">
      <alignment horizontal="left"/>
    </xf>
    <xf numFmtId="173" fontId="6" fillId="0" borderId="0" xfId="0" applyNumberFormat="1" applyFont="1" applyFill="1" applyBorder="1" applyAlignment="1">
      <alignment horizontal="left" indent="3"/>
    </xf>
    <xf numFmtId="37" fontId="6" fillId="0" borderId="0" xfId="0" applyNumberFormat="1" applyFont="1" applyBorder="1" applyAlignment="1"/>
    <xf numFmtId="0" fontId="0" fillId="0" borderId="0" xfId="0" applyFont="1" applyBorder="1" applyAlignment="1">
      <alignment horizontal="left"/>
    </xf>
    <xf numFmtId="166" fontId="0" fillId="0" borderId="0" xfId="0" applyNumberFormat="1" applyFont="1" applyFill="1" applyBorder="1" applyAlignment="1">
      <alignment horizontal="left" indent="3"/>
    </xf>
    <xf numFmtId="37" fontId="0" fillId="0" borderId="0" xfId="0" applyNumberFormat="1" applyFont="1" applyFill="1" applyBorder="1" applyAlignment="1"/>
    <xf numFmtId="173" fontId="5" fillId="0" borderId="0" xfId="0" applyNumberFormat="1" applyFont="1" applyFill="1" applyBorder="1" applyAlignment="1">
      <alignment horizontal="left" indent="3"/>
    </xf>
    <xf numFmtId="170" fontId="0" fillId="0" borderId="0" xfId="0" applyNumberFormat="1" applyFont="1" applyBorder="1"/>
    <xf numFmtId="37" fontId="6" fillId="0" borderId="0" xfId="0" applyNumberFormat="1" applyFont="1" applyFill="1" applyBorder="1" applyAlignment="1"/>
    <xf numFmtId="173" fontId="1" fillId="0" borderId="0" xfId="0" applyNumberFormat="1" applyFont="1" applyFill="1" applyBorder="1" applyAlignment="1">
      <alignment horizontal="left" indent="3"/>
    </xf>
    <xf numFmtId="37" fontId="1" fillId="0" borderId="0" xfId="0" applyNumberFormat="1" applyFont="1" applyFill="1" applyBorder="1" applyAlignment="1"/>
    <xf numFmtId="166" fontId="0" fillId="0" borderId="0" xfId="0" applyNumberFormat="1" applyFont="1" applyFill="1" applyBorder="1"/>
    <xf numFmtId="37" fontId="0" fillId="0" borderId="0" xfId="0" applyNumberFormat="1" applyFont="1" applyBorder="1" applyAlignment="1"/>
    <xf numFmtId="166" fontId="68" fillId="0" borderId="0" xfId="0" applyNumberFormat="1" applyFont="1" applyFill="1" applyBorder="1"/>
    <xf numFmtId="37" fontId="68" fillId="0" borderId="0" xfId="0" applyNumberFormat="1" applyFont="1" applyBorder="1" applyAlignment="1"/>
    <xf numFmtId="174" fontId="0" fillId="0" borderId="0" xfId="0" applyNumberFormat="1" applyFont="1"/>
    <xf numFmtId="173" fontId="5" fillId="0" borderId="0" xfId="0" applyNumberFormat="1" applyFont="1" applyFill="1" applyBorder="1"/>
    <xf numFmtId="169" fontId="3" fillId="0" borderId="0" xfId="0" applyNumberFormat="1" applyFont="1" applyBorder="1"/>
    <xf numFmtId="0" fontId="0" fillId="0" borderId="0" xfId="0" quotePrefix="1" applyFont="1" applyBorder="1" applyAlignment="1">
      <alignment horizontal="left" indent="1"/>
    </xf>
    <xf numFmtId="173" fontId="1" fillId="0" borderId="0" xfId="0" applyNumberFormat="1" applyFont="1" applyBorder="1"/>
    <xf numFmtId="166" fontId="0" fillId="0" borderId="0" xfId="0" applyNumberFormat="1" applyFont="1" applyBorder="1"/>
    <xf numFmtId="171" fontId="0" fillId="0" borderId="0" xfId="0" applyNumberFormat="1" applyFont="1" applyBorder="1"/>
    <xf numFmtId="175" fontId="0" fillId="0" borderId="0" xfId="0" applyNumberFormat="1" applyFont="1"/>
    <xf numFmtId="175" fontId="71" fillId="0" borderId="0" xfId="0" applyNumberFormat="1" applyFont="1"/>
    <xf numFmtId="37" fontId="5" fillId="0" borderId="0" xfId="0" applyNumberFormat="1" applyFont="1"/>
    <xf numFmtId="0" fontId="1" fillId="0" borderId="0" xfId="0" applyFont="1" applyFill="1" applyBorder="1"/>
    <xf numFmtId="171" fontId="0" fillId="0" borderId="2" xfId="0" applyNumberFormat="1" applyFont="1" applyBorder="1"/>
    <xf numFmtId="9" fontId="5" fillId="0" borderId="2" xfId="0" applyNumberFormat="1" applyFont="1" applyBorder="1"/>
    <xf numFmtId="9" fontId="5" fillId="0" borderId="0" xfId="0" applyNumberFormat="1" applyFont="1"/>
    <xf numFmtId="9" fontId="0" fillId="0" borderId="0" xfId="0" applyNumberFormat="1" applyFont="1"/>
    <xf numFmtId="0" fontId="5" fillId="0" borderId="0" xfId="0" applyFont="1"/>
    <xf numFmtId="0" fontId="1" fillId="0" borderId="0" xfId="0" applyFont="1" applyFill="1" applyBorder="1" applyAlignment="1">
      <alignment horizontal="left"/>
    </xf>
    <xf numFmtId="3" fontId="0" fillId="0" borderId="0" xfId="0" applyNumberFormat="1" applyFont="1" applyBorder="1"/>
    <xf numFmtId="37" fontId="1" fillId="0" borderId="0" xfId="0" applyNumberFormat="1" applyFont="1" applyBorder="1"/>
    <xf numFmtId="37" fontId="1" fillId="0" borderId="0" xfId="0" applyNumberFormat="1" applyFont="1"/>
    <xf numFmtId="0" fontId="70" fillId="0" borderId="0" xfId="0" applyFont="1" applyBorder="1"/>
    <xf numFmtId="0" fontId="1" fillId="0" borderId="0" xfId="0" applyFont="1" applyBorder="1" applyAlignment="1">
      <alignment horizontal="left" indent="1"/>
    </xf>
    <xf numFmtId="0" fontId="0" fillId="0" borderId="0" xfId="0" quotePrefix="1" applyFont="1" applyBorder="1"/>
    <xf numFmtId="10" fontId="5" fillId="0" borderId="0" xfId="0" applyNumberFormat="1" applyFont="1"/>
    <xf numFmtId="10" fontId="4" fillId="0" borderId="0" xfId="0" applyNumberFormat="1" applyFont="1"/>
    <xf numFmtId="37" fontId="0" fillId="0" borderId="0" xfId="0" applyNumberFormat="1" applyFont="1" applyFill="1"/>
    <xf numFmtId="0" fontId="4" fillId="0" borderId="0" xfId="0" applyFont="1"/>
    <xf numFmtId="39" fontId="0" fillId="0" borderId="0" xfId="0" applyNumberFormat="1" applyFont="1"/>
    <xf numFmtId="172" fontId="0" fillId="0" borderId="0" xfId="0" applyNumberFormat="1" applyFont="1"/>
    <xf numFmtId="165" fontId="0" fillId="0" borderId="0" xfId="0" applyNumberFormat="1" applyFont="1"/>
    <xf numFmtId="168" fontId="1" fillId="0" borderId="3" xfId="0" applyNumberFormat="1" applyFont="1" applyBorder="1"/>
    <xf numFmtId="0" fontId="0" fillId="0" borderId="3" xfId="0" applyFont="1" applyBorder="1"/>
    <xf numFmtId="0" fontId="0" fillId="0" borderId="0" xfId="0" applyFont="1" applyBorder="1" applyAlignment="1">
      <alignment horizontal="centerContinuous"/>
    </xf>
    <xf numFmtId="7" fontId="0" fillId="0" borderId="4" xfId="0" applyNumberFormat="1" applyFont="1" applyFill="1" applyBorder="1"/>
    <xf numFmtId="178" fontId="5" fillId="0" borderId="5" xfId="0" applyNumberFormat="1" applyFont="1" applyFill="1" applyBorder="1"/>
    <xf numFmtId="0" fontId="0" fillId="0" borderId="0" xfId="0" applyFont="1" applyAlignment="1">
      <alignment horizontal="right"/>
    </xf>
    <xf numFmtId="179" fontId="5" fillId="0" borderId="6" xfId="0" applyNumberFormat="1" applyFont="1" applyFill="1" applyBorder="1"/>
    <xf numFmtId="180" fontId="0" fillId="0" borderId="0" xfId="0" applyNumberFormat="1" applyFont="1" applyFill="1"/>
    <xf numFmtId="0" fontId="1" fillId="0" borderId="3" xfId="0" applyFont="1" applyBorder="1"/>
    <xf numFmtId="0" fontId="1" fillId="0" borderId="7" xfId="0" applyFont="1" applyFill="1" applyBorder="1"/>
    <xf numFmtId="14" fontId="7" fillId="0" borderId="8" xfId="0" applyNumberFormat="1" applyFont="1" applyFill="1" applyBorder="1" applyAlignment="1">
      <alignment horizontal="right"/>
    </xf>
    <xf numFmtId="0" fontId="0" fillId="0" borderId="0" xfId="0" applyFont="1" applyBorder="1" applyAlignment="1">
      <alignment horizontal="left" indent="2"/>
    </xf>
    <xf numFmtId="181" fontId="0" fillId="0" borderId="0" xfId="0" applyNumberFormat="1" applyFont="1"/>
    <xf numFmtId="171" fontId="5" fillId="0" borderId="0" xfId="0" applyNumberFormat="1" applyFont="1" applyBorder="1"/>
    <xf numFmtId="0" fontId="1" fillId="0" borderId="0" xfId="0" applyFont="1" applyFill="1" applyBorder="1" applyAlignment="1">
      <alignment horizontal="left" indent="1"/>
    </xf>
    <xf numFmtId="0" fontId="73" fillId="0" borderId="3" xfId="0" applyNumberFormat="1" applyFont="1" applyFill="1" applyBorder="1" applyAlignment="1"/>
    <xf numFmtId="37" fontId="72" fillId="0" borderId="0" xfId="0" applyNumberFormat="1" applyFont="1"/>
    <xf numFmtId="14" fontId="0" fillId="0" borderId="0" xfId="0" applyNumberFormat="1" applyFont="1"/>
    <xf numFmtId="14" fontId="1" fillId="0" borderId="3" xfId="0" applyNumberFormat="1" applyFont="1" applyBorder="1"/>
    <xf numFmtId="0" fontId="68" fillId="0" borderId="0" xfId="0" applyFont="1" applyAlignment="1">
      <alignment horizontal="left"/>
    </xf>
    <xf numFmtId="37" fontId="6" fillId="0" borderId="0" xfId="0" applyNumberFormat="1" applyFont="1"/>
    <xf numFmtId="0" fontId="68" fillId="0" borderId="0" xfId="0" applyFont="1"/>
    <xf numFmtId="0" fontId="0" fillId="0" borderId="0" xfId="0" applyFont="1" applyAlignment="1">
      <alignment horizontal="left"/>
    </xf>
    <xf numFmtId="165" fontId="1" fillId="0" borderId="0" xfId="0" applyNumberFormat="1" applyFont="1"/>
    <xf numFmtId="0" fontId="71" fillId="0" borderId="0" xfId="0" applyNumberFormat="1" applyFont="1" applyFill="1" applyBorder="1" applyAlignment="1"/>
    <xf numFmtId="172" fontId="5" fillId="0" borderId="0" xfId="0" applyNumberFormat="1" applyFont="1" applyFill="1"/>
    <xf numFmtId="39" fontId="5" fillId="0" borderId="0" xfId="0" applyNumberFormat="1" applyFont="1" applyFill="1"/>
    <xf numFmtId="172" fontId="5" fillId="0" borderId="0" xfId="0" applyNumberFormat="1" applyFont="1" applyFill="1" applyBorder="1"/>
    <xf numFmtId="172" fontId="4" fillId="0" borderId="0" xfId="0" applyNumberFormat="1" applyFont="1"/>
    <xf numFmtId="165" fontId="72" fillId="0" borderId="0" xfId="0" applyNumberFormat="1" applyFont="1"/>
    <xf numFmtId="0" fontId="0" fillId="0" borderId="0" xfId="0" applyFont="1" applyFill="1" applyBorder="1" applyAlignment="1">
      <alignment horizontal="left" indent="2"/>
    </xf>
    <xf numFmtId="0" fontId="68" fillId="0" borderId="0" xfId="0" applyFont="1" applyAlignment="1">
      <alignment horizontal="left" indent="1"/>
    </xf>
    <xf numFmtId="14" fontId="0" fillId="0" borderId="0" xfId="0" applyNumberFormat="1"/>
    <xf numFmtId="37" fontId="0" fillId="0" borderId="0" xfId="0" applyNumberFormat="1"/>
    <xf numFmtId="171" fontId="75" fillId="0" borderId="0" xfId="0" applyNumberFormat="1" applyFont="1"/>
    <xf numFmtId="181" fontId="0" fillId="0" borderId="0" xfId="0" applyNumberFormat="1"/>
    <xf numFmtId="171" fontId="0" fillId="0" borderId="0" xfId="0" applyNumberFormat="1"/>
    <xf numFmtId="237" fontId="0" fillId="0" borderId="0" xfId="0" applyNumberFormat="1" applyFont="1"/>
    <xf numFmtId="236" fontId="68" fillId="0" borderId="0" xfId="0" applyNumberFormat="1" applyFont="1"/>
    <xf numFmtId="236" fontId="0" fillId="0" borderId="0" xfId="0" applyNumberFormat="1" applyFont="1"/>
    <xf numFmtId="0" fontId="0" fillId="0" borderId="3" xfId="0" applyBorder="1"/>
    <xf numFmtId="0" fontId="76" fillId="0" borderId="0" xfId="0" applyFont="1" applyBorder="1"/>
    <xf numFmtId="177" fontId="0" fillId="0" borderId="0" xfId="0" applyNumberFormat="1" applyFont="1"/>
    <xf numFmtId="238" fontId="5" fillId="0" borderId="0" xfId="0" applyNumberFormat="1" applyFont="1"/>
    <xf numFmtId="238" fontId="0" fillId="0" borderId="0" xfId="0" applyNumberFormat="1"/>
    <xf numFmtId="177" fontId="0" fillId="0" borderId="0" xfId="0" applyNumberFormat="1"/>
    <xf numFmtId="238" fontId="1" fillId="0" borderId="0" xfId="0" applyNumberFormat="1" applyFont="1"/>
    <xf numFmtId="165" fontId="0" fillId="0" borderId="29" xfId="0" applyNumberFormat="1" applyFont="1" applyBorder="1"/>
    <xf numFmtId="236" fontId="6" fillId="0" borderId="0" xfId="0" applyNumberFormat="1" applyFont="1"/>
    <xf numFmtId="0" fontId="78" fillId="31" borderId="34" xfId="0" applyFont="1" applyFill="1" applyBorder="1" applyAlignment="1">
      <alignment horizontal="center"/>
    </xf>
    <xf numFmtId="172" fontId="77" fillId="0" borderId="33" xfId="0" applyNumberFormat="1" applyFont="1" applyBorder="1" applyAlignment="1">
      <alignment horizontal="center"/>
    </xf>
    <xf numFmtId="165" fontId="0" fillId="0" borderId="0" xfId="0" applyNumberFormat="1" applyFont="1" applyBorder="1"/>
    <xf numFmtId="0" fontId="68" fillId="0" borderId="0" xfId="0" applyFont="1" applyFill="1" applyBorder="1"/>
    <xf numFmtId="0" fontId="1" fillId="0" borderId="3" xfId="0" applyFont="1" applyFill="1" applyBorder="1" applyAlignment="1">
      <alignment horizontal="left"/>
    </xf>
    <xf numFmtId="0" fontId="0" fillId="0" borderId="35" xfId="0" applyFont="1" applyBorder="1"/>
    <xf numFmtId="0" fontId="0" fillId="0" borderId="0" xfId="0" applyFont="1" applyBorder="1" applyAlignment="1">
      <alignment horizontal="right"/>
    </xf>
    <xf numFmtId="0" fontId="0" fillId="0" borderId="35" xfId="0" quotePrefix="1" applyFont="1" applyBorder="1"/>
    <xf numFmtId="0" fontId="0" fillId="0" borderId="36" xfId="0" applyFont="1" applyBorder="1"/>
    <xf numFmtId="0" fontId="0" fillId="0" borderId="32" xfId="0" applyFont="1" applyBorder="1"/>
    <xf numFmtId="0" fontId="0" fillId="0" borderId="26" xfId="0" applyFont="1" applyBorder="1"/>
    <xf numFmtId="0" fontId="0" fillId="0" borderId="31" xfId="0" applyFont="1" applyBorder="1"/>
    <xf numFmtId="37" fontId="5" fillId="0" borderId="2" xfId="0" applyNumberFormat="1" applyFont="1" applyBorder="1"/>
    <xf numFmtId="165" fontId="0" fillId="0" borderId="2" xfId="0" applyNumberFormat="1" applyFont="1" applyBorder="1" applyAlignment="1">
      <alignment horizontal="right"/>
    </xf>
    <xf numFmtId="0" fontId="76" fillId="0" borderId="0" xfId="0" applyFont="1" applyBorder="1" applyAlignment="1">
      <alignment horizontal="centerContinuous"/>
    </xf>
    <xf numFmtId="172" fontId="4" fillId="32" borderId="32" xfId="0" applyNumberFormat="1" applyFont="1" applyFill="1" applyBorder="1"/>
    <xf numFmtId="172" fontId="4" fillId="32" borderId="26" xfId="0" applyNumberFormat="1" applyFont="1" applyFill="1" applyBorder="1"/>
    <xf numFmtId="172" fontId="5" fillId="32" borderId="26" xfId="0" applyNumberFormat="1" applyFont="1" applyFill="1" applyBorder="1"/>
    <xf numFmtId="172" fontId="4" fillId="32" borderId="31" xfId="0" applyNumberFormat="1" applyFont="1" applyFill="1" applyBorder="1"/>
    <xf numFmtId="236" fontId="4" fillId="32" borderId="26" xfId="0" applyNumberFormat="1" applyFont="1" applyFill="1" applyBorder="1"/>
    <xf numFmtId="236" fontId="5" fillId="32" borderId="26" xfId="0" applyNumberFormat="1" applyFont="1" applyFill="1" applyBorder="1"/>
    <xf numFmtId="236" fontId="4" fillId="32" borderId="31" xfId="0" applyNumberFormat="1" applyFont="1" applyFill="1" applyBorder="1"/>
    <xf numFmtId="236" fontId="4" fillId="32" borderId="32" xfId="0" applyNumberFormat="1" applyFont="1" applyFill="1" applyBorder="1"/>
    <xf numFmtId="37" fontId="4" fillId="32" borderId="34" xfId="0" applyNumberFormat="1" applyFont="1" applyFill="1" applyBorder="1"/>
    <xf numFmtId="37" fontId="4" fillId="32" borderId="28" xfId="0" applyNumberFormat="1" applyFont="1" applyFill="1" applyBorder="1"/>
    <xf numFmtId="37" fontId="5" fillId="32" borderId="28" xfId="0" applyNumberFormat="1" applyFont="1" applyFill="1" applyBorder="1"/>
    <xf numFmtId="37" fontId="4" fillId="32" borderId="30" xfId="0" applyNumberFormat="1" applyFont="1" applyFill="1" applyBorder="1"/>
    <xf numFmtId="0" fontId="70" fillId="0" borderId="0" xfId="0" applyFont="1" applyAlignment="1">
      <alignment horizontal="right"/>
    </xf>
    <xf numFmtId="9" fontId="79" fillId="0" borderId="0" xfId="0" applyNumberFormat="1" applyFont="1" applyBorder="1" applyAlignment="1">
      <alignment horizontal="right"/>
    </xf>
    <xf numFmtId="37" fontId="1" fillId="0" borderId="0" xfId="0" applyNumberFormat="1" applyFont="1" applyFill="1" applyBorder="1" applyAlignment="1">
      <alignment vertical="center"/>
    </xf>
    <xf numFmtId="172" fontId="4" fillId="0" borderId="0" xfId="0" applyNumberFormat="1" applyFont="1" applyFill="1" applyBorder="1"/>
    <xf numFmtId="0" fontId="76" fillId="0" borderId="0" xfId="0" applyFont="1" applyAlignment="1">
      <alignment horizontal="right"/>
    </xf>
    <xf numFmtId="172" fontId="80" fillId="0" borderId="0" xfId="0" applyNumberFormat="1" applyFont="1" applyFill="1" applyBorder="1" applyAlignment="1">
      <alignment horizontal="right"/>
    </xf>
    <xf numFmtId="0" fontId="1" fillId="0" borderId="32" xfId="0" applyFont="1" applyBorder="1"/>
    <xf numFmtId="0" fontId="1" fillId="0" borderId="26" xfId="0" applyFont="1" applyBorder="1"/>
    <xf numFmtId="171" fontId="1" fillId="0" borderId="31" xfId="0" applyNumberFormat="1" applyFont="1" applyBorder="1"/>
    <xf numFmtId="239" fontId="68" fillId="0" borderId="0" xfId="0" applyNumberFormat="1" applyFont="1"/>
    <xf numFmtId="240" fontId="5" fillId="0" borderId="0" xfId="0" applyNumberFormat="1" applyFont="1"/>
    <xf numFmtId="241" fontId="68" fillId="0" borderId="0" xfId="0" applyNumberFormat="1" applyFont="1"/>
    <xf numFmtId="241" fontId="5" fillId="0" borderId="0" xfId="0" applyNumberFormat="1" applyFont="1"/>
    <xf numFmtId="180" fontId="0" fillId="0" borderId="0" xfId="0" applyNumberFormat="1" applyFont="1"/>
    <xf numFmtId="0" fontId="0" fillId="0" borderId="0" xfId="0" applyFont="1" applyAlignment="1">
      <alignment wrapText="1"/>
    </xf>
    <xf numFmtId="0" fontId="0" fillId="0" borderId="5" xfId="0" applyFont="1" applyBorder="1"/>
    <xf numFmtId="0" fontId="0" fillId="0" borderId="5" xfId="0" applyFont="1" applyBorder="1" applyAlignment="1">
      <alignment wrapText="1"/>
    </xf>
    <xf numFmtId="39" fontId="5" fillId="0" borderId="0" xfId="0" applyNumberFormat="1" applyFont="1"/>
    <xf numFmtId="166" fontId="5" fillId="0" borderId="0" xfId="0" applyNumberFormat="1" applyFont="1"/>
    <xf numFmtId="39" fontId="4" fillId="0" borderId="0" xfId="0" applyNumberFormat="1" applyFont="1" applyBorder="1"/>
    <xf numFmtId="39" fontId="0" fillId="0" borderId="0" xfId="0" applyNumberFormat="1" applyFont="1" applyBorder="1"/>
    <xf numFmtId="238" fontId="0" fillId="0" borderId="0" xfId="0" applyNumberFormat="1" applyFont="1" applyBorder="1"/>
    <xf numFmtId="0" fontId="82" fillId="0" borderId="0" xfId="0" applyFont="1" applyBorder="1" applyAlignment="1">
      <alignment horizontal="center" vertical="center"/>
    </xf>
    <xf numFmtId="0" fontId="78" fillId="31" borderId="33" xfId="0" applyFont="1" applyFill="1" applyBorder="1" applyAlignment="1">
      <alignment horizontal="center"/>
    </xf>
    <xf numFmtId="39" fontId="4" fillId="0" borderId="0" xfId="0" applyNumberFormat="1" applyFont="1" applyFill="1"/>
    <xf numFmtId="172" fontId="4" fillId="32" borderId="28" xfId="0" applyNumberFormat="1" applyFont="1" applyFill="1" applyBorder="1" applyAlignment="1">
      <alignment horizontal="right"/>
    </xf>
    <xf numFmtId="172" fontId="5" fillId="32" borderId="28" xfId="0" applyNumberFormat="1" applyFont="1" applyFill="1" applyBorder="1" applyAlignment="1">
      <alignment horizontal="right"/>
    </xf>
    <xf numFmtId="172" fontId="4" fillId="32" borderId="30" xfId="0" applyNumberFormat="1" applyFont="1" applyFill="1" applyBorder="1" applyAlignment="1">
      <alignment horizontal="right"/>
    </xf>
    <xf numFmtId="242" fontId="0" fillId="0" borderId="0" xfId="0" applyNumberFormat="1" applyFont="1"/>
    <xf numFmtId="242" fontId="0" fillId="0" borderId="0" xfId="0" applyNumberFormat="1" applyFont="1" applyBorder="1"/>
    <xf numFmtId="39" fontId="0" fillId="0" borderId="27" xfId="0" applyNumberFormat="1" applyFont="1" applyBorder="1"/>
    <xf numFmtId="39" fontId="0" fillId="0" borderId="2" xfId="0" applyNumberFormat="1" applyFont="1" applyBorder="1"/>
    <xf numFmtId="39" fontId="0" fillId="0" borderId="29" xfId="0" applyNumberFormat="1" applyFont="1" applyBorder="1"/>
    <xf numFmtId="37" fontId="0" fillId="0" borderId="2" xfId="0" applyNumberFormat="1" applyFont="1" applyBorder="1"/>
    <xf numFmtId="171" fontId="68" fillId="0" borderId="0" xfId="0" applyNumberFormat="1" applyFont="1"/>
    <xf numFmtId="37" fontId="0" fillId="0" borderId="0" xfId="0" applyNumberFormat="1" applyFont="1" applyFill="1" applyBorder="1"/>
  </cellXfs>
  <cellStyles count="186">
    <cellStyle name="$" xfId="1"/>
    <cellStyle name="$m" xfId="2"/>
    <cellStyle name="$q" xfId="3"/>
    <cellStyle name="$q*" xfId="4"/>
    <cellStyle name="$q_valuation" xfId="5"/>
    <cellStyle name="$qA" xfId="6"/>
    <cellStyle name="$qRange" xfId="7"/>
    <cellStyle name="%" xfId="8"/>
    <cellStyle name="******************************************" xfId="9"/>
    <cellStyle name="2 Decimal Places_MA Software Comps - List_AccretionDilution OTGS v16.xls Chart 1" xfId="10"/>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AFE" xfId="35"/>
    <cellStyle name="Bad 2" xfId="36"/>
    <cellStyle name="Balance" xfId="37"/>
    <cellStyle name="BalanceSheet" xfId="38"/>
    <cellStyle name="Body_$Numeric" xfId="39"/>
    <cellStyle name="Bold Header" xfId="40"/>
    <cellStyle name="Calculation 2" xfId="41"/>
    <cellStyle name="CashFlow" xfId="42"/>
    <cellStyle name="Check" xfId="43"/>
    <cellStyle name="Check Cell 2" xfId="44"/>
    <cellStyle name="ColHeading" xfId="45"/>
    <cellStyle name="colheadleft" xfId="46"/>
    <cellStyle name="colheadright" xfId="47"/>
    <cellStyle name="Comma 2" xfId="48"/>
    <cellStyle name="Comma0" xfId="49"/>
    <cellStyle name="Comma2" xfId="50"/>
    <cellStyle name="Company" xfId="51"/>
    <cellStyle name="CurRatio" xfId="52"/>
    <cellStyle name="Currency [1]" xfId="53"/>
    <cellStyle name="Currency [2]" xfId="54"/>
    <cellStyle name="Currency0" xfId="55"/>
    <cellStyle name="Currency2" xfId="56"/>
    <cellStyle name="d_yield" xfId="57"/>
    <cellStyle name="d_yield_CW's MAKER MODEL" xfId="58"/>
    <cellStyle name="d_yield_valuation" xfId="59"/>
    <cellStyle name="Date [d-mmm-yy]" xfId="60"/>
    <cellStyle name="Date [mmm-d-yyyy]" xfId="61"/>
    <cellStyle name="Date [mmm-yyyy]" xfId="62"/>
    <cellStyle name="Dates" xfId="63"/>
    <cellStyle name="DateYear" xfId="64"/>
    <cellStyle name="Dezimal_Capital expenditure planning FY 2000" xfId="65"/>
    <cellStyle name="Dollar" xfId="66"/>
    <cellStyle name="Dollars" xfId="67"/>
    <cellStyle name="DollarWhole" xfId="68"/>
    <cellStyle name="eps" xfId="69"/>
    <cellStyle name="eps$" xfId="70"/>
    <cellStyle name="eps$A" xfId="71"/>
    <cellStyle name="eps$E" xfId="72"/>
    <cellStyle name="eps_CW's MAKER MODEL" xfId="73"/>
    <cellStyle name="epsA" xfId="74"/>
    <cellStyle name="EPSActual" xfId="75"/>
    <cellStyle name="epsE" xfId="76"/>
    <cellStyle name="EPSEstimate" xfId="77"/>
    <cellStyle name="Euro" xfId="78"/>
    <cellStyle name="Explanatory Text 2" xfId="79"/>
    <cellStyle name="fy_eps$" xfId="80"/>
    <cellStyle name="g_rate" xfId="81"/>
    <cellStyle name="g_rate_CW's MAKER MODEL" xfId="82"/>
    <cellStyle name="g_rate_valuation" xfId="83"/>
    <cellStyle name="General" xfId="84"/>
    <cellStyle name="Good 2" xfId="85"/>
    <cellStyle name="GrowthRate" xfId="86"/>
    <cellStyle name="GrowthSeq" xfId="87"/>
    <cellStyle name="Hard Number Input" xfId="88"/>
    <cellStyle name="Heading 1 2" xfId="89"/>
    <cellStyle name="Heading 2 2" xfId="90"/>
    <cellStyle name="Heading 3 2" xfId="91"/>
    <cellStyle name="Heading 4 2" xfId="92"/>
    <cellStyle name="Historical Number" xfId="93"/>
    <cellStyle name="iemens" xfId="94"/>
    <cellStyle name="Income" xfId="95"/>
    <cellStyle name="IncomeStatement" xfId="96"/>
    <cellStyle name="Input 2" xfId="97"/>
    <cellStyle name="Input Fixed [0]" xfId="98"/>
    <cellStyle name="Integer" xfId="99"/>
    <cellStyle name="Inverse Header" xfId="100"/>
    <cellStyle name="Item" xfId="101"/>
    <cellStyle name="ItemTypeClass" xfId="102"/>
    <cellStyle name="Linked Cell 2" xfId="103"/>
    <cellStyle name="LTGR" xfId="104"/>
    <cellStyle name="m" xfId="105"/>
    <cellStyle name="m$" xfId="106"/>
    <cellStyle name="m_CW's MAKER MODEL" xfId="107"/>
    <cellStyle name="m_valuation" xfId="108"/>
    <cellStyle name="Margin" xfId="109"/>
    <cellStyle name="Margins" xfId="110"/>
    <cellStyle name="mm" xfId="111"/>
    <cellStyle name="Multiple" xfId="112"/>
    <cellStyle name="NA is zero" xfId="113"/>
    <cellStyle name="Neutral 2" xfId="114"/>
    <cellStyle name="Normal" xfId="0" builtinId="0"/>
    <cellStyle name="Normal [0]" xfId="115"/>
    <cellStyle name="Normal [1]" xfId="116"/>
    <cellStyle name="Normal [2]" xfId="117"/>
    <cellStyle name="Normal [3]" xfId="118"/>
    <cellStyle name="Normal 2" xfId="119"/>
    <cellStyle name="Normal Bold" xfId="120"/>
    <cellStyle name="Normal Pct" xfId="121"/>
    <cellStyle name="NormalX" xfId="122"/>
    <cellStyle name="Note 2" xfId="123"/>
    <cellStyle name="NPPESalesPct" xfId="124"/>
    <cellStyle name="Number" xfId="125"/>
    <cellStyle name="NWI%S" xfId="126"/>
    <cellStyle name="Output 2" xfId="127"/>
    <cellStyle name="P/E" xfId="128"/>
    <cellStyle name="Palatino" xfId="129"/>
    <cellStyle name="pc1" xfId="130"/>
    <cellStyle name="pe" xfId="131"/>
    <cellStyle name="PE/LTGR" xfId="132"/>
    <cellStyle name="PEG" xfId="133"/>
    <cellStyle name="Percent [0]" xfId="134"/>
    <cellStyle name="Percent [1]" xfId="135"/>
    <cellStyle name="Percent [2]" xfId="136"/>
    <cellStyle name="PercentChange" xfId="137"/>
    <cellStyle name="PercentPresentation" xfId="138"/>
    <cellStyle name="PerShare" xfId="139"/>
    <cellStyle name="POPS" xfId="140"/>
    <cellStyle name="Presentation" xfId="141"/>
    <cellStyle name="PresentationZero" xfId="142"/>
    <cellStyle name="price" xfId="143"/>
    <cellStyle name="q" xfId="144"/>
    <cellStyle name="q_CW's MAKER MODEL" xfId="145"/>
    <cellStyle name="QEPS-h" xfId="146"/>
    <cellStyle name="QEPS-H1" xfId="147"/>
    <cellStyle name="qRange" xfId="148"/>
    <cellStyle name="range" xfId="149"/>
    <cellStyle name="RatioX" xfId="150"/>
    <cellStyle name="Report" xfId="151"/>
    <cellStyle name="Right" xfId="152"/>
    <cellStyle name="SectionHeading" xfId="153"/>
    <cellStyle name="Shares" xfId="154"/>
    <cellStyle name="StockPrice" xfId="155"/>
    <cellStyle name="Style 1" xfId="156"/>
    <cellStyle name="Style 21" xfId="157"/>
    <cellStyle name="Style 22" xfId="158"/>
    <cellStyle name="Style 23" xfId="159"/>
    <cellStyle name="Style 24" xfId="160"/>
    <cellStyle name="Style 26" xfId="161"/>
    <cellStyle name="Style 27" xfId="162"/>
    <cellStyle name="Style 34" xfId="163"/>
    <cellStyle name="Style 37" xfId="164"/>
    <cellStyle name="Style 63" xfId="165"/>
    <cellStyle name="SubDollar" xfId="166"/>
    <cellStyle name="SubGrowth" xfId="167"/>
    <cellStyle name="SubGrowthRate" xfId="168"/>
    <cellStyle name="SubMargins" xfId="169"/>
    <cellStyle name="SubPenetration" xfId="170"/>
    <cellStyle name="Subscribers" xfId="171"/>
    <cellStyle name="SubVariable" xfId="172"/>
    <cellStyle name="tcn" xfId="173"/>
    <cellStyle name="Times [1]" xfId="174"/>
    <cellStyle name="Times [2]" xfId="175"/>
    <cellStyle name="Title 2" xfId="176"/>
    <cellStyle name="title2" xfId="177"/>
    <cellStyle name="TitleII" xfId="178"/>
    <cellStyle name="Titles" xfId="179"/>
    <cellStyle name="TitleSub" xfId="180"/>
    <cellStyle name="tn" xfId="181"/>
    <cellStyle name="Total 2" xfId="182"/>
    <cellStyle name="Warning Text 2" xfId="183"/>
    <cellStyle name="WholeNumber" xfId="184"/>
    <cellStyle name="Year&quot;E&quot;" xfId="185"/>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Valuation Summary</a:t>
            </a:r>
          </a:p>
        </c:rich>
      </c:tx>
      <c:layout>
        <c:manualLayout>
          <c:xMode val="edge"/>
          <c:yMode val="edge"/>
          <c:x val="0.31291626892699836"/>
          <c:y val="0"/>
        </c:manualLayout>
      </c:layout>
      <c:overlay val="0"/>
    </c:title>
    <c:autoTitleDeleted val="0"/>
    <c:plotArea>
      <c:layout/>
      <c:barChart>
        <c:barDir val="col"/>
        <c:grouping val="stacked"/>
        <c:varyColors val="0"/>
        <c:ser>
          <c:idx val="0"/>
          <c:order val="0"/>
          <c:tx>
            <c:strRef>
              <c:f>DCF!$C$138</c:f>
              <c:strCache>
                <c:ptCount val="1"/>
                <c:pt idx="0">
                  <c:v>Low</c:v>
                </c:pt>
              </c:strCache>
            </c:strRef>
          </c:tx>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DCF!$C$139:$C$141</c:f>
              <c:numCache>
                <c:formatCode>#,##0.00_);\(#,##0.00\)</c:formatCode>
                <c:ptCount val="3"/>
                <c:pt idx="0">
                  <c:v>0</c:v>
                </c:pt>
                <c:pt idx="1">
                  <c:v>0</c:v>
                </c:pt>
                <c:pt idx="2">
                  <c:v>0</c:v>
                </c:pt>
              </c:numCache>
            </c:numRef>
          </c:val>
          <c:extLst>
            <c:ext xmlns:c16="http://schemas.microsoft.com/office/drawing/2014/chart" uri="{C3380CC4-5D6E-409C-BE32-E72D297353CC}">
              <c16:uniqueId val="{00000000-20D6-4B68-A76D-CCACCE14B853}"/>
            </c:ext>
          </c:extLst>
        </c:ser>
        <c:ser>
          <c:idx val="1"/>
          <c:order val="1"/>
          <c:tx>
            <c:strRef>
              <c:f>DCF!$D$138</c:f>
              <c:strCache>
                <c:ptCount val="1"/>
                <c:pt idx="0">
                  <c:v>Diff.</c:v>
                </c:pt>
              </c:strCache>
            </c:strRef>
          </c:tx>
          <c:invertIfNegative val="0"/>
          <c:cat>
            <c:strRef>
              <c:f>DCF!$B$139:$B$141</c:f>
              <c:strCache>
                <c:ptCount val="3"/>
                <c:pt idx="0">
                  <c:v>DCF Value at 7.3x-11.3x Exit EBITDA Range</c:v>
                </c:pt>
                <c:pt idx="1">
                  <c:v>DCF Value at 2.0%-4.0% Perpetuity Range</c:v>
                </c:pt>
                <c:pt idx="2">
                  <c:v>52 Week Market High/Low</c:v>
                </c:pt>
              </c:strCache>
            </c:strRef>
          </c:cat>
          <c:val>
            <c:numRef>
              <c:f>DCF!$D$139:$D$141</c:f>
              <c:numCache>
                <c:formatCode>#,##0.00_);\(#,##0.00\)</c:formatCode>
                <c:ptCount val="3"/>
                <c:pt idx="0">
                  <c:v>0</c:v>
                </c:pt>
                <c:pt idx="1">
                  <c:v>0</c:v>
                </c:pt>
                <c:pt idx="2">
                  <c:v>0</c:v>
                </c:pt>
              </c:numCache>
            </c:numRef>
          </c:val>
          <c:extLst>
            <c:ext xmlns:c16="http://schemas.microsoft.com/office/drawing/2014/chart" uri="{C3380CC4-5D6E-409C-BE32-E72D297353CC}">
              <c16:uniqueId val="{00000001-20D6-4B68-A76D-CCACCE14B853}"/>
            </c:ext>
          </c:extLst>
        </c:ser>
        <c:ser>
          <c:idx val="2"/>
          <c:order val="2"/>
          <c:tx>
            <c:strRef>
              <c:f>DCF!$E$138</c:f>
              <c:strCache>
                <c:ptCount val="1"/>
                <c:pt idx="0">
                  <c:v>High</c:v>
                </c:pt>
              </c:strCache>
            </c:strRef>
          </c:tx>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DCF!$B$139:$B$141</c:f>
              <c:strCache>
                <c:ptCount val="3"/>
                <c:pt idx="0">
                  <c:v>DCF Value at 7.3x-11.3x Exit EBITDA Range</c:v>
                </c:pt>
                <c:pt idx="1">
                  <c:v>DCF Value at 2.0%-4.0% Perpetuity Range</c:v>
                </c:pt>
                <c:pt idx="2">
                  <c:v>52 Week Market High/Low</c:v>
                </c:pt>
              </c:strCache>
            </c:strRef>
          </c:cat>
          <c:val>
            <c:numRef>
              <c:f>DCF!$E$139:$E$141</c:f>
              <c:numCache>
                <c:formatCode>#,##0.00_);\(#,##0.00\)</c:formatCode>
                <c:ptCount val="3"/>
                <c:pt idx="0">
                  <c:v>0</c:v>
                </c:pt>
                <c:pt idx="1">
                  <c:v>0</c:v>
                </c:pt>
                <c:pt idx="2">
                  <c:v>0</c:v>
                </c:pt>
              </c:numCache>
            </c:numRef>
          </c:val>
          <c:extLst>
            <c:ext xmlns:c16="http://schemas.microsoft.com/office/drawing/2014/chart" uri="{C3380CC4-5D6E-409C-BE32-E72D297353CC}">
              <c16:uniqueId val="{00000002-20D6-4B68-A76D-CCACCE14B853}"/>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1000"/>
          <c:min val="3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53578</xdr:colOff>
      <xdr:row>117</xdr:row>
      <xdr:rowOff>149424</xdr:rowOff>
    </xdr:from>
    <xdr:to>
      <xdr:col>4</xdr:col>
      <xdr:colOff>654844</xdr:colOff>
      <xdr:row>136</xdr:row>
      <xdr:rowOff>53578</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Owner/LOCALS~1/Temp/Rar$DI00.921/Valuation_2010_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nkumar.WSP/Downloads/DataSet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Data"/>
      <sheetName val="Forecast Drivers"/>
      <sheetName val="Results"/>
      <sheetName val="Valuation Summary"/>
    </sheetNames>
    <sheetDataSet>
      <sheetData sheetId="0" refreshError="1"/>
      <sheetData sheetId="1">
        <row r="25">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row>
        <row r="330">
          <cell r="D330">
            <v>1</v>
          </cell>
        </row>
      </sheetData>
      <sheetData sheetId="2">
        <row r="142">
          <cell r="F142">
            <v>0</v>
          </cell>
        </row>
        <row r="145">
          <cell r="F145">
            <v>0</v>
          </cell>
          <cell r="G145">
            <v>0</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row>
        <row r="182">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rc_ans"/>
      <sheetName val="Circ"/>
      <sheetName val="Reg 0"/>
      <sheetName val="Reg_ans"/>
      <sheetName val="CF"/>
      <sheetName val="CF_ans"/>
      <sheetName val="BoostToolkitClipBoard2010"/>
      <sheetName val="DS0"/>
      <sheetName val="DS0_ans"/>
      <sheetName val="Data Set1"/>
      <sheetName val="DataSet2"/>
      <sheetName val="DataSet3"/>
      <sheetName val="Other"/>
      <sheetName val="DataSet4"/>
      <sheetName val="Array0"/>
      <sheetName val="Array1"/>
      <sheetName val="Array2"/>
      <sheetName val="Array3"/>
      <sheetName val="Array4"/>
      <sheetName val="Array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5">
          <cell r="B5" t="str">
            <v>iPad</v>
          </cell>
          <cell r="C5">
            <v>500</v>
          </cell>
        </row>
        <row r="6">
          <cell r="B6" t="str">
            <v>iPod</v>
          </cell>
          <cell r="C6">
            <v>200</v>
          </cell>
        </row>
        <row r="7">
          <cell r="B7" t="str">
            <v>iPhone</v>
          </cell>
          <cell r="C7">
            <v>400</v>
          </cell>
        </row>
      </sheetData>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2"/>
  <sheetViews>
    <sheetView topLeftCell="A317" zoomScaleNormal="100" workbookViewId="0">
      <selection activeCell="C330" sqref="C330"/>
    </sheetView>
  </sheetViews>
  <sheetFormatPr defaultColWidth="9.109375" defaultRowHeight="14.4"/>
  <cols>
    <col min="1" max="1" width="1.6640625" style="17" customWidth="1"/>
    <col min="2" max="2" width="50.88671875" style="17" customWidth="1"/>
    <col min="3" max="10" width="12.33203125" style="17" customWidth="1"/>
    <col min="11" max="11" width="22.21875" style="17" customWidth="1"/>
    <col min="12" max="12" width="10.88671875" style="17" bestFit="1" customWidth="1"/>
    <col min="13" max="16384" width="9.109375" style="17"/>
  </cols>
  <sheetData>
    <row r="1" spans="1:11" ht="15" thickBot="1"/>
    <row r="2" spans="1:11" ht="26.4" thickBot="1">
      <c r="B2" s="1" t="str">
        <f>"Financial Statement Model for "&amp;'Financial Statement Model'!C5</f>
        <v>Financial Statement Model for Disney</v>
      </c>
      <c r="C2" s="18"/>
      <c r="D2" s="18"/>
      <c r="E2" s="18"/>
      <c r="F2" s="18"/>
      <c r="G2" s="18"/>
      <c r="H2" s="18"/>
      <c r="I2" s="18"/>
      <c r="J2" s="18"/>
    </row>
    <row r="3" spans="1:11">
      <c r="B3" s="2" t="s">
        <v>0</v>
      </c>
      <c r="C3" s="19"/>
      <c r="F3" s="20"/>
      <c r="G3" s="20"/>
      <c r="H3" s="20"/>
      <c r="I3" s="20"/>
      <c r="J3" s="20"/>
    </row>
    <row r="4" spans="1:11">
      <c r="B4" s="21"/>
      <c r="C4" s="19"/>
      <c r="F4" s="20"/>
    </row>
    <row r="5" spans="1:11">
      <c r="B5" s="3" t="s">
        <v>1</v>
      </c>
      <c r="C5" s="4" t="s">
        <v>251</v>
      </c>
      <c r="F5" s="20"/>
    </row>
    <row r="6" spans="1:11">
      <c r="B6" s="3" t="s">
        <v>2</v>
      </c>
      <c r="C6" s="4" t="s">
        <v>252</v>
      </c>
      <c r="F6" s="20"/>
    </row>
    <row r="7" spans="1:11">
      <c r="B7" s="5" t="s">
        <v>3</v>
      </c>
      <c r="C7" s="6">
        <v>107.09</v>
      </c>
      <c r="E7" s="64"/>
      <c r="F7" s="20"/>
      <c r="G7" s="7"/>
      <c r="H7" s="20"/>
      <c r="I7" s="8"/>
      <c r="J7" s="20"/>
    </row>
    <row r="8" spans="1:11">
      <c r="B8" s="3" t="s">
        <v>4</v>
      </c>
      <c r="C8" s="9">
        <v>42938</v>
      </c>
      <c r="F8" s="20"/>
      <c r="G8" s="20"/>
      <c r="H8" s="20"/>
      <c r="I8" s="20"/>
      <c r="J8" s="20"/>
    </row>
    <row r="9" spans="1:11">
      <c r="B9" s="3" t="s">
        <v>5</v>
      </c>
      <c r="C9" s="9">
        <v>42644</v>
      </c>
      <c r="F9" s="20"/>
      <c r="G9" s="20"/>
      <c r="H9" s="20"/>
      <c r="I9" s="20"/>
      <c r="J9" s="20"/>
    </row>
    <row r="10" spans="1:11">
      <c r="B10" s="10" t="s">
        <v>6</v>
      </c>
      <c r="C10" s="11" t="s">
        <v>7</v>
      </c>
      <c r="E10" s="20"/>
      <c r="F10" s="20"/>
      <c r="G10" s="20"/>
      <c r="H10" s="20"/>
      <c r="I10" s="20"/>
      <c r="J10" s="20"/>
    </row>
    <row r="11" spans="1:11">
      <c r="D11" s="20"/>
      <c r="E11" s="20"/>
      <c r="F11" s="20"/>
      <c r="G11" s="20"/>
      <c r="H11" s="20"/>
      <c r="I11" s="20"/>
      <c r="J11" s="20"/>
    </row>
    <row r="12" spans="1:11">
      <c r="A12" s="17" t="s">
        <v>196</v>
      </c>
      <c r="B12" s="22" t="s">
        <v>8</v>
      </c>
      <c r="C12" s="23"/>
      <c r="D12" s="24"/>
      <c r="E12" s="24"/>
      <c r="F12" s="24"/>
      <c r="G12" s="24"/>
      <c r="H12" s="24"/>
      <c r="I12" s="24"/>
      <c r="J12" s="24"/>
      <c r="K12" s="17" t="s">
        <v>257</v>
      </c>
    </row>
    <row r="13" spans="1:11">
      <c r="B13" s="20" t="s">
        <v>9</v>
      </c>
      <c r="C13" s="25">
        <f>D13-1</f>
        <v>2014</v>
      </c>
      <c r="D13" s="25">
        <f>E13-1</f>
        <v>2015</v>
      </c>
      <c r="E13" s="25">
        <f>YEAR('Financial Statement Model'!C9)</f>
        <v>2016</v>
      </c>
      <c r="F13" s="26">
        <f>E13+1</f>
        <v>2017</v>
      </c>
      <c r="G13" s="26">
        <f>F13+1</f>
        <v>2018</v>
      </c>
      <c r="H13" s="26">
        <f>G13+1</f>
        <v>2019</v>
      </c>
      <c r="I13" s="26">
        <f>H13+1</f>
        <v>2020</v>
      </c>
      <c r="J13" s="26">
        <f>I13+1</f>
        <v>2021</v>
      </c>
    </row>
    <row r="14" spans="1:11">
      <c r="B14" s="27" t="s">
        <v>10</v>
      </c>
      <c r="C14" s="28">
        <v>42280</v>
      </c>
      <c r="D14" s="28">
        <v>42278</v>
      </c>
      <c r="E14" s="29">
        <f>'Financial Statement Model'!C9</f>
        <v>42644</v>
      </c>
      <c r="F14" s="29">
        <f>EOMONTH(E14,12)</f>
        <v>43039</v>
      </c>
      <c r="G14" s="29">
        <f>EOMONTH(F14,12)</f>
        <v>43404</v>
      </c>
      <c r="H14" s="29">
        <f>EOMONTH(G14,12)</f>
        <v>43769</v>
      </c>
      <c r="I14" s="29">
        <f>EOMONTH(H14,12)</f>
        <v>44135</v>
      </c>
      <c r="J14" s="29">
        <f>EOMONTH(I14,12)</f>
        <v>44500</v>
      </c>
    </row>
    <row r="15" spans="1:11">
      <c r="B15" s="30"/>
      <c r="C15" s="31"/>
      <c r="D15" s="31"/>
      <c r="E15" s="32"/>
      <c r="F15" s="32"/>
      <c r="G15" s="32"/>
      <c r="H15" s="32"/>
      <c r="I15" s="32"/>
      <c r="J15" s="32"/>
    </row>
    <row r="16" spans="1:11">
      <c r="B16" s="20" t="s">
        <v>11</v>
      </c>
      <c r="C16" s="33">
        <v>48813</v>
      </c>
      <c r="D16" s="33">
        <v>52465</v>
      </c>
      <c r="E16" s="33">
        <v>55632</v>
      </c>
      <c r="F16" s="34">
        <f ca="1">E16*(1+F41)</f>
        <v>56744.639999999999</v>
      </c>
      <c r="G16" s="34">
        <f ca="1">F16*(1+G41)</f>
        <v>60149.318400000004</v>
      </c>
      <c r="H16" s="34">
        <f ca="1">G16*(1+H41)</f>
        <v>62555.291136000007</v>
      </c>
      <c r="I16" s="34">
        <f ca="1">H16*(1+I41)</f>
        <v>65683.055692800015</v>
      </c>
      <c r="J16" s="34">
        <f ca="1">I16*(1+J41)</f>
        <v>66996.716806656012</v>
      </c>
    </row>
    <row r="17" spans="2:10">
      <c r="B17" s="20" t="s">
        <v>12</v>
      </c>
      <c r="C17" s="33">
        <f>-21356-5064-2288</f>
        <v>-28708</v>
      </c>
      <c r="D17" s="33">
        <f>-23191-5173-2354</f>
        <v>-30718</v>
      </c>
      <c r="E17" s="33">
        <f>-24653-5340-2527</f>
        <v>-32520</v>
      </c>
      <c r="F17" s="34">
        <f ca="1">F18-F16</f>
        <v>-33252.359039999996</v>
      </c>
      <c r="G17" s="34">
        <f ca="1">G18-G16</f>
        <v>-35247.500582400004</v>
      </c>
      <c r="H17" s="34">
        <f ca="1">H18-H16</f>
        <v>-36657.400605696006</v>
      </c>
      <c r="I17" s="34">
        <f ca="1">I18-I16</f>
        <v>-38490.270635980807</v>
      </c>
      <c r="J17" s="34">
        <f ca="1">J18-J16</f>
        <v>-39260.076048700423</v>
      </c>
    </row>
    <row r="18" spans="2:10">
      <c r="B18" s="35" t="s">
        <v>13</v>
      </c>
      <c r="C18" s="36">
        <f>SUM(C16:C17)</f>
        <v>20105</v>
      </c>
      <c r="D18" s="36">
        <f t="shared" ref="D18:E18" si="0">SUM(D16:D17)</f>
        <v>21747</v>
      </c>
      <c r="E18" s="36">
        <f t="shared" si="0"/>
        <v>23112</v>
      </c>
      <c r="F18" s="36">
        <f ca="1">F16*F42</f>
        <v>23492.28096</v>
      </c>
      <c r="G18" s="36">
        <f ca="1">G16*G42</f>
        <v>24901.8178176</v>
      </c>
      <c r="H18" s="36">
        <f ca="1">H16*H42</f>
        <v>25897.890530304001</v>
      </c>
      <c r="I18" s="36">
        <f ca="1">I16*I42</f>
        <v>27192.785056819204</v>
      </c>
      <c r="J18" s="36">
        <f ca="1">J16*J42</f>
        <v>27736.640757955589</v>
      </c>
    </row>
    <row r="19" spans="2:10">
      <c r="B19" s="37" t="s">
        <v>14</v>
      </c>
      <c r="C19" s="33">
        <v>0</v>
      </c>
      <c r="D19" s="33">
        <v>0</v>
      </c>
      <c r="E19" s="33">
        <v>0</v>
      </c>
      <c r="F19" s="34">
        <f ca="1">-(F43*F16)</f>
        <v>0</v>
      </c>
      <c r="G19" s="34">
        <f ca="1">-(G43*G16)</f>
        <v>0</v>
      </c>
      <c r="H19" s="34">
        <f ca="1">-(H43*H16)</f>
        <v>0</v>
      </c>
      <c r="I19" s="34">
        <f ca="1">-(I43*I16)</f>
        <v>0</v>
      </c>
      <c r="J19" s="34">
        <f ca="1">-(J43*J16)</f>
        <v>0</v>
      </c>
    </row>
    <row r="20" spans="2:10">
      <c r="B20" s="37" t="s">
        <v>15</v>
      </c>
      <c r="C20" s="33">
        <v>-8565</v>
      </c>
      <c r="D20" s="33">
        <v>-8523</v>
      </c>
      <c r="E20" s="33">
        <v>-8754</v>
      </c>
      <c r="F20" s="34">
        <f ca="1">-F44*F16</f>
        <v>-8454.9513599999991</v>
      </c>
      <c r="G20" s="34">
        <f ca="1">-G44*G16</f>
        <v>-8781.8004863999995</v>
      </c>
      <c r="H20" s="34">
        <f ca="1">-H44*H16</f>
        <v>-8757.7407590400016</v>
      </c>
      <c r="I20" s="34">
        <f ca="1">-I44*I16</f>
        <v>-9589.7261311488019</v>
      </c>
      <c r="J20" s="34">
        <f ca="1">-J44*J16</f>
        <v>-10987.461556291586</v>
      </c>
    </row>
    <row r="21" spans="2:10">
      <c r="B21" s="35" t="s">
        <v>16</v>
      </c>
      <c r="C21" s="36">
        <f>SUM(C18:C20)</f>
        <v>11540</v>
      </c>
      <c r="D21" s="36">
        <f t="shared" ref="D21:E21" si="1">SUM(D18:D20)</f>
        <v>13224</v>
      </c>
      <c r="E21" s="36">
        <f t="shared" si="1"/>
        <v>14358</v>
      </c>
      <c r="F21" s="36">
        <f ca="1">F18+F19+F20</f>
        <v>15037.329600000001</v>
      </c>
      <c r="G21" s="36">
        <f t="shared" ref="G21:J21" ca="1" si="2">G18+G19+G20</f>
        <v>16120.017331200001</v>
      </c>
      <c r="H21" s="36">
        <f t="shared" ca="1" si="2"/>
        <v>17140.149771263998</v>
      </c>
      <c r="I21" s="36">
        <f t="shared" ca="1" si="2"/>
        <v>17603.058925670404</v>
      </c>
      <c r="J21" s="36">
        <f t="shared" ca="1" si="2"/>
        <v>16749.179201664003</v>
      </c>
    </row>
    <row r="22" spans="2:10">
      <c r="B22" s="37" t="s">
        <v>253</v>
      </c>
      <c r="C22" s="33">
        <v>-140</v>
      </c>
      <c r="D22" s="33">
        <v>-53</v>
      </c>
      <c r="E22" s="33">
        <v>-156</v>
      </c>
      <c r="F22" s="36">
        <f>AVERAGE(C22:E22)</f>
        <v>-116.33333333333333</v>
      </c>
      <c r="G22" s="36">
        <f>F22</f>
        <v>-116.33333333333333</v>
      </c>
      <c r="H22" s="36">
        <f t="shared" ref="H22:J22" si="3">G22</f>
        <v>-116.33333333333333</v>
      </c>
      <c r="I22" s="36">
        <f t="shared" si="3"/>
        <v>-116.33333333333333</v>
      </c>
      <c r="J22" s="36">
        <f t="shared" si="3"/>
        <v>-116.33333333333333</v>
      </c>
    </row>
    <row r="23" spans="2:10">
      <c r="B23" s="20" t="s">
        <v>17</v>
      </c>
      <c r="C23" s="33">
        <f>-(C24-23)</f>
        <v>317</v>
      </c>
      <c r="D23" s="33">
        <v>148</v>
      </c>
      <c r="E23" s="33">
        <v>94</v>
      </c>
      <c r="F23" s="229">
        <f ca="1">F294</f>
        <v>79.982100032021123</v>
      </c>
      <c r="G23" s="229">
        <f t="shared" ref="G23:J23" ca="1" si="4">G294</f>
        <v>66.516146746594544</v>
      </c>
      <c r="H23" s="229">
        <f t="shared" ca="1" si="4"/>
        <v>70.711901781497318</v>
      </c>
      <c r="I23" s="229">
        <f t="shared" ca="1" si="4"/>
        <v>83.571143259470333</v>
      </c>
      <c r="J23" s="229">
        <f t="shared" ca="1" si="4"/>
        <v>100.85028579746086</v>
      </c>
    </row>
    <row r="24" spans="2:10">
      <c r="B24" s="20" t="s">
        <v>18</v>
      </c>
      <c r="C24" s="33">
        <v>-294</v>
      </c>
      <c r="D24" s="33">
        <v>-265</v>
      </c>
      <c r="E24" s="33">
        <v>-354</v>
      </c>
      <c r="F24" s="229">
        <f ca="1">F188</f>
        <v>-354</v>
      </c>
      <c r="G24" s="229">
        <f t="shared" ref="G24:J24" ca="1" si="5">G188</f>
        <v>-354</v>
      </c>
      <c r="H24" s="229">
        <f t="shared" ca="1" si="5"/>
        <v>-354</v>
      </c>
      <c r="I24" s="229">
        <f t="shared" ca="1" si="5"/>
        <v>-354</v>
      </c>
      <c r="J24" s="229">
        <f t="shared" ca="1" si="5"/>
        <v>-354</v>
      </c>
    </row>
    <row r="25" spans="2:10">
      <c r="B25" s="37" t="s">
        <v>256</v>
      </c>
      <c r="C25" s="33">
        <v>854</v>
      </c>
      <c r="D25" s="33">
        <v>814</v>
      </c>
      <c r="E25" s="33">
        <v>926</v>
      </c>
      <c r="F25" s="229">
        <f>AVERAGE(C25:E25)</f>
        <v>864.66666666666663</v>
      </c>
      <c r="G25" s="229">
        <f>F25</f>
        <v>864.66666666666663</v>
      </c>
      <c r="H25" s="229">
        <f t="shared" ref="H25:J25" si="6">G25</f>
        <v>864.66666666666663</v>
      </c>
      <c r="I25" s="229">
        <f t="shared" si="6"/>
        <v>864.66666666666663</v>
      </c>
      <c r="J25" s="229">
        <f t="shared" si="6"/>
        <v>864.66666666666663</v>
      </c>
    </row>
    <row r="26" spans="2:10">
      <c r="B26" s="37" t="s">
        <v>19</v>
      </c>
      <c r="C26" s="33">
        <v>-31</v>
      </c>
      <c r="D26" s="33">
        <v>0</v>
      </c>
      <c r="E26" s="33">
        <v>0</v>
      </c>
      <c r="F26" s="38">
        <f>E26</f>
        <v>0</v>
      </c>
      <c r="G26" s="38">
        <f>F26</f>
        <v>0</v>
      </c>
      <c r="H26" s="38">
        <f>G26</f>
        <v>0</v>
      </c>
      <c r="I26" s="38">
        <f>H26</f>
        <v>0</v>
      </c>
      <c r="J26" s="38">
        <f>I26</f>
        <v>0</v>
      </c>
    </row>
    <row r="27" spans="2:10">
      <c r="B27" s="35" t="s">
        <v>20</v>
      </c>
      <c r="C27" s="36">
        <f>SUM(C21:C26)</f>
        <v>12246</v>
      </c>
      <c r="D27" s="36">
        <f t="shared" ref="D27:E27" si="7">SUM(D21:D26)</f>
        <v>13868</v>
      </c>
      <c r="E27" s="36">
        <f t="shared" si="7"/>
        <v>14868</v>
      </c>
      <c r="F27" s="36">
        <f ca="1">SUM(F21:F26)</f>
        <v>15511.645033365354</v>
      </c>
      <c r="G27" s="36">
        <f t="shared" ref="G27:J27" ca="1" si="8">SUM(G21:G26)</f>
        <v>16580.866811279928</v>
      </c>
      <c r="H27" s="36">
        <f t="shared" ca="1" si="8"/>
        <v>17605.195006378832</v>
      </c>
      <c r="I27" s="36">
        <f t="shared" ca="1" si="8"/>
        <v>18080.963402263209</v>
      </c>
      <c r="J27" s="36">
        <f t="shared" ca="1" si="8"/>
        <v>17244.362820794799</v>
      </c>
    </row>
    <row r="28" spans="2:10">
      <c r="B28" s="20" t="s">
        <v>21</v>
      </c>
      <c r="C28" s="33">
        <v>-4242</v>
      </c>
      <c r="D28" s="33">
        <v>-5016</v>
      </c>
      <c r="E28" s="33">
        <v>-5078</v>
      </c>
      <c r="F28" s="34">
        <f ca="1">-F45*F27</f>
        <v>-5165.3777961106634</v>
      </c>
      <c r="G28" s="34">
        <f ca="1">-G45*G27</f>
        <v>-5140.0687114967777</v>
      </c>
      <c r="H28" s="34">
        <f ca="1">-H45*H27</f>
        <v>-6091.3974722070752</v>
      </c>
      <c r="I28" s="34">
        <f ca="1">-I45*I27</f>
        <v>-6545.3087516192818</v>
      </c>
      <c r="J28" s="34">
        <f ca="1">-J45*J27</f>
        <v>-5897.5720847118218</v>
      </c>
    </row>
    <row r="29" spans="2:10">
      <c r="B29" s="35" t="s">
        <v>22</v>
      </c>
      <c r="C29" s="39">
        <f>SUM(C27:C28)</f>
        <v>8004</v>
      </c>
      <c r="D29" s="39">
        <f t="shared" ref="D29:E29" si="9">SUM(D27:D28)</f>
        <v>8852</v>
      </c>
      <c r="E29" s="39">
        <f t="shared" si="9"/>
        <v>9790</v>
      </c>
      <c r="F29" s="39">
        <f ca="1">SUM(F27:F28)</f>
        <v>10346.267237254691</v>
      </c>
      <c r="G29" s="39">
        <f t="shared" ref="G29:J29" ca="1" si="10">SUM(G27:G28)</f>
        <v>11440.798099783151</v>
      </c>
      <c r="H29" s="39">
        <f t="shared" ca="1" si="10"/>
        <v>11513.797534171757</v>
      </c>
      <c r="I29" s="39">
        <f t="shared" ca="1" si="10"/>
        <v>11535.654650643926</v>
      </c>
      <c r="J29" s="39">
        <f t="shared" ca="1" si="10"/>
        <v>11346.790736082978</v>
      </c>
    </row>
    <row r="30" spans="2:10">
      <c r="B30" s="20" t="s">
        <v>254</v>
      </c>
      <c r="C30" s="34">
        <v>-503</v>
      </c>
      <c r="D30" s="34">
        <v>-470</v>
      </c>
      <c r="E30" s="34">
        <v>-399</v>
      </c>
      <c r="F30" s="34">
        <f ca="1">-(F46*F29)</f>
        <v>-421.67115706482349</v>
      </c>
      <c r="G30" s="34">
        <f ca="1">-(G46*G29)</f>
        <v>-466.27971826491085</v>
      </c>
      <c r="H30" s="34">
        <f ca="1">-(H46*H29)</f>
        <v>-469.25487396675499</v>
      </c>
      <c r="I30" s="34">
        <f ca="1">-(I46*I29)</f>
        <v>-470.14567983727545</v>
      </c>
      <c r="J30" s="34">
        <f ca="1">-(J46*J29)</f>
        <v>-462.4483660569058</v>
      </c>
    </row>
    <row r="31" spans="2:10">
      <c r="B31" s="35" t="s">
        <v>255</v>
      </c>
      <c r="C31" s="39">
        <f>SUM(C29:C30)</f>
        <v>7501</v>
      </c>
      <c r="D31" s="39">
        <f t="shared" ref="D31:E31" si="11">SUM(D29:D30)</f>
        <v>8382</v>
      </c>
      <c r="E31" s="39">
        <f t="shared" si="11"/>
        <v>9391</v>
      </c>
      <c r="F31" s="39">
        <f ca="1">SUM(F29:F30)</f>
        <v>9924.5960801898673</v>
      </c>
      <c r="G31" s="39">
        <f t="shared" ref="G31:J31" ca="1" si="12">SUM(G29:G30)</f>
        <v>10974.518381518241</v>
      </c>
      <c r="H31" s="39">
        <f t="shared" ca="1" si="12"/>
        <v>11044.542660205003</v>
      </c>
      <c r="I31" s="39">
        <f t="shared" ca="1" si="12"/>
        <v>11065.508970806652</v>
      </c>
      <c r="J31" s="39">
        <f t="shared" ca="1" si="12"/>
        <v>10884.342370026072</v>
      </c>
    </row>
    <row r="33" spans="2:11">
      <c r="B33" s="37" t="s">
        <v>23</v>
      </c>
      <c r="C33" s="40">
        <v>1740</v>
      </c>
      <c r="D33" s="40">
        <v>1694</v>
      </c>
      <c r="E33" s="40">
        <v>1629</v>
      </c>
      <c r="F33" s="41">
        <f>AVERAGE(F301,F304)</f>
        <v>1535.4480922373086</v>
      </c>
      <c r="G33" s="41">
        <f>AVERAGE(G301,G304)</f>
        <v>1430.3312402034762</v>
      </c>
      <c r="H33" s="41">
        <f>AVERAGE(H301,H304)</f>
        <v>1337.1641387801978</v>
      </c>
      <c r="I33" s="41">
        <f>AVERAGE(I301,I304)</f>
        <v>1251.1680541083265</v>
      </c>
      <c r="J33" s="41">
        <f>AVERAGE(J301,J304)</f>
        <v>1170.5738703544239</v>
      </c>
    </row>
    <row r="34" spans="2:11">
      <c r="B34" s="37" t="s">
        <v>24</v>
      </c>
      <c r="C34" s="42">
        <f>C35-C33</f>
        <v>19</v>
      </c>
      <c r="D34" s="42">
        <f t="shared" ref="D34:E34" si="13">D35-D33</f>
        <v>15</v>
      </c>
      <c r="E34" s="42">
        <f t="shared" si="13"/>
        <v>10</v>
      </c>
      <c r="F34" s="41">
        <f>E34</f>
        <v>10</v>
      </c>
      <c r="G34" s="41">
        <f>F34</f>
        <v>10</v>
      </c>
      <c r="H34" s="41">
        <f>G34</f>
        <v>10</v>
      </c>
      <c r="I34" s="41">
        <f>H34</f>
        <v>10</v>
      </c>
      <c r="J34" s="41">
        <f>I34</f>
        <v>10</v>
      </c>
    </row>
    <row r="35" spans="2:11">
      <c r="B35" s="17" t="s">
        <v>25</v>
      </c>
      <c r="C35" s="40">
        <v>1759</v>
      </c>
      <c r="D35" s="40">
        <v>1709</v>
      </c>
      <c r="E35" s="40">
        <v>1639</v>
      </c>
      <c r="F35" s="41">
        <f>SUM(F33:F34)</f>
        <v>1545.4480922373086</v>
      </c>
      <c r="G35" s="41">
        <f>SUM(G33:G34)</f>
        <v>1440.3312402034762</v>
      </c>
      <c r="H35" s="41">
        <f>SUM(H33:H34)</f>
        <v>1347.1641387801978</v>
      </c>
      <c r="I35" s="41">
        <f>SUM(I33:I34)</f>
        <v>1261.1680541083265</v>
      </c>
      <c r="J35" s="41">
        <f>SUM(J33:J34)</f>
        <v>1180.5738703544239</v>
      </c>
    </row>
    <row r="37" spans="2:11">
      <c r="B37" s="17" t="s">
        <v>26</v>
      </c>
      <c r="C37" s="43">
        <f>C31/C33</f>
        <v>4.310919540229885</v>
      </c>
      <c r="D37" s="43">
        <f t="shared" ref="D37:E37" si="14">D31/D33</f>
        <v>4.9480519480519485</v>
      </c>
      <c r="E37" s="43">
        <f t="shared" si="14"/>
        <v>5.7648864333947207</v>
      </c>
      <c r="F37" s="43">
        <f t="shared" ref="F37:J37" ca="1" si="15">F29/F33</f>
        <v>6.7382722278674345</v>
      </c>
      <c r="G37" s="43">
        <f t="shared" ca="1" si="15"/>
        <v>7.9987053195842979</v>
      </c>
      <c r="H37" s="43">
        <f t="shared" ca="1" si="15"/>
        <v>8.6106089748076826</v>
      </c>
      <c r="I37" s="43">
        <f t="shared" ca="1" si="15"/>
        <v>9.2199082391574283</v>
      </c>
      <c r="J37" s="43">
        <f t="shared" ca="1" si="15"/>
        <v>9.693357269838442</v>
      </c>
    </row>
    <row r="38" spans="2:11">
      <c r="B38" s="44" t="s">
        <v>27</v>
      </c>
      <c r="C38" s="45">
        <f>C31/C35</f>
        <v>4.26435474701535</v>
      </c>
      <c r="D38" s="45">
        <f t="shared" ref="D38:E38" si="16">D31/D35</f>
        <v>4.9046225863077826</v>
      </c>
      <c r="E38" s="45">
        <f t="shared" si="16"/>
        <v>5.7297132397803541</v>
      </c>
      <c r="F38" s="45">
        <f t="shared" ref="F38:J38" ca="1" si="17">F29/F35</f>
        <v>6.694671460803737</v>
      </c>
      <c r="G38" s="45">
        <f t="shared" ca="1" si="17"/>
        <v>7.9431715291872056</v>
      </c>
      <c r="H38" s="45">
        <f t="shared" ca="1" si="17"/>
        <v>8.5466924205665329</v>
      </c>
      <c r="I38" s="45">
        <f t="shared" ca="1" si="17"/>
        <v>9.1468021355804865</v>
      </c>
      <c r="J38" s="45">
        <f t="shared" ca="1" si="17"/>
        <v>9.6112501055749444</v>
      </c>
    </row>
    <row r="40" spans="2:11">
      <c r="B40" s="46" t="s">
        <v>28</v>
      </c>
    </row>
    <row r="41" spans="2:11">
      <c r="B41" s="47" t="s">
        <v>29</v>
      </c>
      <c r="C41" s="48" t="s">
        <v>30</v>
      </c>
      <c r="D41" s="49">
        <f>D16/C16-1</f>
        <v>7.4816135045991938E-2</v>
      </c>
      <c r="E41" s="49">
        <f>E16/D16-1</f>
        <v>6.0364052225293063E-2</v>
      </c>
      <c r="F41" s="50">
        <f ca="1">OFFSET(F$334,MATCH($E$327,$B$335:$B$337,0)+MATCH($B41,$B$334:$B$349,0)-1,0)</f>
        <v>0.02</v>
      </c>
      <c r="G41" s="50">
        <f t="shared" ref="G41:J41" ca="1" si="18">OFFSET(G$334,MATCH($E$327,$B$335:$B$337,0)+MATCH($B41,$B$334:$B$349,0)-1,0)</f>
        <v>0.06</v>
      </c>
      <c r="H41" s="50">
        <f t="shared" ca="1" si="18"/>
        <v>0.04</v>
      </c>
      <c r="I41" s="50">
        <f t="shared" ca="1" si="18"/>
        <v>0.05</v>
      </c>
      <c r="J41" s="50">
        <f t="shared" ca="1" si="18"/>
        <v>0.02</v>
      </c>
      <c r="K41" s="17" t="s">
        <v>258</v>
      </c>
    </row>
    <row r="42" spans="2:11">
      <c r="B42" s="47" t="s">
        <v>31</v>
      </c>
      <c r="C42" s="49">
        <f>C18/C16</f>
        <v>0.41187798332411446</v>
      </c>
      <c r="D42" s="49">
        <f>D18/D16</f>
        <v>0.41450490803392737</v>
      </c>
      <c r="E42" s="49">
        <f>E18/E16</f>
        <v>0.41544434857635892</v>
      </c>
      <c r="F42" s="50">
        <f t="shared" ref="F42:J44" ca="1" si="19">OFFSET(F$334,MATCH($E$327,$B$335:$B$337,0)+MATCH($B42,$B$334:$B$349,0)-1,0)</f>
        <v>0.41399999999999998</v>
      </c>
      <c r="G42" s="50">
        <f t="shared" ca="1" si="19"/>
        <v>0.41399999999999998</v>
      </c>
      <c r="H42" s="50">
        <f t="shared" ca="1" si="19"/>
        <v>0.41399999999999998</v>
      </c>
      <c r="I42" s="50">
        <f t="shared" ca="1" si="19"/>
        <v>0.41399999999999998</v>
      </c>
      <c r="J42" s="50">
        <f t="shared" ca="1" si="19"/>
        <v>0.41399999999999998</v>
      </c>
    </row>
    <row r="43" spans="2:11">
      <c r="B43" s="51" t="s">
        <v>32</v>
      </c>
      <c r="C43" s="49">
        <f t="shared" ref="C43:E44" si="20">-C19/C$16</f>
        <v>0</v>
      </c>
      <c r="D43" s="49">
        <f t="shared" si="20"/>
        <v>0</v>
      </c>
      <c r="E43" s="49">
        <f t="shared" si="20"/>
        <v>0</v>
      </c>
      <c r="F43" s="50">
        <f t="shared" ca="1" si="19"/>
        <v>0</v>
      </c>
      <c r="G43" s="50">
        <f t="shared" ca="1" si="19"/>
        <v>0</v>
      </c>
      <c r="H43" s="50">
        <f t="shared" ca="1" si="19"/>
        <v>0</v>
      </c>
      <c r="I43" s="50">
        <f t="shared" ca="1" si="19"/>
        <v>0</v>
      </c>
      <c r="J43" s="50">
        <f t="shared" ca="1" si="19"/>
        <v>0</v>
      </c>
    </row>
    <row r="44" spans="2:11">
      <c r="B44" s="47" t="s">
        <v>33</v>
      </c>
      <c r="C44" s="49">
        <f t="shared" si="20"/>
        <v>0.1754655522094524</v>
      </c>
      <c r="D44" s="49">
        <f t="shared" si="20"/>
        <v>0.16245115791480033</v>
      </c>
      <c r="E44" s="49">
        <f t="shared" si="20"/>
        <v>0.15735547886108714</v>
      </c>
      <c r="F44" s="50">
        <f t="shared" ca="1" si="19"/>
        <v>0.14899999999999999</v>
      </c>
      <c r="G44" s="50">
        <f t="shared" ca="1" si="19"/>
        <v>0.14599999999999999</v>
      </c>
      <c r="H44" s="50">
        <f t="shared" ca="1" si="19"/>
        <v>0.14000000000000001</v>
      </c>
      <c r="I44" s="50">
        <f t="shared" ca="1" si="19"/>
        <v>0.14599999999999999</v>
      </c>
      <c r="J44" s="50">
        <f t="shared" ca="1" si="19"/>
        <v>0.16400000000000001</v>
      </c>
      <c r="K44" s="17" t="s">
        <v>258</v>
      </c>
    </row>
    <row r="45" spans="2:11">
      <c r="B45" s="47" t="s">
        <v>34</v>
      </c>
      <c r="C45" s="49">
        <f>-C28/C27</f>
        <v>0.34639882410583045</v>
      </c>
      <c r="D45" s="49">
        <f>-D28/D27</f>
        <v>0.36169599077011827</v>
      </c>
      <c r="E45" s="49">
        <f>-E28/E27</f>
        <v>0.34153887543718053</v>
      </c>
      <c r="F45" s="52">
        <v>0.33300000000000002</v>
      </c>
      <c r="G45" s="52">
        <v>0.31</v>
      </c>
      <c r="H45" s="52">
        <v>0.34599999999999997</v>
      </c>
      <c r="I45" s="52">
        <v>0.36199999999999999</v>
      </c>
      <c r="J45" s="52">
        <v>0.34200000000000003</v>
      </c>
      <c r="K45" s="17" t="s">
        <v>258</v>
      </c>
    </row>
    <row r="46" spans="2:11">
      <c r="B46" s="47" t="s">
        <v>263</v>
      </c>
      <c r="C46" s="49">
        <f>-(C30/C29)</f>
        <v>6.2843578210894549E-2</v>
      </c>
      <c r="D46" s="49">
        <f>-(D30/D29)</f>
        <v>5.3095345684591053E-2</v>
      </c>
      <c r="E46" s="49">
        <f>-(E30/E29)</f>
        <v>4.0755873340143002E-2</v>
      </c>
      <c r="F46" s="52">
        <f>E46</f>
        <v>4.0755873340143002E-2</v>
      </c>
      <c r="G46" s="52">
        <f t="shared" ref="G46:J46" si="21">F46</f>
        <v>4.0755873340143002E-2</v>
      </c>
      <c r="H46" s="52">
        <f t="shared" si="21"/>
        <v>4.0755873340143002E-2</v>
      </c>
      <c r="I46" s="52">
        <f t="shared" si="21"/>
        <v>4.0755873340143002E-2</v>
      </c>
      <c r="J46" s="52">
        <f t="shared" si="21"/>
        <v>4.0755873340143002E-2</v>
      </c>
    </row>
    <row r="48" spans="2:11">
      <c r="B48" s="53" t="s">
        <v>35</v>
      </c>
    </row>
    <row r="49" spans="1:10">
      <c r="B49" s="54" t="s">
        <v>36</v>
      </c>
      <c r="C49" s="40">
        <v>2288</v>
      </c>
      <c r="D49" s="40">
        <v>2354</v>
      </c>
      <c r="E49" s="40">
        <v>2527</v>
      </c>
      <c r="F49" s="41">
        <f ca="1">-(F138+F151)</f>
        <v>2183.3306303999998</v>
      </c>
      <c r="G49" s="41">
        <f ca="1">-(G138+G151)</f>
        <v>2323.24150912</v>
      </c>
      <c r="H49" s="41">
        <f ca="1">-(H138+H151)</f>
        <v>2456.3354975846405</v>
      </c>
      <c r="I49" s="41">
        <f ca="1">-(I138+I151)</f>
        <v>2813.8336784778248</v>
      </c>
      <c r="J49" s="41">
        <f ca="1">-(J138+J151)</f>
        <v>2821.0931755936567</v>
      </c>
    </row>
    <row r="50" spans="1:10">
      <c r="B50" s="54" t="s">
        <v>37</v>
      </c>
      <c r="C50" s="40">
        <v>408</v>
      </c>
      <c r="D50" s="40">
        <v>410</v>
      </c>
      <c r="E50" s="40">
        <v>393</v>
      </c>
      <c r="F50" s="41">
        <f>F201</f>
        <v>403.66666666666669</v>
      </c>
      <c r="G50" s="41">
        <f>G201</f>
        <v>403.66666666666669</v>
      </c>
      <c r="H50" s="41">
        <f>H201</f>
        <v>403.66666666666669</v>
      </c>
      <c r="I50" s="41">
        <f>I201</f>
        <v>403.66666666666669</v>
      </c>
      <c r="J50" s="41">
        <f>J201</f>
        <v>403.66666666666669</v>
      </c>
    </row>
    <row r="51" spans="1:10">
      <c r="B51" s="55" t="s">
        <v>38</v>
      </c>
      <c r="C51" s="56">
        <f t="shared" ref="C51:J51" si="22">C21+C49+C50</f>
        <v>14236</v>
      </c>
      <c r="D51" s="56">
        <f t="shared" si="22"/>
        <v>15988</v>
      </c>
      <c r="E51" s="56">
        <f t="shared" si="22"/>
        <v>17278</v>
      </c>
      <c r="F51" s="56">
        <f t="shared" ca="1" si="22"/>
        <v>17624.326897066669</v>
      </c>
      <c r="G51" s="56">
        <f t="shared" ca="1" si="22"/>
        <v>18846.925506986667</v>
      </c>
      <c r="H51" s="56">
        <f t="shared" ca="1" si="22"/>
        <v>20000.151935515307</v>
      </c>
      <c r="I51" s="56">
        <f t="shared" ca="1" si="22"/>
        <v>20820.559270814898</v>
      </c>
      <c r="J51" s="56">
        <f t="shared" ca="1" si="22"/>
        <v>19973.939043924329</v>
      </c>
    </row>
    <row r="52" spans="1:10">
      <c r="C52" s="57"/>
      <c r="D52" s="57"/>
      <c r="E52" s="57"/>
    </row>
    <row r="53" spans="1:10">
      <c r="A53" s="17" t="s">
        <v>196</v>
      </c>
      <c r="B53" s="22" t="s">
        <v>40</v>
      </c>
      <c r="C53" s="29"/>
      <c r="D53" s="29"/>
      <c r="E53" s="29"/>
      <c r="F53" s="24"/>
      <c r="G53" s="24"/>
      <c r="H53" s="24"/>
      <c r="I53" s="24"/>
      <c r="J53" s="24"/>
    </row>
    <row r="54" spans="1:10">
      <c r="B54" s="65" t="str">
        <f>B13</f>
        <v xml:space="preserve">Fiscal year  </v>
      </c>
      <c r="C54" s="58"/>
      <c r="D54" s="58">
        <f t="shared" ref="D54:J55" si="23">D13</f>
        <v>2015</v>
      </c>
      <c r="E54" s="58">
        <f t="shared" si="23"/>
        <v>2016</v>
      </c>
      <c r="F54" s="58">
        <f t="shared" si="23"/>
        <v>2017</v>
      </c>
      <c r="G54" s="58">
        <f t="shared" si="23"/>
        <v>2018</v>
      </c>
      <c r="H54" s="58">
        <f t="shared" si="23"/>
        <v>2019</v>
      </c>
      <c r="I54" s="58">
        <f t="shared" si="23"/>
        <v>2020</v>
      </c>
      <c r="J54" s="58">
        <f t="shared" si="23"/>
        <v>2021</v>
      </c>
    </row>
    <row r="55" spans="1:10">
      <c r="B55" s="24" t="str">
        <f>B14</f>
        <v>Fiscal year end date</v>
      </c>
      <c r="C55" s="60"/>
      <c r="D55" s="60">
        <f t="shared" si="23"/>
        <v>42278</v>
      </c>
      <c r="E55" s="60">
        <f t="shared" si="23"/>
        <v>42644</v>
      </c>
      <c r="F55" s="60">
        <f t="shared" si="23"/>
        <v>43039</v>
      </c>
      <c r="G55" s="60">
        <f t="shared" si="23"/>
        <v>43404</v>
      </c>
      <c r="H55" s="60">
        <f t="shared" si="23"/>
        <v>43769</v>
      </c>
      <c r="I55" s="60">
        <f t="shared" si="23"/>
        <v>44135</v>
      </c>
      <c r="J55" s="60">
        <f t="shared" si="23"/>
        <v>44500</v>
      </c>
    </row>
    <row r="56" spans="1:10">
      <c r="B56" s="17" t="s">
        <v>41</v>
      </c>
      <c r="C56" s="66"/>
      <c r="D56" s="67">
        <f>4269+2643</f>
        <v>6912</v>
      </c>
      <c r="E56" s="67">
        <f>4610+4280</f>
        <v>8890</v>
      </c>
      <c r="F56" s="38">
        <f ca="1">E56+F264</f>
        <v>6238.5291337163344</v>
      </c>
      <c r="G56" s="38">
        <f ca="1">F56+G264</f>
        <v>6342.9292615437826</v>
      </c>
      <c r="H56" s="38">
        <f ca="1">G56+H264</f>
        <v>7032.1517349990063</v>
      </c>
      <c r="I56" s="38">
        <f ca="1">H56+I264</f>
        <v>8775.241107058253</v>
      </c>
      <c r="J56" s="38">
        <f ca="1">I56+J264</f>
        <v>10300.483163993382</v>
      </c>
    </row>
    <row r="57" spans="1:10">
      <c r="B57" s="20" t="s">
        <v>42</v>
      </c>
      <c r="C57" s="68"/>
      <c r="D57" s="69">
        <v>8019</v>
      </c>
      <c r="E57" s="69">
        <v>9065</v>
      </c>
      <c r="F57" s="70">
        <f ca="1">F100</f>
        <v>8959.710260745258</v>
      </c>
      <c r="G57" s="70">
        <f ca="1">G100</f>
        <v>9497.2928763899745</v>
      </c>
      <c r="H57" s="70">
        <f ca="1">H100</f>
        <v>9877.1845914455735</v>
      </c>
      <c r="I57" s="70">
        <f ca="1">I100</f>
        <v>10371.043821017854</v>
      </c>
      <c r="J57" s="70">
        <f ca="1">J100</f>
        <v>10578.46469743821</v>
      </c>
    </row>
    <row r="58" spans="1:10">
      <c r="B58" s="20" t="s">
        <v>43</v>
      </c>
      <c r="C58" s="68"/>
      <c r="D58" s="69">
        <v>1571</v>
      </c>
      <c r="E58" s="69">
        <v>1390</v>
      </c>
      <c r="F58" s="70">
        <f ca="1">F108</f>
        <v>1560.9585065167555</v>
      </c>
      <c r="G58" s="70">
        <f ca="1">G108</f>
        <v>1654.6160169077611</v>
      </c>
      <c r="H58" s="70">
        <f ca="1">H108</f>
        <v>1720.8006575840718</v>
      </c>
      <c r="I58" s="70">
        <f ca="1">I108</f>
        <v>1806.8406904632755</v>
      </c>
      <c r="J58" s="70">
        <f ca="1">J108</f>
        <v>1842.9775042725407</v>
      </c>
    </row>
    <row r="59" spans="1:10">
      <c r="B59" s="37" t="s">
        <v>44</v>
      </c>
      <c r="C59" s="68"/>
      <c r="D59" s="69">
        <v>767</v>
      </c>
      <c r="E59" s="69">
        <v>0</v>
      </c>
      <c r="F59" s="70">
        <f>F166</f>
        <v>0</v>
      </c>
      <c r="G59" s="70">
        <f>G166</f>
        <v>0</v>
      </c>
      <c r="H59" s="70">
        <f>H166</f>
        <v>0</v>
      </c>
      <c r="I59" s="70">
        <f>I166</f>
        <v>0</v>
      </c>
      <c r="J59" s="70">
        <f>J166</f>
        <v>0</v>
      </c>
    </row>
    <row r="60" spans="1:10">
      <c r="B60" s="20" t="s">
        <v>45</v>
      </c>
      <c r="C60" s="68"/>
      <c r="D60" s="69">
        <v>962</v>
      </c>
      <c r="E60" s="69">
        <v>693</v>
      </c>
      <c r="F60" s="70">
        <f>F161</f>
        <v>693</v>
      </c>
      <c r="G60" s="70">
        <f>G161</f>
        <v>693</v>
      </c>
      <c r="H60" s="70">
        <f>H161</f>
        <v>693</v>
      </c>
      <c r="I60" s="70">
        <f>I161</f>
        <v>693</v>
      </c>
      <c r="J60" s="70">
        <f>J161</f>
        <v>693</v>
      </c>
    </row>
    <row r="61" spans="1:10">
      <c r="B61" s="37" t="s">
        <v>259</v>
      </c>
      <c r="C61" s="68"/>
      <c r="D61" s="69">
        <f>1170+6183</f>
        <v>7353</v>
      </c>
      <c r="E61" s="69">
        <f>1208+6339</f>
        <v>7547</v>
      </c>
      <c r="F61" s="69">
        <f t="shared" ref="F61:J61" si="24">1208+6339</f>
        <v>7547</v>
      </c>
      <c r="G61" s="69">
        <f t="shared" si="24"/>
        <v>7547</v>
      </c>
      <c r="H61" s="69">
        <f t="shared" si="24"/>
        <v>7547</v>
      </c>
      <c r="I61" s="69">
        <f t="shared" si="24"/>
        <v>7547</v>
      </c>
      <c r="J61" s="69">
        <f t="shared" si="24"/>
        <v>7547</v>
      </c>
    </row>
    <row r="62" spans="1:10">
      <c r="B62" s="37" t="s">
        <v>46</v>
      </c>
      <c r="C62" s="68"/>
      <c r="D62" s="69">
        <v>25179</v>
      </c>
      <c r="E62" s="69">
        <v>27349</v>
      </c>
      <c r="F62" s="70">
        <f ca="1">F147</f>
        <v>29541.612889600001</v>
      </c>
      <c r="G62" s="70">
        <f ca="1">G147</f>
        <v>31598.719578880002</v>
      </c>
      <c r="H62" s="70">
        <f ca="1">H147</f>
        <v>33085.033296271366</v>
      </c>
      <c r="I62" s="70">
        <f ca="1">I147</f>
        <v>33572.401569511945</v>
      </c>
      <c r="J62" s="70">
        <f ca="1">J147</f>
        <v>34060.137667864401</v>
      </c>
    </row>
    <row r="63" spans="1:10">
      <c r="B63" s="37" t="s">
        <v>47</v>
      </c>
      <c r="C63" s="68"/>
      <c r="D63" s="69">
        <f>7172+27826</f>
        <v>34998</v>
      </c>
      <c r="E63" s="69">
        <f>27810+6949</f>
        <v>34759</v>
      </c>
      <c r="F63" s="70">
        <f>F135</f>
        <v>34951</v>
      </c>
      <c r="G63" s="70">
        <f>G135</f>
        <v>35142</v>
      </c>
      <c r="H63" s="70">
        <f>H135</f>
        <v>35328</v>
      </c>
      <c r="I63" s="70">
        <f>I135</f>
        <v>35508</v>
      </c>
      <c r="J63" s="70">
        <f>J135</f>
        <v>35683</v>
      </c>
    </row>
    <row r="64" spans="1:10">
      <c r="B64" s="71" t="s">
        <v>48</v>
      </c>
      <c r="C64" s="72"/>
      <c r="D64" s="69">
        <v>2421</v>
      </c>
      <c r="E64" s="69">
        <v>2340</v>
      </c>
      <c r="F64" s="70">
        <f>F171</f>
        <v>2340</v>
      </c>
      <c r="G64" s="70">
        <f>G171</f>
        <v>2340</v>
      </c>
      <c r="H64" s="70">
        <f>H171</f>
        <v>2340</v>
      </c>
      <c r="I64" s="70">
        <f>I171</f>
        <v>2340</v>
      </c>
      <c r="J64" s="70">
        <f>J171</f>
        <v>2340</v>
      </c>
    </row>
    <row r="65" spans="2:10">
      <c r="B65" s="73" t="s">
        <v>49</v>
      </c>
      <c r="C65" s="74"/>
      <c r="D65" s="75">
        <f t="shared" ref="D65:J65" si="25">SUM(D56:D64)</f>
        <v>88182</v>
      </c>
      <c r="E65" s="75">
        <f t="shared" si="25"/>
        <v>92033</v>
      </c>
      <c r="F65" s="75">
        <f t="shared" ca="1" si="25"/>
        <v>91831.81079057834</v>
      </c>
      <c r="G65" s="75">
        <f t="shared" ca="1" si="25"/>
        <v>94815.557733721522</v>
      </c>
      <c r="H65" s="75">
        <f t="shared" ca="1" si="25"/>
        <v>97623.170280300023</v>
      </c>
      <c r="I65" s="75">
        <f t="shared" ca="1" si="25"/>
        <v>100613.52718805133</v>
      </c>
      <c r="J65" s="75">
        <f t="shared" ca="1" si="25"/>
        <v>103045.06303356853</v>
      </c>
    </row>
    <row r="66" spans="2:10">
      <c r="B66" s="76"/>
      <c r="C66" s="77"/>
      <c r="D66" s="78"/>
      <c r="E66" s="78"/>
    </row>
    <row r="67" spans="2:10">
      <c r="B67" s="76" t="s">
        <v>50</v>
      </c>
      <c r="C67" s="79"/>
      <c r="D67" s="69">
        <v>7844</v>
      </c>
      <c r="E67" s="69">
        <v>9130</v>
      </c>
      <c r="F67" s="62">
        <f ca="1">F116</f>
        <v>8913.3858499687431</v>
      </c>
      <c r="G67" s="62">
        <f ca="1">G116</f>
        <v>9448.1890009668714</v>
      </c>
      <c r="H67" s="62">
        <f ca="1">H116</f>
        <v>9826.1165610055468</v>
      </c>
      <c r="I67" s="62">
        <f ca="1">I116</f>
        <v>10317.422389055824</v>
      </c>
      <c r="J67" s="62">
        <f ca="1">J116</f>
        <v>10523.77083683694</v>
      </c>
    </row>
    <row r="68" spans="2:10">
      <c r="B68" s="76" t="s">
        <v>51</v>
      </c>
      <c r="C68" s="79"/>
      <c r="D68" s="69">
        <v>3927</v>
      </c>
      <c r="E68" s="69">
        <v>4025</v>
      </c>
      <c r="F68" s="62">
        <f ca="1">F124</f>
        <v>4176.4153128752496</v>
      </c>
      <c r="G68" s="62">
        <f ca="1">G124</f>
        <v>4427.0002316477648</v>
      </c>
      <c r="H68" s="62">
        <f ca="1">H124</f>
        <v>4604.0802409136759</v>
      </c>
      <c r="I68" s="62">
        <f ca="1">I124</f>
        <v>4834.2842529593609</v>
      </c>
      <c r="J68" s="62">
        <f ca="1">J124</f>
        <v>4930.9699380185475</v>
      </c>
    </row>
    <row r="69" spans="2:10">
      <c r="B69" s="76" t="s">
        <v>262</v>
      </c>
      <c r="C69" s="79"/>
      <c r="D69" s="69">
        <v>4563</v>
      </c>
      <c r="E69" s="69">
        <v>3687</v>
      </c>
      <c r="F69" s="62"/>
      <c r="G69" s="62"/>
      <c r="H69" s="62"/>
      <c r="I69" s="62"/>
      <c r="J69" s="62"/>
    </row>
    <row r="70" spans="2:10">
      <c r="B70" s="76" t="s">
        <v>52</v>
      </c>
      <c r="C70" s="79"/>
      <c r="D70" s="69">
        <v>0</v>
      </c>
      <c r="E70" s="69">
        <v>0</v>
      </c>
      <c r="F70" s="80">
        <f ca="1">F273</f>
        <v>0</v>
      </c>
      <c r="G70" s="80">
        <f ca="1">G273</f>
        <v>0</v>
      </c>
      <c r="H70" s="80">
        <f ca="1">H273</f>
        <v>0</v>
      </c>
      <c r="I70" s="80">
        <f ca="1">I273</f>
        <v>0</v>
      </c>
      <c r="J70" s="80">
        <f ca="1">J273</f>
        <v>0</v>
      </c>
    </row>
    <row r="71" spans="2:10">
      <c r="B71" s="76" t="s">
        <v>53</v>
      </c>
      <c r="C71" s="74"/>
      <c r="D71" s="69">
        <f>12773</f>
        <v>12773</v>
      </c>
      <c r="E71" s="69">
        <f>16483</f>
        <v>16483</v>
      </c>
      <c r="F71" s="62">
        <f ca="1">F186</f>
        <v>16483</v>
      </c>
      <c r="G71" s="62">
        <f ca="1">G186</f>
        <v>16483</v>
      </c>
      <c r="H71" s="62">
        <f ca="1">H186</f>
        <v>16483</v>
      </c>
      <c r="I71" s="62">
        <f ca="1">I186</f>
        <v>16483</v>
      </c>
      <c r="J71" s="62">
        <f ca="1">J186</f>
        <v>16483</v>
      </c>
    </row>
    <row r="72" spans="2:10">
      <c r="B72" s="76" t="s">
        <v>260</v>
      </c>
      <c r="C72" s="74"/>
      <c r="D72" s="69">
        <v>4051</v>
      </c>
      <c r="E72" s="69">
        <v>3679</v>
      </c>
      <c r="F72" s="69">
        <v>3679</v>
      </c>
      <c r="G72" s="69">
        <v>3679</v>
      </c>
      <c r="H72" s="69">
        <v>3679</v>
      </c>
      <c r="I72" s="69">
        <v>3679</v>
      </c>
      <c r="J72" s="69">
        <v>3679</v>
      </c>
    </row>
    <row r="73" spans="2:10">
      <c r="B73" s="71" t="s">
        <v>54</v>
      </c>
      <c r="C73" s="74"/>
      <c r="D73" s="69">
        <v>6369</v>
      </c>
      <c r="E73" s="69">
        <v>7706</v>
      </c>
      <c r="F73" s="62">
        <f>F176</f>
        <v>7706</v>
      </c>
      <c r="G73" s="62">
        <f>G176</f>
        <v>7706</v>
      </c>
      <c r="H73" s="62">
        <f>H176</f>
        <v>7706</v>
      </c>
      <c r="I73" s="62">
        <f>I176</f>
        <v>7706</v>
      </c>
      <c r="J73" s="62">
        <f>J176</f>
        <v>7706</v>
      </c>
    </row>
    <row r="74" spans="2:10">
      <c r="B74" s="73" t="s">
        <v>55</v>
      </c>
      <c r="C74" s="74"/>
      <c r="D74" s="81">
        <f t="shared" ref="D74:J74" si="26">SUM(D67:D73)</f>
        <v>39527</v>
      </c>
      <c r="E74" s="81">
        <f t="shared" si="26"/>
        <v>44710</v>
      </c>
      <c r="F74" s="81">
        <f t="shared" ca="1" si="26"/>
        <v>40957.801162843993</v>
      </c>
      <c r="G74" s="81">
        <f ca="1">SUM(G67:G73)</f>
        <v>41743.189232614634</v>
      </c>
      <c r="H74" s="81">
        <f t="shared" ca="1" si="26"/>
        <v>42298.196801919221</v>
      </c>
      <c r="I74" s="81">
        <f t="shared" ca="1" si="26"/>
        <v>43019.706642015182</v>
      </c>
      <c r="J74" s="81">
        <f t="shared" ca="1" si="26"/>
        <v>43322.740774855483</v>
      </c>
    </row>
    <row r="75" spans="2:10">
      <c r="B75" s="73"/>
      <c r="C75" s="74"/>
      <c r="D75" s="81"/>
      <c r="E75" s="81"/>
    </row>
    <row r="76" spans="2:10">
      <c r="B76" s="76" t="s">
        <v>56</v>
      </c>
      <c r="C76" s="79"/>
      <c r="D76" s="69">
        <v>35122</v>
      </c>
      <c r="E76" s="69">
        <v>35859</v>
      </c>
      <c r="F76" s="62">
        <f>F202</f>
        <v>36262.666666666664</v>
      </c>
      <c r="G76" s="62">
        <f>G202</f>
        <v>36666.333333333328</v>
      </c>
      <c r="H76" s="62">
        <f>H202</f>
        <v>37069.999999999993</v>
      </c>
      <c r="I76" s="62">
        <f>I202</f>
        <v>37473.666666666657</v>
      </c>
      <c r="J76" s="62">
        <f>J202</f>
        <v>37877.333333333321</v>
      </c>
    </row>
    <row r="77" spans="2:10">
      <c r="B77" s="76" t="s">
        <v>57</v>
      </c>
      <c r="C77" s="79"/>
      <c r="D77" s="69">
        <v>-47204</v>
      </c>
      <c r="E77" s="69">
        <v>-54703</v>
      </c>
      <c r="F77" s="41">
        <f>F211</f>
        <v>-61410</v>
      </c>
      <c r="G77" s="41">
        <f>G211</f>
        <v>-68117</v>
      </c>
      <c r="H77" s="41">
        <f>H211</f>
        <v>-74824</v>
      </c>
      <c r="I77" s="41">
        <f>I211</f>
        <v>-81531</v>
      </c>
      <c r="J77" s="41">
        <f>J211</f>
        <v>-88238</v>
      </c>
    </row>
    <row r="78" spans="2:10">
      <c r="B78" s="76" t="s">
        <v>58</v>
      </c>
      <c r="C78" s="72"/>
      <c r="D78" s="69">
        <v>59028</v>
      </c>
      <c r="E78" s="69">
        <v>66088</v>
      </c>
      <c r="F78" s="62">
        <f ca="1">F223</f>
        <v>73776.342961067698</v>
      </c>
      <c r="G78" s="62">
        <f ca="1">G223</f>
        <v>82278.03516777356</v>
      </c>
      <c r="H78" s="62">
        <f ca="1">H223</f>
        <v>90833.973478380794</v>
      </c>
      <c r="I78" s="62">
        <f ca="1">I223</f>
        <v>99406.153879369478</v>
      </c>
      <c r="J78" s="62">
        <f ca="1">J223</f>
        <v>107837.98892537972</v>
      </c>
    </row>
    <row r="79" spans="2:10">
      <c r="B79" s="76" t="s">
        <v>59</v>
      </c>
      <c r="C79" s="72"/>
      <c r="D79" s="69">
        <v>-2421</v>
      </c>
      <c r="E79" s="69">
        <v>-3979</v>
      </c>
      <c r="F79" s="62">
        <f>F232</f>
        <v>-3979</v>
      </c>
      <c r="G79" s="62">
        <f>G232</f>
        <v>-3979</v>
      </c>
      <c r="H79" s="62">
        <f>H232</f>
        <v>-3979</v>
      </c>
      <c r="I79" s="62">
        <f>I232</f>
        <v>-3979</v>
      </c>
      <c r="J79" s="62">
        <f>J232</f>
        <v>-3979</v>
      </c>
    </row>
    <row r="80" spans="2:10">
      <c r="B80" s="73" t="s">
        <v>60</v>
      </c>
      <c r="C80" s="82"/>
      <c r="D80" s="83">
        <f t="shared" ref="D80:J80" si="27">SUM(D76:D79)</f>
        <v>44525</v>
      </c>
      <c r="E80" s="83">
        <f t="shared" si="27"/>
        <v>43265</v>
      </c>
      <c r="F80" s="83">
        <f t="shared" ca="1" si="27"/>
        <v>44650.009627734362</v>
      </c>
      <c r="G80" s="83">
        <f t="shared" ca="1" si="27"/>
        <v>46848.368501106888</v>
      </c>
      <c r="H80" s="83">
        <f t="shared" ca="1" si="27"/>
        <v>49100.973478380787</v>
      </c>
      <c r="I80" s="83">
        <f t="shared" ca="1" si="27"/>
        <v>51369.820546036135</v>
      </c>
      <c r="J80" s="83">
        <f t="shared" ca="1" si="27"/>
        <v>53498.322258713037</v>
      </c>
    </row>
    <row r="81" spans="1:10">
      <c r="B81" s="73"/>
      <c r="C81" s="82"/>
      <c r="D81" s="83"/>
      <c r="E81" s="83"/>
      <c r="F81" s="83"/>
      <c r="G81" s="83"/>
      <c r="H81" s="83"/>
      <c r="I81" s="83"/>
      <c r="J81" s="83"/>
    </row>
    <row r="82" spans="1:10">
      <c r="B82" s="73" t="s">
        <v>261</v>
      </c>
      <c r="C82" s="82"/>
      <c r="D82" s="83">
        <v>4130</v>
      </c>
      <c r="E82" s="83">
        <v>4058</v>
      </c>
      <c r="F82" s="83"/>
      <c r="G82" s="83"/>
      <c r="H82" s="83"/>
      <c r="I82" s="83"/>
      <c r="J82" s="83"/>
    </row>
    <row r="83" spans="1:10">
      <c r="B83" s="20"/>
      <c r="C83" s="84"/>
      <c r="D83" s="85"/>
      <c r="E83" s="85"/>
    </row>
    <row r="84" spans="1:10">
      <c r="B84" s="30" t="s">
        <v>61</v>
      </c>
      <c r="C84" s="86"/>
      <c r="D84" s="87">
        <f>ROUND(D65-D74-D80-D82,3)</f>
        <v>0</v>
      </c>
      <c r="E84" s="87">
        <f t="shared" ref="E84:J84" si="28">ROUND(E65-E74-E80-E82,3)</f>
        <v>0</v>
      </c>
      <c r="F84" s="87">
        <f t="shared" ca="1" si="28"/>
        <v>6224</v>
      </c>
      <c r="G84" s="87">
        <f t="shared" ca="1" si="28"/>
        <v>6224</v>
      </c>
      <c r="H84" s="87">
        <f t="shared" ca="1" si="28"/>
        <v>6224</v>
      </c>
      <c r="I84" s="87">
        <f t="shared" ca="1" si="28"/>
        <v>6224</v>
      </c>
      <c r="J84" s="87">
        <f t="shared" ca="1" si="28"/>
        <v>6224</v>
      </c>
    </row>
    <row r="85" spans="1:10">
      <c r="C85" s="14"/>
      <c r="D85" s="14"/>
      <c r="E85" s="14"/>
    </row>
    <row r="86" spans="1:10">
      <c r="B86" s="44" t="s">
        <v>62</v>
      </c>
      <c r="C86" s="14"/>
      <c r="D86" s="14"/>
      <c r="E86" s="14"/>
    </row>
    <row r="87" spans="1:10">
      <c r="B87" s="17" t="s">
        <v>63</v>
      </c>
      <c r="C87" s="14"/>
      <c r="D87" s="62">
        <f>D71+D70-D56</f>
        <v>5861</v>
      </c>
      <c r="E87" s="62">
        <f>E71+E70-E56</f>
        <v>7593</v>
      </c>
      <c r="F87" s="62">
        <f t="shared" ref="F87:J87" ca="1" si="29">F71+F70-F56+F82</f>
        <v>10244.470866283666</v>
      </c>
      <c r="G87" s="62">
        <f t="shared" ca="1" si="29"/>
        <v>10140.070738456217</v>
      </c>
      <c r="H87" s="62">
        <f t="shared" ca="1" si="29"/>
        <v>9450.8482650009937</v>
      </c>
      <c r="I87" s="62">
        <f t="shared" ca="1" si="29"/>
        <v>7707.758892941747</v>
      </c>
      <c r="J87" s="62">
        <f t="shared" ca="1" si="29"/>
        <v>6182.5168360066182</v>
      </c>
    </row>
    <row r="88" spans="1:10">
      <c r="B88" s="17" t="s">
        <v>64</v>
      </c>
      <c r="C88" s="14"/>
      <c r="D88" s="88">
        <f t="shared" ref="D88:J88" si="30">D16/D65</f>
        <v>0.59496269079857567</v>
      </c>
      <c r="E88" s="88">
        <f t="shared" si="30"/>
        <v>0.60447882824638988</v>
      </c>
      <c r="F88" s="88">
        <f t="shared" ca="1" si="30"/>
        <v>0.61791921025499175</v>
      </c>
      <c r="G88" s="88">
        <f t="shared" ca="1" si="30"/>
        <v>0.63438237181415291</v>
      </c>
      <c r="H88" s="88">
        <f t="shared" ca="1" si="30"/>
        <v>0.64078323779476176</v>
      </c>
      <c r="I88" s="88">
        <f t="shared" ca="1" si="30"/>
        <v>0.65282529624506003</v>
      </c>
      <c r="J88" s="88">
        <f t="shared" ca="1" si="30"/>
        <v>0.65016910887648049</v>
      </c>
    </row>
    <row r="89" spans="1:10">
      <c r="B89" s="17" t="s">
        <v>65</v>
      </c>
      <c r="C89" s="14"/>
      <c r="D89" s="14">
        <f t="shared" ref="D89:J89" si="31">D29/D16</f>
        <v>0.16872200514628799</v>
      </c>
      <c r="E89" s="14">
        <f t="shared" si="31"/>
        <v>0.17597785447224618</v>
      </c>
      <c r="F89" s="14">
        <f t="shared" ca="1" si="31"/>
        <v>0.1823303000469241</v>
      </c>
      <c r="G89" s="14">
        <f t="shared" ca="1" si="31"/>
        <v>0.190206612545474</v>
      </c>
      <c r="H89" s="14">
        <f t="shared" ca="1" si="31"/>
        <v>0.18405793219217664</v>
      </c>
      <c r="I89" s="14">
        <f t="shared" ca="1" si="31"/>
        <v>0.17562603519233699</v>
      </c>
      <c r="J89" s="14">
        <f t="shared" ca="1" si="31"/>
        <v>0.16936338490777644</v>
      </c>
    </row>
    <row r="90" spans="1:10">
      <c r="B90" s="17" t="s">
        <v>66</v>
      </c>
      <c r="C90" s="14"/>
      <c r="D90" s="14">
        <f t="shared" ref="D90:J90" si="32">D29/D65</f>
        <v>0.10038329817876664</v>
      </c>
      <c r="E90" s="14">
        <f t="shared" si="32"/>
        <v>0.10637488726869709</v>
      </c>
      <c r="F90" s="14">
        <f t="shared" ca="1" si="32"/>
        <v>0.11266539501055103</v>
      </c>
      <c r="G90" s="14">
        <f t="shared" ca="1" si="32"/>
        <v>0.12066372200133341</v>
      </c>
      <c r="H90" s="14">
        <f t="shared" ca="1" si="32"/>
        <v>0.11794123773191166</v>
      </c>
      <c r="I90" s="14">
        <f t="shared" ca="1" si="32"/>
        <v>0.11465311845278274</v>
      </c>
      <c r="J90" s="14">
        <f t="shared" ca="1" si="32"/>
        <v>0.11011484104179338</v>
      </c>
    </row>
    <row r="91" spans="1:10">
      <c r="B91" s="17" t="s">
        <v>67</v>
      </c>
      <c r="C91" s="14"/>
      <c r="D91" s="14">
        <f t="shared" ref="D91:J91" si="33">D29/D80</f>
        <v>0.19880965749578888</v>
      </c>
      <c r="E91" s="14">
        <f t="shared" si="33"/>
        <v>0.22627990292384145</v>
      </c>
      <c r="F91" s="14">
        <f t="shared" ca="1" si="33"/>
        <v>0.23171926105987009</v>
      </c>
      <c r="G91" s="14">
        <f t="shared" ca="1" si="33"/>
        <v>0.24420910409106006</v>
      </c>
      <c r="H91" s="14">
        <f t="shared" ca="1" si="33"/>
        <v>0.23449224564236584</v>
      </c>
      <c r="I91" s="14">
        <f t="shared" ca="1" si="33"/>
        <v>0.2245609295112489</v>
      </c>
      <c r="J91" s="14">
        <f t="shared" ca="1" si="33"/>
        <v>0.21209619773141533</v>
      </c>
    </row>
    <row r="93" spans="1:10">
      <c r="A93" s="17" t="s">
        <v>196</v>
      </c>
      <c r="B93" s="22" t="s">
        <v>68</v>
      </c>
      <c r="C93" s="29"/>
      <c r="D93" s="29"/>
      <c r="E93" s="29"/>
      <c r="F93" s="24"/>
      <c r="G93" s="24"/>
      <c r="H93" s="24"/>
      <c r="I93" s="24"/>
      <c r="J93" s="24"/>
    </row>
    <row r="94" spans="1:10">
      <c r="B94" s="65" t="str">
        <f>B13</f>
        <v xml:space="preserve">Fiscal year  </v>
      </c>
      <c r="C94" s="58"/>
      <c r="D94" s="58">
        <f t="shared" ref="D94:J95" si="34">D13</f>
        <v>2015</v>
      </c>
      <c r="E94" s="58">
        <f t="shared" si="34"/>
        <v>2016</v>
      </c>
      <c r="F94" s="59">
        <f t="shared" si="34"/>
        <v>2017</v>
      </c>
      <c r="G94" s="59">
        <f t="shared" si="34"/>
        <v>2018</v>
      </c>
      <c r="H94" s="59">
        <f t="shared" si="34"/>
        <v>2019</v>
      </c>
      <c r="I94" s="59">
        <f t="shared" si="34"/>
        <v>2020</v>
      </c>
      <c r="J94" s="59">
        <f t="shared" si="34"/>
        <v>2021</v>
      </c>
    </row>
    <row r="95" spans="1:10">
      <c r="B95" s="24" t="str">
        <f>B14</f>
        <v>Fiscal year end date</v>
      </c>
      <c r="C95" s="60"/>
      <c r="D95" s="60">
        <f t="shared" si="34"/>
        <v>42278</v>
      </c>
      <c r="E95" s="60">
        <f t="shared" si="34"/>
        <v>42644</v>
      </c>
      <c r="F95" s="60">
        <f t="shared" si="34"/>
        <v>43039</v>
      </c>
      <c r="G95" s="60">
        <f t="shared" si="34"/>
        <v>43404</v>
      </c>
      <c r="H95" s="60">
        <f t="shared" si="34"/>
        <v>43769</v>
      </c>
      <c r="I95" s="60">
        <f t="shared" si="34"/>
        <v>44135</v>
      </c>
      <c r="J95" s="60">
        <f t="shared" si="34"/>
        <v>44500</v>
      </c>
    </row>
    <row r="96" spans="1:10">
      <c r="B96" s="20"/>
      <c r="C96" s="89"/>
      <c r="D96" s="90"/>
      <c r="E96" s="90"/>
    </row>
    <row r="97" spans="2:10">
      <c r="B97" s="35" t="s">
        <v>42</v>
      </c>
      <c r="C97" s="35"/>
      <c r="D97" s="35"/>
      <c r="E97" s="35"/>
    </row>
    <row r="98" spans="2:10">
      <c r="B98" s="47" t="s">
        <v>69</v>
      </c>
      <c r="C98" s="20"/>
      <c r="D98" s="20"/>
      <c r="E98" s="20"/>
      <c r="F98" s="62">
        <f>E100</f>
        <v>9065</v>
      </c>
      <c r="G98" s="62">
        <f ca="1">F100</f>
        <v>8959.710260745258</v>
      </c>
      <c r="H98" s="62">
        <f ca="1">G100</f>
        <v>9497.2928763899745</v>
      </c>
      <c r="I98" s="62">
        <f ca="1">H100</f>
        <v>9877.1845914455735</v>
      </c>
      <c r="J98" s="62">
        <f ca="1">I100</f>
        <v>10371.043821017854</v>
      </c>
    </row>
    <row r="99" spans="2:10">
      <c r="B99" s="91" t="s">
        <v>70</v>
      </c>
      <c r="C99" s="20"/>
      <c r="D99" s="20"/>
      <c r="E99" s="20"/>
      <c r="F99" s="62">
        <f ca="1">F100-F98</f>
        <v>-105.28973925474202</v>
      </c>
      <c r="G99" s="62">
        <f ca="1">G100-G98</f>
        <v>537.5826156447165</v>
      </c>
      <c r="H99" s="62">
        <f ca="1">H100-H98</f>
        <v>379.89171505559898</v>
      </c>
      <c r="I99" s="62">
        <f ca="1">I100-I98</f>
        <v>493.85922957228104</v>
      </c>
      <c r="J99" s="62">
        <f ca="1">J100-J98</f>
        <v>207.42087642035585</v>
      </c>
    </row>
    <row r="100" spans="2:10">
      <c r="B100" s="47" t="s">
        <v>71</v>
      </c>
      <c r="C100" s="92"/>
      <c r="D100" s="62">
        <f>D57</f>
        <v>8019</v>
      </c>
      <c r="E100" s="62">
        <f>E57</f>
        <v>9065</v>
      </c>
      <c r="F100" s="62">
        <f ca="1">IF(F102,F102*F16,E100*(1+F41))</f>
        <v>8959.710260745258</v>
      </c>
      <c r="G100" s="62">
        <f ca="1">IF(G102,G102*G16,F100*(1+G41))</f>
        <v>9497.2928763899745</v>
      </c>
      <c r="H100" s="62">
        <f ca="1">IF(H102,H102*H16,G100*(1+H41))</f>
        <v>9877.1845914455735</v>
      </c>
      <c r="I100" s="62">
        <f ca="1">IF(I102,I102*I16,H100*(1+I41))</f>
        <v>10371.043821017854</v>
      </c>
      <c r="J100" s="62">
        <f ca="1">IF(J102,J102*J16,I100*(1+J41))</f>
        <v>10578.46469743821</v>
      </c>
    </row>
    <row r="101" spans="2:10">
      <c r="B101" s="20"/>
      <c r="C101" s="93"/>
    </row>
    <row r="102" spans="2:10">
      <c r="B102" s="47" t="s">
        <v>72</v>
      </c>
      <c r="C102" s="94"/>
      <c r="D102" s="14">
        <f>D100/D16</f>
        <v>0.15284475364528732</v>
      </c>
      <c r="E102" s="14">
        <f>E100/E16</f>
        <v>0.16294578659764164</v>
      </c>
      <c r="F102" s="63">
        <f>AVERAGE(D102:E102)</f>
        <v>0.15789527012146448</v>
      </c>
      <c r="G102" s="63">
        <f>F102</f>
        <v>0.15789527012146448</v>
      </c>
      <c r="H102" s="63">
        <f t="shared" ref="H102:J102" si="35">G102</f>
        <v>0.15789527012146448</v>
      </c>
      <c r="I102" s="63">
        <f t="shared" si="35"/>
        <v>0.15789527012146448</v>
      </c>
      <c r="J102" s="63">
        <f t="shared" si="35"/>
        <v>0.15789527012146448</v>
      </c>
    </row>
    <row r="103" spans="2:10">
      <c r="B103" s="51" t="s">
        <v>73</v>
      </c>
      <c r="C103" s="94"/>
      <c r="D103" s="95">
        <f t="shared" ref="D103:J103" si="36">D102*365</f>
        <v>55.788335080529876</v>
      </c>
      <c r="E103" s="95">
        <f t="shared" si="36"/>
        <v>59.475212108139196</v>
      </c>
      <c r="F103" s="96">
        <f t="shared" si="36"/>
        <v>57.631773594334533</v>
      </c>
      <c r="G103" s="96">
        <f t="shared" si="36"/>
        <v>57.631773594334533</v>
      </c>
      <c r="H103" s="96">
        <f t="shared" si="36"/>
        <v>57.631773594334533</v>
      </c>
      <c r="I103" s="96">
        <f t="shared" si="36"/>
        <v>57.631773594334533</v>
      </c>
      <c r="J103" s="96">
        <f t="shared" si="36"/>
        <v>57.631773594334533</v>
      </c>
    </row>
    <row r="104" spans="2:10">
      <c r="B104" s="20"/>
      <c r="C104" s="94"/>
    </row>
    <row r="105" spans="2:10">
      <c r="B105" s="35" t="s">
        <v>74</v>
      </c>
      <c r="C105" s="35"/>
    </row>
    <row r="106" spans="2:10">
      <c r="B106" s="47" t="s">
        <v>69</v>
      </c>
      <c r="C106" s="20"/>
      <c r="F106" s="62">
        <f>E108</f>
        <v>1390</v>
      </c>
      <c r="G106" s="62">
        <f ca="1">F108</f>
        <v>1560.9585065167555</v>
      </c>
      <c r="H106" s="62">
        <f ca="1">G108</f>
        <v>1654.6160169077611</v>
      </c>
      <c r="I106" s="62">
        <f ca="1">H108</f>
        <v>1720.8006575840718</v>
      </c>
      <c r="J106" s="62">
        <f ca="1">I108</f>
        <v>1806.8406904632755</v>
      </c>
    </row>
    <row r="107" spans="2:10">
      <c r="B107" s="91" t="s">
        <v>70</v>
      </c>
      <c r="C107" s="20"/>
      <c r="F107" s="62">
        <f ca="1">F108-F106</f>
        <v>170.95850651675551</v>
      </c>
      <c r="G107" s="62">
        <f ca="1">G108-G106</f>
        <v>93.657510391005644</v>
      </c>
      <c r="H107" s="62">
        <f ca="1">H108-H106</f>
        <v>66.184640676310664</v>
      </c>
      <c r="I107" s="62">
        <f ca="1">I108-I106</f>
        <v>86.040032879203636</v>
      </c>
      <c r="J107" s="62">
        <f ca="1">J108-J106</f>
        <v>36.136813809265277</v>
      </c>
    </row>
    <row r="108" spans="2:10">
      <c r="B108" s="47" t="s">
        <v>71</v>
      </c>
      <c r="C108" s="92"/>
      <c r="D108" s="62">
        <f>D58</f>
        <v>1571</v>
      </c>
      <c r="E108" s="62">
        <f>E58</f>
        <v>1390</v>
      </c>
      <c r="F108" s="62">
        <f ca="1">IF(F110,-(F110*F17),E108*F17/E17)</f>
        <v>1560.9585065167555</v>
      </c>
      <c r="G108" s="62">
        <f ca="1">IF(G110,-(G110*G17),F108*G17/F17)</f>
        <v>1654.6160169077611</v>
      </c>
      <c r="H108" s="62">
        <f ca="1">IF(H110,-(H110*H17),G108*H17/G17)</f>
        <v>1720.8006575840718</v>
      </c>
      <c r="I108" s="62">
        <f ca="1">IF(I110,-(I110*I17),H108*I17/H17)</f>
        <v>1806.8406904632755</v>
      </c>
      <c r="J108" s="62">
        <f ca="1">IF(J110,-(J110*J17),I108*J17/I17)</f>
        <v>1842.9775042725407</v>
      </c>
    </row>
    <row r="109" spans="2:10">
      <c r="B109" s="20"/>
      <c r="C109" s="93"/>
    </row>
    <row r="110" spans="2:10">
      <c r="B110" s="47" t="s">
        <v>75</v>
      </c>
      <c r="C110" s="94"/>
      <c r="D110" s="14">
        <f>-(D108/D17)</f>
        <v>5.1142652516439874E-2</v>
      </c>
      <c r="E110" s="14">
        <f>-(E108/E17)</f>
        <v>4.274292742927429E-2</v>
      </c>
      <c r="F110" s="63">
        <f>AVERAGE(D110:E110)</f>
        <v>4.6942789972857085E-2</v>
      </c>
      <c r="G110" s="63">
        <f>F110</f>
        <v>4.6942789972857085E-2</v>
      </c>
      <c r="H110" s="63">
        <f t="shared" ref="H110:J110" si="37">G110</f>
        <v>4.6942789972857085E-2</v>
      </c>
      <c r="I110" s="63">
        <f t="shared" si="37"/>
        <v>4.6942789972857085E-2</v>
      </c>
      <c r="J110" s="63">
        <f t="shared" si="37"/>
        <v>4.6942789972857085E-2</v>
      </c>
    </row>
    <row r="111" spans="2:10">
      <c r="B111" s="47" t="s">
        <v>76</v>
      </c>
      <c r="C111" s="94"/>
      <c r="D111" s="12">
        <f t="shared" ref="D111:J111" si="38">-(D17/D108)</f>
        <v>19.553150859325271</v>
      </c>
      <c r="E111" s="12">
        <f>-(E17/E108)</f>
        <v>23.39568345323741</v>
      </c>
      <c r="F111" s="13">
        <f t="shared" ca="1" si="38"/>
        <v>21.302525916721454</v>
      </c>
      <c r="G111" s="13">
        <f t="shared" ca="1" si="38"/>
        <v>21.302525916721454</v>
      </c>
      <c r="H111" s="13">
        <f t="shared" ca="1" si="38"/>
        <v>21.30252591672145</v>
      </c>
      <c r="I111" s="13">
        <f t="shared" ca="1" si="38"/>
        <v>21.30252591672145</v>
      </c>
      <c r="J111" s="13">
        <f t="shared" ca="1" si="38"/>
        <v>21.302525916721454</v>
      </c>
    </row>
    <row r="112" spans="2:10">
      <c r="B112" s="20"/>
      <c r="C112" s="94"/>
    </row>
    <row r="113" spans="1:10">
      <c r="B113" s="35" t="s">
        <v>50</v>
      </c>
      <c r="C113" s="35"/>
    </row>
    <row r="114" spans="1:10">
      <c r="B114" s="47" t="s">
        <v>69</v>
      </c>
      <c r="C114" s="20"/>
      <c r="F114" s="62">
        <f>E116</f>
        <v>9130</v>
      </c>
      <c r="G114" s="62">
        <f ca="1">F116</f>
        <v>8913.3858499687431</v>
      </c>
      <c r="H114" s="62">
        <f ca="1">G116</f>
        <v>9448.1890009668714</v>
      </c>
      <c r="I114" s="62">
        <f ca="1">H116</f>
        <v>9826.1165610055468</v>
      </c>
      <c r="J114" s="62">
        <f ca="1">I116</f>
        <v>10317.422389055824</v>
      </c>
    </row>
    <row r="115" spans="1:10">
      <c r="B115" s="91" t="s">
        <v>70</v>
      </c>
      <c r="C115" s="20"/>
      <c r="F115" s="62">
        <f ca="1">F116-F114</f>
        <v>-216.61415003125694</v>
      </c>
      <c r="G115" s="62">
        <f ca="1">G116-G114</f>
        <v>534.80315099812833</v>
      </c>
      <c r="H115" s="62">
        <f ca="1">H116-H114</f>
        <v>377.92756003867544</v>
      </c>
      <c r="I115" s="62">
        <f ca="1">I116-I114</f>
        <v>491.30582805027734</v>
      </c>
      <c r="J115" s="62">
        <f ca="1">J116-J114</f>
        <v>206.34844778111619</v>
      </c>
    </row>
    <row r="116" spans="1:10">
      <c r="B116" s="47" t="s">
        <v>71</v>
      </c>
      <c r="C116" s="92"/>
      <c r="D116" s="62">
        <f>D67</f>
        <v>7844</v>
      </c>
      <c r="E116" s="62">
        <f>E67</f>
        <v>9130</v>
      </c>
      <c r="F116" s="62">
        <f ca="1">IF(F118,-(F118*F17),E116*F17/E17)</f>
        <v>8913.3858499687431</v>
      </c>
      <c r="G116" s="62">
        <f ca="1">IF(G118,-(G118*G17),F116*G17/F17)</f>
        <v>9448.1890009668714</v>
      </c>
      <c r="H116" s="62">
        <f ca="1">IF(H118,-(H118*H17),G116*H17/G17)</f>
        <v>9826.1165610055468</v>
      </c>
      <c r="I116" s="62">
        <f ca="1">IF(I118,-(I118*I17),H116*I17/H17)</f>
        <v>10317.422389055824</v>
      </c>
      <c r="J116" s="62">
        <f ca="1">IF(J118,-(J118*J17),I116*J17/I17)</f>
        <v>10523.77083683694</v>
      </c>
    </row>
    <row r="117" spans="1:10">
      <c r="B117" s="20"/>
      <c r="C117" s="94"/>
    </row>
    <row r="118" spans="1:10">
      <c r="B118" s="47" t="s">
        <v>77</v>
      </c>
      <c r="C118" s="94"/>
      <c r="D118" s="14">
        <f>-(D116/D17)</f>
        <v>0.25535516635197603</v>
      </c>
      <c r="E118" s="14">
        <f>-(E116/E17)</f>
        <v>0.28075030750307506</v>
      </c>
      <c r="F118" s="63">
        <f>AVERAGE(D118:E118)</f>
        <v>0.26805273692752551</v>
      </c>
      <c r="G118" s="63">
        <f>F118</f>
        <v>0.26805273692752551</v>
      </c>
      <c r="H118" s="63">
        <f t="shared" ref="H118:J118" si="39">G118</f>
        <v>0.26805273692752551</v>
      </c>
      <c r="I118" s="63">
        <f t="shared" si="39"/>
        <v>0.26805273692752551</v>
      </c>
      <c r="J118" s="63">
        <f t="shared" si="39"/>
        <v>0.26805273692752551</v>
      </c>
    </row>
    <row r="119" spans="1:10">
      <c r="B119" s="47" t="s">
        <v>78</v>
      </c>
      <c r="C119" s="94"/>
      <c r="D119" s="95">
        <f t="shared" ref="D119:J119" si="40">D118*365</f>
        <v>93.204635718471252</v>
      </c>
      <c r="E119" s="95">
        <f t="shared" si="40"/>
        <v>102.4738622386224</v>
      </c>
      <c r="F119" s="15">
        <f t="shared" si="40"/>
        <v>97.839248978546806</v>
      </c>
      <c r="G119" s="15">
        <f t="shared" si="40"/>
        <v>97.839248978546806</v>
      </c>
      <c r="H119" s="15">
        <f t="shared" si="40"/>
        <v>97.839248978546806</v>
      </c>
      <c r="I119" s="15">
        <f t="shared" si="40"/>
        <v>97.839248978546806</v>
      </c>
      <c r="J119" s="15">
        <f t="shared" si="40"/>
        <v>97.839248978546806</v>
      </c>
    </row>
    <row r="120" spans="1:10">
      <c r="B120" s="20"/>
      <c r="C120" s="94"/>
    </row>
    <row r="121" spans="1:10">
      <c r="B121" s="35" t="s">
        <v>79</v>
      </c>
      <c r="C121" s="94"/>
    </row>
    <row r="122" spans="1:10">
      <c r="B122" s="47" t="s">
        <v>69</v>
      </c>
      <c r="C122" s="94"/>
      <c r="F122" s="62">
        <f>E124</f>
        <v>4025</v>
      </c>
      <c r="G122" s="62">
        <f ca="1">F124</f>
        <v>4176.4153128752496</v>
      </c>
      <c r="H122" s="62">
        <f ca="1">G124</f>
        <v>4427.0002316477648</v>
      </c>
      <c r="I122" s="62">
        <f ca="1">H124</f>
        <v>4604.0802409136759</v>
      </c>
      <c r="J122" s="62">
        <f ca="1">I124</f>
        <v>4834.2842529593609</v>
      </c>
    </row>
    <row r="123" spans="1:10">
      <c r="B123" s="91" t="s">
        <v>70</v>
      </c>
      <c r="C123" s="94"/>
      <c r="F123" s="62">
        <f ca="1">F124-F122</f>
        <v>151.41531287524958</v>
      </c>
      <c r="G123" s="62">
        <f ca="1">G124-G122</f>
        <v>250.58491877251527</v>
      </c>
      <c r="H123" s="62">
        <f ca="1">H124-H122</f>
        <v>177.08000926591103</v>
      </c>
      <c r="I123" s="62">
        <f ca="1">I124-I122</f>
        <v>230.20401204568498</v>
      </c>
      <c r="J123" s="62">
        <f ca="1">J124-J122</f>
        <v>96.685685059186653</v>
      </c>
    </row>
    <row r="124" spans="1:10">
      <c r="B124" s="47" t="s">
        <v>71</v>
      </c>
      <c r="C124" s="94"/>
      <c r="D124" s="62">
        <f>D68</f>
        <v>3927</v>
      </c>
      <c r="E124" s="62">
        <f>E68</f>
        <v>4025</v>
      </c>
      <c r="F124" s="62">
        <f ca="1">IF(F126,F126*F16,E124*(1+F41))</f>
        <v>4176.4153128752496</v>
      </c>
      <c r="G124" s="62">
        <f ca="1">IF(G126,G126*G16,F124*(1+G41))</f>
        <v>4427.0002316477648</v>
      </c>
      <c r="H124" s="62">
        <f ca="1">IF(H126,H126*H16,G124*(1+H41))</f>
        <v>4604.0802409136759</v>
      </c>
      <c r="I124" s="62">
        <f ca="1">IF(I126,I126*I16,H124*(1+I41))</f>
        <v>4834.2842529593609</v>
      </c>
      <c r="J124" s="62">
        <f ca="1">IF(J126,J126*J16,I124*(1+J41))</f>
        <v>4930.9699380185475</v>
      </c>
    </row>
    <row r="125" spans="1:10">
      <c r="B125" s="20"/>
      <c r="C125" s="94"/>
    </row>
    <row r="126" spans="1:10">
      <c r="B126" s="47" t="s">
        <v>80</v>
      </c>
      <c r="C126" s="94"/>
      <c r="D126" s="14">
        <f>D124/D16</f>
        <v>7.484989993328886E-2</v>
      </c>
      <c r="E126" s="16">
        <f>E124/E16</f>
        <v>7.2350445786597647E-2</v>
      </c>
      <c r="F126" s="63">
        <f>AVERAGE(D126:E126)</f>
        <v>7.3600172859943247E-2</v>
      </c>
      <c r="G126" s="63">
        <f>F126</f>
        <v>7.3600172859943247E-2</v>
      </c>
      <c r="H126" s="63">
        <f t="shared" ref="H126:J126" si="41">G126</f>
        <v>7.3600172859943247E-2</v>
      </c>
      <c r="I126" s="63">
        <f t="shared" si="41"/>
        <v>7.3600172859943247E-2</v>
      </c>
      <c r="J126" s="63">
        <f t="shared" si="41"/>
        <v>7.3600172859943247E-2</v>
      </c>
    </row>
    <row r="128" spans="1:10">
      <c r="A128" s="17" t="s">
        <v>196</v>
      </c>
      <c r="B128" s="22" t="s">
        <v>81</v>
      </c>
      <c r="C128" s="24"/>
      <c r="D128" s="24"/>
      <c r="E128" s="24"/>
      <c r="F128" s="24"/>
      <c r="G128" s="24"/>
      <c r="H128" s="24"/>
      <c r="I128" s="24"/>
      <c r="J128" s="24"/>
    </row>
    <row r="129" spans="2:10">
      <c r="B129" s="65" t="str">
        <f t="shared" ref="B129:J129" si="42">B13</f>
        <v xml:space="preserve">Fiscal year  </v>
      </c>
      <c r="C129" s="58">
        <f t="shared" si="42"/>
        <v>2014</v>
      </c>
      <c r="D129" s="58">
        <f t="shared" si="42"/>
        <v>2015</v>
      </c>
      <c r="E129" s="58">
        <f t="shared" si="42"/>
        <v>2016</v>
      </c>
      <c r="F129" s="59">
        <f t="shared" si="42"/>
        <v>2017</v>
      </c>
      <c r="G129" s="59">
        <f t="shared" si="42"/>
        <v>2018</v>
      </c>
      <c r="H129" s="59">
        <f t="shared" si="42"/>
        <v>2019</v>
      </c>
      <c r="I129" s="59">
        <f t="shared" si="42"/>
        <v>2020</v>
      </c>
      <c r="J129" s="59">
        <f t="shared" si="42"/>
        <v>2021</v>
      </c>
    </row>
    <row r="130" spans="2:10">
      <c r="B130" s="24" t="str">
        <f t="shared" ref="B130:J130" si="43">B14</f>
        <v>Fiscal year end date</v>
      </c>
      <c r="C130" s="60">
        <f t="shared" si="43"/>
        <v>42280</v>
      </c>
      <c r="D130" s="60">
        <f t="shared" si="43"/>
        <v>42278</v>
      </c>
      <c r="E130" s="60">
        <f t="shared" si="43"/>
        <v>42644</v>
      </c>
      <c r="F130" s="60">
        <f t="shared" si="43"/>
        <v>43039</v>
      </c>
      <c r="G130" s="60">
        <f t="shared" si="43"/>
        <v>43404</v>
      </c>
      <c r="H130" s="60">
        <f t="shared" si="43"/>
        <v>43769</v>
      </c>
      <c r="I130" s="60">
        <f t="shared" si="43"/>
        <v>44135</v>
      </c>
      <c r="J130" s="60">
        <f t="shared" si="43"/>
        <v>44500</v>
      </c>
    </row>
    <row r="131" spans="2:10">
      <c r="B131" s="20"/>
    </row>
    <row r="132" spans="2:10">
      <c r="B132" s="47" t="s">
        <v>69</v>
      </c>
      <c r="F132" s="62">
        <f>E135</f>
        <v>34759</v>
      </c>
      <c r="G132" s="62">
        <f>F135</f>
        <v>34951</v>
      </c>
      <c r="H132" s="62">
        <f>G135</f>
        <v>35142</v>
      </c>
      <c r="I132" s="62">
        <f>H135</f>
        <v>35328</v>
      </c>
      <c r="J132" s="62">
        <f>I135</f>
        <v>35508</v>
      </c>
    </row>
    <row r="133" spans="2:10">
      <c r="B133" s="91" t="s">
        <v>82</v>
      </c>
      <c r="F133" s="62">
        <f>F137</f>
        <v>0</v>
      </c>
      <c r="G133" s="62">
        <f t="shared" ref="G133:J134" si="44">G137</f>
        <v>0</v>
      </c>
      <c r="H133" s="62">
        <f t="shared" si="44"/>
        <v>0</v>
      </c>
      <c r="I133" s="62">
        <f t="shared" si="44"/>
        <v>0</v>
      </c>
      <c r="J133" s="62">
        <f t="shared" si="44"/>
        <v>0</v>
      </c>
    </row>
    <row r="134" spans="2:10">
      <c r="B134" s="91" t="s">
        <v>83</v>
      </c>
      <c r="D134" s="62"/>
      <c r="E134" s="62"/>
      <c r="F134" s="62">
        <f>F138</f>
        <v>192</v>
      </c>
      <c r="G134" s="62">
        <f t="shared" si="44"/>
        <v>191</v>
      </c>
      <c r="H134" s="62">
        <f t="shared" si="44"/>
        <v>186</v>
      </c>
      <c r="I134" s="62">
        <f t="shared" si="44"/>
        <v>180</v>
      </c>
      <c r="J134" s="62">
        <f t="shared" si="44"/>
        <v>175</v>
      </c>
    </row>
    <row r="135" spans="2:10">
      <c r="B135" s="47" t="s">
        <v>71</v>
      </c>
      <c r="D135" s="62">
        <f>D63</f>
        <v>34998</v>
      </c>
      <c r="E135" s="62">
        <f>E63</f>
        <v>34759</v>
      </c>
      <c r="F135" s="62">
        <f>SUM(F132:F134)</f>
        <v>34951</v>
      </c>
      <c r="G135" s="62">
        <f>SUM(G132:G134)</f>
        <v>35142</v>
      </c>
      <c r="H135" s="62">
        <f>SUM(H132:H134)</f>
        <v>35328</v>
      </c>
      <c r="I135" s="62">
        <f>SUM(I132:I134)</f>
        <v>35508</v>
      </c>
      <c r="J135" s="62">
        <f>SUM(J132:J134)</f>
        <v>35683</v>
      </c>
    </row>
    <row r="136" spans="2:10">
      <c r="B136" s="20"/>
      <c r="E136" s="62"/>
    </row>
    <row r="137" spans="2:10">
      <c r="B137" s="51" t="s">
        <v>84</v>
      </c>
      <c r="C137" s="97"/>
      <c r="D137" s="97"/>
      <c r="E137" s="97"/>
      <c r="F137" s="97">
        <v>0</v>
      </c>
      <c r="G137" s="97">
        <v>0</v>
      </c>
      <c r="H137" s="97">
        <v>0</v>
      </c>
      <c r="I137" s="97">
        <v>0</v>
      </c>
      <c r="J137" s="97">
        <v>0</v>
      </c>
    </row>
    <row r="138" spans="2:10">
      <c r="B138" s="51" t="s">
        <v>85</v>
      </c>
      <c r="C138" s="97">
        <v>224</v>
      </c>
      <c r="D138" s="97">
        <v>222</v>
      </c>
      <c r="E138" s="97">
        <v>207</v>
      </c>
      <c r="F138" s="97">
        <v>192</v>
      </c>
      <c r="G138" s="97">
        <v>191</v>
      </c>
      <c r="H138" s="97">
        <v>186</v>
      </c>
      <c r="I138" s="97">
        <v>180</v>
      </c>
      <c r="J138" s="97">
        <v>175</v>
      </c>
    </row>
    <row r="139" spans="2:10">
      <c r="B139" s="20"/>
    </row>
    <row r="140" spans="2:10">
      <c r="B140" s="22" t="s">
        <v>86</v>
      </c>
      <c r="C140" s="24"/>
      <c r="D140" s="24"/>
      <c r="E140" s="24"/>
      <c r="F140" s="24"/>
      <c r="G140" s="24"/>
      <c r="H140" s="24"/>
      <c r="I140" s="24"/>
      <c r="J140" s="24"/>
    </row>
    <row r="141" spans="2:10">
      <c r="B141" s="65" t="str">
        <f t="shared" ref="B141:J141" si="45">B13</f>
        <v xml:space="preserve">Fiscal year  </v>
      </c>
      <c r="C141" s="58">
        <f t="shared" si="45"/>
        <v>2014</v>
      </c>
      <c r="D141" s="58">
        <f t="shared" si="45"/>
        <v>2015</v>
      </c>
      <c r="E141" s="58">
        <f t="shared" si="45"/>
        <v>2016</v>
      </c>
      <c r="F141" s="59">
        <f t="shared" si="45"/>
        <v>2017</v>
      </c>
      <c r="G141" s="59">
        <f t="shared" si="45"/>
        <v>2018</v>
      </c>
      <c r="H141" s="59">
        <f t="shared" si="45"/>
        <v>2019</v>
      </c>
      <c r="I141" s="59">
        <f t="shared" si="45"/>
        <v>2020</v>
      </c>
      <c r="J141" s="59">
        <f t="shared" si="45"/>
        <v>2021</v>
      </c>
    </row>
    <row r="142" spans="2:10">
      <c r="B142" s="24" t="str">
        <f t="shared" ref="B142:J142" si="46">B14</f>
        <v>Fiscal year end date</v>
      </c>
      <c r="C142" s="60">
        <f t="shared" si="46"/>
        <v>42280</v>
      </c>
      <c r="D142" s="60">
        <f t="shared" si="46"/>
        <v>42278</v>
      </c>
      <c r="E142" s="60">
        <f t="shared" si="46"/>
        <v>42644</v>
      </c>
      <c r="F142" s="60">
        <f t="shared" si="46"/>
        <v>43039</v>
      </c>
      <c r="G142" s="60">
        <f t="shared" si="46"/>
        <v>43404</v>
      </c>
      <c r="H142" s="60">
        <f t="shared" si="46"/>
        <v>43769</v>
      </c>
      <c r="I142" s="60">
        <f t="shared" si="46"/>
        <v>44135</v>
      </c>
      <c r="J142" s="60">
        <f t="shared" si="46"/>
        <v>44500</v>
      </c>
    </row>
    <row r="143" spans="2:10">
      <c r="B143" s="35"/>
    </row>
    <row r="144" spans="2:10">
      <c r="B144" s="47" t="s">
        <v>69</v>
      </c>
      <c r="F144" s="62">
        <f>E147</f>
        <v>27349</v>
      </c>
      <c r="G144" s="62">
        <f ca="1">F147</f>
        <v>29541.612889600001</v>
      </c>
      <c r="H144" s="62">
        <f ca="1">G147</f>
        <v>31598.719578880002</v>
      </c>
      <c r="I144" s="62">
        <f ca="1">H147</f>
        <v>33085.033296271366</v>
      </c>
      <c r="J144" s="62">
        <f ca="1">I147</f>
        <v>33572.401569511945</v>
      </c>
    </row>
    <row r="145" spans="1:11">
      <c r="B145" s="91" t="s">
        <v>87</v>
      </c>
      <c r="F145" s="62">
        <f ca="1">F149</f>
        <v>4567.9435199999998</v>
      </c>
      <c r="G145" s="62">
        <f ca="1">G149</f>
        <v>4571.3481984</v>
      </c>
      <c r="H145" s="62">
        <f ca="1">H149</f>
        <v>4128.6492149760006</v>
      </c>
      <c r="I145" s="62">
        <f ca="1">I149</f>
        <v>3481.2019517184008</v>
      </c>
      <c r="J145" s="62">
        <f ca="1">J149</f>
        <v>3483.8292739461126</v>
      </c>
    </row>
    <row r="146" spans="1:11">
      <c r="B146" s="91" t="s">
        <v>88</v>
      </c>
      <c r="F146" s="62">
        <f ca="1">F151</f>
        <v>-2375.3306303999998</v>
      </c>
      <c r="G146" s="62">
        <f ca="1">G151</f>
        <v>-2514.24150912</v>
      </c>
      <c r="H146" s="62">
        <f ca="1">H151</f>
        <v>-2642.3354975846405</v>
      </c>
      <c r="I146" s="62">
        <f ca="1">I151</f>
        <v>-2993.8336784778248</v>
      </c>
      <c r="J146" s="62">
        <f ca="1">J151</f>
        <v>-2996.0931755936567</v>
      </c>
    </row>
    <row r="147" spans="1:11">
      <c r="B147" s="47" t="s">
        <v>71</v>
      </c>
      <c r="D147" s="62">
        <f>D62</f>
        <v>25179</v>
      </c>
      <c r="E147" s="62">
        <f>E62</f>
        <v>27349</v>
      </c>
      <c r="F147" s="62">
        <f ca="1">SUM(F144:F146)</f>
        <v>29541.612889600001</v>
      </c>
      <c r="G147" s="62">
        <f ca="1">SUM(G144:G146)</f>
        <v>31598.719578880002</v>
      </c>
      <c r="H147" s="62">
        <f ca="1">SUM(H144:H146)</f>
        <v>33085.033296271366</v>
      </c>
      <c r="I147" s="62">
        <f ca="1">SUM(I144:I146)</f>
        <v>33572.401569511945</v>
      </c>
      <c r="J147" s="62">
        <f ca="1">SUM(J144:J146)</f>
        <v>34060.137667864401</v>
      </c>
    </row>
    <row r="148" spans="1:11">
      <c r="B148" s="47"/>
    </row>
    <row r="149" spans="1:11">
      <c r="B149" s="51" t="s">
        <v>89</v>
      </c>
      <c r="C149" s="97">
        <v>3311</v>
      </c>
      <c r="D149" s="97">
        <v>4265</v>
      </c>
      <c r="E149" s="97">
        <v>4773</v>
      </c>
      <c r="F149" s="62">
        <f ca="1">F150*F16</f>
        <v>4567.9435199999998</v>
      </c>
      <c r="G149" s="62">
        <f ca="1">G150*G16</f>
        <v>4571.3481984</v>
      </c>
      <c r="H149" s="62">
        <f ca="1">H150*H16</f>
        <v>4128.6492149760006</v>
      </c>
      <c r="I149" s="62">
        <f ca="1">I150*I16</f>
        <v>3481.2019517184008</v>
      </c>
      <c r="J149" s="62">
        <f ca="1">J150*J16</f>
        <v>3483.8292739461126</v>
      </c>
    </row>
    <row r="150" spans="1:11">
      <c r="B150" s="47" t="s">
        <v>90</v>
      </c>
      <c r="C150" s="14">
        <f>C149/C16</f>
        <v>6.7830291110974536E-2</v>
      </c>
      <c r="D150" s="14">
        <f>D149/D16</f>
        <v>8.1292290098160677E-2</v>
      </c>
      <c r="E150" s="14">
        <f>E149/E16</f>
        <v>8.5795944779982744E-2</v>
      </c>
      <c r="F150" s="63">
        <v>8.0500000000000002E-2</v>
      </c>
      <c r="G150" s="63">
        <v>7.5999999999999998E-2</v>
      </c>
      <c r="H150" s="63">
        <v>6.6000000000000003E-2</v>
      </c>
      <c r="I150" s="63">
        <v>5.2999999999999999E-2</v>
      </c>
      <c r="J150" s="63">
        <v>5.1999999999999998E-2</v>
      </c>
      <c r="K150" s="17" t="s">
        <v>258</v>
      </c>
    </row>
    <row r="151" spans="1:11">
      <c r="B151" s="51" t="s">
        <v>91</v>
      </c>
      <c r="C151" s="97">
        <v>-2064</v>
      </c>
      <c r="D151" s="97">
        <v>-2132</v>
      </c>
      <c r="E151" s="97">
        <v>-2320</v>
      </c>
      <c r="F151" s="62">
        <f ca="1">-(F152*F149)</f>
        <v>-2375.3306303999998</v>
      </c>
      <c r="G151" s="62">
        <f ca="1">-(G152*G149)</f>
        <v>-2514.24150912</v>
      </c>
      <c r="H151" s="62">
        <f ca="1">-(H152*H149)</f>
        <v>-2642.3354975846405</v>
      </c>
      <c r="I151" s="62">
        <f ca="1">-(I152*I149)</f>
        <v>-2993.8336784778248</v>
      </c>
      <c r="J151" s="62">
        <f ca="1">-(J152*J149)</f>
        <v>-2996.0931755936567</v>
      </c>
    </row>
    <row r="152" spans="1:11">
      <c r="B152" s="47" t="s">
        <v>92</v>
      </c>
      <c r="C152" s="14">
        <f>-(C151/C149)</f>
        <v>0.62337662337662336</v>
      </c>
      <c r="D152" s="14">
        <f>-(D151/D149)</f>
        <v>0.49988276670574444</v>
      </c>
      <c r="E152" s="14">
        <f>-(E151/E149)</f>
        <v>0.48606746281164886</v>
      </c>
      <c r="F152" s="63">
        <v>0.52</v>
      </c>
      <c r="G152" s="63">
        <v>0.55000000000000004</v>
      </c>
      <c r="H152" s="63">
        <v>0.64</v>
      </c>
      <c r="I152" s="63">
        <v>0.86</v>
      </c>
      <c r="J152" s="63">
        <v>0.86</v>
      </c>
      <c r="K152" s="17" t="s">
        <v>258</v>
      </c>
    </row>
    <row r="154" spans="1:11">
      <c r="A154" s="17" t="s">
        <v>196</v>
      </c>
      <c r="B154" s="22" t="s">
        <v>93</v>
      </c>
      <c r="C154" s="24"/>
      <c r="D154" s="24"/>
      <c r="E154" s="24"/>
      <c r="F154" s="227"/>
      <c r="G154" s="227"/>
      <c r="H154" s="227"/>
      <c r="I154" s="227"/>
      <c r="J154" s="227"/>
    </row>
    <row r="155" spans="1:11">
      <c r="B155" s="65" t="str">
        <f t="shared" ref="B155:J155" si="47">B13</f>
        <v xml:space="preserve">Fiscal year  </v>
      </c>
      <c r="C155" s="58">
        <f t="shared" si="47"/>
        <v>2014</v>
      </c>
      <c r="D155" s="58">
        <f t="shared" si="47"/>
        <v>2015</v>
      </c>
      <c r="E155" s="58">
        <f t="shared" si="47"/>
        <v>2016</v>
      </c>
      <c r="F155" s="59">
        <f t="shared" si="47"/>
        <v>2017</v>
      </c>
      <c r="G155" s="59">
        <f t="shared" si="47"/>
        <v>2018</v>
      </c>
      <c r="H155" s="59">
        <f t="shared" si="47"/>
        <v>2019</v>
      </c>
      <c r="I155" s="59">
        <f t="shared" si="47"/>
        <v>2020</v>
      </c>
      <c r="J155" s="59">
        <f t="shared" si="47"/>
        <v>2021</v>
      </c>
    </row>
    <row r="156" spans="1:11">
      <c r="B156" s="24" t="str">
        <f t="shared" ref="B156:J156" si="48">B14</f>
        <v>Fiscal year end date</v>
      </c>
      <c r="C156" s="60">
        <f t="shared" si="48"/>
        <v>42280</v>
      </c>
      <c r="D156" s="60">
        <f t="shared" si="48"/>
        <v>42278</v>
      </c>
      <c r="E156" s="60">
        <f t="shared" si="48"/>
        <v>42644</v>
      </c>
      <c r="F156" s="60">
        <f t="shared" si="48"/>
        <v>43039</v>
      </c>
      <c r="G156" s="60">
        <f t="shared" si="48"/>
        <v>43404</v>
      </c>
      <c r="H156" s="60">
        <f t="shared" si="48"/>
        <v>43769</v>
      </c>
      <c r="I156" s="60">
        <f t="shared" si="48"/>
        <v>44135</v>
      </c>
      <c r="J156" s="60">
        <f t="shared" si="48"/>
        <v>44500</v>
      </c>
    </row>
    <row r="157" spans="1:11">
      <c r="B157" s="35"/>
    </row>
    <row r="158" spans="1:11">
      <c r="B158" s="35" t="s">
        <v>45</v>
      </c>
    </row>
    <row r="159" spans="1:11">
      <c r="B159" s="47" t="s">
        <v>69</v>
      </c>
      <c r="F159" s="62">
        <f>E161</f>
        <v>693</v>
      </c>
      <c r="G159" s="62">
        <f>F161</f>
        <v>693</v>
      </c>
      <c r="H159" s="62">
        <f>G161</f>
        <v>693</v>
      </c>
      <c r="I159" s="62">
        <f>H161</f>
        <v>693</v>
      </c>
      <c r="J159" s="62">
        <f>I161</f>
        <v>693</v>
      </c>
    </row>
    <row r="160" spans="1:11">
      <c r="B160" s="91" t="s">
        <v>70</v>
      </c>
      <c r="F160" s="97">
        <v>0</v>
      </c>
      <c r="G160" s="97">
        <v>0</v>
      </c>
      <c r="H160" s="97">
        <v>0</v>
      </c>
      <c r="I160" s="97">
        <v>0</v>
      </c>
      <c r="J160" s="97">
        <v>0</v>
      </c>
    </row>
    <row r="161" spans="2:11">
      <c r="B161" s="47" t="s">
        <v>71</v>
      </c>
      <c r="D161" s="62">
        <f>D60</f>
        <v>962</v>
      </c>
      <c r="E161" s="62">
        <f>E60</f>
        <v>693</v>
      </c>
      <c r="F161" s="62">
        <f>SUM(F159:F160)</f>
        <v>693</v>
      </c>
      <c r="G161" s="62">
        <f>SUM(G159:G160)</f>
        <v>693</v>
      </c>
      <c r="H161" s="62">
        <f>SUM(H159:H160)</f>
        <v>693</v>
      </c>
      <c r="I161" s="62">
        <f>SUM(I159:I160)</f>
        <v>693</v>
      </c>
      <c r="J161" s="62">
        <f>SUM(J159:J160)</f>
        <v>693</v>
      </c>
    </row>
    <row r="162" spans="2:11">
      <c r="B162" s="20"/>
    </row>
    <row r="163" spans="2:11">
      <c r="B163" s="98" t="s">
        <v>94</v>
      </c>
    </row>
    <row r="164" spans="2:11">
      <c r="B164" s="47" t="s">
        <v>69</v>
      </c>
      <c r="F164" s="62">
        <f>E166</f>
        <v>0</v>
      </c>
      <c r="G164" s="62">
        <f>F166</f>
        <v>0</v>
      </c>
      <c r="H164" s="62">
        <f>G166</f>
        <v>0</v>
      </c>
      <c r="I164" s="62">
        <f>H166</f>
        <v>0</v>
      </c>
      <c r="J164" s="62">
        <f>I166</f>
        <v>0</v>
      </c>
    </row>
    <row r="165" spans="2:11">
      <c r="B165" s="91" t="s">
        <v>70</v>
      </c>
      <c r="F165" s="97">
        <v>0</v>
      </c>
      <c r="G165" s="97">
        <v>0</v>
      </c>
      <c r="H165" s="97">
        <v>0</v>
      </c>
      <c r="I165" s="97">
        <v>0</v>
      </c>
      <c r="J165" s="97">
        <v>0</v>
      </c>
    </row>
    <row r="166" spans="2:11">
      <c r="B166" s="47" t="s">
        <v>71</v>
      </c>
      <c r="D166" s="62">
        <f>D59</f>
        <v>767</v>
      </c>
      <c r="E166" s="62">
        <f>E59</f>
        <v>0</v>
      </c>
      <c r="F166" s="62">
        <f>SUM(F164:F165)</f>
        <v>0</v>
      </c>
      <c r="G166" s="62">
        <f>SUM(G164:G165)</f>
        <v>0</v>
      </c>
      <c r="H166" s="62">
        <f>SUM(H164:H165)</f>
        <v>0</v>
      </c>
      <c r="I166" s="62">
        <f>SUM(I164:I165)</f>
        <v>0</v>
      </c>
      <c r="J166" s="62">
        <f>SUM(J164:J165)</f>
        <v>0</v>
      </c>
    </row>
    <row r="167" spans="2:11">
      <c r="B167" s="20"/>
    </row>
    <row r="168" spans="2:11">
      <c r="B168" s="98" t="s">
        <v>48</v>
      </c>
    </row>
    <row r="169" spans="2:11">
      <c r="B169" s="47" t="s">
        <v>69</v>
      </c>
      <c r="F169" s="62">
        <f>E171</f>
        <v>2340</v>
      </c>
      <c r="G169" s="62">
        <f>F171</f>
        <v>2340</v>
      </c>
      <c r="H169" s="62">
        <f>G171</f>
        <v>2340</v>
      </c>
      <c r="I169" s="62">
        <f>H171</f>
        <v>2340</v>
      </c>
      <c r="J169" s="62">
        <f>I171</f>
        <v>2340</v>
      </c>
    </row>
    <row r="170" spans="2:11">
      <c r="B170" s="91" t="s">
        <v>70</v>
      </c>
      <c r="F170" s="103">
        <v>0</v>
      </c>
      <c r="G170" s="103">
        <v>0</v>
      </c>
      <c r="H170" s="103">
        <v>0</v>
      </c>
      <c r="I170" s="103">
        <v>0</v>
      </c>
      <c r="J170" s="103">
        <v>0</v>
      </c>
      <c r="K170" s="97"/>
    </row>
    <row r="171" spans="2:11">
      <c r="B171" s="47" t="s">
        <v>71</v>
      </c>
      <c r="D171" s="62">
        <f>D64</f>
        <v>2421</v>
      </c>
      <c r="E171" s="62">
        <f>E64</f>
        <v>2340</v>
      </c>
      <c r="F171" s="62">
        <f>SUM(F169:F170)</f>
        <v>2340</v>
      </c>
      <c r="G171" s="62">
        <f>SUM(G169:G170)</f>
        <v>2340</v>
      </c>
      <c r="H171" s="62">
        <f>SUM(H169:H170)</f>
        <v>2340</v>
      </c>
      <c r="I171" s="62">
        <f>SUM(I169:I170)</f>
        <v>2340</v>
      </c>
      <c r="J171" s="62">
        <f>SUM(J169:J170)</f>
        <v>2340</v>
      </c>
    </row>
    <row r="172" spans="2:11">
      <c r="B172" s="20"/>
    </row>
    <row r="173" spans="2:11">
      <c r="B173" s="35" t="s">
        <v>95</v>
      </c>
    </row>
    <row r="174" spans="2:11">
      <c r="B174" s="47" t="s">
        <v>69</v>
      </c>
      <c r="F174" s="62">
        <f>E176</f>
        <v>7706</v>
      </c>
      <c r="G174" s="62">
        <f>F176</f>
        <v>7706</v>
      </c>
      <c r="H174" s="62">
        <f>G176</f>
        <v>7706</v>
      </c>
      <c r="I174" s="62">
        <f>H176</f>
        <v>7706</v>
      </c>
      <c r="J174" s="62">
        <f>I176</f>
        <v>7706</v>
      </c>
    </row>
    <row r="175" spans="2:11">
      <c r="B175" s="91" t="s">
        <v>70</v>
      </c>
      <c r="F175" s="97">
        <v>0</v>
      </c>
      <c r="G175" s="97">
        <v>0</v>
      </c>
      <c r="H175" s="97">
        <v>0</v>
      </c>
      <c r="I175" s="97">
        <v>0</v>
      </c>
      <c r="J175" s="97">
        <v>0</v>
      </c>
    </row>
    <row r="176" spans="2:11">
      <c r="B176" s="47" t="s">
        <v>71</v>
      </c>
      <c r="D176" s="62">
        <f>D73</f>
        <v>6369</v>
      </c>
      <c r="E176" s="62">
        <f>E73</f>
        <v>7706</v>
      </c>
      <c r="F176" s="62">
        <f>SUM(F174:F175)</f>
        <v>7706</v>
      </c>
      <c r="G176" s="62">
        <f>SUM(G174:G175)</f>
        <v>7706</v>
      </c>
      <c r="H176" s="62">
        <f>SUM(H174:H175)</f>
        <v>7706</v>
      </c>
      <c r="I176" s="62">
        <f>SUM(I174:I175)</f>
        <v>7706</v>
      </c>
      <c r="J176" s="62">
        <f>SUM(J174:J175)</f>
        <v>7706</v>
      </c>
    </row>
    <row r="178" spans="1:10">
      <c r="A178" s="17" t="s">
        <v>196</v>
      </c>
      <c r="B178" s="22" t="s">
        <v>96</v>
      </c>
      <c r="C178" s="99"/>
      <c r="D178" s="99"/>
      <c r="E178" s="99"/>
      <c r="F178" s="100"/>
      <c r="G178" s="100"/>
      <c r="H178" s="100"/>
      <c r="I178" s="100"/>
      <c r="J178" s="100"/>
    </row>
    <row r="179" spans="1:10">
      <c r="B179" s="65" t="str">
        <f>B13</f>
        <v xml:space="preserve">Fiscal year  </v>
      </c>
      <c r="C179" s="58"/>
      <c r="D179" s="58">
        <f t="shared" ref="D179:J180" si="49">D13</f>
        <v>2015</v>
      </c>
      <c r="E179" s="58">
        <f t="shared" si="49"/>
        <v>2016</v>
      </c>
      <c r="F179" s="59">
        <f t="shared" si="49"/>
        <v>2017</v>
      </c>
      <c r="G179" s="59">
        <f t="shared" si="49"/>
        <v>2018</v>
      </c>
      <c r="H179" s="59">
        <f t="shared" si="49"/>
        <v>2019</v>
      </c>
      <c r="I179" s="59">
        <f t="shared" si="49"/>
        <v>2020</v>
      </c>
      <c r="J179" s="59">
        <f t="shared" si="49"/>
        <v>2021</v>
      </c>
    </row>
    <row r="180" spans="1:10">
      <c r="B180" s="24" t="str">
        <f>B14</f>
        <v>Fiscal year end date</v>
      </c>
      <c r="C180" s="60"/>
      <c r="D180" s="60">
        <f t="shared" si="49"/>
        <v>42278</v>
      </c>
      <c r="E180" s="60">
        <f t="shared" si="49"/>
        <v>42644</v>
      </c>
      <c r="F180" s="60">
        <f t="shared" si="49"/>
        <v>43039</v>
      </c>
      <c r="G180" s="60">
        <f t="shared" si="49"/>
        <v>43404</v>
      </c>
      <c r="H180" s="60">
        <f t="shared" si="49"/>
        <v>43769</v>
      </c>
      <c r="I180" s="60">
        <f t="shared" si="49"/>
        <v>44135</v>
      </c>
      <c r="J180" s="60">
        <f t="shared" si="49"/>
        <v>44500</v>
      </c>
    </row>
    <row r="181" spans="1:10">
      <c r="B181" s="20"/>
    </row>
    <row r="182" spans="1:10">
      <c r="B182" s="73" t="s">
        <v>97</v>
      </c>
    </row>
    <row r="183" spans="1:10">
      <c r="B183" s="47" t="s">
        <v>69</v>
      </c>
      <c r="F183" s="62">
        <f>E186</f>
        <v>16483</v>
      </c>
      <c r="G183" s="62">
        <f ca="1">F186</f>
        <v>16483</v>
      </c>
      <c r="H183" s="62">
        <f ca="1">G186</f>
        <v>16483</v>
      </c>
      <c r="I183" s="62">
        <f ca="1">H186</f>
        <v>16483</v>
      </c>
      <c r="J183" s="62">
        <f ca="1">I186</f>
        <v>16483</v>
      </c>
    </row>
    <row r="184" spans="1:10">
      <c r="B184" s="47" t="s">
        <v>98</v>
      </c>
      <c r="F184" s="97">
        <v>0</v>
      </c>
      <c r="G184" s="97">
        <v>0</v>
      </c>
      <c r="H184" s="97">
        <v>0</v>
      </c>
      <c r="I184" s="97">
        <v>0</v>
      </c>
      <c r="J184" s="97">
        <v>0</v>
      </c>
    </row>
    <row r="185" spans="1:10">
      <c r="B185" s="47" t="s">
        <v>99</v>
      </c>
      <c r="F185" s="62">
        <f ca="1">F192*F188</f>
        <v>0</v>
      </c>
      <c r="G185" s="62">
        <f ca="1">G192*G188</f>
        <v>0</v>
      </c>
      <c r="H185" s="62">
        <f ca="1">H192*H188</f>
        <v>0</v>
      </c>
      <c r="I185" s="62">
        <f ca="1">I192*I188</f>
        <v>0</v>
      </c>
      <c r="J185" s="62">
        <f ca="1">J192*J188</f>
        <v>0</v>
      </c>
    </row>
    <row r="186" spans="1:10">
      <c r="B186" s="47" t="s">
        <v>71</v>
      </c>
      <c r="D186" s="62">
        <f>D71</f>
        <v>12773</v>
      </c>
      <c r="E186" s="62">
        <f>E71</f>
        <v>16483</v>
      </c>
      <c r="F186" s="62">
        <f ca="1">SUM(F183:F185)</f>
        <v>16483</v>
      </c>
      <c r="G186" s="62">
        <f ca="1">SUM(G183:G185)</f>
        <v>16483</v>
      </c>
      <c r="H186" s="62">
        <f ca="1">SUM(H183:H185)</f>
        <v>16483</v>
      </c>
      <c r="I186" s="62">
        <f ca="1">SUM(I183:I185)</f>
        <v>16483</v>
      </c>
      <c r="J186" s="62">
        <f ca="1">SUM(J183:J185)</f>
        <v>16483</v>
      </c>
    </row>
    <row r="187" spans="1:10">
      <c r="B187" s="20"/>
    </row>
    <row r="188" spans="1:10">
      <c r="B188" s="47" t="s">
        <v>100</v>
      </c>
      <c r="D188" s="64">
        <v>-265</v>
      </c>
      <c r="E188" s="64">
        <v>-354</v>
      </c>
      <c r="F188" s="97">
        <f ca="1">-(F189*AVERAGE(F186,F183))</f>
        <v>-354</v>
      </c>
      <c r="G188" s="97">
        <f ca="1">-(G189*AVERAGE(G186,G183))</f>
        <v>-354</v>
      </c>
      <c r="H188" s="97">
        <f ca="1">-(H189*AVERAGE(H186,H183))</f>
        <v>-354</v>
      </c>
      <c r="I188" s="97">
        <f ca="1">-(I189*AVERAGE(I186,I183))</f>
        <v>-354</v>
      </c>
      <c r="J188" s="97">
        <f ca="1">-(J189*AVERAGE(J186,J183))</f>
        <v>-354</v>
      </c>
    </row>
    <row r="189" spans="1:10">
      <c r="B189" s="47" t="s">
        <v>101</v>
      </c>
      <c r="D189" s="228">
        <f>-(D188/D186)</f>
        <v>2.0746887966804978E-2</v>
      </c>
      <c r="E189" s="228">
        <f>-(E188/E186)</f>
        <v>2.1476672935751989E-2</v>
      </c>
      <c r="F189" s="14">
        <f>E189</f>
        <v>2.1476672935751989E-2</v>
      </c>
      <c r="G189" s="14">
        <f t="shared" ref="G189:J189" si="50">F189</f>
        <v>2.1476672935751989E-2</v>
      </c>
      <c r="H189" s="14">
        <f t="shared" si="50"/>
        <v>2.1476672935751989E-2</v>
      </c>
      <c r="I189" s="14">
        <f t="shared" si="50"/>
        <v>2.1476672935751989E-2</v>
      </c>
      <c r="J189" s="14">
        <f t="shared" si="50"/>
        <v>2.1476672935751989E-2</v>
      </c>
    </row>
    <row r="190" spans="1:10">
      <c r="B190" s="47"/>
    </row>
    <row r="191" spans="1:10">
      <c r="B191" s="47" t="s">
        <v>102</v>
      </c>
      <c r="F191" s="101">
        <v>1</v>
      </c>
      <c r="G191" s="101">
        <v>1</v>
      </c>
      <c r="H191" s="101">
        <v>1</v>
      </c>
      <c r="I191" s="101">
        <v>1</v>
      </c>
      <c r="J191" s="101">
        <v>1</v>
      </c>
    </row>
    <row r="192" spans="1:10">
      <c r="B192" s="47" t="s">
        <v>103</v>
      </c>
      <c r="F192" s="102">
        <f>1-F191</f>
        <v>0</v>
      </c>
      <c r="G192" s="102">
        <f>1-G191</f>
        <v>0</v>
      </c>
      <c r="H192" s="102">
        <f>1-H191</f>
        <v>0</v>
      </c>
      <c r="I192" s="102">
        <f>1-I191</f>
        <v>0</v>
      </c>
      <c r="J192" s="102">
        <f>1-J191</f>
        <v>0</v>
      </c>
    </row>
    <row r="194" spans="1:10">
      <c r="A194" s="17" t="s">
        <v>196</v>
      </c>
      <c r="B194" s="22" t="s">
        <v>104</v>
      </c>
      <c r="C194" s="24"/>
      <c r="D194" s="24"/>
      <c r="E194" s="24"/>
      <c r="F194" s="24"/>
      <c r="G194" s="24"/>
      <c r="H194" s="24"/>
      <c r="I194" s="24"/>
      <c r="J194" s="24"/>
    </row>
    <row r="195" spans="1:10">
      <c r="B195" s="65" t="str">
        <f>B13</f>
        <v xml:space="preserve">Fiscal year  </v>
      </c>
      <c r="C195" s="58"/>
      <c r="D195" s="58">
        <f t="shared" ref="D195:J196" si="51">D13</f>
        <v>2015</v>
      </c>
      <c r="E195" s="58">
        <f t="shared" si="51"/>
        <v>2016</v>
      </c>
      <c r="F195" s="59">
        <f t="shared" si="51"/>
        <v>2017</v>
      </c>
      <c r="G195" s="59">
        <f t="shared" si="51"/>
        <v>2018</v>
      </c>
      <c r="H195" s="59">
        <f t="shared" si="51"/>
        <v>2019</v>
      </c>
      <c r="I195" s="59">
        <f t="shared" si="51"/>
        <v>2020</v>
      </c>
      <c r="J195" s="59">
        <f t="shared" si="51"/>
        <v>2021</v>
      </c>
    </row>
    <row r="196" spans="1:10">
      <c r="B196" s="24" t="str">
        <f>B14</f>
        <v>Fiscal year end date</v>
      </c>
      <c r="C196" s="60"/>
      <c r="D196" s="60">
        <f t="shared" si="51"/>
        <v>42278</v>
      </c>
      <c r="E196" s="60">
        <f t="shared" si="51"/>
        <v>42644</v>
      </c>
      <c r="F196" s="60">
        <f t="shared" si="51"/>
        <v>43039</v>
      </c>
      <c r="G196" s="60">
        <f t="shared" si="51"/>
        <v>43404</v>
      </c>
      <c r="H196" s="60">
        <f t="shared" si="51"/>
        <v>43769</v>
      </c>
      <c r="I196" s="60">
        <f t="shared" si="51"/>
        <v>44135</v>
      </c>
      <c r="J196" s="60">
        <f t="shared" si="51"/>
        <v>44500</v>
      </c>
    </row>
    <row r="197" spans="1:10">
      <c r="B197" s="20"/>
    </row>
    <row r="198" spans="1:10">
      <c r="B198" s="35" t="s">
        <v>105</v>
      </c>
    </row>
    <row r="199" spans="1:10">
      <c r="B199" s="47" t="s">
        <v>69</v>
      </c>
      <c r="F199" s="62">
        <f>E202</f>
        <v>35859</v>
      </c>
      <c r="G199" s="62">
        <f>F202</f>
        <v>36262.666666666664</v>
      </c>
      <c r="H199" s="62">
        <f>G202</f>
        <v>36666.333333333328</v>
      </c>
      <c r="I199" s="62">
        <f>H202</f>
        <v>37069.999999999993</v>
      </c>
      <c r="J199" s="62">
        <f>I202</f>
        <v>37473.666666666657</v>
      </c>
    </row>
    <row r="200" spans="1:10">
      <c r="B200" s="91" t="s">
        <v>106</v>
      </c>
      <c r="F200" s="62">
        <f>F204</f>
        <v>0</v>
      </c>
      <c r="G200" s="62">
        <f t="shared" ref="G200:J201" si="52">G204</f>
        <v>0</v>
      </c>
      <c r="H200" s="62">
        <f t="shared" si="52"/>
        <v>0</v>
      </c>
      <c r="I200" s="62">
        <f t="shared" si="52"/>
        <v>0</v>
      </c>
      <c r="J200" s="62">
        <f t="shared" si="52"/>
        <v>0</v>
      </c>
    </row>
    <row r="201" spans="1:10">
      <c r="B201" s="91" t="s">
        <v>107</v>
      </c>
      <c r="F201" s="62">
        <f>F205</f>
        <v>403.66666666666669</v>
      </c>
      <c r="G201" s="62">
        <f t="shared" si="52"/>
        <v>403.66666666666669</v>
      </c>
      <c r="H201" s="62">
        <f t="shared" si="52"/>
        <v>403.66666666666669</v>
      </c>
      <c r="I201" s="62">
        <f t="shared" si="52"/>
        <v>403.66666666666669</v>
      </c>
      <c r="J201" s="62">
        <f t="shared" si="52"/>
        <v>403.66666666666669</v>
      </c>
    </row>
    <row r="202" spans="1:10">
      <c r="B202" s="47" t="s">
        <v>71</v>
      </c>
      <c r="D202" s="62">
        <f>D76</f>
        <v>35122</v>
      </c>
      <c r="E202" s="62">
        <f>E76</f>
        <v>35859</v>
      </c>
      <c r="F202" s="62">
        <f>SUM(F199:F201)</f>
        <v>36262.666666666664</v>
      </c>
      <c r="G202" s="62">
        <f>SUM(G199:G201)</f>
        <v>36666.333333333328</v>
      </c>
      <c r="H202" s="62">
        <f>SUM(H199:H201)</f>
        <v>37069.999999999993</v>
      </c>
      <c r="I202" s="62">
        <f>SUM(I199:I201)</f>
        <v>37473.666666666657</v>
      </c>
      <c r="J202" s="62">
        <f>SUM(J199:J201)</f>
        <v>37877.333333333321</v>
      </c>
    </row>
    <row r="203" spans="1:10">
      <c r="B203" s="47"/>
    </row>
    <row r="204" spans="1:10">
      <c r="B204" s="47" t="s">
        <v>108</v>
      </c>
      <c r="C204" s="103">
        <v>0</v>
      </c>
      <c r="D204" s="103">
        <v>0</v>
      </c>
      <c r="E204" s="103">
        <v>0</v>
      </c>
      <c r="F204" s="103">
        <v>0</v>
      </c>
      <c r="G204" s="103">
        <v>0</v>
      </c>
      <c r="H204" s="103">
        <v>0</v>
      </c>
      <c r="I204" s="103">
        <v>0</v>
      </c>
      <c r="J204" s="103">
        <v>0</v>
      </c>
    </row>
    <row r="205" spans="1:10">
      <c r="B205" s="47" t="s">
        <v>37</v>
      </c>
      <c r="C205" s="17">
        <v>414</v>
      </c>
      <c r="D205" s="17">
        <v>411</v>
      </c>
      <c r="E205" s="17">
        <v>386</v>
      </c>
      <c r="F205" s="62">
        <f>AVERAGE(C205:E205)</f>
        <v>403.66666666666669</v>
      </c>
      <c r="G205" s="62">
        <f>F205</f>
        <v>403.66666666666669</v>
      </c>
      <c r="H205" s="62">
        <f t="shared" ref="H205:J205" si="53">G205</f>
        <v>403.66666666666669</v>
      </c>
      <c r="I205" s="62">
        <f t="shared" si="53"/>
        <v>403.66666666666669</v>
      </c>
      <c r="J205" s="62">
        <f t="shared" si="53"/>
        <v>403.66666666666669</v>
      </c>
    </row>
    <row r="206" spans="1:10">
      <c r="B206" s="47" t="s">
        <v>109</v>
      </c>
      <c r="C206" s="14">
        <f>-(C205/SUM(C17,C19,C20))</f>
        <v>1.1107235800713653E-2</v>
      </c>
      <c r="D206" s="14">
        <f t="shared" ref="D206:E206" si="54">-(D205/SUM(D17,D19,D20))</f>
        <v>1.0473739201345532E-2</v>
      </c>
      <c r="E206" s="14">
        <f t="shared" si="54"/>
        <v>9.3521345156757276E-3</v>
      </c>
      <c r="F206" s="14">
        <f t="shared" ref="F206" ca="1" si="55">-(F205/SUM(F17,F19,F20))</f>
        <v>9.6785590534427448E-3</v>
      </c>
      <c r="G206" s="14">
        <f t="shared" ref="G206" ca="1" si="56">-(G205/SUM(G17,G19,G20))</f>
        <v>9.168137055727929E-3</v>
      </c>
      <c r="H206" s="14">
        <f t="shared" ref="H206" ca="1" si="57">-(H205/SUM(H17,H19,H20))</f>
        <v>8.888371907174248E-3</v>
      </c>
      <c r="I206" s="14">
        <f t="shared" ref="I206" ca="1" si="58">-(I205/SUM(I17,I19,I20))</f>
        <v>8.3957299045127557E-3</v>
      </c>
      <c r="J206" s="14">
        <f t="shared" ref="J206" ca="1" si="59">-(J205/SUM(J17,J19,J20))</f>
        <v>8.0335611635337749E-3</v>
      </c>
    </row>
    <row r="207" spans="1:10">
      <c r="B207" s="47"/>
    </row>
    <row r="208" spans="1:10">
      <c r="B208" s="35" t="s">
        <v>57</v>
      </c>
    </row>
    <row r="209" spans="2:10">
      <c r="B209" s="47" t="s">
        <v>69</v>
      </c>
      <c r="F209" s="41">
        <f>E211</f>
        <v>-54703</v>
      </c>
      <c r="G209" s="41">
        <f>F211</f>
        <v>-61410</v>
      </c>
      <c r="H209" s="41">
        <f>G211</f>
        <v>-68117</v>
      </c>
      <c r="I209" s="41">
        <f>H211</f>
        <v>-74824</v>
      </c>
      <c r="J209" s="41">
        <f>I211</f>
        <v>-81531</v>
      </c>
    </row>
    <row r="210" spans="2:10">
      <c r="B210" s="91" t="s">
        <v>110</v>
      </c>
      <c r="F210" s="41">
        <f>F213</f>
        <v>-6707</v>
      </c>
      <c r="G210" s="41">
        <f>G213</f>
        <v>-6707</v>
      </c>
      <c r="H210" s="41">
        <f>H213</f>
        <v>-6707</v>
      </c>
      <c r="I210" s="41">
        <f>I213</f>
        <v>-6707</v>
      </c>
      <c r="J210" s="41">
        <f>J213</f>
        <v>-6707</v>
      </c>
    </row>
    <row r="211" spans="2:10">
      <c r="B211" s="47" t="s">
        <v>71</v>
      </c>
      <c r="D211" s="62">
        <f>D77</f>
        <v>-47204</v>
      </c>
      <c r="E211" s="62">
        <f>E77</f>
        <v>-54703</v>
      </c>
      <c r="F211" s="41">
        <f>SUM(F209:F210)</f>
        <v>-61410</v>
      </c>
      <c r="G211" s="41">
        <f>SUM(G209:G210)</f>
        <v>-68117</v>
      </c>
      <c r="H211" s="41">
        <f>SUM(H209:H210)</f>
        <v>-74824</v>
      </c>
      <c r="I211" s="41">
        <f>SUM(I209:I210)</f>
        <v>-81531</v>
      </c>
      <c r="J211" s="41">
        <f>SUM(J209:J210)</f>
        <v>-88238</v>
      </c>
    </row>
    <row r="212" spans="2:10">
      <c r="B212" s="20"/>
    </row>
    <row r="213" spans="2:10">
      <c r="B213" s="91" t="s">
        <v>111</v>
      </c>
      <c r="C213" s="212">
        <v>-6527</v>
      </c>
      <c r="D213" s="212">
        <v>-6095</v>
      </c>
      <c r="E213" s="212">
        <v>-7499</v>
      </c>
      <c r="F213" s="97">
        <f>AVERAGE(C213:E213)</f>
        <v>-6707</v>
      </c>
      <c r="G213" s="97">
        <f>F213</f>
        <v>-6707</v>
      </c>
      <c r="H213" s="97">
        <f t="shared" ref="H213:J213" si="60">G213</f>
        <v>-6707</v>
      </c>
      <c r="I213" s="97">
        <f t="shared" si="60"/>
        <v>-6707</v>
      </c>
      <c r="J213" s="97">
        <f t="shared" si="60"/>
        <v>-6707</v>
      </c>
    </row>
    <row r="215" spans="2:10">
      <c r="B215" s="22" t="s">
        <v>112</v>
      </c>
      <c r="C215" s="24"/>
      <c r="D215" s="24"/>
      <c r="E215" s="24"/>
      <c r="F215" s="24"/>
      <c r="G215" s="24"/>
      <c r="H215" s="24"/>
      <c r="I215" s="24"/>
      <c r="J215" s="24"/>
    </row>
    <row r="216" spans="2:10">
      <c r="B216" s="65" t="str">
        <f t="shared" ref="B216:J216" si="61">B13</f>
        <v xml:space="preserve">Fiscal year  </v>
      </c>
      <c r="C216" s="58">
        <f t="shared" si="61"/>
        <v>2014</v>
      </c>
      <c r="D216" s="58">
        <f t="shared" si="61"/>
        <v>2015</v>
      </c>
      <c r="E216" s="58">
        <f t="shared" si="61"/>
        <v>2016</v>
      </c>
      <c r="F216" s="59">
        <f t="shared" si="61"/>
        <v>2017</v>
      </c>
      <c r="G216" s="59">
        <f t="shared" si="61"/>
        <v>2018</v>
      </c>
      <c r="H216" s="59">
        <f t="shared" si="61"/>
        <v>2019</v>
      </c>
      <c r="I216" s="59">
        <f t="shared" si="61"/>
        <v>2020</v>
      </c>
      <c r="J216" s="59">
        <f t="shared" si="61"/>
        <v>2021</v>
      </c>
    </row>
    <row r="217" spans="2:10">
      <c r="B217" s="24" t="str">
        <f t="shared" ref="B217:J217" si="62">B14</f>
        <v>Fiscal year end date</v>
      </c>
      <c r="C217" s="60">
        <f t="shared" si="62"/>
        <v>42280</v>
      </c>
      <c r="D217" s="60">
        <f t="shared" si="62"/>
        <v>42278</v>
      </c>
      <c r="E217" s="60">
        <f t="shared" si="62"/>
        <v>42644</v>
      </c>
      <c r="F217" s="60">
        <f t="shared" si="62"/>
        <v>43039</v>
      </c>
      <c r="G217" s="60">
        <f t="shared" si="62"/>
        <v>43404</v>
      </c>
      <c r="H217" s="60">
        <f t="shared" si="62"/>
        <v>43769</v>
      </c>
      <c r="I217" s="60">
        <f t="shared" si="62"/>
        <v>44135</v>
      </c>
      <c r="J217" s="60">
        <f t="shared" si="62"/>
        <v>44500</v>
      </c>
    </row>
    <row r="218" spans="2:10">
      <c r="B218" s="20"/>
    </row>
    <row r="219" spans="2:10">
      <c r="B219" s="35" t="s">
        <v>113</v>
      </c>
    </row>
    <row r="220" spans="2:10">
      <c r="B220" s="47" t="s">
        <v>69</v>
      </c>
      <c r="F220" s="62">
        <f>E223</f>
        <v>66088</v>
      </c>
      <c r="G220" s="62">
        <f ca="1">F223</f>
        <v>73776.342961067698</v>
      </c>
      <c r="H220" s="62">
        <f ca="1">G223</f>
        <v>82278.03516777356</v>
      </c>
      <c r="I220" s="62">
        <f ca="1">H223</f>
        <v>90833.973478380794</v>
      </c>
      <c r="J220" s="62">
        <f ca="1">I223</f>
        <v>99406.153879369478</v>
      </c>
    </row>
    <row r="221" spans="2:10">
      <c r="B221" s="91" t="s">
        <v>114</v>
      </c>
      <c r="F221" s="62">
        <f ca="1">F225</f>
        <v>10346.267237254691</v>
      </c>
      <c r="G221" s="62">
        <f ca="1">G225</f>
        <v>11440.798099783151</v>
      </c>
      <c r="H221" s="62">
        <f ca="1">H225</f>
        <v>11513.797534171757</v>
      </c>
      <c r="I221" s="62">
        <f ca="1">I225</f>
        <v>11535.654650643926</v>
      </c>
      <c r="J221" s="62">
        <f ca="1">J225</f>
        <v>11346.790736082978</v>
      </c>
    </row>
    <row r="222" spans="2:10">
      <c r="B222" s="91" t="s">
        <v>115</v>
      </c>
      <c r="F222" s="62">
        <f ca="1">F227</f>
        <v>-2657.9242761870032</v>
      </c>
      <c r="G222" s="62">
        <f ca="1">G227</f>
        <v>-2939.1058930772915</v>
      </c>
      <c r="H222" s="62">
        <f ca="1">H227</f>
        <v>-2957.8592235645178</v>
      </c>
      <c r="I222" s="62">
        <f ca="1">I227</f>
        <v>-2963.4742496552453</v>
      </c>
      <c r="J222" s="62">
        <f ca="1">J227</f>
        <v>-2914.9556900727412</v>
      </c>
    </row>
    <row r="223" spans="2:10">
      <c r="B223" s="47" t="s">
        <v>71</v>
      </c>
      <c r="D223" s="62">
        <f>D78</f>
        <v>59028</v>
      </c>
      <c r="E223" s="62">
        <f>E78</f>
        <v>66088</v>
      </c>
      <c r="F223" s="62">
        <f ca="1">SUM(F220:F222)</f>
        <v>73776.342961067698</v>
      </c>
      <c r="G223" s="62">
        <f ca="1">SUM(G220:G222)</f>
        <v>82278.03516777356</v>
      </c>
      <c r="H223" s="62">
        <f ca="1">SUM(H220:H222)</f>
        <v>90833.973478380794</v>
      </c>
      <c r="I223" s="62">
        <f ca="1">SUM(I220:I222)</f>
        <v>99406.153879369478</v>
      </c>
      <c r="J223" s="62">
        <f ca="1">SUM(J220:J222)</f>
        <v>107837.98892537972</v>
      </c>
    </row>
    <row r="224" spans="2:10">
      <c r="B224" s="20"/>
    </row>
    <row r="225" spans="2:10">
      <c r="B225" s="51" t="s">
        <v>22</v>
      </c>
      <c r="C225" s="62">
        <f t="shared" ref="C225:J225" si="63">C29</f>
        <v>8004</v>
      </c>
      <c r="D225" s="62">
        <f t="shared" si="63"/>
        <v>8852</v>
      </c>
      <c r="E225" s="62">
        <f t="shared" si="63"/>
        <v>9790</v>
      </c>
      <c r="F225" s="62">
        <f t="shared" ca="1" si="63"/>
        <v>10346.267237254691</v>
      </c>
      <c r="G225" s="62">
        <f t="shared" ca="1" si="63"/>
        <v>11440.798099783151</v>
      </c>
      <c r="H225" s="62">
        <f t="shared" ca="1" si="63"/>
        <v>11513.797534171757</v>
      </c>
      <c r="I225" s="62">
        <f t="shared" ca="1" si="63"/>
        <v>11535.654650643926</v>
      </c>
      <c r="J225" s="62">
        <f t="shared" ca="1" si="63"/>
        <v>11346.790736082978</v>
      </c>
    </row>
    <row r="226" spans="2:10">
      <c r="B226" s="47" t="s">
        <v>116</v>
      </c>
      <c r="C226" s="14">
        <f>-(C227/C225)</f>
        <v>0.18840579710144928</v>
      </c>
      <c r="D226" s="14">
        <f>-(D227/D225)</f>
        <v>0.34602349751468597</v>
      </c>
      <c r="E226" s="14">
        <f>-(E227/E225)</f>
        <v>0.2362614913176711</v>
      </c>
      <c r="F226" s="63">
        <f>AVERAGE(C226:E226)</f>
        <v>0.25689692864460212</v>
      </c>
      <c r="G226" s="63">
        <f>F226</f>
        <v>0.25689692864460212</v>
      </c>
      <c r="H226" s="63">
        <f t="shared" ref="H226:J226" si="64">G226</f>
        <v>0.25689692864460212</v>
      </c>
      <c r="I226" s="63">
        <f t="shared" si="64"/>
        <v>0.25689692864460212</v>
      </c>
      <c r="J226" s="63">
        <f t="shared" si="64"/>
        <v>0.25689692864460212</v>
      </c>
    </row>
    <row r="227" spans="2:10">
      <c r="B227" s="51" t="s">
        <v>117</v>
      </c>
      <c r="C227" s="97">
        <v>-1508</v>
      </c>
      <c r="D227" s="97">
        <v>-3063</v>
      </c>
      <c r="E227" s="97">
        <v>-2313</v>
      </c>
      <c r="F227" s="62">
        <f ca="1">-(F226*F225)</f>
        <v>-2657.9242761870032</v>
      </c>
      <c r="G227" s="62">
        <f ca="1">-(G226*G225)</f>
        <v>-2939.1058930772915</v>
      </c>
      <c r="H227" s="62">
        <f ca="1">-(H226*H225)</f>
        <v>-2957.8592235645178</v>
      </c>
      <c r="I227" s="62">
        <f ca="1">-(I226*I225)</f>
        <v>-2963.4742496552453</v>
      </c>
      <c r="J227" s="62">
        <f ca="1">-(J226*J225)</f>
        <v>-2914.9556900727412</v>
      </c>
    </row>
    <row r="228" spans="2:10">
      <c r="B228" s="20"/>
    </row>
    <row r="229" spans="2:10">
      <c r="B229" s="104" t="s">
        <v>59</v>
      </c>
    </row>
    <row r="230" spans="2:10">
      <c r="B230" s="47" t="s">
        <v>69</v>
      </c>
      <c r="F230" s="62">
        <f>E232</f>
        <v>-3979</v>
      </c>
      <c r="G230" s="62">
        <f>F232</f>
        <v>-3979</v>
      </c>
      <c r="H230" s="62">
        <f>G232</f>
        <v>-3979</v>
      </c>
      <c r="I230" s="62">
        <f>H232</f>
        <v>-3979</v>
      </c>
      <c r="J230" s="62">
        <f>I232</f>
        <v>-3979</v>
      </c>
    </row>
    <row r="231" spans="2:10">
      <c r="B231" s="91" t="s">
        <v>118</v>
      </c>
      <c r="F231" s="97">
        <v>0</v>
      </c>
      <c r="G231" s="97">
        <v>0</v>
      </c>
      <c r="H231" s="97">
        <v>0</v>
      </c>
      <c r="I231" s="97">
        <v>0</v>
      </c>
      <c r="J231" s="97">
        <v>0</v>
      </c>
    </row>
    <row r="232" spans="2:10">
      <c r="B232" s="47" t="s">
        <v>71</v>
      </c>
      <c r="D232" s="62">
        <f>D79</f>
        <v>-2421</v>
      </c>
      <c r="E232" s="62">
        <f>E79</f>
        <v>-3979</v>
      </c>
      <c r="F232" s="62">
        <f>SUM(F230:F231)</f>
        <v>-3979</v>
      </c>
      <c r="G232" s="62">
        <f>SUM(G230:G231)</f>
        <v>-3979</v>
      </c>
      <c r="H232" s="62">
        <f>SUM(H230:H231)</f>
        <v>-3979</v>
      </c>
      <c r="I232" s="62">
        <f>SUM(I230:I231)</f>
        <v>-3979</v>
      </c>
      <c r="J232" s="62">
        <f>SUM(J230:J231)</f>
        <v>-3979</v>
      </c>
    </row>
    <row r="233" spans="2:10">
      <c r="E233" s="62"/>
    </row>
    <row r="234" spans="2:10">
      <c r="B234" s="22" t="s">
        <v>119</v>
      </c>
      <c r="C234" s="29"/>
      <c r="D234" s="29"/>
      <c r="E234" s="29"/>
      <c r="F234" s="29"/>
      <c r="G234" s="29"/>
      <c r="H234" s="29"/>
      <c r="I234" s="29"/>
      <c r="J234" s="29"/>
    </row>
    <row r="235" spans="2:10">
      <c r="B235" s="65" t="str">
        <f>B13</f>
        <v xml:space="preserve">Fiscal year  </v>
      </c>
      <c r="C235" s="58"/>
      <c r="D235" s="58">
        <f t="shared" ref="D235:J236" si="65">D13</f>
        <v>2015</v>
      </c>
      <c r="E235" s="58">
        <f t="shared" si="65"/>
        <v>2016</v>
      </c>
      <c r="F235" s="59">
        <f t="shared" si="65"/>
        <v>2017</v>
      </c>
      <c r="G235" s="59">
        <f t="shared" si="65"/>
        <v>2018</v>
      </c>
      <c r="H235" s="59">
        <f t="shared" si="65"/>
        <v>2019</v>
      </c>
      <c r="I235" s="59">
        <f t="shared" si="65"/>
        <v>2020</v>
      </c>
      <c r="J235" s="59">
        <f t="shared" si="65"/>
        <v>2021</v>
      </c>
    </row>
    <row r="236" spans="2:10">
      <c r="B236" s="24" t="str">
        <f>B14</f>
        <v>Fiscal year end date</v>
      </c>
      <c r="C236" s="60"/>
      <c r="D236" s="60">
        <f t="shared" si="65"/>
        <v>42278</v>
      </c>
      <c r="E236" s="60">
        <f t="shared" si="65"/>
        <v>42644</v>
      </c>
      <c r="F236" s="60">
        <f t="shared" si="65"/>
        <v>43039</v>
      </c>
      <c r="G236" s="60">
        <f t="shared" si="65"/>
        <v>43404</v>
      </c>
      <c r="H236" s="60">
        <f t="shared" si="65"/>
        <v>43769</v>
      </c>
      <c r="I236" s="60">
        <f t="shared" si="65"/>
        <v>44135</v>
      </c>
      <c r="J236" s="60">
        <f t="shared" si="65"/>
        <v>44500</v>
      </c>
    </row>
    <row r="238" spans="2:10">
      <c r="B238" s="20" t="s">
        <v>22</v>
      </c>
      <c r="C238" s="105"/>
      <c r="D238" s="105"/>
      <c r="E238" s="105"/>
      <c r="F238" s="38">
        <f ca="1">F29</f>
        <v>10346.267237254691</v>
      </c>
      <c r="G238" s="38">
        <f ca="1">G29</f>
        <v>11440.798099783151</v>
      </c>
      <c r="H238" s="38">
        <f ca="1">H29</f>
        <v>11513.797534171757</v>
      </c>
      <c r="I238" s="38">
        <f ca="1">I29</f>
        <v>11535.654650643926</v>
      </c>
      <c r="J238" s="38">
        <f ca="1">J29</f>
        <v>11346.790736082978</v>
      </c>
    </row>
    <row r="239" spans="2:10">
      <c r="B239" s="20" t="s">
        <v>120</v>
      </c>
      <c r="C239" s="105"/>
      <c r="D239" s="105"/>
      <c r="E239" s="105"/>
      <c r="F239" s="80">
        <f ca="1">F49</f>
        <v>2183.3306303999998</v>
      </c>
      <c r="G239" s="80">
        <f ca="1">G49</f>
        <v>2323.24150912</v>
      </c>
      <c r="H239" s="80">
        <f ca="1">H49</f>
        <v>2456.3354975846405</v>
      </c>
      <c r="I239" s="80">
        <f ca="1">I49</f>
        <v>2813.8336784778248</v>
      </c>
      <c r="J239" s="80">
        <f ca="1">J49</f>
        <v>2821.0931755936567</v>
      </c>
    </row>
    <row r="240" spans="2:10">
      <c r="B240" s="20" t="s">
        <v>37</v>
      </c>
      <c r="C240" s="105"/>
      <c r="D240" s="105"/>
      <c r="E240" s="105"/>
      <c r="F240" s="38">
        <f>F201</f>
        <v>403.66666666666669</v>
      </c>
      <c r="G240" s="38">
        <f>G201</f>
        <v>403.66666666666669</v>
      </c>
      <c r="H240" s="38">
        <f>H201</f>
        <v>403.66666666666669</v>
      </c>
      <c r="I240" s="38">
        <f>I201</f>
        <v>403.66666666666669</v>
      </c>
      <c r="J240" s="38">
        <f>J201</f>
        <v>403.66666666666669</v>
      </c>
    </row>
    <row r="241" spans="2:10">
      <c r="B241" s="20" t="s">
        <v>42</v>
      </c>
      <c r="C241" s="38"/>
      <c r="D241" s="38"/>
      <c r="E241" s="38"/>
      <c r="F241" s="38">
        <f ca="1">-(F99)</f>
        <v>105.28973925474202</v>
      </c>
      <c r="G241" s="38">
        <f ca="1">-(G99)</f>
        <v>-537.5826156447165</v>
      </c>
      <c r="H241" s="38">
        <f ca="1">-(H99)</f>
        <v>-379.89171505559898</v>
      </c>
      <c r="I241" s="38">
        <f ca="1">-(I99)</f>
        <v>-493.85922957228104</v>
      </c>
      <c r="J241" s="38">
        <f ca="1">-(J99)</f>
        <v>-207.42087642035585</v>
      </c>
    </row>
    <row r="242" spans="2:10">
      <c r="B242" s="20" t="s">
        <v>43</v>
      </c>
      <c r="E242" s="62"/>
      <c r="F242" s="38">
        <f ca="1">-(F107)</f>
        <v>-170.95850651675551</v>
      </c>
      <c r="G242" s="38">
        <f ca="1">-(G107)</f>
        <v>-93.657510391005644</v>
      </c>
      <c r="H242" s="38">
        <f ca="1">-(H107)</f>
        <v>-66.184640676310664</v>
      </c>
      <c r="I242" s="38">
        <f ca="1">-(I107)</f>
        <v>-86.040032879203636</v>
      </c>
      <c r="J242" s="38">
        <f ca="1">-(J107)</f>
        <v>-36.136813809265277</v>
      </c>
    </row>
    <row r="243" spans="2:10">
      <c r="B243" s="20" t="s">
        <v>50</v>
      </c>
      <c r="F243" s="38">
        <f ca="1">F115</f>
        <v>-216.61415003125694</v>
      </c>
      <c r="G243" s="38">
        <f ca="1">G115</f>
        <v>534.80315099812833</v>
      </c>
      <c r="H243" s="38">
        <f ca="1">H115</f>
        <v>377.92756003867544</v>
      </c>
      <c r="I243" s="38">
        <f ca="1">I115</f>
        <v>491.30582805027734</v>
      </c>
      <c r="J243" s="38">
        <f ca="1">J115</f>
        <v>206.34844778111619</v>
      </c>
    </row>
    <row r="244" spans="2:10">
      <c r="B244" s="20" t="s">
        <v>79</v>
      </c>
      <c r="F244" s="38">
        <f ca="1">F123</f>
        <v>151.41531287524958</v>
      </c>
      <c r="G244" s="38">
        <f ca="1">G123</f>
        <v>250.58491877251527</v>
      </c>
      <c r="H244" s="38">
        <f ca="1">H123</f>
        <v>177.08000926591103</v>
      </c>
      <c r="I244" s="38">
        <f ca="1">I123</f>
        <v>230.20401204568498</v>
      </c>
      <c r="J244" s="38">
        <f ca="1">J123</f>
        <v>96.685685059186653</v>
      </c>
    </row>
    <row r="245" spans="2:10">
      <c r="B245" s="20" t="s">
        <v>45</v>
      </c>
      <c r="F245" s="38">
        <f>-(F160)</f>
        <v>0</v>
      </c>
      <c r="G245" s="38">
        <f>-(G160)</f>
        <v>0</v>
      </c>
      <c r="H245" s="38">
        <f>-(H160)</f>
        <v>0</v>
      </c>
      <c r="I245" s="38">
        <f>-(I160)</f>
        <v>0</v>
      </c>
      <c r="J245" s="38">
        <f>-(J160)</f>
        <v>0</v>
      </c>
    </row>
    <row r="246" spans="2:10">
      <c r="B246" s="37" t="s">
        <v>94</v>
      </c>
      <c r="F246" s="38">
        <f>-(F165)</f>
        <v>0</v>
      </c>
      <c r="G246" s="38">
        <f>-(G165)</f>
        <v>0</v>
      </c>
      <c r="H246" s="38">
        <f>-(H165)</f>
        <v>0</v>
      </c>
      <c r="I246" s="38">
        <f>-(I165)</f>
        <v>0</v>
      </c>
      <c r="J246" s="38">
        <f>-(J165)</f>
        <v>0</v>
      </c>
    </row>
    <row r="247" spans="2:10">
      <c r="B247" s="37" t="s">
        <v>48</v>
      </c>
      <c r="F247" s="38">
        <f>-(G170)</f>
        <v>0</v>
      </c>
      <c r="G247" s="38">
        <f>-(H170)</f>
        <v>0</v>
      </c>
      <c r="H247" s="38">
        <f>-(I170)</f>
        <v>0</v>
      </c>
      <c r="I247" s="38">
        <f>-(J170)</f>
        <v>0</v>
      </c>
      <c r="J247" s="38">
        <f>-(K170)</f>
        <v>0</v>
      </c>
    </row>
    <row r="248" spans="2:10">
      <c r="B248" s="20" t="s">
        <v>95</v>
      </c>
      <c r="F248" s="38">
        <f>F175</f>
        <v>0</v>
      </c>
      <c r="G248" s="38">
        <f>G175</f>
        <v>0</v>
      </c>
      <c r="H248" s="38">
        <f>H175</f>
        <v>0</v>
      </c>
      <c r="I248" s="38">
        <f>I175</f>
        <v>0</v>
      </c>
      <c r="J248" s="38">
        <f>J175</f>
        <v>0</v>
      </c>
    </row>
    <row r="249" spans="2:10">
      <c r="B249" s="20" t="s">
        <v>121</v>
      </c>
      <c r="F249" s="38">
        <f ca="1">F185</f>
        <v>0</v>
      </c>
      <c r="G249" s="38">
        <f ca="1">G185</f>
        <v>0</v>
      </c>
      <c r="H249" s="38">
        <f ca="1">H185</f>
        <v>0</v>
      </c>
      <c r="I249" s="38">
        <f ca="1">I185</f>
        <v>0</v>
      </c>
      <c r="J249" s="38">
        <f ca="1">J185</f>
        <v>0</v>
      </c>
    </row>
    <row r="250" spans="2:10">
      <c r="B250" s="35" t="s">
        <v>122</v>
      </c>
      <c r="F250" s="106">
        <f ca="1">SUM(F238:F249)</f>
        <v>12802.396929903336</v>
      </c>
      <c r="G250" s="106">
        <f ca="1">SUM(G238:G249)</f>
        <v>14321.85421930474</v>
      </c>
      <c r="H250" s="106">
        <f ca="1">SUM(H238:H249)</f>
        <v>14482.730911995743</v>
      </c>
      <c r="I250" s="106">
        <f ca="1">SUM(I238:I249)</f>
        <v>14894.765573432895</v>
      </c>
      <c r="J250" s="106">
        <f ca="1">SUM(J238:J249)</f>
        <v>14631.027020953981</v>
      </c>
    </row>
    <row r="251" spans="2:10">
      <c r="B251" s="20"/>
    </row>
    <row r="252" spans="2:10">
      <c r="B252" s="20" t="s">
        <v>123</v>
      </c>
      <c r="F252" s="62">
        <f ca="1">-(F145)</f>
        <v>-4567.9435199999998</v>
      </c>
      <c r="G252" s="62">
        <f ca="1">-(G145)</f>
        <v>-4571.3481984</v>
      </c>
      <c r="H252" s="62">
        <f ca="1">-(H145)</f>
        <v>-4128.6492149760006</v>
      </c>
      <c r="I252" s="62">
        <f ca="1">-(I145)</f>
        <v>-3481.2019517184008</v>
      </c>
      <c r="J252" s="62">
        <f ca="1">-(J145)</f>
        <v>-3483.8292739461126</v>
      </c>
    </row>
    <row r="253" spans="2:10">
      <c r="B253" s="20" t="s">
        <v>124</v>
      </c>
      <c r="F253" s="62">
        <f>-(F133)</f>
        <v>0</v>
      </c>
      <c r="G253" s="62">
        <f>-(G133)</f>
        <v>0</v>
      </c>
      <c r="H253" s="62">
        <f>-(H133)</f>
        <v>0</v>
      </c>
      <c r="I253" s="62">
        <f>-(I133)</f>
        <v>0</v>
      </c>
      <c r="J253" s="62">
        <f>-(J133)</f>
        <v>0</v>
      </c>
    </row>
    <row r="254" spans="2:10">
      <c r="B254" s="35" t="s">
        <v>125</v>
      </c>
      <c r="F254" s="107">
        <f ca="1">SUM(F252:F253)</f>
        <v>-4567.9435199999998</v>
      </c>
      <c r="G254" s="107">
        <f ca="1">SUM(G252:G253)</f>
        <v>-4571.3481984</v>
      </c>
      <c r="H254" s="107">
        <f ca="1">SUM(H252:H253)</f>
        <v>-4128.6492149760006</v>
      </c>
      <c r="I254" s="107">
        <f ca="1">SUM(I252:I253)</f>
        <v>-3481.2019517184008</v>
      </c>
      <c r="J254" s="107">
        <f ca="1">SUM(J252:J253)</f>
        <v>-3483.8292739461126</v>
      </c>
    </row>
    <row r="255" spans="2:10">
      <c r="B255" s="20"/>
    </row>
    <row r="256" spans="2:10">
      <c r="B256" s="20" t="s">
        <v>53</v>
      </c>
      <c r="F256" s="62">
        <f>F184</f>
        <v>0</v>
      </c>
      <c r="G256" s="62">
        <f>G184</f>
        <v>0</v>
      </c>
      <c r="H256" s="62">
        <f>H184</f>
        <v>0</v>
      </c>
      <c r="I256" s="62">
        <f>I184</f>
        <v>0</v>
      </c>
      <c r="J256" s="62">
        <f>J184</f>
        <v>0</v>
      </c>
    </row>
    <row r="257" spans="2:10">
      <c r="B257" s="20" t="s">
        <v>117</v>
      </c>
      <c r="F257" s="62">
        <f ca="1">F222</f>
        <v>-2657.9242761870032</v>
      </c>
      <c r="G257" s="62">
        <f ca="1">G222</f>
        <v>-2939.1058930772915</v>
      </c>
      <c r="H257" s="62">
        <f ca="1">H222</f>
        <v>-2957.8592235645178</v>
      </c>
      <c r="I257" s="62">
        <f ca="1">I222</f>
        <v>-2963.4742496552453</v>
      </c>
      <c r="J257" s="62">
        <f ca="1">J222</f>
        <v>-2914.9556900727412</v>
      </c>
    </row>
    <row r="258" spans="2:10">
      <c r="B258" s="37" t="s">
        <v>126</v>
      </c>
      <c r="F258" s="62">
        <f>F200</f>
        <v>0</v>
      </c>
      <c r="G258" s="62">
        <f>G200</f>
        <v>0</v>
      </c>
      <c r="H258" s="62">
        <f>H200</f>
        <v>0</v>
      </c>
      <c r="I258" s="62">
        <f>I200</f>
        <v>0</v>
      </c>
      <c r="J258" s="62">
        <f>J200</f>
        <v>0</v>
      </c>
    </row>
    <row r="259" spans="2:10">
      <c r="B259" s="37" t="s">
        <v>127</v>
      </c>
      <c r="F259" s="41">
        <f>F210</f>
        <v>-6707</v>
      </c>
      <c r="G259" s="41">
        <f>G210</f>
        <v>-6707</v>
      </c>
      <c r="H259" s="41">
        <f>H210</f>
        <v>-6707</v>
      </c>
      <c r="I259" s="41">
        <f>I210</f>
        <v>-6707</v>
      </c>
      <c r="J259" s="41">
        <f>J210</f>
        <v>-6707</v>
      </c>
    </row>
    <row r="260" spans="2:10">
      <c r="B260" s="37" t="s">
        <v>59</v>
      </c>
      <c r="F260" s="62">
        <f>F231</f>
        <v>0</v>
      </c>
      <c r="G260" s="62">
        <f>G231</f>
        <v>0</v>
      </c>
      <c r="H260" s="62">
        <f>H231</f>
        <v>0</v>
      </c>
      <c r="I260" s="62">
        <f>I231</f>
        <v>0</v>
      </c>
      <c r="J260" s="62">
        <f>J231</f>
        <v>0</v>
      </c>
    </row>
    <row r="261" spans="2:10">
      <c r="B261" s="20" t="s">
        <v>52</v>
      </c>
      <c r="F261" s="38">
        <f ca="1">F272</f>
        <v>-1521</v>
      </c>
      <c r="G261" s="38">
        <f ca="1">G272</f>
        <v>0</v>
      </c>
      <c r="H261" s="38">
        <f ca="1">H272</f>
        <v>0</v>
      </c>
      <c r="I261" s="38">
        <f ca="1">I272</f>
        <v>0</v>
      </c>
      <c r="J261" s="38">
        <f ca="1">J272</f>
        <v>0</v>
      </c>
    </row>
    <row r="262" spans="2:10">
      <c r="B262" s="35" t="s">
        <v>128</v>
      </c>
      <c r="F262" s="107">
        <f ca="1">SUM(F256:F261)</f>
        <v>-10885.924276187003</v>
      </c>
      <c r="G262" s="107">
        <f ca="1">SUM(G256:G261)</f>
        <v>-9646.1058930772924</v>
      </c>
      <c r="H262" s="107">
        <f ca="1">SUM(H256:H261)</f>
        <v>-9664.8592235645174</v>
      </c>
      <c r="I262" s="107">
        <f ca="1">SUM(I256:I261)</f>
        <v>-9670.4742496552462</v>
      </c>
      <c r="J262" s="107">
        <f ca="1">SUM(J256:J261)</f>
        <v>-9621.9556900727403</v>
      </c>
    </row>
    <row r="264" spans="2:10">
      <c r="B264" s="44" t="s">
        <v>129</v>
      </c>
      <c r="F264" s="107">
        <f ca="1">F250+F254+F262</f>
        <v>-2651.4708662836656</v>
      </c>
      <c r="G264" s="107">
        <f ca="1">G250+G254+G262</f>
        <v>104.40012782744816</v>
      </c>
      <c r="H264" s="107">
        <f ca="1">H250+H254+H262</f>
        <v>689.22247345522374</v>
      </c>
      <c r="I264" s="107">
        <f ca="1">I250+I254+I262</f>
        <v>1743.0893720592467</v>
      </c>
      <c r="J264" s="107">
        <f ca="1">J250+J254+J262</f>
        <v>1525.2420569351289</v>
      </c>
    </row>
    <row r="266" spans="2:10">
      <c r="B266" s="22" t="s">
        <v>130</v>
      </c>
      <c r="C266" s="24"/>
      <c r="D266" s="24"/>
      <c r="E266" s="24"/>
      <c r="F266" s="24"/>
      <c r="G266" s="24"/>
      <c r="H266" s="24"/>
      <c r="I266" s="24"/>
      <c r="J266" s="24"/>
    </row>
    <row r="267" spans="2:10">
      <c r="B267" s="65" t="str">
        <f>B13</f>
        <v xml:space="preserve">Fiscal year  </v>
      </c>
      <c r="C267" s="58"/>
      <c r="D267" s="58">
        <f t="shared" ref="D267:J268" si="66">D13</f>
        <v>2015</v>
      </c>
      <c r="E267" s="58">
        <f t="shared" si="66"/>
        <v>2016</v>
      </c>
      <c r="F267" s="59">
        <f t="shared" si="66"/>
        <v>2017</v>
      </c>
      <c r="G267" s="59">
        <f t="shared" si="66"/>
        <v>2018</v>
      </c>
      <c r="H267" s="59">
        <f t="shared" si="66"/>
        <v>2019</v>
      </c>
      <c r="I267" s="59">
        <f t="shared" si="66"/>
        <v>2020</v>
      </c>
      <c r="J267" s="59">
        <f t="shared" si="66"/>
        <v>2021</v>
      </c>
    </row>
    <row r="268" spans="2:10">
      <c r="B268" s="24" t="str">
        <f>B14</f>
        <v>Fiscal year end date</v>
      </c>
      <c r="C268" s="60"/>
      <c r="D268" s="60">
        <f t="shared" si="66"/>
        <v>42278</v>
      </c>
      <c r="E268" s="60">
        <f t="shared" si="66"/>
        <v>42644</v>
      </c>
      <c r="F268" s="60">
        <f t="shared" si="66"/>
        <v>43039</v>
      </c>
      <c r="G268" s="60">
        <f t="shared" si="66"/>
        <v>43404</v>
      </c>
      <c r="H268" s="60">
        <f t="shared" si="66"/>
        <v>43769</v>
      </c>
      <c r="I268" s="60">
        <f t="shared" si="66"/>
        <v>44135</v>
      </c>
      <c r="J268" s="60">
        <f t="shared" si="66"/>
        <v>44500</v>
      </c>
    </row>
    <row r="269" spans="2:10">
      <c r="B269" s="35"/>
    </row>
    <row r="270" spans="2:10">
      <c r="B270" s="35" t="s">
        <v>52</v>
      </c>
    </row>
    <row r="271" spans="2:10">
      <c r="B271" s="47" t="s">
        <v>69</v>
      </c>
      <c r="D271" s="64">
        <v>50</v>
      </c>
      <c r="E271" s="62">
        <f t="shared" ref="E271:J271" si="67">D273</f>
        <v>2430</v>
      </c>
      <c r="F271" s="62">
        <f t="shared" si="67"/>
        <v>1521</v>
      </c>
      <c r="G271" s="62">
        <f t="shared" ca="1" si="67"/>
        <v>0</v>
      </c>
      <c r="H271" s="62">
        <f t="shared" ca="1" si="67"/>
        <v>0</v>
      </c>
      <c r="I271" s="62">
        <f t="shared" ca="1" si="67"/>
        <v>0</v>
      </c>
      <c r="J271" s="62">
        <f t="shared" ca="1" si="67"/>
        <v>0</v>
      </c>
    </row>
    <row r="272" spans="2:10">
      <c r="B272" s="91" t="s">
        <v>70</v>
      </c>
      <c r="D272" s="64">
        <f>2430-D271</f>
        <v>2380</v>
      </c>
      <c r="E272" s="62">
        <f>E273-E271</f>
        <v>-909</v>
      </c>
      <c r="F272" s="62">
        <f ca="1">-MIN(F283,F271)</f>
        <v>-1521</v>
      </c>
      <c r="G272" s="62">
        <f ca="1">-MIN(G283,G271)</f>
        <v>0</v>
      </c>
      <c r="H272" s="62">
        <f ca="1">-MIN(H283,H271)</f>
        <v>0</v>
      </c>
      <c r="I272" s="62">
        <f ca="1">-MIN(I283,I271)</f>
        <v>0</v>
      </c>
      <c r="J272" s="62">
        <f ca="1">-MIN(J283,J271)</f>
        <v>0</v>
      </c>
    </row>
    <row r="273" spans="2:10">
      <c r="B273" s="47" t="s">
        <v>71</v>
      </c>
      <c r="D273" s="62">
        <f>D272+D271</f>
        <v>2430</v>
      </c>
      <c r="E273" s="62">
        <v>1521</v>
      </c>
      <c r="F273" s="62">
        <f ca="1">SUM(F271:F272)</f>
        <v>0</v>
      </c>
      <c r="G273" s="62">
        <f ca="1">SUM(G271:G272)</f>
        <v>0</v>
      </c>
      <c r="H273" s="62">
        <f ca="1">SUM(H271:H272)</f>
        <v>0</v>
      </c>
      <c r="I273" s="62">
        <f ca="1">SUM(I271:I272)</f>
        <v>0</v>
      </c>
      <c r="J273" s="62">
        <f ca="1">SUM(J271:J272)</f>
        <v>0</v>
      </c>
    </row>
    <row r="274" spans="2:10">
      <c r="B274" s="47"/>
    </row>
    <row r="275" spans="2:10">
      <c r="B275" s="47" t="s">
        <v>131</v>
      </c>
      <c r="F275" s="62">
        <f ca="1">F57+F58</f>
        <v>10520.668767262014</v>
      </c>
      <c r="G275" s="62">
        <f ca="1">G57+G58</f>
        <v>11151.908893297736</v>
      </c>
      <c r="H275" s="62">
        <f ca="1">H57+H58</f>
        <v>11597.985249029645</v>
      </c>
      <c r="I275" s="62">
        <f ca="1">I57+I58</f>
        <v>12177.88451148113</v>
      </c>
      <c r="J275" s="62">
        <f ca="1">J57+J58</f>
        <v>12421.442201710752</v>
      </c>
    </row>
    <row r="276" spans="2:10">
      <c r="B276" s="47" t="s">
        <v>132</v>
      </c>
      <c r="F276" s="17" t="str">
        <f ca="1">IF(F273&gt;F275,"OVERDRAWN","OK")</f>
        <v>OK</v>
      </c>
      <c r="G276" s="17" t="str">
        <f ca="1">IF(G273&gt;G275,"OVERDRAWN","OK")</f>
        <v>OK</v>
      </c>
      <c r="H276" s="17" t="str">
        <f ca="1">IF(H273&gt;H275,"OVERDRAWN","OK")</f>
        <v>OK</v>
      </c>
      <c r="I276" s="17" t="str">
        <f ca="1">IF(I273&gt;I275,"OVERDRAWN","OK")</f>
        <v>OK</v>
      </c>
      <c r="J276" s="17" t="str">
        <f ca="1">IF(J273&gt;J275,"OVERDRAWN","OK")</f>
        <v>OK</v>
      </c>
    </row>
    <row r="277" spans="2:10">
      <c r="B277" s="20"/>
    </row>
    <row r="278" spans="2:10">
      <c r="B278" s="108" t="s">
        <v>133</v>
      </c>
    </row>
    <row r="279" spans="2:10">
      <c r="B279" s="47" t="s">
        <v>69</v>
      </c>
      <c r="F279" s="62">
        <f>E56</f>
        <v>8890</v>
      </c>
      <c r="G279" s="62">
        <f ca="1">F56</f>
        <v>6238.5291337163344</v>
      </c>
      <c r="H279" s="62">
        <f ca="1">G56</f>
        <v>6342.9292615437826</v>
      </c>
      <c r="I279" s="62">
        <f ca="1">H56</f>
        <v>7032.1517349990063</v>
      </c>
      <c r="J279" s="62">
        <f ca="1">I56</f>
        <v>8775.241107058253</v>
      </c>
    </row>
    <row r="280" spans="2:10">
      <c r="B280" s="47" t="s">
        <v>134</v>
      </c>
      <c r="F280" s="97">
        <v>500</v>
      </c>
      <c r="G280" s="97">
        <v>500</v>
      </c>
      <c r="H280" s="97">
        <v>500</v>
      </c>
      <c r="I280" s="97">
        <v>500</v>
      </c>
      <c r="J280" s="97">
        <v>500</v>
      </c>
    </row>
    <row r="281" spans="2:10">
      <c r="B281" s="47" t="s">
        <v>135</v>
      </c>
      <c r="F281" s="62">
        <f>F279-F280</f>
        <v>8390</v>
      </c>
      <c r="G281" s="62">
        <f ca="1">G279-G280</f>
        <v>5738.5291337163344</v>
      </c>
      <c r="H281" s="62">
        <f ca="1">H279-H280</f>
        <v>5842.9292615437826</v>
      </c>
      <c r="I281" s="62">
        <f ca="1">I279-I280</f>
        <v>6532.1517349990063</v>
      </c>
      <c r="J281" s="62">
        <f ca="1">J279-J280</f>
        <v>8275.241107058253</v>
      </c>
    </row>
    <row r="282" spans="2:10">
      <c r="B282" s="47" t="s">
        <v>136</v>
      </c>
      <c r="F282" s="62">
        <f ca="1">SUM(F250,F254,F256:F260)</f>
        <v>-1130.4708662836656</v>
      </c>
      <c r="G282" s="62">
        <f ca="1">SUM(G250,G254,G256:G260)</f>
        <v>104.40012782744907</v>
      </c>
      <c r="H282" s="62">
        <f ca="1">SUM(H250,H254,H256:H260)</f>
        <v>689.22247345522374</v>
      </c>
      <c r="I282" s="62">
        <f ca="1">SUM(I250,I254,I256:I260)</f>
        <v>1743.0893720592467</v>
      </c>
      <c r="J282" s="62">
        <f ca="1">SUM(J250,J254,J256:J260)</f>
        <v>1525.242056935127</v>
      </c>
    </row>
    <row r="283" spans="2:10">
      <c r="B283" s="109" t="s">
        <v>137</v>
      </c>
      <c r="F283" s="62">
        <f ca="1">SUM(F281:F282)</f>
        <v>7259.5291337163344</v>
      </c>
      <c r="G283" s="62">
        <f ca="1">SUM(G281:G282)</f>
        <v>5842.9292615437835</v>
      </c>
      <c r="H283" s="62">
        <f ca="1">SUM(H281:H282)</f>
        <v>6532.1517349990063</v>
      </c>
      <c r="I283" s="62">
        <f ca="1">SUM(I281:I282)</f>
        <v>8275.241107058253</v>
      </c>
      <c r="J283" s="62">
        <f ca="1">SUM(J281:J282)</f>
        <v>9800.48316399338</v>
      </c>
    </row>
    <row r="284" spans="2:10">
      <c r="B284" s="20"/>
    </row>
    <row r="285" spans="2:10">
      <c r="B285" s="47" t="s">
        <v>138</v>
      </c>
      <c r="F285" s="101">
        <v>5.4000000000000003E-3</v>
      </c>
      <c r="G285" s="101">
        <v>5.4000000000000003E-3</v>
      </c>
      <c r="H285" s="101">
        <v>5.4000000000000003E-3</v>
      </c>
      <c r="I285" s="101">
        <v>5.4000000000000003E-3</v>
      </c>
      <c r="J285" s="101">
        <v>5.4000000000000003E-3</v>
      </c>
    </row>
    <row r="286" spans="2:10">
      <c r="B286" s="47" t="s">
        <v>139</v>
      </c>
      <c r="F286" s="41">
        <f ca="1">IF($C$10="OFF",F285*AVERAGE(F271,F273),0)</f>
        <v>4.1067</v>
      </c>
      <c r="G286" s="41">
        <f ca="1">IF($C$10="OFF",G285*AVERAGE(G271,G273),0)</f>
        <v>0</v>
      </c>
      <c r="H286" s="41">
        <f ca="1">IF($C$10="OFF",H285*AVERAGE(H271,H273),0)</f>
        <v>0</v>
      </c>
      <c r="I286" s="41">
        <f ca="1">IF($C$10="OFF",I285*AVERAGE(I271,I273),0)</f>
        <v>0</v>
      </c>
      <c r="J286" s="41">
        <f ca="1">IF($C$10="OFF",J285*AVERAGE(J271,J273),0)</f>
        <v>0</v>
      </c>
    </row>
    <row r="288" spans="2:10">
      <c r="B288" s="73" t="s">
        <v>140</v>
      </c>
    </row>
    <row r="289" spans="2:10">
      <c r="B289" s="47" t="s">
        <v>69</v>
      </c>
      <c r="F289" s="62">
        <f>E291</f>
        <v>8890</v>
      </c>
      <c r="G289" s="62">
        <f ca="1">F291</f>
        <v>6238.5291337163344</v>
      </c>
      <c r="H289" s="62">
        <f ca="1">G291</f>
        <v>6342.9292615437826</v>
      </c>
      <c r="I289" s="62">
        <f ca="1">H291</f>
        <v>7032.1517349990063</v>
      </c>
      <c r="J289" s="62">
        <f ca="1">I291</f>
        <v>8775.241107058253</v>
      </c>
    </row>
    <row r="290" spans="2:10">
      <c r="B290" s="110" t="s">
        <v>141</v>
      </c>
      <c r="F290" s="62">
        <f ca="1">F291-F289</f>
        <v>-2651.4708662836656</v>
      </c>
      <c r="G290" s="62">
        <f ca="1">G291-G289</f>
        <v>104.40012782744816</v>
      </c>
      <c r="H290" s="62">
        <f ca="1">H291-H289</f>
        <v>689.22247345522374</v>
      </c>
      <c r="I290" s="62">
        <f ca="1">I291-I289</f>
        <v>1743.0893720592467</v>
      </c>
      <c r="J290" s="62">
        <f ca="1">J291-J289</f>
        <v>1525.2420569351289</v>
      </c>
    </row>
    <row r="291" spans="2:10">
      <c r="B291" s="47" t="s">
        <v>71</v>
      </c>
      <c r="D291" s="62">
        <f t="shared" ref="D291:J291" si="68">D56</f>
        <v>6912</v>
      </c>
      <c r="E291" s="62">
        <f t="shared" si="68"/>
        <v>8890</v>
      </c>
      <c r="F291" s="62">
        <f t="shared" ca="1" si="68"/>
        <v>6238.5291337163344</v>
      </c>
      <c r="G291" s="62">
        <f t="shared" ca="1" si="68"/>
        <v>6342.9292615437826</v>
      </c>
      <c r="H291" s="62">
        <f t="shared" ca="1" si="68"/>
        <v>7032.1517349990063</v>
      </c>
      <c r="I291" s="62">
        <f t="shared" ca="1" si="68"/>
        <v>8775.241107058253</v>
      </c>
      <c r="J291" s="62">
        <f t="shared" ca="1" si="68"/>
        <v>10300.483163993382</v>
      </c>
    </row>
    <row r="292" spans="2:10">
      <c r="B292" s="47"/>
    </row>
    <row r="293" spans="2:10">
      <c r="B293" s="47" t="s">
        <v>142</v>
      </c>
      <c r="D293" s="111">
        <f>D294/D291</f>
        <v>2.1412037037037038E-2</v>
      </c>
      <c r="E293" s="111">
        <f>E294/E291</f>
        <v>1.0573678290213724E-2</v>
      </c>
      <c r="F293" s="112">
        <f>E293</f>
        <v>1.0573678290213724E-2</v>
      </c>
      <c r="G293" s="112">
        <f>F293</f>
        <v>1.0573678290213724E-2</v>
      </c>
      <c r="H293" s="112">
        <f>G293</f>
        <v>1.0573678290213724E-2</v>
      </c>
      <c r="I293" s="112">
        <f>H293</f>
        <v>1.0573678290213724E-2</v>
      </c>
      <c r="J293" s="112">
        <f>I293</f>
        <v>1.0573678290213724E-2</v>
      </c>
    </row>
    <row r="294" spans="2:10">
      <c r="B294" s="47" t="s">
        <v>17</v>
      </c>
      <c r="C294" s="62">
        <f>C23</f>
        <v>317</v>
      </c>
      <c r="D294" s="62">
        <f>D23</f>
        <v>148</v>
      </c>
      <c r="E294" s="62">
        <f>E23</f>
        <v>94</v>
      </c>
      <c r="F294" s="113">
        <f ca="1">IF($C$10="OFF",AVERAGE(F289,F291)*F293,0)</f>
        <v>79.982100032021123</v>
      </c>
      <c r="G294" s="113">
        <f ca="1">IF($C$10="OFF",AVERAGE(G289,G291)*G293,0)</f>
        <v>66.516146746594544</v>
      </c>
      <c r="H294" s="113">
        <f ca="1">IF($C$10="OFF",AVERAGE(H289,H291)*H293,0)</f>
        <v>70.711901781497318</v>
      </c>
      <c r="I294" s="113">
        <f ca="1">IF($C$10="OFF",AVERAGE(I289,I291)*I293,0)</f>
        <v>83.571143259470333</v>
      </c>
      <c r="J294" s="113">
        <f ca="1">IF($C$10="OFF",AVERAGE(J289,J291)*J293,0)</f>
        <v>100.85028579746086</v>
      </c>
    </row>
    <row r="296" spans="2:10">
      <c r="B296" s="22" t="s">
        <v>143</v>
      </c>
      <c r="C296" s="22"/>
      <c r="D296" s="22"/>
      <c r="E296" s="22"/>
      <c r="F296" s="22"/>
      <c r="G296" s="22"/>
      <c r="H296" s="22"/>
      <c r="I296" s="22"/>
      <c r="J296" s="22"/>
    </row>
    <row r="297" spans="2:10">
      <c r="B297" s="65" t="str">
        <f>B13</f>
        <v xml:space="preserve">Fiscal year  </v>
      </c>
      <c r="C297" s="58"/>
      <c r="D297" s="58">
        <f t="shared" ref="D297:J298" si="69">D13</f>
        <v>2015</v>
      </c>
      <c r="E297" s="58">
        <f t="shared" si="69"/>
        <v>2016</v>
      </c>
      <c r="F297" s="59">
        <f t="shared" si="69"/>
        <v>2017</v>
      </c>
      <c r="G297" s="59">
        <f t="shared" si="69"/>
        <v>2018</v>
      </c>
      <c r="H297" s="59">
        <f t="shared" si="69"/>
        <v>2019</v>
      </c>
      <c r="I297" s="59">
        <f t="shared" si="69"/>
        <v>2020</v>
      </c>
      <c r="J297" s="59">
        <f t="shared" si="69"/>
        <v>2021</v>
      </c>
    </row>
    <row r="298" spans="2:10">
      <c r="B298" s="24" t="str">
        <f>B14</f>
        <v>Fiscal year end date</v>
      </c>
      <c r="C298" s="60"/>
      <c r="D298" s="60">
        <f t="shared" si="69"/>
        <v>42278</v>
      </c>
      <c r="E298" s="60">
        <f t="shared" si="69"/>
        <v>42644</v>
      </c>
      <c r="F298" s="60">
        <f t="shared" si="69"/>
        <v>43039</v>
      </c>
      <c r="G298" s="60">
        <f t="shared" si="69"/>
        <v>43404</v>
      </c>
      <c r="H298" s="60">
        <f t="shared" si="69"/>
        <v>43769</v>
      </c>
      <c r="I298" s="60">
        <f t="shared" si="69"/>
        <v>44135</v>
      </c>
      <c r="J298" s="60">
        <f t="shared" si="69"/>
        <v>44500</v>
      </c>
    </row>
    <row r="300" spans="2:10">
      <c r="B300" s="35" t="s">
        <v>23</v>
      </c>
    </row>
    <row r="301" spans="2:10">
      <c r="B301" s="20" t="s">
        <v>69</v>
      </c>
      <c r="F301" s="57">
        <f>E304</f>
        <v>1591.4609819999998</v>
      </c>
      <c r="G301" s="57">
        <f>F304</f>
        <v>1479.4352024746177</v>
      </c>
      <c r="H301" s="57">
        <f>G304</f>
        <v>1381.2272779323348</v>
      </c>
      <c r="I301" s="57">
        <f>H304</f>
        <v>1293.1009996280609</v>
      </c>
      <c r="J301" s="57">
        <f>I304</f>
        <v>1209.2351085885919</v>
      </c>
    </row>
    <row r="302" spans="2:10">
      <c r="B302" s="110" t="s">
        <v>144</v>
      </c>
      <c r="F302" s="114">
        <f>F204/F308</f>
        <v>0</v>
      </c>
      <c r="G302" s="114">
        <f>G204/G308</f>
        <v>0</v>
      </c>
      <c r="H302" s="114">
        <f>H204/H308</f>
        <v>0</v>
      </c>
      <c r="I302" s="114">
        <f>I204/I308</f>
        <v>0</v>
      </c>
      <c r="J302" s="114">
        <f>J204/J308</f>
        <v>0</v>
      </c>
    </row>
    <row r="303" spans="2:10">
      <c r="B303" s="110" t="s">
        <v>145</v>
      </c>
      <c r="F303" s="62">
        <f>F213/F308</f>
        <v>-112.02577952538218</v>
      </c>
      <c r="G303" s="62">
        <f>G213/G308</f>
        <v>-98.207924542282953</v>
      </c>
      <c r="H303" s="62">
        <f>H213/H308</f>
        <v>-88.126278304273995</v>
      </c>
      <c r="I303" s="62">
        <f>I213/I308</f>
        <v>-83.865891039468977</v>
      </c>
      <c r="J303" s="62">
        <f>J213/J308</f>
        <v>-77.322476468336035</v>
      </c>
    </row>
    <row r="304" spans="2:10">
      <c r="B304" s="20" t="s">
        <v>71</v>
      </c>
      <c r="E304" s="40">
        <f>((((((1591460982)/10)/10)/10)/10)/10)/10</f>
        <v>1591.4609819999998</v>
      </c>
      <c r="F304" s="57">
        <f>SUM(F301:F303)</f>
        <v>1479.4352024746177</v>
      </c>
      <c r="G304" s="57">
        <f>SUM(G301:G303)</f>
        <v>1381.2272779323348</v>
      </c>
      <c r="H304" s="57">
        <f>SUM(H301:H303)</f>
        <v>1293.1009996280609</v>
      </c>
      <c r="I304" s="57">
        <f>SUM(I301:I303)</f>
        <v>1209.2351085885919</v>
      </c>
      <c r="J304" s="57">
        <f>SUM(J301:J303)</f>
        <v>1131.9126321202559</v>
      </c>
    </row>
    <row r="305" spans="2:10">
      <c r="B305" s="35"/>
    </row>
    <row r="306" spans="2:10">
      <c r="B306" s="47" t="s">
        <v>146</v>
      </c>
      <c r="C306" s="43">
        <f>C38</f>
        <v>4.26435474701535</v>
      </c>
      <c r="D306" s="43">
        <f>D38</f>
        <v>4.9046225863077826</v>
      </c>
      <c r="E306" s="43">
        <f>E38</f>
        <v>5.7297132397803541</v>
      </c>
      <c r="F306" s="117">
        <f>E306*(1+F307)</f>
        <v>5.9165018913971936</v>
      </c>
      <c r="G306" s="117">
        <f t="shared" ref="G306:I306" si="70">F306*(1+G307)</f>
        <v>6.7489537075167787</v>
      </c>
      <c r="H306" s="117">
        <f t="shared" si="70"/>
        <v>7.5210340116566989</v>
      </c>
      <c r="I306" s="117">
        <f t="shared" si="70"/>
        <v>7.9031025394488585</v>
      </c>
      <c r="J306" s="117">
        <f>I306*(1+J307)</f>
        <v>8.5719025918497174</v>
      </c>
    </row>
    <row r="307" spans="2:10">
      <c r="B307" s="47" t="s">
        <v>147</v>
      </c>
      <c r="D307" s="14">
        <f>D306/C306-1</f>
        <v>0.15014413135787086</v>
      </c>
      <c r="E307" s="14">
        <f>E306/D306-1</f>
        <v>0.1682271446891701</v>
      </c>
      <c r="F307" s="14">
        <v>3.2599999999999997E-2</v>
      </c>
      <c r="G307" s="14">
        <v>0.14069999999999999</v>
      </c>
      <c r="H307" s="116">
        <v>0.1144</v>
      </c>
      <c r="I307" s="116">
        <v>5.0799999999999998E-2</v>
      </c>
      <c r="J307" s="116">
        <f>AVERAGE(F307:I307)</f>
        <v>8.4624999999999992E-2</v>
      </c>
    </row>
    <row r="308" spans="2:10">
      <c r="B308" s="47" t="s">
        <v>148</v>
      </c>
      <c r="E308" s="6">
        <v>57.98</v>
      </c>
      <c r="F308" s="117">
        <f>E308*(1+F307)</f>
        <v>59.870147999999993</v>
      </c>
      <c r="G308" s="117">
        <f>F308*(1+G307)</f>
        <v>68.293877823599999</v>
      </c>
      <c r="H308" s="117">
        <f>G308*(1+H307)</f>
        <v>76.106697446619847</v>
      </c>
      <c r="I308" s="117">
        <f>H308*(1+I307)</f>
        <v>79.972917676908139</v>
      </c>
      <c r="J308" s="117">
        <f>I308*(1+J307)</f>
        <v>86.740625835316493</v>
      </c>
    </row>
    <row r="310" spans="2:10">
      <c r="B310" s="22" t="s">
        <v>149</v>
      </c>
      <c r="C310" s="22"/>
      <c r="D310" s="22"/>
      <c r="E310" s="22"/>
      <c r="F310" s="22"/>
      <c r="G310" s="22"/>
      <c r="H310" s="22"/>
      <c r="I310" s="22"/>
      <c r="J310" s="22"/>
    </row>
    <row r="311" spans="2:10">
      <c r="B311" s="44"/>
    </row>
    <row r="312" spans="2:10" ht="15" thickBot="1">
      <c r="B312" s="118" t="s">
        <v>264</v>
      </c>
      <c r="C312" s="118"/>
      <c r="D312" s="119"/>
      <c r="E312" s="119"/>
      <c r="F312" s="119"/>
      <c r="G312" s="119"/>
      <c r="H312" s="119"/>
    </row>
    <row r="313" spans="2:10">
      <c r="D313" s="120" t="s">
        <v>150</v>
      </c>
      <c r="E313" s="120"/>
      <c r="F313" s="120"/>
      <c r="G313" s="120"/>
      <c r="H313" s="120"/>
    </row>
    <row r="314" spans="2:10" ht="15" thickBot="1">
      <c r="C314" s="121">
        <f ca="1">F38</f>
        <v>6.694671460803737</v>
      </c>
      <c r="D314" s="122">
        <f>E314-0.02</f>
        <v>-0.02</v>
      </c>
      <c r="E314" s="122">
        <f>F314-0.02</f>
        <v>0</v>
      </c>
      <c r="F314" s="122">
        <v>0.02</v>
      </c>
      <c r="G314" s="122">
        <f>F314+0.02</f>
        <v>0.04</v>
      </c>
      <c r="H314" s="122">
        <f>G314+0.02</f>
        <v>0.06</v>
      </c>
    </row>
    <row r="315" spans="2:10">
      <c r="B315" s="123" t="s">
        <v>151</v>
      </c>
      <c r="C315" s="124">
        <f>C316-0.01</f>
        <v>0.39399999999999996</v>
      </c>
      <c r="D315" s="125">
        <f t="dataTable" ref="D315:H320" dt2D="1" dtr="1" r1="F41" r2="F42" ca="1"/>
        <v>5.9681756116918061</v>
      </c>
      <c r="E315" s="125">
        <v>6.0861629236323154</v>
      </c>
      <c r="F315" s="125">
        <v>6.2041502355728229</v>
      </c>
      <c r="G315" s="125">
        <v>6.3221375475133303</v>
      </c>
      <c r="H315" s="125">
        <v>6.4401248594538396</v>
      </c>
    </row>
    <row r="316" spans="2:10">
      <c r="B316" s="123" t="s">
        <v>152</v>
      </c>
      <c r="C316" s="124">
        <f>C317-0.01</f>
        <v>0.40399999999999997</v>
      </c>
      <c r="D316" s="125">
        <v>6.2038181610674421</v>
      </c>
      <c r="E316" s="125">
        <v>6.3266145046278659</v>
      </c>
      <c r="F316" s="125">
        <v>6.4494108481882844</v>
      </c>
      <c r="G316" s="125">
        <v>6.5722071917487037</v>
      </c>
      <c r="H316" s="125">
        <v>6.6950035353091222</v>
      </c>
    </row>
    <row r="317" spans="2:10">
      <c r="B317" s="123" t="s">
        <v>153</v>
      </c>
      <c r="C317" s="124">
        <v>0.41399999999999998</v>
      </c>
      <c r="D317" s="125">
        <v>6.4394607104430808</v>
      </c>
      <c r="E317" s="125">
        <v>6.5670660856234173</v>
      </c>
      <c r="F317" s="125">
        <v>6.6946714608037476</v>
      </c>
      <c r="G317" s="125">
        <v>6.8222768359840771</v>
      </c>
      <c r="H317" s="125">
        <v>6.9498822111644065</v>
      </c>
    </row>
    <row r="318" spans="2:10">
      <c r="B318" s="123"/>
      <c r="C318" s="124">
        <f>C317+0.01</f>
        <v>0.42399999999999999</v>
      </c>
      <c r="D318" s="125">
        <v>6.6751032598187212</v>
      </c>
      <c r="E318" s="125">
        <v>6.8075176666189678</v>
      </c>
      <c r="F318" s="125">
        <v>6.9399320734192091</v>
      </c>
      <c r="G318" s="125">
        <v>7.0723464802194496</v>
      </c>
      <c r="H318" s="125">
        <v>7.20476088701969</v>
      </c>
    </row>
    <row r="319" spans="2:10">
      <c r="C319" s="124">
        <f t="shared" ref="C319:C320" si="71">C318+0.01</f>
        <v>0.434</v>
      </c>
      <c r="D319" s="125">
        <v>6.9107458091943599</v>
      </c>
      <c r="E319" s="125">
        <v>7.0479692476145068</v>
      </c>
      <c r="F319" s="125">
        <v>7.1851926860346582</v>
      </c>
      <c r="G319" s="125">
        <v>7.3224161244548096</v>
      </c>
      <c r="H319" s="125">
        <v>7.4596395628749637</v>
      </c>
    </row>
    <row r="320" spans="2:10">
      <c r="C320" s="124">
        <f t="shared" si="71"/>
        <v>0.44400000000000001</v>
      </c>
      <c r="D320" s="125">
        <v>7.1463883585700003</v>
      </c>
      <c r="E320" s="125">
        <v>7.2884208286100565</v>
      </c>
      <c r="F320" s="125">
        <v>7.4304532986501197</v>
      </c>
      <c r="G320" s="125">
        <v>7.5724857686901839</v>
      </c>
      <c r="H320" s="125">
        <v>7.7145182387302444</v>
      </c>
    </row>
    <row r="321" spans="2:10" ht="15" thickBot="1">
      <c r="B321" s="126"/>
      <c r="C321" s="118"/>
      <c r="D321" s="119"/>
      <c r="E321" s="119"/>
      <c r="F321" s="119"/>
      <c r="G321" s="119"/>
      <c r="H321" s="119"/>
    </row>
    <row r="323" spans="2:10">
      <c r="B323" s="22" t="s">
        <v>154</v>
      </c>
      <c r="C323" s="22"/>
      <c r="D323" s="22"/>
      <c r="E323" s="22"/>
      <c r="F323" s="22"/>
      <c r="G323" s="22"/>
      <c r="H323" s="22"/>
      <c r="I323" s="22"/>
      <c r="J323" s="22"/>
    </row>
    <row r="324" spans="2:10">
      <c r="B324" s="65" t="s">
        <v>9</v>
      </c>
      <c r="C324" s="58"/>
      <c r="D324" s="58">
        <v>2012</v>
      </c>
      <c r="E324" s="58">
        <v>2013</v>
      </c>
      <c r="F324" s="59">
        <v>2014</v>
      </c>
      <c r="G324" s="59">
        <v>2015</v>
      </c>
      <c r="H324" s="59">
        <v>2016</v>
      </c>
      <c r="I324" s="59">
        <v>2017</v>
      </c>
      <c r="J324" s="59">
        <v>2018</v>
      </c>
    </row>
    <row r="325" spans="2:10">
      <c r="B325" s="24" t="s">
        <v>10</v>
      </c>
      <c r="C325" s="60"/>
      <c r="D325" s="60">
        <v>41181</v>
      </c>
      <c r="E325" s="60">
        <v>41545</v>
      </c>
      <c r="F325" s="60">
        <v>41912</v>
      </c>
      <c r="G325" s="60">
        <v>42277</v>
      </c>
      <c r="H325" s="60">
        <v>42643</v>
      </c>
      <c r="I325" s="60">
        <v>43008</v>
      </c>
      <c r="J325" s="60">
        <v>43373</v>
      </c>
    </row>
    <row r="326" spans="2:10" ht="15" thickBot="1"/>
    <row r="327" spans="2:10" ht="15" thickBot="1">
      <c r="B327" s="127" t="s">
        <v>155</v>
      </c>
      <c r="C327" s="18"/>
      <c r="D327" s="18"/>
      <c r="E327" s="128" t="s">
        <v>156</v>
      </c>
    </row>
    <row r="328" spans="2:10">
      <c r="F328" s="20"/>
      <c r="G328" s="20"/>
      <c r="H328" s="20"/>
      <c r="I328" s="20"/>
      <c r="J328" s="20"/>
    </row>
    <row r="329" spans="2:10">
      <c r="B329" s="47" t="s">
        <v>29</v>
      </c>
      <c r="F329" s="94">
        <f t="shared" ref="F329:J332" ca="1" si="72">OFFSET(F$334,MATCH($E$327,$B$335:$B$337,0)+MATCH($B329,$B$334:$B$349,0)-1,0)</f>
        <v>0.02</v>
      </c>
      <c r="G329" s="94">
        <f t="shared" ca="1" si="72"/>
        <v>0.06</v>
      </c>
      <c r="H329" s="94">
        <f t="shared" ca="1" si="72"/>
        <v>0.04</v>
      </c>
      <c r="I329" s="94">
        <f t="shared" ca="1" si="72"/>
        <v>0.05</v>
      </c>
      <c r="J329" s="94">
        <f t="shared" ca="1" si="72"/>
        <v>0.02</v>
      </c>
    </row>
    <row r="330" spans="2:10">
      <c r="B330" s="47" t="s">
        <v>31</v>
      </c>
      <c r="F330" s="94">
        <f t="shared" ca="1" si="72"/>
        <v>0.41399999999999998</v>
      </c>
      <c r="G330" s="94">
        <f ca="1">OFFSET(G$334,MATCH($E$327,$B$335:$B$337,0)+MATCH($B330,$B$334:$B$349,0)-1,0)</f>
        <v>0.41399999999999998</v>
      </c>
      <c r="H330" s="94">
        <f t="shared" ca="1" si="72"/>
        <v>0.41399999999999998</v>
      </c>
      <c r="I330" s="94">
        <f t="shared" ca="1" si="72"/>
        <v>0.41399999999999998</v>
      </c>
      <c r="J330" s="94">
        <f t="shared" ca="1" si="72"/>
        <v>0.41399999999999998</v>
      </c>
    </row>
    <row r="331" spans="2:10">
      <c r="B331" s="51" t="s">
        <v>32</v>
      </c>
      <c r="F331" s="94">
        <f t="shared" ca="1" si="72"/>
        <v>0</v>
      </c>
      <c r="G331" s="94">
        <f t="shared" ca="1" si="72"/>
        <v>0</v>
      </c>
      <c r="H331" s="94">
        <f t="shared" ca="1" si="72"/>
        <v>0</v>
      </c>
      <c r="I331" s="94">
        <f t="shared" ca="1" si="72"/>
        <v>0</v>
      </c>
      <c r="J331" s="94">
        <f t="shared" ca="1" si="72"/>
        <v>0</v>
      </c>
    </row>
    <row r="332" spans="2:10">
      <c r="B332" s="47" t="s">
        <v>33</v>
      </c>
      <c r="F332" s="94">
        <f t="shared" ca="1" si="72"/>
        <v>0.14899999999999999</v>
      </c>
      <c r="G332" s="94">
        <f t="shared" ca="1" si="72"/>
        <v>0.14599999999999999</v>
      </c>
      <c r="H332" s="94">
        <f t="shared" ca="1" si="72"/>
        <v>0.14000000000000001</v>
      </c>
      <c r="I332" s="94">
        <f t="shared" ca="1" si="72"/>
        <v>0.14599999999999999</v>
      </c>
      <c r="J332" s="94">
        <f t="shared" ca="1" si="72"/>
        <v>0.16400000000000001</v>
      </c>
    </row>
    <row r="334" spans="2:10">
      <c r="B334" s="109" t="s">
        <v>29</v>
      </c>
    </row>
    <row r="335" spans="2:10">
      <c r="B335" s="129" t="s">
        <v>157</v>
      </c>
      <c r="F335" s="63">
        <v>0.08</v>
      </c>
      <c r="G335" s="63">
        <v>0.08</v>
      </c>
      <c r="H335" s="63">
        <v>0.08</v>
      </c>
      <c r="I335" s="63">
        <v>0.08</v>
      </c>
      <c r="J335" s="63">
        <v>0.08</v>
      </c>
    </row>
    <row r="336" spans="2:10">
      <c r="B336" s="129" t="s">
        <v>156</v>
      </c>
      <c r="F336" s="63">
        <v>0.02</v>
      </c>
      <c r="G336" s="63">
        <v>0.06</v>
      </c>
      <c r="H336" s="63">
        <v>0.04</v>
      </c>
      <c r="I336" s="63">
        <v>0.05</v>
      </c>
      <c r="J336" s="63">
        <v>0.02</v>
      </c>
    </row>
    <row r="337" spans="2:10">
      <c r="B337" s="129" t="s">
        <v>158</v>
      </c>
      <c r="F337" s="63">
        <v>0</v>
      </c>
      <c r="G337" s="63">
        <v>0</v>
      </c>
      <c r="H337" s="63">
        <v>0</v>
      </c>
      <c r="I337" s="63">
        <v>0</v>
      </c>
      <c r="J337" s="63">
        <v>0</v>
      </c>
    </row>
    <row r="338" spans="2:10">
      <c r="B338" s="109" t="s">
        <v>31</v>
      </c>
      <c r="F338" s="130"/>
      <c r="G338" s="130"/>
      <c r="H338" s="130"/>
      <c r="I338" s="130"/>
      <c r="J338" s="130"/>
    </row>
    <row r="339" spans="2:10">
      <c r="B339" s="129" t="s">
        <v>157</v>
      </c>
      <c r="F339" s="63">
        <v>0.45</v>
      </c>
      <c r="G339" s="63">
        <v>0.45</v>
      </c>
      <c r="H339" s="63">
        <v>0.45</v>
      </c>
      <c r="I339" s="63">
        <v>0.45</v>
      </c>
      <c r="J339" s="63">
        <v>0.45</v>
      </c>
    </row>
    <row r="340" spans="2:10">
      <c r="B340" s="129" t="s">
        <v>156</v>
      </c>
      <c r="F340" s="131">
        <v>0.41399999999999998</v>
      </c>
      <c r="G340" s="131">
        <v>0.41399999999999998</v>
      </c>
      <c r="H340" s="131">
        <v>0.41399999999999998</v>
      </c>
      <c r="I340" s="131">
        <v>0.41399999999999998</v>
      </c>
      <c r="J340" s="131">
        <v>0.41399999999999998</v>
      </c>
    </row>
    <row r="341" spans="2:10">
      <c r="B341" s="129" t="s">
        <v>158</v>
      </c>
      <c r="F341" s="63">
        <v>0.35</v>
      </c>
      <c r="G341" s="63">
        <v>0.35</v>
      </c>
      <c r="H341" s="63">
        <v>0.35</v>
      </c>
      <c r="I341" s="63">
        <v>0.35</v>
      </c>
      <c r="J341" s="63">
        <v>0.35</v>
      </c>
    </row>
    <row r="342" spans="2:10">
      <c r="B342" s="132" t="s">
        <v>32</v>
      </c>
      <c r="F342" s="130"/>
      <c r="G342" s="130"/>
      <c r="H342" s="130"/>
      <c r="I342" s="130"/>
      <c r="J342" s="130"/>
    </row>
    <row r="343" spans="2:10">
      <c r="B343" s="129" t="s">
        <v>157</v>
      </c>
      <c r="F343" s="63">
        <v>0</v>
      </c>
      <c r="G343" s="63">
        <v>0</v>
      </c>
      <c r="H343" s="63">
        <v>0</v>
      </c>
      <c r="I343" s="63">
        <v>0</v>
      </c>
      <c r="J343" s="63">
        <v>0</v>
      </c>
    </row>
    <row r="344" spans="2:10">
      <c r="B344" s="129" t="s">
        <v>156</v>
      </c>
      <c r="F344" s="63">
        <v>0</v>
      </c>
      <c r="G344" s="63">
        <v>0</v>
      </c>
      <c r="H344" s="63">
        <v>0</v>
      </c>
      <c r="I344" s="63">
        <v>0</v>
      </c>
      <c r="J344" s="63">
        <v>0</v>
      </c>
    </row>
    <row r="345" spans="2:10">
      <c r="B345" s="129" t="s">
        <v>158</v>
      </c>
      <c r="F345" s="63">
        <v>0</v>
      </c>
      <c r="G345" s="63">
        <v>0</v>
      </c>
      <c r="H345" s="63">
        <v>0</v>
      </c>
      <c r="I345" s="63">
        <v>0</v>
      </c>
      <c r="J345" s="63">
        <v>0</v>
      </c>
    </row>
    <row r="346" spans="2:10">
      <c r="B346" s="109" t="s">
        <v>33</v>
      </c>
      <c r="F346" s="130"/>
      <c r="G346" s="130"/>
      <c r="H346" s="130"/>
      <c r="I346" s="130"/>
      <c r="J346" s="130"/>
    </row>
    <row r="347" spans="2:10">
      <c r="B347" s="129" t="s">
        <v>157</v>
      </c>
      <c r="F347" s="63">
        <v>0.1</v>
      </c>
      <c r="G347" s="63">
        <v>0.1</v>
      </c>
      <c r="H347" s="63">
        <v>0.1</v>
      </c>
      <c r="I347" s="63">
        <v>0.1</v>
      </c>
      <c r="J347" s="63">
        <v>0.1</v>
      </c>
    </row>
    <row r="348" spans="2:10">
      <c r="B348" s="129" t="s">
        <v>156</v>
      </c>
      <c r="F348" s="131">
        <v>0.14899999999999999</v>
      </c>
      <c r="G348" s="131">
        <v>0.14599999999999999</v>
      </c>
      <c r="H348" s="131">
        <v>0.14000000000000001</v>
      </c>
      <c r="I348" s="131">
        <v>0.14599999999999999</v>
      </c>
      <c r="J348" s="131">
        <v>0.16400000000000001</v>
      </c>
    </row>
    <row r="349" spans="2:10">
      <c r="B349" s="129" t="s">
        <v>158</v>
      </c>
      <c r="F349" s="131">
        <v>0.2</v>
      </c>
      <c r="G349" s="131">
        <v>0.2</v>
      </c>
      <c r="H349" s="131">
        <v>0.2</v>
      </c>
      <c r="I349" s="131">
        <v>0.2</v>
      </c>
      <c r="J349" s="131">
        <v>0.2</v>
      </c>
    </row>
    <row r="352" spans="2:10">
      <c r="B352" s="148"/>
    </row>
  </sheetData>
  <dataValidations count="3">
    <dataValidation type="list" allowBlank="1" showInputMessage="1" showErrorMessage="1" sqref="E327">
      <formula1>$B$335:$B$337</formula1>
    </dataValidation>
    <dataValidation type="list" allowBlank="1" showInputMessage="1" showErrorMessage="1" sqref="B3">
      <formula1>"$ bns except per share, $ mm except per share,$ in thousands except per share"</formula1>
    </dataValidation>
    <dataValidation type="list" allowBlank="1" showInputMessage="1" showErrorMessage="1" sqref="I7 C10">
      <formula1>"ON,OFF"</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L141"/>
  <sheetViews>
    <sheetView tabSelected="1" topLeftCell="A25" zoomScaleNormal="100" workbookViewId="0">
      <selection activeCell="D32" sqref="D32"/>
    </sheetView>
  </sheetViews>
  <sheetFormatPr defaultColWidth="9.109375" defaultRowHeight="14.4"/>
  <cols>
    <col min="1" max="1" width="1.6640625" style="17" customWidth="1"/>
    <col min="2" max="2" width="40.33203125" style="17" customWidth="1"/>
    <col min="3" max="10" width="12.33203125" style="17" customWidth="1"/>
    <col min="11" max="11" width="12.109375" style="17" bestFit="1" customWidth="1"/>
    <col min="12" max="12" width="9.109375" style="17"/>
    <col min="13" max="13" width="9.109375" style="17" customWidth="1"/>
    <col min="14" max="16384" width="9.109375" style="17"/>
  </cols>
  <sheetData>
    <row r="1" spans="2:10" ht="15" thickBot="1"/>
    <row r="2" spans="2:10" ht="26.4" thickBot="1">
      <c r="B2" s="1" t="str">
        <f>"Discounted Cash Flow Model for "&amp;'Financial Statement Model'!C5</f>
        <v>Discounted Cash Flow Model for Disney</v>
      </c>
      <c r="C2" s="18"/>
      <c r="D2" s="18"/>
      <c r="E2" s="18"/>
      <c r="F2" s="18"/>
      <c r="G2" s="18"/>
      <c r="H2" s="18"/>
      <c r="I2" s="18"/>
      <c r="J2" s="18"/>
    </row>
    <row r="4" spans="2:10" ht="15" thickBot="1">
      <c r="B4" s="133" t="s">
        <v>159</v>
      </c>
      <c r="C4" s="119"/>
    </row>
    <row r="5" spans="2:10">
      <c r="B5" s="20" t="s">
        <v>3</v>
      </c>
      <c r="C5" s="147">
        <f>'Financial Statement Model'!C7</f>
        <v>107.09</v>
      </c>
    </row>
    <row r="6" spans="2:10">
      <c r="B6" s="135" t="s">
        <v>4</v>
      </c>
      <c r="C6" s="150">
        <v>57.98</v>
      </c>
    </row>
    <row r="7" spans="2:10">
      <c r="B7" s="135" t="s">
        <v>160</v>
      </c>
      <c r="C7" s="161"/>
    </row>
    <row r="8" spans="2:10">
      <c r="B8" s="135" t="s">
        <v>161</v>
      </c>
      <c r="C8" s="146" t="e">
        <f>J75</f>
        <v>#DIV/0!</v>
      </c>
    </row>
    <row r="10" spans="2:10" ht="15" thickBot="1">
      <c r="B10" s="136" t="s">
        <v>162</v>
      </c>
      <c r="C10" s="119"/>
      <c r="D10" s="119"/>
      <c r="E10" s="119"/>
      <c r="F10" s="119"/>
      <c r="G10" s="119"/>
      <c r="H10" s="119"/>
      <c r="I10" s="119"/>
      <c r="J10" s="119"/>
    </row>
    <row r="11" spans="2:10">
      <c r="B11" s="20" t="s">
        <v>9</v>
      </c>
      <c r="C11" s="25">
        <f>D11-1</f>
        <v>2014</v>
      </c>
      <c r="D11" s="25">
        <f>E11-1</f>
        <v>2015</v>
      </c>
      <c r="E11" s="25">
        <f>YEAR(E12)</f>
        <v>2016</v>
      </c>
      <c r="F11" s="26">
        <f>E11+1</f>
        <v>2017</v>
      </c>
      <c r="G11" s="26">
        <f>F11+1</f>
        <v>2018</v>
      </c>
      <c r="H11" s="26">
        <f>G11+1</f>
        <v>2019</v>
      </c>
      <c r="I11" s="26">
        <f>H11+1</f>
        <v>2020</v>
      </c>
      <c r="J11" s="26">
        <f>I11+1</f>
        <v>2021</v>
      </c>
    </row>
    <row r="12" spans="2:10">
      <c r="B12" s="27" t="s">
        <v>10</v>
      </c>
      <c r="C12" s="60">
        <f>'Financial Statement Model'!C14</f>
        <v>42280</v>
      </c>
      <c r="D12" s="60">
        <f>'Financial Statement Model'!D14</f>
        <v>42278</v>
      </c>
      <c r="E12" s="60">
        <f>'Financial Statement Model'!E14</f>
        <v>42644</v>
      </c>
      <c r="F12" s="60">
        <f>'Financial Statement Model'!F14</f>
        <v>43039</v>
      </c>
      <c r="G12" s="60">
        <f>'Financial Statement Model'!G14</f>
        <v>43404</v>
      </c>
      <c r="H12" s="60">
        <f>'Financial Statement Model'!H14</f>
        <v>43769</v>
      </c>
      <c r="I12" s="60">
        <f>'Financial Statement Model'!I14</f>
        <v>44135</v>
      </c>
      <c r="J12" s="60">
        <f>'Financial Statement Model'!J14</f>
        <v>44500</v>
      </c>
    </row>
    <row r="13" spans="2:10">
      <c r="B13" s="137"/>
      <c r="F13" s="14"/>
      <c r="G13" s="14"/>
      <c r="H13" s="14"/>
      <c r="I13" s="14"/>
      <c r="J13" s="14"/>
    </row>
    <row r="14" spans="2:10">
      <c r="B14" s="20" t="s">
        <v>38</v>
      </c>
      <c r="C14" s="134">
        <f>'Financial Statement Model'!C51</f>
        <v>14236</v>
      </c>
      <c r="D14" s="134">
        <f>'Financial Statement Model'!D51</f>
        <v>15988</v>
      </c>
      <c r="E14" s="134">
        <f>'Financial Statement Model'!E51</f>
        <v>17278</v>
      </c>
      <c r="F14" s="134">
        <f ca="1">'Financial Statement Model'!F51</f>
        <v>17624.326897066669</v>
      </c>
      <c r="G14" s="134">
        <f ca="1">'Financial Statement Model'!G51</f>
        <v>18846.925506986667</v>
      </c>
      <c r="H14" s="134">
        <f ca="1">'Financial Statement Model'!H51</f>
        <v>20000.151935515307</v>
      </c>
      <c r="I14" s="134">
        <f ca="1">'Financial Statement Model'!I51</f>
        <v>20820.559270814898</v>
      </c>
      <c r="J14" s="134">
        <f ca="1">'Financial Statement Model'!J51</f>
        <v>19973.939043924329</v>
      </c>
    </row>
    <row r="15" spans="2:10">
      <c r="B15" s="20" t="s">
        <v>163</v>
      </c>
      <c r="C15" s="134">
        <f>'Financial Statement Model'!C21</f>
        <v>11540</v>
      </c>
      <c r="D15" s="134">
        <f>'Financial Statement Model'!D21</f>
        <v>13224</v>
      </c>
      <c r="E15" s="134">
        <f>'Financial Statement Model'!E21</f>
        <v>14358</v>
      </c>
      <c r="F15" s="134">
        <f ca="1">'Financial Statement Model'!F21</f>
        <v>15037.329600000001</v>
      </c>
      <c r="G15" s="134">
        <f ca="1">'Financial Statement Model'!G21</f>
        <v>16120.017331200001</v>
      </c>
      <c r="H15" s="134">
        <f ca="1">'Financial Statement Model'!H21</f>
        <v>17140.149771263998</v>
      </c>
      <c r="I15" s="134">
        <f ca="1">'Financial Statement Model'!I21</f>
        <v>17603.058925670404</v>
      </c>
      <c r="J15" s="134">
        <f ca="1">'Financial Statement Model'!J21</f>
        <v>16749.179201664003</v>
      </c>
    </row>
    <row r="16" spans="2:10">
      <c r="B16" s="20" t="s">
        <v>164</v>
      </c>
      <c r="C16" s="152">
        <f>'Financial Statement Model'!C45</f>
        <v>0.34639882410583045</v>
      </c>
      <c r="D16" s="152">
        <f>'Financial Statement Model'!D45</f>
        <v>0.36169599077011827</v>
      </c>
      <c r="E16" s="152">
        <f>'Financial Statement Model'!E45</f>
        <v>0.34153887543718053</v>
      </c>
      <c r="F16" s="152">
        <f>'Financial Statement Model'!F45</f>
        <v>0.33300000000000002</v>
      </c>
      <c r="G16" s="152">
        <f>'Financial Statement Model'!G45</f>
        <v>0.31</v>
      </c>
      <c r="H16" s="152">
        <f>'Financial Statement Model'!H45</f>
        <v>0.34599999999999997</v>
      </c>
      <c r="I16" s="152">
        <f>'Financial Statement Model'!I45</f>
        <v>0.36199999999999999</v>
      </c>
      <c r="J16" s="152">
        <f>'Financial Statement Model'!J45</f>
        <v>0.34200000000000003</v>
      </c>
    </row>
    <row r="17" spans="2:10">
      <c r="B17" s="35" t="s">
        <v>165</v>
      </c>
      <c r="C17" s="138">
        <f>C15*(1-C16)</f>
        <v>7542.5575698187167</v>
      </c>
      <c r="D17" s="138">
        <f t="shared" ref="D17:J17" si="0">D15*(1-D16)</f>
        <v>8440.9322180559557</v>
      </c>
      <c r="E17" s="138">
        <f t="shared" si="0"/>
        <v>9454.1848264729615</v>
      </c>
      <c r="F17" s="138">
        <f t="shared" ca="1" si="0"/>
        <v>10029.898843200001</v>
      </c>
      <c r="G17" s="138">
        <f t="shared" ca="1" si="0"/>
        <v>11122.811958528</v>
      </c>
      <c r="H17" s="138">
        <f t="shared" ca="1" si="0"/>
        <v>11209.657950406654</v>
      </c>
      <c r="I17" s="138">
        <f t="shared" ca="1" si="0"/>
        <v>11230.751594577718</v>
      </c>
      <c r="J17" s="138">
        <f t="shared" ca="1" si="0"/>
        <v>11020.959914694913</v>
      </c>
    </row>
    <row r="18" spans="2:10">
      <c r="B18" s="35"/>
      <c r="C18"/>
      <c r="D18"/>
      <c r="E18"/>
      <c r="F18"/>
      <c r="G18"/>
      <c r="H18"/>
      <c r="I18"/>
      <c r="J18"/>
    </row>
    <row r="19" spans="2:10">
      <c r="B19" s="47" t="s">
        <v>120</v>
      </c>
      <c r="F19" s="134">
        <f ca="1">'Financial Statement Model'!F239</f>
        <v>2183.3306303999998</v>
      </c>
      <c r="G19" s="134">
        <f ca="1">'Financial Statement Model'!G239</f>
        <v>2323.24150912</v>
      </c>
      <c r="H19" s="134">
        <f ca="1">'Financial Statement Model'!H239</f>
        <v>2456.3354975846405</v>
      </c>
      <c r="I19" s="134">
        <f ca="1">'Financial Statement Model'!I239</f>
        <v>2813.8336784778248</v>
      </c>
      <c r="J19" s="134">
        <f ca="1">'Financial Statement Model'!J239</f>
        <v>2821.0931755936567</v>
      </c>
    </row>
    <row r="20" spans="2:10">
      <c r="B20" s="47" t="s">
        <v>37</v>
      </c>
      <c r="F20" s="134">
        <f>'Financial Statement Model'!F240</f>
        <v>403.66666666666669</v>
      </c>
      <c r="G20" s="134">
        <f>'Financial Statement Model'!G240</f>
        <v>403.66666666666669</v>
      </c>
      <c r="H20" s="134">
        <f>'Financial Statement Model'!H240</f>
        <v>403.66666666666669</v>
      </c>
      <c r="I20" s="134">
        <f>'Financial Statement Model'!I240</f>
        <v>403.66666666666669</v>
      </c>
      <c r="J20" s="134">
        <f>'Financial Statement Model'!J240</f>
        <v>403.66666666666669</v>
      </c>
    </row>
    <row r="21" spans="2:10">
      <c r="B21" s="47" t="s">
        <v>42</v>
      </c>
      <c r="F21" s="134">
        <f ca="1">'Financial Statement Model'!F241</f>
        <v>105.28973925474202</v>
      </c>
      <c r="G21" s="134">
        <f ca="1">'Financial Statement Model'!G241</f>
        <v>-537.5826156447165</v>
      </c>
      <c r="H21" s="134">
        <f ca="1">'Financial Statement Model'!H241</f>
        <v>-379.89171505559898</v>
      </c>
      <c r="I21" s="134">
        <f ca="1">'Financial Statement Model'!I241</f>
        <v>-493.85922957228104</v>
      </c>
      <c r="J21" s="134">
        <f ca="1">'Financial Statement Model'!J241</f>
        <v>-207.42087642035585</v>
      </c>
    </row>
    <row r="22" spans="2:10">
      <c r="B22" s="47" t="s">
        <v>43</v>
      </c>
      <c r="F22" s="134">
        <f ca="1">'Financial Statement Model'!F242</f>
        <v>-170.95850651675551</v>
      </c>
      <c r="G22" s="134">
        <f ca="1">'Financial Statement Model'!G242</f>
        <v>-93.657510391005644</v>
      </c>
      <c r="H22" s="134">
        <f ca="1">'Financial Statement Model'!H242</f>
        <v>-66.184640676310664</v>
      </c>
      <c r="I22" s="134">
        <f ca="1">'Financial Statement Model'!I242</f>
        <v>-86.040032879203636</v>
      </c>
      <c r="J22" s="134">
        <f ca="1">'Financial Statement Model'!J242</f>
        <v>-36.136813809265277</v>
      </c>
    </row>
    <row r="23" spans="2:10">
      <c r="B23" s="47" t="s">
        <v>50</v>
      </c>
      <c r="F23" s="134">
        <f ca="1">'Financial Statement Model'!F243</f>
        <v>-216.61415003125694</v>
      </c>
      <c r="G23" s="134">
        <f ca="1">'Financial Statement Model'!G243</f>
        <v>534.80315099812833</v>
      </c>
      <c r="H23" s="134">
        <f ca="1">'Financial Statement Model'!H243</f>
        <v>377.92756003867544</v>
      </c>
      <c r="I23" s="134">
        <f ca="1">'Financial Statement Model'!I243</f>
        <v>491.30582805027734</v>
      </c>
      <c r="J23" s="134">
        <f ca="1">'Financial Statement Model'!J243</f>
        <v>206.34844778111619</v>
      </c>
    </row>
    <row r="24" spans="2:10">
      <c r="B24" s="47" t="s">
        <v>79</v>
      </c>
      <c r="F24" s="134">
        <f ca="1">'Financial Statement Model'!F244</f>
        <v>151.41531287524958</v>
      </c>
      <c r="G24" s="134">
        <f ca="1">'Financial Statement Model'!G244</f>
        <v>250.58491877251527</v>
      </c>
      <c r="H24" s="134">
        <f ca="1">'Financial Statement Model'!H244</f>
        <v>177.08000926591103</v>
      </c>
      <c r="I24" s="134">
        <f ca="1">'Financial Statement Model'!I244</f>
        <v>230.20401204568498</v>
      </c>
      <c r="J24" s="134">
        <f ca="1">'Financial Statement Model'!J244</f>
        <v>96.685685059186653</v>
      </c>
    </row>
    <row r="25" spans="2:10">
      <c r="B25" s="47" t="s">
        <v>45</v>
      </c>
      <c r="F25" s="134">
        <f>'Financial Statement Model'!F245</f>
        <v>0</v>
      </c>
      <c r="G25" s="134">
        <f>'Financial Statement Model'!G245</f>
        <v>0</v>
      </c>
      <c r="H25" s="134">
        <f>'Financial Statement Model'!H245</f>
        <v>0</v>
      </c>
      <c r="I25" s="134">
        <f>'Financial Statement Model'!I245</f>
        <v>0</v>
      </c>
      <c r="J25" s="134">
        <f>'Financial Statement Model'!J245</f>
        <v>0</v>
      </c>
    </row>
    <row r="26" spans="2:10">
      <c r="B26" s="51" t="s">
        <v>94</v>
      </c>
      <c r="F26" s="134">
        <f>'Financial Statement Model'!F246</f>
        <v>0</v>
      </c>
      <c r="G26" s="134">
        <f>'Financial Statement Model'!G246</f>
        <v>0</v>
      </c>
      <c r="H26" s="134">
        <f>'Financial Statement Model'!H246</f>
        <v>0</v>
      </c>
      <c r="I26" s="134">
        <f>'Financial Statement Model'!I246</f>
        <v>0</v>
      </c>
      <c r="J26" s="134">
        <f>'Financial Statement Model'!J246</f>
        <v>0</v>
      </c>
    </row>
    <row r="27" spans="2:10">
      <c r="B27" s="51" t="s">
        <v>48</v>
      </c>
      <c r="F27" s="134">
        <f>'Financial Statement Model'!F247</f>
        <v>0</v>
      </c>
      <c r="G27" s="134">
        <f>'Financial Statement Model'!G247</f>
        <v>0</v>
      </c>
      <c r="H27" s="134">
        <f>'Financial Statement Model'!H247</f>
        <v>0</v>
      </c>
      <c r="I27" s="134">
        <f>'Financial Statement Model'!I247</f>
        <v>0</v>
      </c>
      <c r="J27" s="134">
        <f>'Financial Statement Model'!J247</f>
        <v>0</v>
      </c>
    </row>
    <row r="28" spans="2:10">
      <c r="B28" s="47" t="s">
        <v>95</v>
      </c>
      <c r="F28" s="134">
        <f>'Financial Statement Model'!F248</f>
        <v>0</v>
      </c>
      <c r="G28" s="134">
        <f>'Financial Statement Model'!G248</f>
        <v>0</v>
      </c>
      <c r="H28" s="134">
        <f>'Financial Statement Model'!H248</f>
        <v>0</v>
      </c>
      <c r="I28" s="134">
        <f>'Financial Statement Model'!I248</f>
        <v>0</v>
      </c>
      <c r="J28" s="134">
        <f>'Financial Statement Model'!J248</f>
        <v>0</v>
      </c>
    </row>
    <row r="29" spans="2:10">
      <c r="B29" s="35" t="s">
        <v>166</v>
      </c>
      <c r="C29"/>
      <c r="D29"/>
      <c r="E29"/>
      <c r="F29" s="107">
        <f ca="1">F17+SUM(F19:F28)</f>
        <v>12486.028535848647</v>
      </c>
      <c r="G29" s="107">
        <f t="shared" ref="G29:J29" ca="1" si="1">G17+SUM(G19:G28)</f>
        <v>14003.868078049589</v>
      </c>
      <c r="H29" s="107">
        <f t="shared" ca="1" si="1"/>
        <v>14178.591328230637</v>
      </c>
      <c r="I29" s="107">
        <f t="shared" ca="1" si="1"/>
        <v>14589.862517366688</v>
      </c>
      <c r="J29" s="107">
        <f t="shared" ca="1" si="1"/>
        <v>14305.196199565919</v>
      </c>
    </row>
    <row r="30" spans="2:10">
      <c r="B30" s="54" t="s">
        <v>167</v>
      </c>
      <c r="C30"/>
      <c r="D30"/>
      <c r="E30"/>
      <c r="F30" s="134">
        <f ca="1">'Financial Statement Model'!F252</f>
        <v>-4567.9435199999998</v>
      </c>
      <c r="G30" s="134">
        <f ca="1">'Financial Statement Model'!G252</f>
        <v>-4571.3481984</v>
      </c>
      <c r="H30" s="134">
        <f ca="1">'Financial Statement Model'!H252</f>
        <v>-4128.6492149760006</v>
      </c>
      <c r="I30" s="134">
        <f ca="1">'Financial Statement Model'!I252</f>
        <v>-3481.2019517184008</v>
      </c>
      <c r="J30" s="134">
        <f ca="1">'Financial Statement Model'!J252</f>
        <v>-3483.8292739461126</v>
      </c>
    </row>
    <row r="31" spans="2:10">
      <c r="B31" s="47" t="s">
        <v>168</v>
      </c>
      <c r="C31"/>
      <c r="D31"/>
      <c r="E31"/>
      <c r="F31" s="134">
        <f>'Financial Statement Model'!F253</f>
        <v>0</v>
      </c>
      <c r="G31" s="134">
        <f>'Financial Statement Model'!G253</f>
        <v>0</v>
      </c>
      <c r="H31" s="134">
        <f>'Financial Statement Model'!H253</f>
        <v>0</v>
      </c>
      <c r="I31" s="134">
        <f>'Financial Statement Model'!I253</f>
        <v>0</v>
      </c>
      <c r="J31" s="134">
        <f>'Financial Statement Model'!J253</f>
        <v>0</v>
      </c>
    </row>
    <row r="32" spans="2:10">
      <c r="B32" s="44" t="s">
        <v>169</v>
      </c>
      <c r="C32"/>
      <c r="D32"/>
      <c r="E32"/>
      <c r="F32" s="107">
        <f ca="1">SUM(F29:F31)</f>
        <v>7918.0850158486473</v>
      </c>
      <c r="G32" s="107">
        <f t="shared" ref="G32:J32" ca="1" si="2">SUM(G29:G31)</f>
        <v>9432.5198796495897</v>
      </c>
      <c r="H32" s="107">
        <f t="shared" ca="1" si="2"/>
        <v>10049.942113254638</v>
      </c>
      <c r="I32" s="107">
        <f t="shared" ca="1" si="2"/>
        <v>11108.660565648286</v>
      </c>
      <c r="J32" s="107">
        <f t="shared" ca="1" si="2"/>
        <v>10821.366925619806</v>
      </c>
    </row>
    <row r="33" spans="2:11">
      <c r="B33" s="149" t="s">
        <v>39</v>
      </c>
      <c r="C33"/>
      <c r="D33"/>
      <c r="E33"/>
      <c r="F33"/>
      <c r="G33" s="154">
        <f ca="1">G32/F32-1</f>
        <v>0.19126276880959048</v>
      </c>
      <c r="H33" s="154">
        <f t="shared" ref="H33:J33" ca="1" si="3">H32/G32-1</f>
        <v>6.5456764627352726E-2</v>
      </c>
      <c r="I33" s="154">
        <f t="shared" ca="1" si="3"/>
        <v>0.10534572641939199</v>
      </c>
      <c r="J33" s="154">
        <f t="shared" ca="1" si="3"/>
        <v>-2.5862131472167649E-2</v>
      </c>
    </row>
    <row r="34" spans="2:11">
      <c r="B34" s="149"/>
      <c r="C34"/>
      <c r="D34"/>
      <c r="E34"/>
      <c r="F34"/>
      <c r="G34" s="154"/>
      <c r="H34" s="154"/>
      <c r="I34" s="154"/>
      <c r="J34" s="154"/>
    </row>
    <row r="35" spans="2:11">
      <c r="B35" s="140" t="s">
        <v>170</v>
      </c>
      <c r="C35"/>
      <c r="D35"/>
      <c r="E35"/>
      <c r="F35" s="130">
        <f>YEARFRAC($C$6,F12)</f>
        <v>117.68055555555556</v>
      </c>
      <c r="G35" s="130">
        <f>YEARFRAC($C$6,G12)</f>
        <v>118.68055555555556</v>
      </c>
      <c r="H35" s="130">
        <f>YEARFRAC($C$6,H12)</f>
        <v>119.68055555555556</v>
      </c>
      <c r="I35" s="130">
        <f>YEARFRAC($C$6,I12)</f>
        <v>120.68055555555556</v>
      </c>
      <c r="J35" s="130">
        <f>YEARFRAC($C$6,J12)</f>
        <v>121.68055555555556</v>
      </c>
    </row>
    <row r="36" spans="2:11">
      <c r="B36" s="20" t="s">
        <v>211</v>
      </c>
      <c r="C36" s="167" t="s">
        <v>212</v>
      </c>
      <c r="E36"/>
    </row>
    <row r="37" spans="2:11">
      <c r="B37" s="17" t="s">
        <v>213</v>
      </c>
      <c r="C37" s="168" t="e">
        <f>IF(C36="Middle of period",(1+C8)^0.5,1)</f>
        <v>#DIV/0!</v>
      </c>
      <c r="F37" s="207">
        <f>F35-E35</f>
        <v>117.68055555555556</v>
      </c>
      <c r="G37" s="64">
        <f>G35-F35</f>
        <v>1</v>
      </c>
      <c r="H37" s="64">
        <f>H35-G35</f>
        <v>1</v>
      </c>
      <c r="I37" s="64">
        <f>I35-H35</f>
        <v>1</v>
      </c>
      <c r="J37" s="64">
        <f>J35-I35</f>
        <v>1</v>
      </c>
    </row>
    <row r="38" spans="2:11">
      <c r="B38" s="140" t="s">
        <v>171</v>
      </c>
      <c r="D38"/>
      <c r="E38"/>
      <c r="F38" s="196" t="e">
        <f ca="1">IF($C$36="End of period",F32/(1+$C$8)^F35,F32/(1+$C$8)^(F35-0.5*F37))</f>
        <v>#DIV/0!</v>
      </c>
      <c r="G38" s="196" t="e">
        <f t="shared" ref="G38:J38" ca="1" si="4">IF($C$36="End of period",G32/(1+$C$8)^G35,G32/(1+$C$8)^(G35-0.5*G37))</f>
        <v>#DIV/0!</v>
      </c>
      <c r="H38" s="196" t="e">
        <f t="shared" ca="1" si="4"/>
        <v>#DIV/0!</v>
      </c>
      <c r="I38" s="196" t="e">
        <f t="shared" ca="1" si="4"/>
        <v>#DIV/0!</v>
      </c>
      <c r="J38" s="196" t="e">
        <f t="shared" ca="1" si="4"/>
        <v>#DIV/0!</v>
      </c>
    </row>
    <row r="39" spans="2:11">
      <c r="B39" s="44"/>
      <c r="C39" s="154"/>
      <c r="D39" s="62"/>
      <c r="E39"/>
      <c r="F39" s="196"/>
      <c r="G39" s="196"/>
      <c r="H39" s="196"/>
      <c r="I39" s="196"/>
      <c r="J39" s="196"/>
    </row>
    <row r="40" spans="2:11" ht="15" thickBot="1">
      <c r="B40" s="126" t="s">
        <v>172</v>
      </c>
      <c r="C40" s="119"/>
      <c r="D40"/>
      <c r="E40" s="126" t="s">
        <v>173</v>
      </c>
      <c r="F40" s="119"/>
      <c r="G40" s="119"/>
      <c r="H40" s="119"/>
      <c r="I40" s="119"/>
      <c r="J40" s="119"/>
    </row>
    <row r="41" spans="2:11">
      <c r="B41" s="17" t="s">
        <v>237</v>
      </c>
      <c r="C41" s="62">
        <f ca="1">J17+SUM(J20:J27)</f>
        <v>11484.103023972262</v>
      </c>
      <c r="D41"/>
      <c r="E41" s="17" t="s">
        <v>174</v>
      </c>
      <c r="J41" s="151">
        <f ca="1">J14</f>
        <v>19973.939043924329</v>
      </c>
    </row>
    <row r="42" spans="2:11" ht="16.2">
      <c r="B42" s="17" t="s">
        <v>236</v>
      </c>
      <c r="C42" s="61">
        <f ca="1">C41*(1+C43)</f>
        <v>11484.103023972262</v>
      </c>
      <c r="D42"/>
      <c r="E42" s="17" t="s">
        <v>175</v>
      </c>
      <c r="J42" s="206"/>
      <c r="K42" s="157"/>
    </row>
    <row r="43" spans="2:11">
      <c r="B43" s="17" t="s">
        <v>176</v>
      </c>
      <c r="C43" s="204"/>
      <c r="D43"/>
      <c r="E43" s="17" t="s">
        <v>177</v>
      </c>
      <c r="J43" s="62">
        <f ca="1">J41*J42</f>
        <v>0</v>
      </c>
    </row>
    <row r="44" spans="2:11">
      <c r="B44" s="17" t="s">
        <v>177</v>
      </c>
      <c r="C44" s="62" t="e">
        <f ca="1">C37*C42/(C8-C43)</f>
        <v>#DIV/0!</v>
      </c>
      <c r="D44"/>
      <c r="E44" s="20" t="s">
        <v>178</v>
      </c>
      <c r="J44" s="62" t="e">
        <f ca="1">J43/(1+C8)^J35</f>
        <v>#DIV/0!</v>
      </c>
    </row>
    <row r="45" spans="2:11">
      <c r="B45" s="20" t="s">
        <v>178</v>
      </c>
      <c r="C45" s="62" t="e">
        <f ca="1">C44/(1+C8)^J35</f>
        <v>#DIV/0!</v>
      </c>
      <c r="D45"/>
      <c r="E45" s="37" t="s">
        <v>179</v>
      </c>
      <c r="J45" s="151" t="e">
        <f ca="1">C46</f>
        <v>#DIV/0!</v>
      </c>
    </row>
    <row r="46" spans="2:11">
      <c r="B46" s="37" t="s">
        <v>179</v>
      </c>
      <c r="C46" s="151" t="e">
        <f ca="1">SUM(F38:J38)</f>
        <v>#DIV/0!</v>
      </c>
      <c r="D46"/>
      <c r="E46" s="35" t="s">
        <v>180</v>
      </c>
      <c r="J46" s="107" t="e">
        <f ca="1">SUM(J44:J45)</f>
        <v>#DIV/0!</v>
      </c>
    </row>
    <row r="47" spans="2:11">
      <c r="B47" s="35" t="s">
        <v>180</v>
      </c>
      <c r="C47" s="107" t="e">
        <f ca="1">SUM(C45:C46)</f>
        <v>#DIV/0!</v>
      </c>
      <c r="E47" s="170" t="s">
        <v>217</v>
      </c>
      <c r="F47" s="139"/>
      <c r="G47" s="139"/>
      <c r="H47" s="139"/>
      <c r="I47" s="139"/>
      <c r="J47" s="203" t="e">
        <f ca="1">(C8-(C41*(1+C8)^0.5)/J43)/(1+(C41*(1+C8)^0.5)/J43)</f>
        <v>#DIV/0!</v>
      </c>
    </row>
    <row r="48" spans="2:11">
      <c r="B48" s="170" t="s">
        <v>216</v>
      </c>
      <c r="C48" s="205" t="e">
        <f ca="1">C44/J41</f>
        <v>#DIV/0!</v>
      </c>
      <c r="E48" s="37"/>
      <c r="J48" s="154"/>
    </row>
    <row r="49" spans="2:10">
      <c r="B49" s="170"/>
      <c r="C49" s="156"/>
      <c r="E49" s="37"/>
      <c r="J49" s="154"/>
    </row>
    <row r="50" spans="2:10" ht="15" thickBot="1">
      <c r="B50" s="126" t="s">
        <v>197</v>
      </c>
      <c r="C50" s="158"/>
      <c r="D50"/>
      <c r="E50" s="126" t="s">
        <v>201</v>
      </c>
      <c r="F50" s="158"/>
      <c r="G50" s="158"/>
      <c r="H50" s="158"/>
      <c r="I50" s="158"/>
      <c r="J50" s="158"/>
    </row>
    <row r="51" spans="2:10" ht="16.2">
      <c r="B51" s="17" t="s">
        <v>41</v>
      </c>
      <c r="C51" s="97"/>
      <c r="D51"/>
      <c r="E51"/>
      <c r="F51"/>
      <c r="G51"/>
      <c r="I51" s="159" t="s">
        <v>198</v>
      </c>
      <c r="J51" s="159" t="s">
        <v>38</v>
      </c>
    </row>
    <row r="52" spans="2:10">
      <c r="B52" s="37" t="s">
        <v>97</v>
      </c>
      <c r="C52" s="97"/>
      <c r="D52"/>
      <c r="E52" t="s">
        <v>199</v>
      </c>
      <c r="F52"/>
      <c r="G52"/>
      <c r="I52" s="151" t="e">
        <f ca="1">C47</f>
        <v>#DIV/0!</v>
      </c>
      <c r="J52" s="151" t="e">
        <f ca="1">J46</f>
        <v>#DIV/0!</v>
      </c>
    </row>
    <row r="53" spans="2:10">
      <c r="B53" s="98" t="s">
        <v>63</v>
      </c>
      <c r="C53" s="138">
        <f>C52-C51</f>
        <v>0</v>
      </c>
      <c r="D53"/>
      <c r="E53" t="s">
        <v>181</v>
      </c>
      <c r="F53"/>
      <c r="G53"/>
      <c r="I53" s="151">
        <f>-C53</f>
        <v>0</v>
      </c>
      <c r="J53" s="151">
        <f>-C53</f>
        <v>0</v>
      </c>
    </row>
    <row r="54" spans="2:10">
      <c r="B54" s="37"/>
      <c r="C54" s="97"/>
      <c r="D54"/>
      <c r="E54" t="s">
        <v>200</v>
      </c>
      <c r="F54"/>
      <c r="G54"/>
      <c r="I54" s="151">
        <f>-$C$54</f>
        <v>0</v>
      </c>
      <c r="J54" s="151">
        <f>-$C$54</f>
        <v>0</v>
      </c>
    </row>
    <row r="55" spans="2:10">
      <c r="D55"/>
      <c r="E55" s="44" t="s">
        <v>182</v>
      </c>
      <c r="F55" s="44"/>
      <c r="G55" s="44"/>
      <c r="I55" s="107" t="e">
        <f ca="1">I52+I53+I54</f>
        <v>#DIV/0!</v>
      </c>
      <c r="J55" s="107" t="e">
        <f ca="1">J52+J53+J54</f>
        <v>#DIV/0!</v>
      </c>
    </row>
    <row r="56" spans="2:10" ht="15" thickBot="1">
      <c r="B56" s="126" t="s">
        <v>223</v>
      </c>
      <c r="C56" s="119"/>
      <c r="D56" s="20"/>
      <c r="E56" s="37" t="s">
        <v>183</v>
      </c>
      <c r="I56" s="162">
        <f>$C$65</f>
        <v>0</v>
      </c>
      <c r="J56" s="162">
        <f>$C$65</f>
        <v>0</v>
      </c>
    </row>
    <row r="57" spans="2:10">
      <c r="B57" s="139" t="s">
        <v>23</v>
      </c>
      <c r="C57" s="162">
        <f>C7</f>
        <v>0</v>
      </c>
      <c r="D57" s="20"/>
      <c r="E57" s="44" t="s">
        <v>184</v>
      </c>
      <c r="I57" s="141" t="e">
        <f ca="1">I55/I56</f>
        <v>#DIV/0!</v>
      </c>
      <c r="J57" s="141" t="e">
        <f t="shared" ref="J57" ca="1" si="5">J55/J56</f>
        <v>#DIV/0!</v>
      </c>
    </row>
    <row r="58" spans="2:10">
      <c r="B58" s="71" t="s">
        <v>203</v>
      </c>
      <c r="C58" s="160"/>
      <c r="D58" s="20"/>
      <c r="E58" s="139" t="s">
        <v>202</v>
      </c>
      <c r="I58" s="154" t="e">
        <f ca="1">$C$5/I57-1</f>
        <v>#DIV/0!</v>
      </c>
      <c r="J58" s="154" t="e">
        <f t="shared" ref="J58" ca="1" si="6">$C$5/J57-1</f>
        <v>#DIV/0!</v>
      </c>
    </row>
    <row r="59" spans="2:10">
      <c r="B59" s="71" t="s">
        <v>204</v>
      </c>
      <c r="C59"/>
      <c r="D59"/>
      <c r="E59"/>
      <c r="F59"/>
      <c r="G59"/>
      <c r="H59"/>
      <c r="I59"/>
      <c r="J59"/>
    </row>
    <row r="60" spans="2:10" ht="15" thickBot="1">
      <c r="B60" s="17" t="s">
        <v>205</v>
      </c>
      <c r="C60" s="160">
        <f>IF(C59&lt;C5,C58,0)</f>
        <v>0</v>
      </c>
      <c r="D60"/>
      <c r="E60" s="126" t="s">
        <v>185</v>
      </c>
      <c r="F60" s="119"/>
      <c r="G60" s="119"/>
      <c r="H60" s="119"/>
      <c r="I60" s="119"/>
      <c r="J60" s="119"/>
    </row>
    <row r="61" spans="2:10">
      <c r="B61" s="76" t="s">
        <v>191</v>
      </c>
      <c r="C61" s="62">
        <f>C60*C59</f>
        <v>0</v>
      </c>
      <c r="D61"/>
      <c r="E61" s="142" t="s">
        <v>186</v>
      </c>
      <c r="J61" s="143"/>
    </row>
    <row r="62" spans="2:10">
      <c r="B62" s="76" t="s">
        <v>192</v>
      </c>
      <c r="C62" s="160">
        <f>C61/C5</f>
        <v>0</v>
      </c>
      <c r="D62"/>
      <c r="E62" s="20" t="s">
        <v>34</v>
      </c>
      <c r="J62" s="154">
        <f>J16</f>
        <v>0.34200000000000003</v>
      </c>
    </row>
    <row r="63" spans="2:10">
      <c r="B63" s="76" t="s">
        <v>193</v>
      </c>
      <c r="C63" s="163">
        <f>C60-C62</f>
        <v>0</v>
      </c>
      <c r="D63"/>
      <c r="E63" s="17" t="s">
        <v>230</v>
      </c>
      <c r="J63" s="14">
        <f>J61*(1-J62)</f>
        <v>0</v>
      </c>
    </row>
    <row r="64" spans="2:10">
      <c r="B64" s="76" t="s">
        <v>194</v>
      </c>
      <c r="C64" s="97">
        <v>0</v>
      </c>
    </row>
    <row r="65" spans="2:12">
      <c r="B65" s="73" t="s">
        <v>195</v>
      </c>
      <c r="C65" s="164">
        <f>C57+C63+C64</f>
        <v>0</v>
      </c>
      <c r="E65" s="17" t="s">
        <v>187</v>
      </c>
      <c r="J65" s="143">
        <v>2.5000000000000001E-2</v>
      </c>
      <c r="K65" s="216" t="s">
        <v>248</v>
      </c>
      <c r="L65" s="216" t="s">
        <v>249</v>
      </c>
    </row>
    <row r="66" spans="2:12">
      <c r="E66" s="17" t="s">
        <v>188</v>
      </c>
      <c r="J66" s="218">
        <f>IF(L66="Observed",K66,C86)</f>
        <v>0.93</v>
      </c>
      <c r="K66" s="144">
        <v>0.93</v>
      </c>
      <c r="L66" s="217" t="s">
        <v>250</v>
      </c>
    </row>
    <row r="67" spans="2:12">
      <c r="E67" s="20" t="s">
        <v>189</v>
      </c>
      <c r="J67" s="145">
        <v>0.08</v>
      </c>
    </row>
    <row r="68" spans="2:12">
      <c r="E68" s="37" t="s">
        <v>231</v>
      </c>
      <c r="J68" s="197">
        <f>J65+J66*J67</f>
        <v>9.9400000000000016E-2</v>
      </c>
    </row>
    <row r="70" spans="2:12">
      <c r="E70" s="24" t="s">
        <v>232</v>
      </c>
      <c r="F70" s="24"/>
      <c r="G70" s="24"/>
      <c r="H70" s="24"/>
      <c r="I70" s="24"/>
      <c r="J70" s="24"/>
    </row>
    <row r="71" spans="2:12" ht="16.2">
      <c r="I71" s="198" t="s">
        <v>233</v>
      </c>
      <c r="J71" s="199" t="s">
        <v>234</v>
      </c>
    </row>
    <row r="72" spans="2:12">
      <c r="E72" s="37" t="s">
        <v>235</v>
      </c>
      <c r="I72" s="64">
        <f>C65*C5</f>
        <v>0</v>
      </c>
      <c r="J72" s="14" t="e">
        <f>I72/(I72+I73)</f>
        <v>#DIV/0!</v>
      </c>
    </row>
    <row r="73" spans="2:12">
      <c r="E73" s="37" t="s">
        <v>63</v>
      </c>
      <c r="I73" s="64">
        <f>C53</f>
        <v>0</v>
      </c>
      <c r="J73" s="14" t="e">
        <f>1-J72</f>
        <v>#DIV/0!</v>
      </c>
    </row>
    <row r="75" spans="2:12">
      <c r="E75" s="200" t="s">
        <v>190</v>
      </c>
      <c r="F75" s="201"/>
      <c r="G75" s="201"/>
      <c r="H75" s="201"/>
      <c r="I75" s="201"/>
      <c r="J75" s="202" t="e">
        <f>J63*J73+J68*J72</f>
        <v>#DIV/0!</v>
      </c>
    </row>
    <row r="76" spans="2:12">
      <c r="E76" s="37"/>
      <c r="J76" s="153"/>
    </row>
    <row r="77" spans="2:12" ht="15" thickBot="1">
      <c r="B77" s="126" t="s">
        <v>238</v>
      </c>
      <c r="C77" s="119"/>
      <c r="D77" s="119"/>
      <c r="E77" s="119"/>
      <c r="F77" s="119"/>
      <c r="G77" s="119"/>
      <c r="H77" s="119"/>
      <c r="I77" s="119"/>
      <c r="J77" s="119"/>
    </row>
    <row r="78" spans="2:12">
      <c r="H78" s="208"/>
    </row>
    <row r="79" spans="2:12" ht="15" thickBot="1">
      <c r="C79" s="209" t="s">
        <v>239</v>
      </c>
      <c r="D79" s="209" t="s">
        <v>240</v>
      </c>
      <c r="E79" s="209" t="s">
        <v>241</v>
      </c>
      <c r="F79" s="209" t="s">
        <v>209</v>
      </c>
      <c r="G79" s="209" t="s">
        <v>140</v>
      </c>
      <c r="H79" s="210" t="s">
        <v>242</v>
      </c>
      <c r="I79" s="209" t="s">
        <v>34</v>
      </c>
      <c r="J79" s="209" t="s">
        <v>243</v>
      </c>
    </row>
    <row r="80" spans="2:12">
      <c r="B80" s="17" t="s">
        <v>244</v>
      </c>
      <c r="C80" s="211">
        <v>0.68</v>
      </c>
      <c r="D80" s="211">
        <v>44.83</v>
      </c>
      <c r="E80" s="212">
        <v>8260</v>
      </c>
      <c r="F80" s="62">
        <f>D80*E80</f>
        <v>370295.8</v>
      </c>
      <c r="G80" s="97">
        <f>11572+76853+14792</f>
        <v>103217</v>
      </c>
      <c r="H80" s="97">
        <f>2000+794+20679</f>
        <v>23473</v>
      </c>
      <c r="I80" s="63">
        <v>0.18</v>
      </c>
      <c r="J80" s="115">
        <f>C80/(1+(1-I80)*(H80-G80)/F80)</f>
        <v>0.82583279841388346</v>
      </c>
    </row>
    <row r="81" spans="2:10">
      <c r="B81" s="17" t="s">
        <v>245</v>
      </c>
      <c r="C81" s="211">
        <v>1.1439999999999999</v>
      </c>
      <c r="D81" s="211">
        <v>589.47</v>
      </c>
      <c r="E81" s="212">
        <v>675.9</v>
      </c>
      <c r="F81" s="62">
        <f>D81*E81</f>
        <v>398422.77299999999</v>
      </c>
      <c r="G81" s="97">
        <f>16639+42740
+3873
+2123</f>
        <v>65375</v>
      </c>
      <c r="H81" s="97">
        <f>3009
+2153
+3234</f>
        <v>8396</v>
      </c>
      <c r="I81" s="63">
        <f>495/4537</f>
        <v>0.10910293145250165</v>
      </c>
      <c r="J81" s="115">
        <f t="shared" ref="J81:J82" si="7">C81/(1+(1-I81)*(H81-G81)/F81)</f>
        <v>1.3110372054598531</v>
      </c>
    </row>
    <row r="82" spans="2:10">
      <c r="B82" s="17" t="s">
        <v>246</v>
      </c>
      <c r="C82" s="211">
        <v>0.77</v>
      </c>
      <c r="D82" s="211">
        <v>359.76</v>
      </c>
      <c r="E82" s="212">
        <v>460.17</v>
      </c>
      <c r="F82" s="62">
        <f>D82*E82</f>
        <v>165550.7592</v>
      </c>
      <c r="G82" s="97">
        <f>5074+3592</f>
        <v>8666</v>
      </c>
      <c r="H82" s="97">
        <v>3147</v>
      </c>
      <c r="I82" s="63">
        <f>161/506</f>
        <v>0.31818181818181818</v>
      </c>
      <c r="J82" s="115">
        <f t="shared" si="7"/>
        <v>0.78790910635190825</v>
      </c>
    </row>
    <row r="83" spans="2:10">
      <c r="B83" s="20" t="str">
        <f>'Financial Statement Model'!C6</f>
        <v>DIS</v>
      </c>
      <c r="C83" s="213">
        <f>K66</f>
        <v>0.93</v>
      </c>
      <c r="D83" s="214">
        <f>C5</f>
        <v>107.09</v>
      </c>
      <c r="E83" s="215">
        <f>C65</f>
        <v>0</v>
      </c>
      <c r="F83" s="38">
        <f>D83*E83</f>
        <v>0</v>
      </c>
      <c r="G83" s="38">
        <f>C51</f>
        <v>0</v>
      </c>
      <c r="H83" s="38">
        <f>C52</f>
        <v>0</v>
      </c>
      <c r="I83" s="94">
        <f>J62</f>
        <v>0.34200000000000003</v>
      </c>
      <c r="J83" s="214" t="e">
        <f>C83/(1+(1-I83)*(H83-G83)/F83)</f>
        <v>#DIV/0!</v>
      </c>
    </row>
    <row r="84" spans="2:10">
      <c r="C84" s="115"/>
      <c r="F84" s="62"/>
      <c r="G84" s="62"/>
      <c r="H84" s="62"/>
      <c r="I84" s="14"/>
      <c r="J84" s="214"/>
    </row>
    <row r="85" spans="2:10">
      <c r="B85" s="17" t="s">
        <v>247</v>
      </c>
      <c r="C85" s="115" t="e">
        <f>AVERAGE(J80:J83)</f>
        <v>#DIV/0!</v>
      </c>
    </row>
    <row r="86" spans="2:10">
      <c r="B86" s="17" t="str">
        <f>B83&amp;" beta"</f>
        <v>DIS beta</v>
      </c>
      <c r="C86" s="115" t="e">
        <f>C85*(1+(1-I83)*(H83-G83)/F83)</f>
        <v>#DIV/0!</v>
      </c>
    </row>
    <row r="87" spans="2:10">
      <c r="E87" s="37"/>
      <c r="J87" s="153"/>
    </row>
    <row r="88" spans="2:10" ht="15" thickBot="1">
      <c r="B88" s="126" t="s">
        <v>206</v>
      </c>
      <c r="C88" s="119"/>
      <c r="D88" s="119"/>
      <c r="E88" s="119"/>
      <c r="F88" s="119"/>
      <c r="G88" s="119"/>
      <c r="H88" s="119"/>
      <c r="I88" s="119"/>
      <c r="J88" s="119"/>
    </row>
    <row r="89" spans="2:10">
      <c r="B89" s="35"/>
      <c r="C89" s="20"/>
      <c r="D89" s="20"/>
      <c r="E89" s="20"/>
      <c r="F89" s="20"/>
      <c r="G89" s="20"/>
      <c r="H89" s="20"/>
    </row>
    <row r="90" spans="2:10" ht="16.2">
      <c r="B90" s="35"/>
      <c r="C90" s="181" t="s">
        <v>184</v>
      </c>
      <c r="D90" s="181"/>
      <c r="E90" s="181"/>
      <c r="F90" s="181"/>
      <c r="G90" s="181"/>
      <c r="H90" s="181"/>
    </row>
    <row r="91" spans="2:10">
      <c r="B91" s="20"/>
      <c r="C91" s="76"/>
      <c r="D91" s="120" t="s">
        <v>229</v>
      </c>
      <c r="E91" s="120"/>
      <c r="F91" s="120"/>
      <c r="G91" s="120"/>
      <c r="H91" s="120"/>
    </row>
    <row r="92" spans="2:10">
      <c r="B92" s="173"/>
      <c r="C92" s="180" t="e">
        <f ca="1">I57</f>
        <v>#DIV/0!</v>
      </c>
      <c r="D92" s="182">
        <f>E92-0.005</f>
        <v>1.9999999999999997E-2</v>
      </c>
      <c r="E92" s="183">
        <f>F92-0.005</f>
        <v>2.4999999999999998E-2</v>
      </c>
      <c r="F92" s="184">
        <v>0.03</v>
      </c>
      <c r="G92" s="183">
        <f>F92+0.005</f>
        <v>3.4999999999999996E-2</v>
      </c>
      <c r="H92" s="185">
        <f>G92+0.005</f>
        <v>3.9999999999999994E-2</v>
      </c>
    </row>
    <row r="93" spans="2:10">
      <c r="B93" s="20"/>
      <c r="C93" s="219">
        <f t="shared" ref="C93" si="8">C94+0.01</f>
        <v>0.14850165365441742</v>
      </c>
      <c r="D93" s="222" t="e">
        <f t="dataTable" ref="D93:H97" dt2D="1" dtr="1" r1="C43" r2="J75" ca="1"/>
        <v>#DIV/0!</v>
      </c>
      <c r="E93" s="222" t="e">
        <v>#DIV/0!</v>
      </c>
      <c r="F93" s="222" t="e">
        <v>#DIV/0!</v>
      </c>
      <c r="G93" s="222" t="e">
        <v>#DIV/0!</v>
      </c>
      <c r="H93" s="222" t="e">
        <v>#DIV/0!</v>
      </c>
    </row>
    <row r="94" spans="2:10">
      <c r="B94" s="20"/>
      <c r="C94" s="219">
        <f>C95+0.01</f>
        <v>0.13850165365441741</v>
      </c>
      <c r="D94" s="222" t="e">
        <v>#DIV/0!</v>
      </c>
      <c r="E94" s="222" t="e">
        <v>#DIV/0!</v>
      </c>
      <c r="F94" s="222" t="e">
        <v>#DIV/0!</v>
      </c>
      <c r="G94" s="222" t="e">
        <v>#DIV/0!</v>
      </c>
      <c r="H94" s="222" t="e">
        <v>#DIV/0!</v>
      </c>
    </row>
    <row r="95" spans="2:10">
      <c r="B95" s="173" t="s">
        <v>225</v>
      </c>
      <c r="C95" s="220">
        <v>0.1285016536544174</v>
      </c>
      <c r="D95" s="222" t="e">
        <v>#DIV/0!</v>
      </c>
      <c r="E95" s="222" t="e">
        <v>#DIV/0!</v>
      </c>
      <c r="F95" s="222" t="e">
        <v>#DIV/0!</v>
      </c>
      <c r="G95" s="222" t="e">
        <v>#DIV/0!</v>
      </c>
      <c r="H95" s="222" t="e">
        <v>#DIV/0!</v>
      </c>
    </row>
    <row r="96" spans="2:10">
      <c r="B96" s="20"/>
      <c r="C96" s="219">
        <f t="shared" ref="C96:C97" si="9">C95-0.01</f>
        <v>0.11850165365441741</v>
      </c>
      <c r="D96" s="222" t="e">
        <v>#DIV/0!</v>
      </c>
      <c r="E96" s="222" t="e">
        <v>#DIV/0!</v>
      </c>
      <c r="F96" s="222" t="e">
        <v>#DIV/0!</v>
      </c>
      <c r="G96" s="222" t="e">
        <v>#DIV/0!</v>
      </c>
      <c r="H96" s="222" t="e">
        <v>#DIV/0!</v>
      </c>
    </row>
    <row r="97" spans="2:8">
      <c r="B97" s="20"/>
      <c r="C97" s="221">
        <f t="shared" si="9"/>
        <v>0.10850165365441741</v>
      </c>
      <c r="D97" s="222" t="e">
        <v>#DIV/0!</v>
      </c>
      <c r="E97" s="222" t="e">
        <v>#DIV/0!</v>
      </c>
      <c r="F97" s="222" t="e">
        <v>#DIV/0!</v>
      </c>
      <c r="G97" s="222" t="e">
        <v>#DIV/0!</v>
      </c>
      <c r="H97" s="222" t="e">
        <v>#DIV/0!</v>
      </c>
    </row>
    <row r="98" spans="2:8">
      <c r="B98" s="20"/>
      <c r="C98" s="20"/>
      <c r="D98" s="155"/>
      <c r="E98" s="155"/>
      <c r="F98" s="155"/>
      <c r="G98" s="155"/>
      <c r="H98" s="155"/>
    </row>
    <row r="99" spans="2:8" ht="16.2">
      <c r="C99" s="181" t="s">
        <v>184</v>
      </c>
      <c r="D99" s="181"/>
      <c r="E99" s="181"/>
      <c r="F99" s="181"/>
      <c r="G99" s="181"/>
      <c r="H99" s="181"/>
    </row>
    <row r="100" spans="2:8">
      <c r="D100" s="120" t="s">
        <v>207</v>
      </c>
      <c r="E100" s="120"/>
      <c r="F100" s="120"/>
      <c r="G100" s="120"/>
      <c r="H100" s="120"/>
    </row>
    <row r="101" spans="2:8">
      <c r="C101" s="165" t="e">
        <f ca="1">J57</f>
        <v>#DIV/0!</v>
      </c>
      <c r="D101" s="186">
        <f>E101-1</f>
        <v>7.25</v>
      </c>
      <c r="E101" s="186">
        <f>F101-1</f>
        <v>8.25</v>
      </c>
      <c r="F101" s="187">
        <v>9.25</v>
      </c>
      <c r="G101" s="186">
        <f>F101+1</f>
        <v>10.25</v>
      </c>
      <c r="H101" s="188">
        <f>G101+1</f>
        <v>11.25</v>
      </c>
    </row>
    <row r="102" spans="2:8">
      <c r="C102" s="219">
        <f t="shared" ref="C102" si="10">C103+0.01</f>
        <v>0.14850165365441742</v>
      </c>
      <c r="D102" s="223" t="e">
        <f t="dataTable" ref="D102:H106" dt2D="1" dtr="1" r1="J42" r2="J75" ca="1"/>
        <v>#DIV/0!</v>
      </c>
      <c r="E102" s="222" t="e">
        <v>#DIV/0!</v>
      </c>
      <c r="F102" s="222" t="e">
        <v>#DIV/0!</v>
      </c>
      <c r="G102" s="222" t="e">
        <v>#DIV/0!</v>
      </c>
      <c r="H102" s="222" t="e">
        <v>#DIV/0!</v>
      </c>
    </row>
    <row r="103" spans="2:8">
      <c r="C103" s="219">
        <f>C104+0.01</f>
        <v>0.13850165365441741</v>
      </c>
      <c r="D103" s="223" t="e">
        <v>#DIV/0!</v>
      </c>
      <c r="E103" s="222" t="e">
        <v>#DIV/0!</v>
      </c>
      <c r="F103" s="222" t="e">
        <v>#DIV/0!</v>
      </c>
      <c r="G103" s="222" t="e">
        <v>#DIV/0!</v>
      </c>
      <c r="H103" s="222" t="e">
        <v>#DIV/0!</v>
      </c>
    </row>
    <row r="104" spans="2:8">
      <c r="B104" s="173" t="s">
        <v>225</v>
      </c>
      <c r="C104" s="220">
        <v>0.1285016536544174</v>
      </c>
      <c r="D104" s="223" t="e">
        <v>#DIV/0!</v>
      </c>
      <c r="E104" s="222" t="e">
        <v>#DIV/0!</v>
      </c>
      <c r="F104" s="222" t="e">
        <v>#DIV/0!</v>
      </c>
      <c r="G104" s="222" t="e">
        <v>#DIV/0!</v>
      </c>
      <c r="H104" s="222" t="e">
        <v>#DIV/0!</v>
      </c>
    </row>
    <row r="105" spans="2:8">
      <c r="C105" s="219">
        <f t="shared" ref="C105:C106" si="11">C104-0.01</f>
        <v>0.11850165365441741</v>
      </c>
      <c r="D105" s="223" t="e">
        <v>#DIV/0!</v>
      </c>
      <c r="E105" s="222" t="e">
        <v>#DIV/0!</v>
      </c>
      <c r="F105" s="222" t="e">
        <v>#DIV/0!</v>
      </c>
      <c r="G105" s="222" t="e">
        <v>#DIV/0!</v>
      </c>
      <c r="H105" s="222" t="e">
        <v>#DIV/0!</v>
      </c>
    </row>
    <row r="106" spans="2:8">
      <c r="C106" s="221">
        <f t="shared" si="11"/>
        <v>0.10850165365441741</v>
      </c>
      <c r="D106" s="223" t="e">
        <v>#DIV/0!</v>
      </c>
      <c r="E106" s="222" t="e">
        <v>#DIV/0!</v>
      </c>
      <c r="F106" s="222" t="e">
        <v>#DIV/0!</v>
      </c>
      <c r="G106" s="222" t="e">
        <v>#DIV/0!</v>
      </c>
      <c r="H106" s="222" t="e">
        <v>#DIV/0!</v>
      </c>
    </row>
    <row r="107" spans="2:8">
      <c r="C107" s="20"/>
      <c r="D107" s="20"/>
    </row>
    <row r="108" spans="2:8" ht="16.2">
      <c r="C108" s="181" t="s">
        <v>184</v>
      </c>
      <c r="D108" s="181"/>
      <c r="E108" s="181"/>
      <c r="F108" s="181"/>
      <c r="G108" s="181"/>
      <c r="H108" s="181"/>
    </row>
    <row r="109" spans="2:8">
      <c r="C109" s="20"/>
      <c r="D109" s="120" t="s">
        <v>207</v>
      </c>
      <c r="E109" s="120"/>
      <c r="F109" s="120"/>
      <c r="G109" s="120"/>
      <c r="H109" s="120"/>
    </row>
    <row r="110" spans="2:8">
      <c r="C110" s="194" t="s">
        <v>215</v>
      </c>
      <c r="D110" s="169" t="e">
        <f ca="1">J57</f>
        <v>#DIV/0!</v>
      </c>
      <c r="E110" s="189">
        <f>F110-1</f>
        <v>7.25</v>
      </c>
      <c r="F110" s="186">
        <f>G110-1</f>
        <v>8.25</v>
      </c>
      <c r="G110" s="187">
        <v>9.25</v>
      </c>
      <c r="H110" s="188">
        <f>G110+1</f>
        <v>10.25</v>
      </c>
    </row>
    <row r="111" spans="2:8">
      <c r="C111" s="195">
        <v>0.7</v>
      </c>
      <c r="D111" s="190">
        <f t="shared" ref="D111:D112" si="12">70535.7155695408*C111</f>
        <v>49375.000898678554</v>
      </c>
      <c r="E111" s="222" t="e">
        <f t="dataTable" ref="E111:H115" dt2D="1" dtr="1" r1="J42" r2="J14" ca="1"/>
        <v>#DIV/0!</v>
      </c>
      <c r="F111" s="222" t="e">
        <v>#DIV/0!</v>
      </c>
      <c r="G111" s="222" t="e">
        <v>#DIV/0!</v>
      </c>
      <c r="H111" s="222" t="e">
        <v>#DIV/0!</v>
      </c>
    </row>
    <row r="112" spans="2:8">
      <c r="C112" s="195">
        <v>0.85</v>
      </c>
      <c r="D112" s="191">
        <f t="shared" si="12"/>
        <v>59955.358234109677</v>
      </c>
      <c r="E112" s="222" t="e">
        <v>#DIV/0!</v>
      </c>
      <c r="F112" s="222" t="e">
        <v>#DIV/0!</v>
      </c>
      <c r="G112" s="222" t="e">
        <v>#DIV/0!</v>
      </c>
      <c r="H112" s="222" t="e">
        <v>#DIV/0!</v>
      </c>
    </row>
    <row r="113" spans="2:10">
      <c r="C113" s="195">
        <v>1</v>
      </c>
      <c r="D113" s="192">
        <f>70535.7155695408*C113</f>
        <v>70535.7155695408</v>
      </c>
      <c r="E113" s="222" t="e">
        <v>#DIV/0!</v>
      </c>
      <c r="F113" s="222" t="e">
        <v>#DIV/0!</v>
      </c>
      <c r="G113" s="222" t="e">
        <v>#DIV/0!</v>
      </c>
      <c r="H113" s="222" t="e">
        <v>#DIV/0!</v>
      </c>
    </row>
    <row r="114" spans="2:10">
      <c r="C114" s="195">
        <v>1.1499999999999999</v>
      </c>
      <c r="D114" s="191">
        <f t="shared" ref="D114:D115" si="13">70535.7155695408*C114</f>
        <v>81116.072904971908</v>
      </c>
      <c r="E114" s="222" t="e">
        <v>#DIV/0!</v>
      </c>
      <c r="F114" s="222" t="e">
        <v>#DIV/0!</v>
      </c>
      <c r="G114" s="222" t="e">
        <v>#DIV/0!</v>
      </c>
      <c r="H114" s="222" t="e">
        <v>#DIV/0!</v>
      </c>
    </row>
    <row r="115" spans="2:10">
      <c r="C115" s="195">
        <v>1.3</v>
      </c>
      <c r="D115" s="193">
        <f t="shared" si="13"/>
        <v>91696.430240403046</v>
      </c>
      <c r="E115" s="222" t="e">
        <v>#DIV/0!</v>
      </c>
      <c r="F115" s="222" t="e">
        <v>#DIV/0!</v>
      </c>
      <c r="G115" s="222" t="e">
        <v>#DIV/0!</v>
      </c>
      <c r="H115" s="222" t="e">
        <v>#DIV/0!</v>
      </c>
    </row>
    <row r="117" spans="2:10" ht="15" thickBot="1">
      <c r="B117" s="126" t="s">
        <v>222</v>
      </c>
      <c r="C117" s="119"/>
      <c r="D117" s="119"/>
      <c r="E117" s="119"/>
      <c r="F117" s="20"/>
      <c r="G117" s="171" t="s">
        <v>224</v>
      </c>
      <c r="H117" s="119"/>
      <c r="I117" s="119"/>
      <c r="J117" s="119"/>
    </row>
    <row r="118" spans="2:10">
      <c r="F118" s="20"/>
      <c r="G118" s="46" t="s">
        <v>226</v>
      </c>
    </row>
    <row r="119" spans="2:10">
      <c r="G119" s="51" t="s">
        <v>208</v>
      </c>
      <c r="J119" s="97">
        <f>E15+31056-29768</f>
        <v>15646</v>
      </c>
    </row>
    <row r="120" spans="2:10">
      <c r="G120" s="54" t="s">
        <v>227</v>
      </c>
      <c r="J120" s="97">
        <f>'Financial Statement Model'!E49+4031-3280</f>
        <v>3278</v>
      </c>
    </row>
    <row r="121" spans="2:10">
      <c r="G121" s="54" t="s">
        <v>37</v>
      </c>
      <c r="J121" s="179">
        <f>'Financial Statement Model'!E50+1377-1120</f>
        <v>650</v>
      </c>
    </row>
    <row r="122" spans="2:10">
      <c r="G122" s="44" t="s">
        <v>228</v>
      </c>
      <c r="H122" s="44"/>
      <c r="I122" s="44"/>
      <c r="J122" s="138">
        <f>J119+J120+J121</f>
        <v>19574</v>
      </c>
    </row>
    <row r="123" spans="2:10">
      <c r="G123" s="17" t="s">
        <v>209</v>
      </c>
      <c r="J123" s="61">
        <f>C5*C65</f>
        <v>0</v>
      </c>
    </row>
    <row r="124" spans="2:10">
      <c r="G124" s="17" t="s">
        <v>199</v>
      </c>
      <c r="J124" s="61">
        <f>J123+C53</f>
        <v>0</v>
      </c>
    </row>
    <row r="125" spans="2:10">
      <c r="G125" s="44" t="s">
        <v>210</v>
      </c>
      <c r="J125" s="166">
        <f>J124/J122</f>
        <v>0</v>
      </c>
    </row>
    <row r="126" spans="2:10">
      <c r="G126" s="139" t="s">
        <v>214</v>
      </c>
      <c r="J126" s="156">
        <f>J42</f>
        <v>0</v>
      </c>
    </row>
    <row r="138" spans="2:5">
      <c r="B138" s="176"/>
      <c r="C138" s="177" t="s">
        <v>219</v>
      </c>
      <c r="D138" s="177" t="s">
        <v>220</v>
      </c>
      <c r="E138" s="178" t="s">
        <v>218</v>
      </c>
    </row>
    <row r="139" spans="2:5">
      <c r="B139" s="174" t="str">
        <f>"DCF Value at "&amp;TEXT(D101,"0.0x")&amp;"-"&amp;TEXT(H101,"0.0x")&amp;" Exit EBITDA Range"</f>
        <v>DCF Value at 7.3x-11.3x Exit EBITDA Range</v>
      </c>
      <c r="C139" s="214" t="e">
        <f>D105</f>
        <v>#DIV/0!</v>
      </c>
      <c r="D139" s="214" t="e">
        <f>E139-C139</f>
        <v>#DIV/0!</v>
      </c>
      <c r="E139" s="224" t="e">
        <f>H105</f>
        <v>#DIV/0!</v>
      </c>
    </row>
    <row r="140" spans="2:5">
      <c r="B140" s="172" t="str">
        <f>"DCF Value at "&amp;TEXT(D92,"0.0%")&amp;"-"&amp;TEXT(H92,"0.0%")&amp;" Perpetuity Range"</f>
        <v>DCF Value at 2.0%-4.0% Perpetuity Range</v>
      </c>
      <c r="C140" s="214" t="e">
        <f>D96</f>
        <v>#DIV/0!</v>
      </c>
      <c r="D140" s="214" t="e">
        <f>E140-C140</f>
        <v>#DIV/0!</v>
      </c>
      <c r="E140" s="224" t="e">
        <f>H96</f>
        <v>#DIV/0!</v>
      </c>
    </row>
    <row r="141" spans="2:5">
      <c r="B141" s="175" t="s">
        <v>221</v>
      </c>
      <c r="C141" s="225" t="e">
        <f>#REF!</f>
        <v>#REF!</v>
      </c>
      <c r="D141" s="225" t="e">
        <f>E141-C141</f>
        <v>#REF!</v>
      </c>
      <c r="E141" s="226" t="e">
        <f>#REF!</f>
        <v>#REF!</v>
      </c>
    </row>
  </sheetData>
  <conditionalFormatting sqref="D93:H97">
    <cfRule type="cellIs" dxfId="2" priority="3" operator="lessThan">
      <formula>$C$5</formula>
    </cfRule>
  </conditionalFormatting>
  <conditionalFormatting sqref="D102:H106">
    <cfRule type="cellIs" dxfId="1" priority="2" operator="lessThan">
      <formula>$C$5</formula>
    </cfRule>
  </conditionalFormatting>
  <conditionalFormatting sqref="E111:H115">
    <cfRule type="cellIs" dxfId="0" priority="1" operator="lessThan">
      <formula>$C$5</formula>
    </cfRule>
  </conditionalFormatting>
  <dataValidations count="2">
    <dataValidation type="list" allowBlank="1" showInputMessage="1" showErrorMessage="1" sqref="C36">
      <formula1>"End of period,Middle of period"</formula1>
    </dataValidation>
    <dataValidation type="list" allowBlank="1" showInputMessage="1" showErrorMessage="1" sqref="L66">
      <formula1>"Industry, Observed"</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Financial Statement Model</vt:lpstr>
      <vt:lpstr>DCF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Mary Roberts</cp:lastModifiedBy>
  <cp:lastPrinted>2014-05-30T16:55:05Z</cp:lastPrinted>
  <dcterms:created xsi:type="dcterms:W3CDTF">2014-05-28T19:09:08Z</dcterms:created>
  <dcterms:modified xsi:type="dcterms:W3CDTF">2017-07-23T18:11:23Z</dcterms:modified>
</cp:coreProperties>
</file>