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8201"/>
  <workbookPr codeName="ThisWorkbook" defaultThemeVersion="124226"/>
  <mc:AlternateContent xmlns:mc="http://schemas.openxmlformats.org/markup-compatibility/2006">
    <mc:Choice Requires="x15">
      <x15ac:absPath xmlns:x15ac="http://schemas.microsoft.com/office/spreadsheetml/2010/11/ac" url="C:\Users\Mary\Desktop\WSP Models\"/>
    </mc:Choice>
  </mc:AlternateContent>
  <bookViews>
    <workbookView xWindow="0" yWindow="0" windowWidth="23040" windowHeight="9108" tabRatio="736" firstSheet="2" activeTab="2"/>
  </bookViews>
  <sheets>
    <sheet name="BoostToolkitClipBoard2010" sheetId="11" state="veryHidden" r:id="rId1"/>
    <sheet name="Cover" sheetId="67" r:id="rId2"/>
    <sheet name="Model" sheetId="48" r:id="rId3"/>
  </sheets>
  <externalReferences>
    <externalReference r:id="rId4"/>
    <externalReference r:id="rId5"/>
  </externalReferences>
  <definedNames>
    <definedName name="CIQWBGuid" hidden="1">"a611639b-bab1-425e-aaa5-008c326fdfdb"</definedName>
    <definedName name="Inv_Cap">[1]Results!$E$182:$AD$182</definedName>
    <definedName name="IQ_CH" hidden="1">110000</definedName>
    <definedName name="IQ_CQ" hidden="1">5000</definedName>
    <definedName name="IQ_CY" hidden="1">10000</definedName>
    <definedName name="IQ_DAILY" hidden="1">500000</definedName>
    <definedName name="IQ_DNTM" hidden="1">700000</definedName>
    <definedName name="IQ_FH" hidden="1">100000</definedName>
    <definedName name="IQ_FQ" hidden="1">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 hidden="1">1000</definedName>
    <definedName name="IQ_LATESTK" hidden="1">1000</definedName>
    <definedName name="IQ_LATESTQ" hidden="1">500</definedName>
    <definedName name="IQ_LTM" hidden="1">2000</definedName>
    <definedName name="IQ_LTMMONTH" hidden="1">120000</definedName>
    <definedName name="IQ_MONTH" hidden="1">15000</definedName>
    <definedName name="IQ_MTD" hidden="1">800000</definedName>
    <definedName name="IQ_NAMES_REVISION_DATE_" hidden="1">41451.5654050926</definedName>
    <definedName name="IQ_NTM" hidden="1">6000</definedName>
    <definedName name="IQ_QTD" hidden="1">750000</definedName>
    <definedName name="IQ_TODAY" hidden="1">0</definedName>
    <definedName name="IQ_WEEK" hidden="1">50000</definedName>
    <definedName name="IQ_YTD" hidden="1">3000</definedName>
    <definedName name="IQ_YTDMONTH" hidden="1">130000</definedName>
    <definedName name="NOPLAT">[1]Results!$E$145:$AD$145</definedName>
    <definedName name="One">'[1]Forecast Drivers'!$D$330</definedName>
    <definedName name="Products">[2]Array0!$B$5:$C$7</definedName>
    <definedName name="Rev">'[1]Forecast Drivers'!$E$25:$S$25</definedName>
  </definedNames>
  <calcPr calcId="171027" calcMode="autoNoTable" iterate="1"/>
</workbook>
</file>

<file path=xl/calcChain.xml><?xml version="1.0" encoding="utf-8"?>
<calcChain xmlns="http://schemas.openxmlformats.org/spreadsheetml/2006/main">
  <c r="F315" i="48" l="1"/>
  <c r="E317" i="48"/>
  <c r="D317" i="48"/>
  <c r="D320" i="48"/>
  <c r="E320" i="48"/>
  <c r="G45" i="48" l="1"/>
  <c r="H45" i="48"/>
  <c r="I45" i="48"/>
  <c r="J45" i="48"/>
  <c r="F45" i="48"/>
  <c r="G104" i="48"/>
  <c r="H104" i="48"/>
  <c r="I104" i="48"/>
  <c r="J104" i="48"/>
  <c r="G105" i="48"/>
  <c r="H105" i="48"/>
  <c r="I105" i="48"/>
  <c r="J105" i="48"/>
  <c r="G107" i="48"/>
  <c r="H107" i="48"/>
  <c r="I107" i="48"/>
  <c r="J107" i="48"/>
  <c r="G100" i="48"/>
  <c r="H100" i="48"/>
  <c r="I100" i="48"/>
  <c r="J100" i="48"/>
  <c r="G101" i="48"/>
  <c r="H101" i="48"/>
  <c r="I101" i="48"/>
  <c r="J101" i="48"/>
  <c r="G97" i="48"/>
  <c r="H97" i="48"/>
  <c r="I97" i="48"/>
  <c r="J97" i="48"/>
  <c r="G98" i="48"/>
  <c r="H98" i="48"/>
  <c r="I98" i="48"/>
  <c r="J98" i="48"/>
  <c r="G88" i="48"/>
  <c r="H88" i="48"/>
  <c r="I88" i="48"/>
  <c r="J88" i="48"/>
  <c r="G89" i="48"/>
  <c r="H89" i="48"/>
  <c r="I89" i="48"/>
  <c r="J89" i="48"/>
  <c r="G90" i="48"/>
  <c r="H90" i="48"/>
  <c r="I90" i="48"/>
  <c r="J90" i="48"/>
  <c r="G91" i="48"/>
  <c r="H91" i="48"/>
  <c r="I91" i="48"/>
  <c r="J91" i="48"/>
  <c r="G92" i="48"/>
  <c r="H92" i="48"/>
  <c r="I92" i="48"/>
  <c r="J92" i="48"/>
  <c r="G93" i="48"/>
  <c r="H93" i="48"/>
  <c r="I93" i="48"/>
  <c r="J93" i="48"/>
  <c r="G94" i="48"/>
  <c r="H94" i="48"/>
  <c r="I94" i="48"/>
  <c r="J94" i="48"/>
  <c r="G301" i="48"/>
  <c r="H301" i="48"/>
  <c r="I301" i="48"/>
  <c r="J301" i="48"/>
  <c r="F301" i="48"/>
  <c r="F297" i="48"/>
  <c r="E299" i="48"/>
  <c r="D299" i="48"/>
  <c r="F307" i="48"/>
  <c r="F305" i="48"/>
  <c r="J294" i="48" l="1"/>
  <c r="I294" i="48"/>
  <c r="H294" i="48"/>
  <c r="G294" i="48"/>
  <c r="F294" i="48"/>
  <c r="E294" i="48"/>
  <c r="D294" i="48"/>
  <c r="B294" i="48"/>
  <c r="J293" i="48"/>
  <c r="I293" i="48"/>
  <c r="H293" i="48"/>
  <c r="G293" i="48"/>
  <c r="F293" i="48"/>
  <c r="E293" i="48"/>
  <c r="D293" i="48"/>
  <c r="B293" i="48"/>
  <c r="G265" i="48" l="1"/>
  <c r="H265" i="48"/>
  <c r="I265" i="48"/>
  <c r="J265" i="48"/>
  <c r="G266" i="48"/>
  <c r="H266" i="48"/>
  <c r="I266" i="48"/>
  <c r="J266" i="48"/>
  <c r="G267" i="48"/>
  <c r="H267" i="48"/>
  <c r="I267" i="48"/>
  <c r="J267" i="48"/>
  <c r="G268" i="48"/>
  <c r="H268" i="48"/>
  <c r="I268" i="48"/>
  <c r="J268" i="48"/>
  <c r="G269" i="48"/>
  <c r="H269" i="48"/>
  <c r="I269" i="48"/>
  <c r="J269" i="48"/>
  <c r="G270" i="48"/>
  <c r="H270" i="48"/>
  <c r="I270" i="48"/>
  <c r="J270" i="48"/>
  <c r="G271" i="48"/>
  <c r="H271" i="48"/>
  <c r="I271" i="48"/>
  <c r="J271" i="48"/>
  <c r="G272" i="48"/>
  <c r="H272" i="48"/>
  <c r="I272" i="48"/>
  <c r="J272" i="48"/>
  <c r="G273" i="48"/>
  <c r="H273" i="48"/>
  <c r="I273" i="48"/>
  <c r="J273" i="48"/>
  <c r="G274" i="48"/>
  <c r="H274" i="48"/>
  <c r="I274" i="48"/>
  <c r="J274" i="48"/>
  <c r="G275" i="48"/>
  <c r="H275" i="48"/>
  <c r="I275" i="48"/>
  <c r="J275" i="48"/>
  <c r="G278" i="48"/>
  <c r="H278" i="48"/>
  <c r="I278" i="48"/>
  <c r="J278" i="48"/>
  <c r="G279" i="48"/>
  <c r="H279" i="48"/>
  <c r="I279" i="48"/>
  <c r="J279" i="48"/>
  <c r="G282" i="48"/>
  <c r="H282" i="48"/>
  <c r="I282" i="48"/>
  <c r="J282" i="48"/>
  <c r="G284" i="48"/>
  <c r="H284" i="48"/>
  <c r="I284" i="48"/>
  <c r="J284" i="48"/>
  <c r="G285" i="48"/>
  <c r="H285" i="48"/>
  <c r="I285" i="48"/>
  <c r="J285" i="48"/>
  <c r="G286" i="48"/>
  <c r="H286" i="48"/>
  <c r="I286" i="48"/>
  <c r="J286" i="48"/>
  <c r="F286" i="48"/>
  <c r="F285" i="48"/>
  <c r="F284" i="48"/>
  <c r="F282" i="48"/>
  <c r="G280" i="48"/>
  <c r="H280" i="48"/>
  <c r="I280" i="48"/>
  <c r="J280" i="48"/>
  <c r="F280" i="48"/>
  <c r="F279" i="48"/>
  <c r="F278" i="48"/>
  <c r="F273" i="48" l="1"/>
  <c r="F272" i="48"/>
  <c r="F271" i="48"/>
  <c r="F268" i="48"/>
  <c r="F267" i="48"/>
  <c r="F275" i="48"/>
  <c r="F274" i="48"/>
  <c r="F270" i="48"/>
  <c r="F269" i="48"/>
  <c r="F266" i="48"/>
  <c r="F265" i="48"/>
  <c r="J262" i="48"/>
  <c r="I262" i="48"/>
  <c r="H262" i="48"/>
  <c r="G262" i="48"/>
  <c r="F262" i="48"/>
  <c r="E262" i="48"/>
  <c r="D262" i="48"/>
  <c r="B262" i="48"/>
  <c r="J261" i="48"/>
  <c r="I261" i="48"/>
  <c r="H261" i="48"/>
  <c r="G261" i="48"/>
  <c r="F261" i="48"/>
  <c r="E261" i="48"/>
  <c r="D261" i="48"/>
  <c r="B261" i="48"/>
  <c r="F91" i="48" l="1"/>
  <c r="F107" i="48" l="1"/>
  <c r="F105" i="48"/>
  <c r="F104" i="48"/>
  <c r="F101" i="48"/>
  <c r="F100" i="48"/>
  <c r="F98" i="48"/>
  <c r="F97" i="48"/>
  <c r="F94" i="48"/>
  <c r="F93" i="48"/>
  <c r="F92" i="48"/>
  <c r="F90" i="48"/>
  <c r="F89" i="48"/>
  <c r="F88" i="48"/>
  <c r="E258" i="48"/>
  <c r="D258" i="48"/>
  <c r="E252" i="48"/>
  <c r="D252" i="48"/>
  <c r="F258" i="48"/>
  <c r="G256" i="48" s="1"/>
  <c r="G258" i="48" s="1"/>
  <c r="H256" i="48" s="1"/>
  <c r="H258" i="48" s="1"/>
  <c r="I256" i="48" s="1"/>
  <c r="I258" i="48" s="1"/>
  <c r="J256" i="48" s="1"/>
  <c r="J258" i="48" s="1"/>
  <c r="F256" i="48"/>
  <c r="E251" i="48"/>
  <c r="D251" i="48"/>
  <c r="F246" i="48"/>
  <c r="J243" i="48"/>
  <c r="I243" i="48"/>
  <c r="H243" i="48"/>
  <c r="G243" i="48"/>
  <c r="F243" i="48"/>
  <c r="E243" i="48"/>
  <c r="D243" i="48"/>
  <c r="C243" i="48"/>
  <c r="B243" i="48"/>
  <c r="J242" i="48"/>
  <c r="I242" i="48"/>
  <c r="H242" i="48"/>
  <c r="G242" i="48"/>
  <c r="F242" i="48"/>
  <c r="E242" i="48"/>
  <c r="D242" i="48"/>
  <c r="C242" i="48"/>
  <c r="B242" i="48"/>
  <c r="G236" i="48" l="1"/>
  <c r="H236" i="48"/>
  <c r="I236" i="48"/>
  <c r="J236" i="48"/>
  <c r="F236" i="48"/>
  <c r="F237" i="48"/>
  <c r="G235" i="48" s="1"/>
  <c r="G237" i="48" s="1"/>
  <c r="H235" i="48" s="1"/>
  <c r="H237" i="48" s="1"/>
  <c r="I235" i="48" s="1"/>
  <c r="I237" i="48" s="1"/>
  <c r="J235" i="48" s="1"/>
  <c r="J237" i="48" s="1"/>
  <c r="F235" i="48"/>
  <c r="E237" i="48"/>
  <c r="D237" i="48"/>
  <c r="G226" i="48"/>
  <c r="H226" i="48"/>
  <c r="I226" i="48"/>
  <c r="J226" i="48"/>
  <c r="G227" i="48"/>
  <c r="H227" i="48"/>
  <c r="I227" i="48"/>
  <c r="J227" i="48"/>
  <c r="F226" i="48"/>
  <c r="F227" i="48"/>
  <c r="G231" i="48"/>
  <c r="F231" i="48"/>
  <c r="E232" i="48"/>
  <c r="D232" i="48"/>
  <c r="F225" i="48"/>
  <c r="F228" i="48"/>
  <c r="G225" i="48" s="1"/>
  <c r="G228" i="48" s="1"/>
  <c r="H225" i="48" s="1"/>
  <c r="H228" i="48" s="1"/>
  <c r="I225" i="48" s="1"/>
  <c r="I228" i="48" s="1"/>
  <c r="J225" i="48" s="1"/>
  <c r="J228" i="48" s="1"/>
  <c r="E228" i="48"/>
  <c r="D228" i="48"/>
  <c r="J222" i="48"/>
  <c r="I222" i="48"/>
  <c r="H222" i="48"/>
  <c r="G222" i="48"/>
  <c r="F222" i="48"/>
  <c r="E222" i="48"/>
  <c r="D222" i="48"/>
  <c r="B222" i="48"/>
  <c r="J221" i="48"/>
  <c r="I221" i="48"/>
  <c r="H221" i="48"/>
  <c r="G221" i="48"/>
  <c r="F221" i="48"/>
  <c r="E221" i="48"/>
  <c r="D221" i="48"/>
  <c r="B221" i="48"/>
  <c r="G211" i="48" l="1"/>
  <c r="H211" i="48"/>
  <c r="I211" i="48"/>
  <c r="J211" i="48"/>
  <c r="G218" i="48"/>
  <c r="H218" i="48"/>
  <c r="I218" i="48"/>
  <c r="J218" i="48"/>
  <c r="F218" i="48"/>
  <c r="F211" i="48" s="1"/>
  <c r="G210" i="48"/>
  <c r="F210" i="48"/>
  <c r="J214" i="48" l="1"/>
  <c r="I214" i="48"/>
  <c r="H214" i="48"/>
  <c r="G214" i="48"/>
  <c r="F214" i="48"/>
  <c r="F212" i="48"/>
  <c r="F209" i="48"/>
  <c r="E212" i="48"/>
  <c r="D212" i="48"/>
  <c r="J206" i="48"/>
  <c r="I206" i="48"/>
  <c r="H206" i="48"/>
  <c r="G206" i="48"/>
  <c r="F206" i="48"/>
  <c r="E206" i="48"/>
  <c r="D206" i="48"/>
  <c r="B206" i="48"/>
  <c r="J205" i="48"/>
  <c r="I205" i="48"/>
  <c r="H205" i="48"/>
  <c r="G205" i="48"/>
  <c r="F205" i="48"/>
  <c r="E205" i="48"/>
  <c r="D205" i="48"/>
  <c r="B205" i="48"/>
  <c r="G209" i="48" l="1"/>
  <c r="G212" i="48" s="1"/>
  <c r="F215" i="48"/>
  <c r="F202" i="48"/>
  <c r="G200" i="48" s="1"/>
  <c r="G202" i="48" s="1"/>
  <c r="H200" i="48" s="1"/>
  <c r="H202" i="48" s="1"/>
  <c r="I200" i="48" s="1"/>
  <c r="I202" i="48" s="1"/>
  <c r="J200" i="48" s="1"/>
  <c r="J202" i="48" s="1"/>
  <c r="F200" i="48"/>
  <c r="E202" i="48"/>
  <c r="D202" i="48"/>
  <c r="F197" i="48"/>
  <c r="G195" i="48" s="1"/>
  <c r="G197" i="48" s="1"/>
  <c r="H195" i="48" s="1"/>
  <c r="H197" i="48" s="1"/>
  <c r="I195" i="48" s="1"/>
  <c r="I197" i="48" s="1"/>
  <c r="J195" i="48" s="1"/>
  <c r="J197" i="48" s="1"/>
  <c r="F195" i="48"/>
  <c r="E197" i="48"/>
  <c r="D197" i="48"/>
  <c r="F192" i="48"/>
  <c r="G190" i="48" s="1"/>
  <c r="G192" i="48" s="1"/>
  <c r="H190" i="48" s="1"/>
  <c r="H192" i="48" s="1"/>
  <c r="I190" i="48" s="1"/>
  <c r="I192" i="48" s="1"/>
  <c r="J190" i="48" s="1"/>
  <c r="J192" i="48" s="1"/>
  <c r="F190" i="48"/>
  <c r="E192" i="48"/>
  <c r="D192" i="48"/>
  <c r="J172" i="48"/>
  <c r="I172" i="48"/>
  <c r="H172" i="48"/>
  <c r="G172" i="48"/>
  <c r="F172" i="48"/>
  <c r="E187" i="48"/>
  <c r="D187" i="48"/>
  <c r="F187" i="48"/>
  <c r="G185" i="48" s="1"/>
  <c r="G187" i="48" s="1"/>
  <c r="H185" i="48" s="1"/>
  <c r="H187" i="48" s="1"/>
  <c r="I185" i="48" s="1"/>
  <c r="I187" i="48" s="1"/>
  <c r="J185" i="48" s="1"/>
  <c r="J187" i="48" s="1"/>
  <c r="F185" i="48"/>
  <c r="H209" i="48" l="1"/>
  <c r="H212" i="48" s="1"/>
  <c r="G215" i="48"/>
  <c r="J182" i="48"/>
  <c r="I182" i="48"/>
  <c r="H182" i="48"/>
  <c r="G182" i="48"/>
  <c r="F182" i="48"/>
  <c r="E182" i="48"/>
  <c r="D182" i="48"/>
  <c r="C182" i="48"/>
  <c r="B182" i="48"/>
  <c r="J181" i="48"/>
  <c r="I181" i="48"/>
  <c r="H181" i="48"/>
  <c r="G181" i="48"/>
  <c r="F181" i="48"/>
  <c r="E181" i="48"/>
  <c r="D181" i="48"/>
  <c r="C181" i="48"/>
  <c r="B181" i="48"/>
  <c r="G177" i="48"/>
  <c r="H177" i="48"/>
  <c r="I177" i="48"/>
  <c r="J177" i="48"/>
  <c r="I209" i="48" l="1"/>
  <c r="I212" i="48" s="1"/>
  <c r="H215" i="48"/>
  <c r="G44" i="48"/>
  <c r="H44" i="48"/>
  <c r="I44" i="48"/>
  <c r="J44" i="48"/>
  <c r="E178" i="48"/>
  <c r="D178" i="48"/>
  <c r="C178" i="48"/>
  <c r="F177" i="48"/>
  <c r="F44" i="48" s="1"/>
  <c r="E177" i="48"/>
  <c r="D177" i="48"/>
  <c r="C177" i="48"/>
  <c r="J209" i="48" l="1"/>
  <c r="J212" i="48" s="1"/>
  <c r="J215" i="48" s="1"/>
  <c r="I215" i="48"/>
  <c r="F173" i="48"/>
  <c r="G170" i="48" s="1"/>
  <c r="G173" i="48" s="1"/>
  <c r="H170" i="48" s="1"/>
  <c r="G171" i="48"/>
  <c r="F171" i="48"/>
  <c r="G175" i="48"/>
  <c r="H175" i="48" s="1"/>
  <c r="I175" i="48" s="1"/>
  <c r="J175" i="48" s="1"/>
  <c r="J171" i="48" s="1"/>
  <c r="F175" i="48"/>
  <c r="E172" i="48"/>
  <c r="D172" i="48"/>
  <c r="D176" i="48"/>
  <c r="E176" i="48"/>
  <c r="C176" i="48"/>
  <c r="F170" i="48"/>
  <c r="E173" i="48"/>
  <c r="D173" i="48"/>
  <c r="G159" i="48"/>
  <c r="H159" i="48"/>
  <c r="I159" i="48"/>
  <c r="J159" i="48"/>
  <c r="G160" i="48"/>
  <c r="H160" i="48"/>
  <c r="I160" i="48"/>
  <c r="J160" i="48"/>
  <c r="G161" i="48"/>
  <c r="F161" i="48"/>
  <c r="G158" i="48" s="1"/>
  <c r="F160" i="48"/>
  <c r="F159" i="48"/>
  <c r="H158" i="48"/>
  <c r="H161" i="48" s="1"/>
  <c r="I158" i="48" s="1"/>
  <c r="I161" i="48" s="1"/>
  <c r="J158" i="48" s="1"/>
  <c r="J161" i="48" s="1"/>
  <c r="F158" i="48"/>
  <c r="E161" i="48"/>
  <c r="D161" i="48"/>
  <c r="H171" i="48" l="1"/>
  <c r="H173" i="48"/>
  <c r="I170" i="48" s="1"/>
  <c r="I173" i="48" s="1"/>
  <c r="J170" i="48" s="1"/>
  <c r="J173" i="48" s="1"/>
  <c r="I171" i="48"/>
  <c r="J168" i="48" l="1"/>
  <c r="I168" i="48"/>
  <c r="H168" i="48"/>
  <c r="G168" i="48"/>
  <c r="F168" i="48"/>
  <c r="E168" i="48"/>
  <c r="D168" i="48"/>
  <c r="C168" i="48"/>
  <c r="B168" i="48"/>
  <c r="J167" i="48"/>
  <c r="I167" i="48"/>
  <c r="H167" i="48"/>
  <c r="G167" i="48"/>
  <c r="F167" i="48"/>
  <c r="E167" i="48"/>
  <c r="D167" i="48"/>
  <c r="C167" i="48"/>
  <c r="B167" i="48"/>
  <c r="J156" i="48"/>
  <c r="I156" i="48"/>
  <c r="H156" i="48"/>
  <c r="G156" i="48"/>
  <c r="F156" i="48"/>
  <c r="E156" i="48"/>
  <c r="D156" i="48"/>
  <c r="C156" i="48"/>
  <c r="B156" i="48"/>
  <c r="J155" i="48"/>
  <c r="I155" i="48"/>
  <c r="H155" i="48"/>
  <c r="G155" i="48"/>
  <c r="F155" i="48"/>
  <c r="E155" i="48"/>
  <c r="D155" i="48"/>
  <c r="C155" i="48"/>
  <c r="B155" i="48"/>
  <c r="D128" i="48" l="1"/>
  <c r="D129" i="48" s="1"/>
  <c r="D137" i="48"/>
  <c r="D136" i="48"/>
  <c r="D152" i="48"/>
  <c r="D144" i="48"/>
  <c r="D145" i="48" s="1"/>
  <c r="G149" i="48"/>
  <c r="H149" i="48"/>
  <c r="I149" i="48"/>
  <c r="J149" i="48"/>
  <c r="F149" i="48"/>
  <c r="G150" i="48"/>
  <c r="H150" i="48" s="1"/>
  <c r="F150" i="48"/>
  <c r="G148" i="48" s="1"/>
  <c r="E152" i="48"/>
  <c r="F148" i="48"/>
  <c r="E150" i="48"/>
  <c r="D150" i="48"/>
  <c r="G141" i="48"/>
  <c r="H141" i="48"/>
  <c r="I141" i="48"/>
  <c r="J141" i="48"/>
  <c r="F141" i="48"/>
  <c r="F145" i="48"/>
  <c r="G145" i="48"/>
  <c r="H145" i="48"/>
  <c r="I145" i="48"/>
  <c r="J145" i="48"/>
  <c r="E144" i="48"/>
  <c r="E145" i="48" s="1"/>
  <c r="F142" i="48"/>
  <c r="G140" i="48" s="1"/>
  <c r="F140" i="48"/>
  <c r="E142" i="48"/>
  <c r="D142" i="48"/>
  <c r="F133" i="48"/>
  <c r="F137" i="48"/>
  <c r="G134" i="48"/>
  <c r="G133" i="48" s="1"/>
  <c r="H134" i="48"/>
  <c r="G132" i="48"/>
  <c r="F134" i="48"/>
  <c r="F132" i="48"/>
  <c r="E137" i="48"/>
  <c r="E136" i="48"/>
  <c r="E134" i="48"/>
  <c r="D134" i="48"/>
  <c r="G125" i="48"/>
  <c r="H125" i="48"/>
  <c r="I125" i="48"/>
  <c r="J125" i="48"/>
  <c r="F125" i="48"/>
  <c r="F126" i="48"/>
  <c r="F129" i="48"/>
  <c r="G129" i="48"/>
  <c r="H129" i="48"/>
  <c r="I129" i="48"/>
  <c r="J129" i="48"/>
  <c r="E129" i="48"/>
  <c r="E128" i="48"/>
  <c r="H148" i="48" l="1"/>
  <c r="I148" i="48"/>
  <c r="I150" i="48"/>
  <c r="G142" i="48"/>
  <c r="H142" i="48" s="1"/>
  <c r="I140" i="48" s="1"/>
  <c r="H137" i="48"/>
  <c r="G137" i="48"/>
  <c r="I132" i="48"/>
  <c r="I134" i="48"/>
  <c r="H132" i="48"/>
  <c r="H133" i="48" s="1"/>
  <c r="J148" i="48" l="1"/>
  <c r="J150" i="48"/>
  <c r="I142" i="48"/>
  <c r="J142" i="48" s="1"/>
  <c r="H140" i="48"/>
  <c r="I133" i="48"/>
  <c r="I137" i="48"/>
  <c r="J132" i="48"/>
  <c r="J134" i="48"/>
  <c r="J140" i="48" l="1"/>
  <c r="J137" i="48"/>
  <c r="J133" i="48"/>
  <c r="G124" i="48" l="1"/>
  <c r="E126" i="48"/>
  <c r="F124" i="48" s="1"/>
  <c r="D126" i="48"/>
  <c r="J121" i="48"/>
  <c r="I121" i="48"/>
  <c r="H121" i="48"/>
  <c r="G121" i="48"/>
  <c r="F121" i="48"/>
  <c r="E121" i="48"/>
  <c r="D121" i="48"/>
  <c r="B121" i="48"/>
  <c r="J120" i="48"/>
  <c r="I120" i="48"/>
  <c r="H120" i="48"/>
  <c r="G120" i="48"/>
  <c r="F120" i="48"/>
  <c r="E120" i="48"/>
  <c r="D120" i="48"/>
  <c r="B120" i="48"/>
  <c r="G126" i="48" l="1"/>
  <c r="H124" i="48" s="1"/>
  <c r="H126" i="48" s="1"/>
  <c r="I124" i="48" s="1"/>
  <c r="E115" i="48"/>
  <c r="D115" i="48"/>
  <c r="E108" i="48"/>
  <c r="E117" i="48" s="1"/>
  <c r="D108" i="48"/>
  <c r="D117" i="48" s="1"/>
  <c r="E98" i="48"/>
  <c r="E102" i="48" s="1"/>
  <c r="D98" i="48"/>
  <c r="D102" i="48" s="1"/>
  <c r="E93" i="48"/>
  <c r="D93" i="48"/>
  <c r="E91" i="48"/>
  <c r="D91" i="48"/>
  <c r="D95" i="48" s="1"/>
  <c r="E87" i="48"/>
  <c r="E113" i="48" s="1"/>
  <c r="D87" i="48"/>
  <c r="D113" i="48" s="1"/>
  <c r="J86" i="48"/>
  <c r="I86" i="48"/>
  <c r="H86" i="48"/>
  <c r="G86" i="48"/>
  <c r="F86" i="48"/>
  <c r="E86" i="48"/>
  <c r="D86" i="48"/>
  <c r="B86" i="48"/>
  <c r="J85" i="48"/>
  <c r="I85" i="48"/>
  <c r="H85" i="48"/>
  <c r="G85" i="48"/>
  <c r="F85" i="48"/>
  <c r="E85" i="48"/>
  <c r="D85" i="48"/>
  <c r="B85" i="48"/>
  <c r="D46" i="48"/>
  <c r="E46" i="48"/>
  <c r="F46" i="48"/>
  <c r="G46" i="48"/>
  <c r="H46" i="48"/>
  <c r="I46" i="48"/>
  <c r="J46" i="48"/>
  <c r="J20" i="48"/>
  <c r="I20" i="48"/>
  <c r="H20" i="48"/>
  <c r="G20" i="48"/>
  <c r="F20" i="48"/>
  <c r="J19" i="48"/>
  <c r="I19" i="48"/>
  <c r="H19" i="48"/>
  <c r="G19" i="48"/>
  <c r="F19" i="48"/>
  <c r="G17" i="48"/>
  <c r="H17" i="48"/>
  <c r="I17" i="48"/>
  <c r="J17" i="48"/>
  <c r="J18" i="48" s="1"/>
  <c r="J21" i="48" s="1"/>
  <c r="F17" i="48"/>
  <c r="F18" i="48" s="1"/>
  <c r="G18" i="48"/>
  <c r="H18" i="48"/>
  <c r="H21" i="48" s="1"/>
  <c r="I18" i="48"/>
  <c r="I21" i="48" s="1"/>
  <c r="I126" i="48" l="1"/>
  <c r="J124" i="48" s="1"/>
  <c r="J126" i="48" s="1"/>
  <c r="D116" i="48"/>
  <c r="D114" i="48"/>
  <c r="D110" i="48"/>
  <c r="E95" i="48"/>
  <c r="G21" i="48"/>
  <c r="F21" i="48"/>
  <c r="E116" i="48" l="1"/>
  <c r="E114" i="48"/>
  <c r="E110" i="48"/>
  <c r="F37" i="48" l="1"/>
  <c r="G37" i="48"/>
  <c r="H37" i="48"/>
  <c r="I37" i="48"/>
  <c r="J37" i="48"/>
  <c r="G16" i="48"/>
  <c r="H16" i="48"/>
  <c r="I16" i="48"/>
  <c r="J16" i="48"/>
  <c r="F16" i="48"/>
  <c r="F58" i="48"/>
  <c r="G58" i="48"/>
  <c r="F59" i="48"/>
  <c r="G59" i="48"/>
  <c r="G56" i="48"/>
  <c r="H56" i="48" s="1"/>
  <c r="I56" i="48" s="1"/>
  <c r="J56" i="48" s="1"/>
  <c r="G57" i="48"/>
  <c r="H57" i="48" s="1"/>
  <c r="I57" i="48" s="1"/>
  <c r="J57" i="48" s="1"/>
  <c r="F57" i="48"/>
  <c r="F56" i="48"/>
  <c r="G53" i="48"/>
  <c r="H53" i="48"/>
  <c r="I53" i="48"/>
  <c r="J53" i="48"/>
  <c r="G54" i="48"/>
  <c r="G55" i="48"/>
  <c r="F55" i="48"/>
  <c r="F54" i="48"/>
  <c r="F53" i="48"/>
  <c r="G52" i="48"/>
  <c r="F52" i="48"/>
  <c r="G78" i="48"/>
  <c r="H78" i="48" s="1"/>
  <c r="I78" i="48" s="1"/>
  <c r="J78" i="48" s="1"/>
  <c r="J55" i="48" s="1"/>
  <c r="F78" i="48"/>
  <c r="G76" i="48"/>
  <c r="H76" i="48" s="1"/>
  <c r="I76" i="48" s="1"/>
  <c r="J76" i="48" s="1"/>
  <c r="F76" i="48"/>
  <c r="D78" i="48"/>
  <c r="E78" i="48"/>
  <c r="E79" i="48" s="1"/>
  <c r="D76" i="48"/>
  <c r="E76" i="48"/>
  <c r="D74" i="48"/>
  <c r="E74" i="48"/>
  <c r="F74" i="48" s="1"/>
  <c r="G74" i="48" s="1"/>
  <c r="H74" i="48" s="1"/>
  <c r="I74" i="48" s="1"/>
  <c r="J74" i="48" s="1"/>
  <c r="F72" i="48"/>
  <c r="G72" i="48" s="1"/>
  <c r="H72" i="48" s="1"/>
  <c r="I72" i="48" s="1"/>
  <c r="J72" i="48" s="1"/>
  <c r="G68" i="48"/>
  <c r="H68" i="48" s="1"/>
  <c r="I68" i="48" s="1"/>
  <c r="J68" i="48" s="1"/>
  <c r="F68" i="48"/>
  <c r="F66" i="48"/>
  <c r="G66" i="48" s="1"/>
  <c r="H66" i="48" s="1"/>
  <c r="I66" i="48" s="1"/>
  <c r="J66" i="48" s="1"/>
  <c r="G64" i="48"/>
  <c r="H64" i="48" s="1"/>
  <c r="I64" i="48" s="1"/>
  <c r="J64" i="48" s="1"/>
  <c r="F64" i="48"/>
  <c r="G62" i="48"/>
  <c r="H62" i="48" s="1"/>
  <c r="I62" i="48" s="1"/>
  <c r="J62" i="48" s="1"/>
  <c r="J52" i="48" s="1"/>
  <c r="F62" i="48"/>
  <c r="C78" i="48"/>
  <c r="C76" i="48"/>
  <c r="E75" i="48"/>
  <c r="C74" i="48"/>
  <c r="D72" i="48"/>
  <c r="E72" i="48"/>
  <c r="C72" i="48"/>
  <c r="E81" i="48"/>
  <c r="E82" i="48"/>
  <c r="D82" i="48"/>
  <c r="D81" i="48"/>
  <c r="E77" i="48"/>
  <c r="E69" i="48"/>
  <c r="E67" i="48"/>
  <c r="E65" i="48"/>
  <c r="D69" i="48"/>
  <c r="D67" i="48"/>
  <c r="D65" i="48"/>
  <c r="E63" i="48"/>
  <c r="D63" i="48"/>
  <c r="D58" i="48"/>
  <c r="E59" i="48" s="1"/>
  <c r="E58" i="48"/>
  <c r="C58" i="48"/>
  <c r="D50" i="48"/>
  <c r="C50" i="48"/>
  <c r="G50" i="48"/>
  <c r="H50" i="48" s="1"/>
  <c r="I50" i="48" s="1"/>
  <c r="J50" i="48" s="1"/>
  <c r="F50" i="48"/>
  <c r="E50" i="48"/>
  <c r="G49" i="48"/>
  <c r="H49" i="48" s="1"/>
  <c r="I49" i="48" s="1"/>
  <c r="J49" i="48" s="1"/>
  <c r="F49" i="48"/>
  <c r="C49" i="48"/>
  <c r="D49" i="48"/>
  <c r="E49" i="48"/>
  <c r="E13" i="48"/>
  <c r="C46" i="48"/>
  <c r="D30" i="48"/>
  <c r="E30" i="48"/>
  <c r="C30" i="48"/>
  <c r="E40" i="48"/>
  <c r="D40" i="48"/>
  <c r="C40" i="48"/>
  <c r="E39" i="48"/>
  <c r="D39" i="48"/>
  <c r="C39" i="48"/>
  <c r="D38" i="48"/>
  <c r="E38" i="48"/>
  <c r="E37" i="48"/>
  <c r="D37" i="48"/>
  <c r="C38" i="48"/>
  <c r="D25" i="48"/>
  <c r="D41" i="48" s="1"/>
  <c r="E25" i="48"/>
  <c r="E41" i="48" s="1"/>
  <c r="C25" i="48"/>
  <c r="C27" i="48" s="1"/>
  <c r="D21" i="48"/>
  <c r="E21" i="48"/>
  <c r="C21" i="48"/>
  <c r="D18" i="48"/>
  <c r="E18" i="48"/>
  <c r="C18" i="48"/>
  <c r="E27" i="48" l="1"/>
  <c r="D27" i="48"/>
  <c r="C41" i="48"/>
  <c r="I52" i="48"/>
  <c r="H52" i="48"/>
  <c r="I55" i="48"/>
  <c r="H55" i="48"/>
  <c r="J54" i="48"/>
  <c r="J58" i="48" s="1"/>
  <c r="I54" i="48"/>
  <c r="H54" i="48"/>
  <c r="D77" i="48"/>
  <c r="D73" i="48"/>
  <c r="D79" i="48"/>
  <c r="D75" i="48"/>
  <c r="E73" i="48"/>
  <c r="D59" i="48"/>
  <c r="F14" i="48"/>
  <c r="G14" i="48" s="1"/>
  <c r="H14" i="48" s="1"/>
  <c r="I14" i="48" s="1"/>
  <c r="J14" i="48" s="1"/>
  <c r="F13" i="48"/>
  <c r="G13" i="48" s="1"/>
  <c r="H13" i="48" s="1"/>
  <c r="I13" i="48" s="1"/>
  <c r="J13" i="48" s="1"/>
  <c r="D13" i="48"/>
  <c r="C13" i="48" s="1"/>
  <c r="B50" i="48"/>
  <c r="B49" i="48"/>
  <c r="B2" i="48"/>
  <c r="I58" i="48" l="1"/>
  <c r="J59" i="48" s="1"/>
  <c r="H58" i="48"/>
  <c r="H59" i="48" s="1"/>
  <c r="I59" i="48" l="1"/>
  <c r="J231" i="48"/>
  <c r="I231" i="48"/>
  <c r="H231" i="48"/>
  <c r="F22" i="48"/>
  <c r="G22" i="48"/>
  <c r="H22" i="48"/>
  <c r="I22" i="48"/>
  <c r="J22" i="48"/>
  <c r="F23" i="48"/>
  <c r="G23" i="48"/>
  <c r="H23" i="48"/>
  <c r="I23" i="48"/>
  <c r="J23" i="48"/>
  <c r="F25" i="48"/>
  <c r="G25" i="48"/>
  <c r="H25" i="48"/>
  <c r="I25" i="48"/>
  <c r="J25" i="48"/>
  <c r="F26" i="48"/>
  <c r="G26" i="48"/>
  <c r="H26" i="48"/>
  <c r="I26" i="48"/>
  <c r="J26" i="48"/>
  <c r="F27" i="48"/>
  <c r="G27" i="48"/>
  <c r="H27" i="48"/>
  <c r="I27" i="48"/>
  <c r="J27" i="48"/>
  <c r="F87" i="48"/>
  <c r="G87" i="48"/>
  <c r="H87" i="48"/>
  <c r="I87" i="48"/>
  <c r="J87" i="48"/>
  <c r="F95" i="48"/>
  <c r="G95" i="48"/>
  <c r="H95" i="48"/>
  <c r="I95" i="48"/>
  <c r="J95" i="48"/>
  <c r="F99" i="48"/>
  <c r="G99" i="48"/>
  <c r="H99" i="48"/>
  <c r="I99" i="48"/>
  <c r="J99" i="48"/>
  <c r="F102" i="48"/>
  <c r="G102" i="48"/>
  <c r="H102" i="48"/>
  <c r="I102" i="48"/>
  <c r="J102" i="48"/>
  <c r="F106" i="48"/>
  <c r="G106" i="48"/>
  <c r="H106" i="48"/>
  <c r="I106" i="48"/>
  <c r="J106" i="48"/>
  <c r="F108" i="48"/>
  <c r="G108" i="48"/>
  <c r="H108" i="48"/>
  <c r="I108" i="48"/>
  <c r="J108" i="48"/>
  <c r="F110" i="48"/>
  <c r="G110" i="48"/>
  <c r="H110" i="48"/>
  <c r="I110" i="48"/>
  <c r="J110" i="48"/>
  <c r="G246" i="48"/>
  <c r="H246" i="48"/>
  <c r="I246" i="48"/>
  <c r="J246" i="48"/>
  <c r="F247" i="48"/>
  <c r="G247" i="48"/>
  <c r="H247" i="48"/>
  <c r="I247" i="48"/>
  <c r="J247" i="48"/>
  <c r="F248" i="48"/>
  <c r="G248" i="48"/>
  <c r="H248" i="48"/>
  <c r="I248" i="48"/>
  <c r="J248" i="48"/>
  <c r="F249" i="48"/>
  <c r="G249" i="48"/>
  <c r="H249" i="48"/>
  <c r="I249" i="48"/>
  <c r="J249" i="48"/>
  <c r="F251" i="48"/>
  <c r="G251" i="48"/>
  <c r="H251" i="48"/>
  <c r="I251" i="48"/>
  <c r="J251" i="48"/>
  <c r="F253" i="48"/>
  <c r="G253" i="48"/>
  <c r="H253" i="48"/>
  <c r="I253" i="48"/>
  <c r="J253" i="48"/>
  <c r="F264" i="48"/>
  <c r="G264" i="48"/>
  <c r="H264" i="48"/>
  <c r="I264" i="48"/>
  <c r="J264" i="48"/>
  <c r="F276" i="48"/>
  <c r="G276" i="48"/>
  <c r="H276" i="48"/>
  <c r="I276" i="48"/>
  <c r="J276" i="48"/>
  <c r="F283" i="48"/>
  <c r="G283" i="48"/>
  <c r="H283" i="48"/>
  <c r="I283" i="48"/>
  <c r="J283" i="48"/>
  <c r="F287" i="48"/>
  <c r="G287" i="48"/>
  <c r="H287" i="48"/>
  <c r="I287" i="48"/>
  <c r="J287" i="48"/>
  <c r="F288" i="48"/>
  <c r="G288" i="48"/>
  <c r="H288" i="48"/>
  <c r="I288" i="48"/>
  <c r="J288" i="48"/>
  <c r="F290" i="48"/>
  <c r="G290" i="48"/>
  <c r="H290" i="48"/>
  <c r="I290" i="48"/>
  <c r="J290" i="48"/>
  <c r="G297" i="48"/>
  <c r="H297" i="48"/>
  <c r="I297" i="48"/>
  <c r="J297" i="48"/>
  <c r="F298" i="48"/>
  <c r="G298" i="48"/>
  <c r="H298" i="48"/>
  <c r="I298" i="48"/>
  <c r="J298" i="48"/>
  <c r="F299" i="48"/>
  <c r="G299" i="48"/>
  <c r="H299" i="48"/>
  <c r="I299" i="48"/>
  <c r="J299" i="48"/>
  <c r="F302" i="48"/>
  <c r="G302" i="48"/>
  <c r="H302" i="48"/>
  <c r="I302" i="48"/>
  <c r="J302" i="48"/>
  <c r="G305" i="48"/>
  <c r="H305" i="48"/>
  <c r="I305" i="48"/>
  <c r="J305" i="48"/>
  <c r="G307" i="48"/>
  <c r="H307" i="48"/>
  <c r="I307" i="48"/>
  <c r="J307" i="48"/>
  <c r="F308" i="48"/>
  <c r="G308" i="48"/>
  <c r="H308" i="48"/>
  <c r="I308" i="48"/>
  <c r="J308" i="48"/>
  <c r="F309" i="48"/>
  <c r="G309" i="48"/>
  <c r="H309" i="48"/>
  <c r="I309" i="48"/>
  <c r="J309" i="48"/>
  <c r="F312" i="48"/>
  <c r="G312" i="48"/>
  <c r="H312" i="48"/>
  <c r="I312" i="48"/>
  <c r="J312" i="48"/>
  <c r="G315" i="48"/>
  <c r="H315" i="48"/>
  <c r="I315" i="48"/>
  <c r="J315" i="48"/>
  <c r="F316" i="48"/>
  <c r="G316" i="48"/>
  <c r="H316" i="48"/>
  <c r="I316" i="48"/>
  <c r="J316" i="48"/>
  <c r="F317" i="48"/>
  <c r="G317" i="48"/>
  <c r="H317" i="48"/>
  <c r="I317" i="48"/>
  <c r="J317" i="48"/>
  <c r="F320" i="48"/>
  <c r="G320" i="48"/>
  <c r="H320" i="48"/>
  <c r="I320" i="48"/>
  <c r="J320" i="48"/>
</calcChain>
</file>

<file path=xl/comments1.xml><?xml version="1.0" encoding="utf-8"?>
<comments xmlns="http://schemas.openxmlformats.org/spreadsheetml/2006/main">
  <authors>
    <author>Wall Street Prep</author>
  </authors>
  <commentList>
    <comment ref="C10" authorId="0" shapeId="0">
      <text>
        <r>
          <rPr>
            <b/>
            <sz val="9"/>
            <color indexed="81"/>
            <rFont val="Tahoma"/>
            <family val="2"/>
          </rPr>
          <t>Wall Street Prep:</t>
        </r>
        <r>
          <rPr>
            <sz val="9"/>
            <color indexed="81"/>
            <rFont val="Tahoma"/>
            <family val="2"/>
          </rPr>
          <t xml:space="preserve">
If the model "blows up" (i.e. REF and DIV/0 everywhere), turn the circuit breaker above on, and then immediately off again. 
</t>
        </r>
        <r>
          <rPr>
            <b/>
            <sz val="9"/>
            <color indexed="81"/>
            <rFont val="Tahoma"/>
            <family val="2"/>
          </rPr>
          <t xml:space="preserve">Why do we need this?
</t>
        </r>
        <r>
          <rPr>
            <sz val="9"/>
            <color indexed="81"/>
            <rFont val="Tahoma"/>
            <family val="2"/>
          </rPr>
          <t xml:space="preserve">This model has an intentional circularity in the calculation of interest expense and interest income. 
Interest expense is calculated as interest rate times average current and prior period revolver debt balances. Since current period revolver balance is itself impacted by current period interest expense, the circularity exists.
The same logic applies to interest expense.
</t>
        </r>
        <r>
          <rPr>
            <b/>
            <sz val="9"/>
            <color indexed="81"/>
            <rFont val="Tahoma"/>
            <family val="2"/>
          </rPr>
          <t xml:space="preserve">Setting Iterations in Excel
</t>
        </r>
        <r>
          <rPr>
            <sz val="9"/>
            <color indexed="81"/>
            <rFont val="Tahoma"/>
            <family val="2"/>
          </rPr>
          <t xml:space="preserve">Make sure that iterations are selected under Excel Options &gt; Formulas
</t>
        </r>
        <r>
          <rPr>
            <b/>
            <sz val="9"/>
            <color indexed="81"/>
            <rFont val="Tahoma"/>
            <family val="2"/>
          </rPr>
          <t>Removing circularity altogether</t>
        </r>
        <r>
          <rPr>
            <sz val="9"/>
            <color indexed="81"/>
            <rFont val="Tahoma"/>
            <family val="2"/>
          </rPr>
          <t xml:space="preserve">
To avoid a circularity altogether, calculate interest expense using prior period debt balances (as opposed to average balances).</t>
        </r>
      </text>
    </comment>
  </commentList>
</comments>
</file>

<file path=xl/sharedStrings.xml><?xml version="1.0" encoding="utf-8"?>
<sst xmlns="http://schemas.openxmlformats.org/spreadsheetml/2006/main" count="254" uniqueCount="160">
  <si>
    <t>Tax rate</t>
  </si>
  <si>
    <t>Revenue growth</t>
  </si>
  <si>
    <t>Net income</t>
  </si>
  <si>
    <t>Operating profit (EBIT)</t>
  </si>
  <si>
    <t>EBITDA</t>
  </si>
  <si>
    <t>OFF</t>
  </si>
  <si>
    <t>Interest income</t>
  </si>
  <si>
    <t>Basic shares outstanding</t>
  </si>
  <si>
    <t>Impact of dilutive securities</t>
  </si>
  <si>
    <t>Company name</t>
  </si>
  <si>
    <t>Ticker</t>
  </si>
  <si>
    <t>Fiscal year end date</t>
  </si>
  <si>
    <t>Latest fiscal year end date</t>
  </si>
  <si>
    <t>Latest closing share price date</t>
  </si>
  <si>
    <t>Share price as of last close</t>
  </si>
  <si>
    <t>$ mm except per share</t>
  </si>
  <si>
    <t xml:space="preserve">Fiscal year  </t>
  </si>
  <si>
    <t>Revenue</t>
  </si>
  <si>
    <t>Pretax profit</t>
  </si>
  <si>
    <t>Diluted EPS</t>
  </si>
  <si>
    <t>Basic EPS</t>
  </si>
  <si>
    <t>% growth</t>
  </si>
  <si>
    <t>Apple</t>
  </si>
  <si>
    <t>AAPL</t>
  </si>
  <si>
    <t>Gross Profit</t>
  </si>
  <si>
    <t>Cost of sales (enter as -)</t>
  </si>
  <si>
    <t>Taxes (enter expense as -)</t>
  </si>
  <si>
    <t>Research &amp; development (enter as -)</t>
  </si>
  <si>
    <t>Selling, general &amp; administrative (enter as -)</t>
  </si>
  <si>
    <t>Diluted shares outstanding</t>
  </si>
  <si>
    <t>R&amp;D margin</t>
  </si>
  <si>
    <t>SG&amp;A margin</t>
  </si>
  <si>
    <t>Mac</t>
  </si>
  <si>
    <t>iPad</t>
  </si>
  <si>
    <t>iPod</t>
  </si>
  <si>
    <t>iTunes / Software / Services</t>
  </si>
  <si>
    <t>Accessories</t>
  </si>
  <si>
    <t>iPhone</t>
  </si>
  <si>
    <t>Total</t>
  </si>
  <si>
    <t>Units</t>
  </si>
  <si>
    <t>Product</t>
  </si>
  <si>
    <t xml:space="preserve">ASPs </t>
  </si>
  <si>
    <t>Interest expense (enter as -)</t>
  </si>
  <si>
    <t>Other expense (enter as -)</t>
  </si>
  <si>
    <t>Gross profit as % of sales</t>
  </si>
  <si>
    <t>Depreciation &amp; amortization</t>
  </si>
  <si>
    <t>Stock based compensation</t>
  </si>
  <si>
    <t>EBITDA reconciliation</t>
  </si>
  <si>
    <t>Growth rates &amp; margins</t>
  </si>
  <si>
    <t>INCOME STATEMENT</t>
  </si>
  <si>
    <t>SEGMENTS</t>
  </si>
  <si>
    <t>Circuit breaker:</t>
  </si>
  <si>
    <t>The enclosed models are proprietary to Wall Street Prep and are designed for illustrative and training purposes only.  Distributing, sharing, duplicating or altering these models in any way is prohibited without the written consent of Wall Street Prep, Inc.  For more information about our training programs, please contact us at 800-646-3575 or visit us online at wallstreetprep.com.</t>
  </si>
  <si>
    <t xml:space="preserve">© Copyright Wall Street Prep, Inc. </t>
  </si>
  <si>
    <t>Financial Statement Modeling Training</t>
  </si>
  <si>
    <t>NA</t>
  </si>
  <si>
    <t>BALANCE SHEET</t>
  </si>
  <si>
    <t>Cash &amp; equivalents ST &amp; LT market. securities</t>
  </si>
  <si>
    <t>Accounts receivable</t>
  </si>
  <si>
    <t>Inventory</t>
  </si>
  <si>
    <t>Deferred tax assets</t>
  </si>
  <si>
    <t>Other current assets (inc. non-trade receivables)</t>
  </si>
  <si>
    <t>Property, plant &amp; equipment</t>
  </si>
  <si>
    <t>Acquired intangible assets (inc. Goodwill)</t>
  </si>
  <si>
    <t>Other assets</t>
  </si>
  <si>
    <t>Total assets</t>
  </si>
  <si>
    <t>Accounts payable</t>
  </si>
  <si>
    <t>Accrued expenses &amp; def rev. (current &amp; non-current)</t>
  </si>
  <si>
    <t>Revolver</t>
  </si>
  <si>
    <t>Long term debt</t>
  </si>
  <si>
    <t>Other non-current liabilities</t>
  </si>
  <si>
    <t>Total liabilities</t>
  </si>
  <si>
    <t>Common stock / additional paid in capital</t>
  </si>
  <si>
    <t>Treasury stock</t>
  </si>
  <si>
    <t>Retained earnings / accumulated deficit</t>
  </si>
  <si>
    <t>Other comprehensive income / (loss)</t>
  </si>
  <si>
    <t>Total equity</t>
  </si>
  <si>
    <t>Balance check</t>
  </si>
  <si>
    <t>Ratios</t>
  </si>
  <si>
    <t>Net debt</t>
  </si>
  <si>
    <t>Asset turnover (Revenue / Total assets)</t>
  </si>
  <si>
    <t>Net profit margin</t>
  </si>
  <si>
    <t>Return on assets (ROA)</t>
  </si>
  <si>
    <t>Return on book equity (ROE)</t>
  </si>
  <si>
    <t>WORKING CAPITAL</t>
  </si>
  <si>
    <t>Beginning of period</t>
  </si>
  <si>
    <t>Increases / (decreases)</t>
  </si>
  <si>
    <t>End of period</t>
  </si>
  <si>
    <t>AR as % of sales</t>
  </si>
  <si>
    <t>Days sales outstanding (DSO)</t>
  </si>
  <si>
    <t xml:space="preserve">Inventory </t>
  </si>
  <si>
    <t>Inventory as % of COGS</t>
  </si>
  <si>
    <t>Inventory turnover</t>
  </si>
  <si>
    <t>AP as % of COGS</t>
  </si>
  <si>
    <t>Days payables outstanding (DPO)</t>
  </si>
  <si>
    <t>Accrued expenses &amp; def revenues</t>
  </si>
  <si>
    <t>Accrued expenses &amp; def revs as % of sales</t>
  </si>
  <si>
    <t>INTANGIBLE ASSETS (INC. GOODWILL)</t>
  </si>
  <si>
    <t>Plus: Purchases of intangible assets</t>
  </si>
  <si>
    <t>Less: Amortization</t>
  </si>
  <si>
    <t>Purchases of intangible assets (enter as +)</t>
  </si>
  <si>
    <t>Amortization (enter as -)</t>
  </si>
  <si>
    <t>PROPERTY, PLANT &amp; EQUIPMENT</t>
  </si>
  <si>
    <t>Plus: Capital expenditures</t>
  </si>
  <si>
    <t>Less: Depreciation</t>
  </si>
  <si>
    <t>Capex (enter as +)</t>
  </si>
  <si>
    <t>Capital expenditures as % of revenue</t>
  </si>
  <si>
    <t>Depreciation (enter as -)</t>
  </si>
  <si>
    <t>Depreciation as a % of capital expenditures</t>
  </si>
  <si>
    <t>OTHER ASSETS / LIABILITIES &amp; DEFERRED TAXES</t>
  </si>
  <si>
    <t>Deferred tax assets (DTAs)</t>
  </si>
  <si>
    <t>Other non current liabilities</t>
  </si>
  <si>
    <t>DEBT</t>
  </si>
  <si>
    <t xml:space="preserve">Long term debt </t>
  </si>
  <si>
    <t xml:space="preserve">Additional borrowing / (pay down) </t>
  </si>
  <si>
    <t>PIK accrual</t>
  </si>
  <si>
    <t>Interest expense on long term debt</t>
  </si>
  <si>
    <t>Weighted average interest rate</t>
  </si>
  <si>
    <t>% of interest expense paid in cash</t>
  </si>
  <si>
    <t>% of interest expense accrues as PIK</t>
  </si>
  <si>
    <t>CAPITAL STOCK</t>
  </si>
  <si>
    <t>Common stock / APIC</t>
  </si>
  <si>
    <t>Plus: new share issuances</t>
  </si>
  <si>
    <t>Plus: Stock based compensation</t>
  </si>
  <si>
    <t>New share issuance</t>
  </si>
  <si>
    <t>SBC as % of all operating expenses</t>
  </si>
  <si>
    <t>Less: Stock repurchases</t>
  </si>
  <si>
    <t>Stock repurchases</t>
  </si>
  <si>
    <t>RETAINED EARNINGS &amp; OCI</t>
  </si>
  <si>
    <t>Retained earnings</t>
  </si>
  <si>
    <t>Plus: Net income</t>
  </si>
  <si>
    <t>Less: Common dividends</t>
  </si>
  <si>
    <t>Dividend payout ratio</t>
  </si>
  <si>
    <t>Common dividends</t>
  </si>
  <si>
    <t>Plus: Income / (loss)</t>
  </si>
  <si>
    <t>CASH FLOW STATEMENT</t>
  </si>
  <si>
    <t>Depreciation and amortization</t>
  </si>
  <si>
    <t xml:space="preserve">Non-cash (PIK) interest </t>
  </si>
  <si>
    <t>Cash from operating activities</t>
  </si>
  <si>
    <t>Capital expenditures</t>
  </si>
  <si>
    <t>Purchases of intangible assets</t>
  </si>
  <si>
    <t>Cash from investing activities</t>
  </si>
  <si>
    <t>New share issuances</t>
  </si>
  <si>
    <t>Share repurchases</t>
  </si>
  <si>
    <t>Cash from financing activities</t>
  </si>
  <si>
    <t>Net change in cash during period</t>
  </si>
  <si>
    <t>x</t>
  </si>
  <si>
    <t>MODEL PLUG: REVOLVER &amp; CASH</t>
  </si>
  <si>
    <t>Maximum availability</t>
  </si>
  <si>
    <t>Compliance check</t>
  </si>
  <si>
    <t>Revolver needs analysis</t>
  </si>
  <si>
    <t>Less: Minimum cash desired</t>
  </si>
  <si>
    <t>Equals: Excess cash at BOP</t>
  </si>
  <si>
    <t>Plus: Free cash flows generated during period</t>
  </si>
  <si>
    <t>Equals: Cash available (needed) to paydown (draw from) revolver</t>
  </si>
  <si>
    <t>Interest rate on revolver</t>
  </si>
  <si>
    <t>Interest expense</t>
  </si>
  <si>
    <t>Cash</t>
  </si>
  <si>
    <t>+/- additions</t>
  </si>
  <si>
    <t>Interest rate on cash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</si>
</sst>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5">
    <numFmt numFmtId="5" formatCode="&quot;$&quot;#,##0_);\(&quot;$&quot;#,##0\)"/>
    <numFmt numFmtId="6" formatCode="&quot;$&quot;#,##0_);[Red]\(&quot;$&quot;#,##0\)"/>
    <numFmt numFmtId="7" formatCode="&quot;$&quot;#,##0.00_);\(&quot;$&quot;#,##0.00\)"/>
    <numFmt numFmtId="8" formatCode="&quot;$&quot;#,##0.00_);[Red]\(&quot;$&quot;#,##0.00\)"/>
    <numFmt numFmtId="43" formatCode="_(* #,##0.00_);_(* \(#,##0.00\);_(* &quot;-&quot;??_);_(@_)"/>
    <numFmt numFmtId="164" formatCode="#,##0.0_);\(#,##0.0\);@_)"/>
    <numFmt numFmtId="165" formatCode="0000\P"/>
    <numFmt numFmtId="166" formatCode="0000\A"/>
    <numFmt numFmtId="167" formatCode="#,##0.00_);\(#,##0\)"/>
    <numFmt numFmtId="168" formatCode="#,##0.0%_);\(#,##0.0%\)"/>
    <numFmt numFmtId="169" formatCode="0.0\ \x"/>
    <numFmt numFmtId="170" formatCode="#,##0.00\ ;\(#,##0.00\)"/>
    <numFmt numFmtId="171" formatCode="&quot;$&quot;#,##0.00\ ;\(&quot;$&quot;#,##0.00\)"/>
    <numFmt numFmtId="172" formatCode="0.0%_);\(0.0%\)"/>
    <numFmt numFmtId="173" formatCode="0.000\ \x&quot;rate&quot;"/>
    <numFmt numFmtId="174" formatCode="#,##0.000_);[Red]\(#,##0.000\)"/>
    <numFmt numFmtId="175" formatCode="0.00_);\(0.00\);0.00"/>
    <numFmt numFmtId="176" formatCode="\C&quot;$&quot;#,##0.00_);[Red]\(&quot;$&quot;#,##0.00\)"/>
    <numFmt numFmtId="177" formatCode="#,##0%_);\(#,##0.0%\)"/>
    <numFmt numFmtId="178" formatCode="_(* #,##0.00000000_);_(* \(#,##0.00000000\);_(* &quot;-&quot;?_);_(@_)"/>
    <numFmt numFmtId="179" formatCode="mmm\-d\-yyyy"/>
    <numFmt numFmtId="180" formatCode="mmm\-yyyy"/>
    <numFmt numFmtId="181" formatCode="yyyy"/>
    <numFmt numFmtId="182" formatCode="0.00\x&quot;rate&quot;"/>
    <numFmt numFmtId="183" formatCode="0.0&quot;  &quot;"/>
    <numFmt numFmtId="184" formatCode="&quot;$&quot;#,##0.0\ ;[Red]\(&quot;$&quot;#,##0\)"/>
    <numFmt numFmtId="185" formatCode="_(&quot;$&quot;* #,##0.00_);_(&quot;$&quot;* \(#,##0.00\);_(&quot;$&quot;* &quot;-&quot;?_);_(@_)"/>
    <numFmt numFmtId="186" formatCode="&quot;$&quot;#,##0.000_);[Red]\(&quot;$&quot;#,##0.000\)"/>
    <numFmt numFmtId="187" formatCode="&quot;$&quot;#,##0.00&quot;A&quot;;[Red]\(&quot;$&quot;#,##0.00\)&quot;A&quot;"/>
    <numFmt numFmtId="188" formatCode="#,##0.0\ ;[Red]\(&quot;$&quot;#,##0\)"/>
    <numFmt numFmtId="189" formatCode="&quot;$&quot;#,##0.00&quot;E&quot;;[Red]\(&quot;$&quot;#,##0.00\)&quot;E&quot;"/>
    <numFmt numFmtId="190" formatCode="_([$€-2]* #,##0.00_);_([$€-2]* \(#,##0.00\);_([$€-2]* &quot;-&quot;??_)"/>
    <numFmt numFmtId="191" formatCode="#,##0.00;\(#,##0.00\)"/>
    <numFmt numFmtId="192" formatCode=".%\,\(0.0%%;\t"/>
    <numFmt numFmtId="193" formatCode="#,##0.0_);[Red]\(#,##0.0\)"/>
    <numFmt numFmtId="194" formatCode="0.0%_);[Red]\(0.0%\)"/>
    <numFmt numFmtId="195" formatCode="0.00_);\(0.00\);0.00_)"/>
    <numFmt numFmtId="196" formatCode="0.0%"/>
    <numFmt numFmtId="197" formatCode="#,##0\x"/>
    <numFmt numFmtId="198" formatCode="&quot;TKR&quot;\ 0"/>
    <numFmt numFmtId="199" formatCode=".%\,\(0.%%;\t"/>
    <numFmt numFmtId="200" formatCode="&quot;$&quot;#,###.0\ \ "/>
    <numFmt numFmtId="201" formatCode="#,##0.00\x_);[Red]\(#,##0.00\x\)"/>
    <numFmt numFmtId="202" formatCode="#,##0.0_);\(#,##0.0\)"/>
    <numFmt numFmtId="203" formatCode="#,##0.000_);\(#,##0.000\)"/>
    <numFmt numFmtId="204" formatCode="#,##0.00\x_);[Red]\(#,##0.00\x\);&quot;--  &quot;"/>
    <numFmt numFmtId="205" formatCode="_(* #,##0.0_);_(* \(#,##0.0\);_(* &quot;-&quot;??_);_(@_)"/>
    <numFmt numFmtId="206" formatCode="0.0\x_);[Red]\(0.0\x\)"/>
    <numFmt numFmtId="207" formatCode="0.0\ "/>
    <numFmt numFmtId="208" formatCode="&quot;$&quot;#,##0.0;\(&quot;$&quot;#,##0.00\)"/>
    <numFmt numFmtId="209" formatCode="#,##0.00%_);\(#,##0.00%\)"/>
    <numFmt numFmtId="210" formatCode="0.00\%;\-0.00\%;0.00\%"/>
    <numFmt numFmtId="211" formatCode="0.0%\ ;\(0.0%\)"/>
    <numFmt numFmtId="212" formatCode="_(&quot;$&quot;* #,##0_);_(&quot;$&quot;* \(#,##0\);_(&quot;$&quot;* &quot;-&quot;??_);_(@_)"/>
    <numFmt numFmtId="213" formatCode="&quot;$&quot;0.00\ "/>
    <numFmt numFmtId="214" formatCode="0.0\ \ \ \ \ "/>
    <numFmt numFmtId="215" formatCode="0.00\x;\-0.00\x;0.00\x"/>
    <numFmt numFmtId="216" formatCode="&quot;$&quot;#,##0.000_);\(&quot;$&quot;#,##0.000\)"/>
    <numFmt numFmtId="217" formatCode="#,##0.0_);\(#,##0.0\);_(* &quot;-&quot;_)"/>
    <numFmt numFmtId="218" formatCode="_(&quot;$&quot;* #,##0.00_);_(&quot;$&quot;* \(#,##0.00\);_(* &quot;-&quot;_);_(@_)"/>
    <numFmt numFmtId="219" formatCode="0.00%_);[Red]\(0.00%\)"/>
    <numFmt numFmtId="220" formatCode="#,##0.0\x_);\(#,##0.0\x\)"/>
    <numFmt numFmtId="221" formatCode="#,##0.00\x_);\(#,##0.00\x\)"/>
    <numFmt numFmtId="222" formatCode="###0&quot;E&quot;_)"/>
    <numFmt numFmtId="223" formatCode="&quot; &quot;"/>
    <numFmt numFmtId="224" formatCode="&quot;$&quot;#,##0.00_);\(&quot;$&quot;#,##0.00\);@_)"/>
    <numFmt numFmtId="225" formatCode="[&gt;1]&quot;10Q: &quot;0&quot; qtrs&quot;;&quot;10Q: &quot;0&quot; qtr&quot;"/>
    <numFmt numFmtId="226" formatCode="&quot;$&quot;#,##0.00_);[Red]\(&quot;$&quot;#,##0.00\);&quot;--  &quot;;_(@_)"/>
    <numFmt numFmtId="227" formatCode="mmm\-dd\-yy"/>
    <numFmt numFmtId="228" formatCode="mmm\-dd\-yyyy"/>
    <numFmt numFmtId="229" formatCode="#,##0.0_);[Red]\(#,##0.0\);&quot;--  &quot;"/>
    <numFmt numFmtId="230" formatCode="0.00\x"/>
    <numFmt numFmtId="231" formatCode="0.0&quot; years&quot;"/>
    <numFmt numFmtId="232" formatCode="0.0%_);\(0.0%\);@_)"/>
    <numFmt numFmtId="233" formatCode="0.0\x_);\(0.0\x\);@_)"/>
    <numFmt numFmtId="234" formatCode="0\ &quot;days&quot;"/>
    <numFmt numFmtId="235" formatCode="0%_);\(0%\);@_)"/>
    <numFmt numFmtId="236" formatCode="#,##0_);\(#,##0\);@_)"/>
    <numFmt numFmtId="237" formatCode="m/d/yy;@"/>
    <numFmt numFmtId="238" formatCode="0\A;[Red]0\A"/>
    <numFmt numFmtId="239" formatCode="0\P_);\(0\P\)"/>
    <numFmt numFmtId="240" formatCode="&quot;$&quot;#,##0.0_);\(&quot;$&quot;#,##0.0\)"/>
    <numFmt numFmtId="241" formatCode="0.00\x_);\(0.00\x\);@_)"/>
    <numFmt numFmtId="242" formatCode="0.0"/>
    <numFmt numFmtId="245" formatCode="0.00%_);\(0.00%\);@_)"/>
  </numFmts>
  <fonts count="105">
    <font>
      <sz val="11"/>
      <color theme="1"/>
      <name val="Calibri"/>
      <family val="2"/>
      <scheme val="minor"/>
    </font>
    <font>
      <sz val="11"/>
      <color rgb="FF0000FF"/>
      <name val="Calibri"/>
      <family val="2"/>
      <scheme val="minor"/>
    </font>
    <font>
      <sz val="11"/>
      <color rgb="FF000000"/>
      <name val="Calibri"/>
      <family val="2"/>
      <scheme val="minor"/>
    </font>
    <font>
      <sz val="10"/>
      <name val="GillSans"/>
    </font>
    <font>
      <sz val="8"/>
      <color indexed="49"/>
      <name val="Times New Roman"/>
      <family val="1"/>
    </font>
    <font>
      <sz val="10"/>
      <name val="Arial"/>
      <family val="2"/>
    </font>
    <font>
      <sz val="10"/>
      <name val="Trebuchet MS"/>
      <family val="2"/>
    </font>
    <font>
      <sz val="11"/>
      <color indexed="8"/>
      <name val="Calibri"/>
      <family val="2"/>
    </font>
    <font>
      <sz val="11"/>
      <color indexed="9"/>
      <name val="Calibri"/>
      <family val="2"/>
    </font>
    <font>
      <sz val="11"/>
      <color indexed="20"/>
      <name val="Calibri"/>
      <family val="2"/>
    </font>
    <font>
      <sz val="8"/>
      <name val="Times New Roman"/>
      <family val="1"/>
    </font>
    <font>
      <sz val="10"/>
      <name val="Times New Roman"/>
      <family val="1"/>
    </font>
    <font>
      <b/>
      <sz val="18"/>
      <name val="Tms Rmn"/>
    </font>
    <font>
      <b/>
      <sz val="11"/>
      <color indexed="52"/>
      <name val="Calibri"/>
      <family val="2"/>
    </font>
    <font>
      <b/>
      <sz val="11"/>
      <color indexed="9"/>
      <name val="Calibri"/>
      <family val="2"/>
    </font>
    <font>
      <b/>
      <sz val="7"/>
      <name val="GillSans"/>
    </font>
    <font>
      <sz val="10"/>
      <name val="Geneva"/>
    </font>
    <font>
      <sz val="24"/>
      <name val="Arial"/>
      <family val="2"/>
    </font>
    <font>
      <sz val="8"/>
      <name val="Arial"/>
      <family val="2"/>
    </font>
    <font>
      <sz val="10"/>
      <name val="Helvetica"/>
      <family val="2"/>
    </font>
    <font>
      <b/>
      <sz val="8"/>
      <name val="Arial"/>
      <family val="2"/>
    </font>
    <font>
      <b/>
      <sz val="8"/>
      <name val="Times New Roman"/>
      <family val="1"/>
    </font>
    <font>
      <i/>
      <sz val="11"/>
      <color indexed="23"/>
      <name val="Calibri"/>
      <family val="2"/>
    </font>
    <font>
      <sz val="11"/>
      <color indexed="17"/>
      <name val="Calibri"/>
      <family val="2"/>
    </font>
    <font>
      <i/>
      <sz val="8"/>
      <color indexed="17"/>
      <name val="Times New Roman"/>
      <family val="1"/>
    </font>
    <font>
      <sz val="8"/>
      <color indexed="21"/>
      <name val="Arial"/>
      <family val="2"/>
    </font>
    <font>
      <b/>
      <sz val="15"/>
      <color indexed="56"/>
      <name val="Calibri"/>
      <family val="2"/>
    </font>
    <font>
      <b/>
      <sz val="13"/>
      <color indexed="56"/>
      <name val="Calibri"/>
      <family val="2"/>
    </font>
    <font>
      <b/>
      <sz val="11"/>
      <color indexed="56"/>
      <name val="Calibri"/>
      <family val="2"/>
    </font>
    <font>
      <sz val="10"/>
      <color indexed="12"/>
      <name val="Trebuchet MS"/>
      <family val="2"/>
    </font>
    <font>
      <sz val="10"/>
      <name val="MS Sans Serif"/>
      <family val="2"/>
    </font>
    <font>
      <sz val="11"/>
      <color indexed="62"/>
      <name val="Calibri"/>
      <family val="2"/>
    </font>
    <font>
      <b/>
      <sz val="10"/>
      <color indexed="9"/>
      <name val="Tms Rmn"/>
    </font>
    <font>
      <b/>
      <sz val="10"/>
      <name val="Arial"/>
      <family val="2"/>
    </font>
    <font>
      <sz val="11"/>
      <color indexed="52"/>
      <name val="Calibri"/>
      <family val="2"/>
    </font>
    <font>
      <sz val="8"/>
      <color indexed="18"/>
      <name val="Times New Roman"/>
      <family val="1"/>
    </font>
    <font>
      <sz val="11"/>
      <color indexed="60"/>
      <name val="Calibri"/>
      <family val="2"/>
    </font>
    <font>
      <b/>
      <sz val="11"/>
      <color indexed="63"/>
      <name val="Calibri"/>
      <family val="2"/>
    </font>
    <font>
      <sz val="10"/>
      <name val="Palatino"/>
    </font>
    <font>
      <sz val="12"/>
      <name val="Baskerville MT"/>
    </font>
    <font>
      <u/>
      <sz val="10"/>
      <name val="GillSans"/>
      <family val="2"/>
    </font>
    <font>
      <sz val="10"/>
      <name val="GillSans Light"/>
    </font>
    <font>
      <b/>
      <sz val="12"/>
      <name val="Arial"/>
      <family val="2"/>
    </font>
    <font>
      <b/>
      <sz val="16"/>
      <name val="Arial"/>
      <family val="2"/>
    </font>
    <font>
      <sz val="8"/>
      <name val="MS Sans Serif"/>
      <family val="2"/>
    </font>
    <font>
      <sz val="8.25"/>
      <color indexed="8"/>
      <name val="Arial"/>
      <family val="2"/>
    </font>
    <font>
      <b/>
      <u val="singleAccounting"/>
      <sz val="8"/>
      <color indexed="8"/>
      <name val="Arial"/>
      <family val="2"/>
    </font>
    <font>
      <sz val="8"/>
      <color indexed="8"/>
      <name val="Arial"/>
      <family val="2"/>
    </font>
    <font>
      <sz val="8"/>
      <color indexed="39"/>
      <name val="Arial"/>
      <family val="2"/>
    </font>
    <font>
      <sz val="7"/>
      <name val="Times New Roman"/>
      <family val="1"/>
    </font>
    <font>
      <sz val="7"/>
      <color indexed="17"/>
      <name val="Times New Roman"/>
      <family val="1"/>
    </font>
    <font>
      <sz val="7"/>
      <color indexed="18"/>
      <name val="Times New Roman"/>
      <family val="1"/>
    </font>
    <font>
      <b/>
      <sz val="12"/>
      <name val="GillSans"/>
      <family val="2"/>
    </font>
    <font>
      <b/>
      <sz val="18"/>
      <color indexed="56"/>
      <name val="Cambria"/>
      <family val="2"/>
    </font>
    <font>
      <b/>
      <sz val="11"/>
      <name val="GillSans"/>
    </font>
    <font>
      <b/>
      <sz val="8"/>
      <color indexed="18"/>
      <name val="Times New Roman"/>
      <family val="1"/>
    </font>
    <font>
      <i/>
      <sz val="8"/>
      <name val="Times New Roman"/>
      <family val="1"/>
    </font>
    <font>
      <u/>
      <sz val="11"/>
      <name val="GillSans"/>
      <family val="2"/>
    </font>
    <font>
      <b/>
      <sz val="11"/>
      <color indexed="8"/>
      <name val="Calibri"/>
      <family val="2"/>
    </font>
    <font>
      <sz val="11"/>
      <color indexed="10"/>
      <name val="Calibri"/>
      <family val="2"/>
    </font>
    <font>
      <b/>
      <sz val="11"/>
      <color rgb="FF000000"/>
      <name val="Calibri"/>
      <family val="2"/>
      <scheme val="minor"/>
    </font>
    <font>
      <sz val="12"/>
      <color theme="1"/>
      <name val="Calibri"/>
      <family val="2"/>
      <scheme val="minor"/>
    </font>
    <font>
      <b/>
      <sz val="12"/>
      <color theme="1"/>
      <name val="Calibri"/>
      <family val="2"/>
      <scheme val="minor"/>
    </font>
    <font>
      <sz val="9"/>
      <color indexed="81"/>
      <name val="Tahoma"/>
      <family val="2"/>
    </font>
    <font>
      <b/>
      <sz val="9"/>
      <color indexed="81"/>
      <name val="Tahoma"/>
      <family val="2"/>
    </font>
    <font>
      <b/>
      <sz val="12"/>
      <color rgb="FF008000"/>
      <name val="Calibri"/>
      <family val="2"/>
      <scheme val="minor"/>
    </font>
    <font>
      <b/>
      <sz val="11"/>
      <color rgb="FF0000FF"/>
      <name val="Calibri"/>
      <family val="2"/>
      <scheme val="minor"/>
    </font>
    <font>
      <i/>
      <sz val="11"/>
      <color rgb="FF000000"/>
      <name val="Calibri"/>
      <family val="2"/>
      <scheme val="minor"/>
    </font>
    <font>
      <i/>
      <sz val="12"/>
      <color theme="1"/>
      <name val="Calibri"/>
      <family val="2"/>
      <scheme val="minor"/>
    </font>
    <font>
      <u/>
      <sz val="12"/>
      <color theme="1"/>
      <name val="Calibri"/>
      <family val="2"/>
      <scheme val="minor"/>
    </font>
    <font>
      <b/>
      <sz val="20"/>
      <color theme="1"/>
      <name val="Calibri"/>
      <family val="2"/>
      <scheme val="minor"/>
    </font>
    <font>
      <sz val="8"/>
      <name val="LFT Etica"/>
      <family val="3"/>
    </font>
    <font>
      <b/>
      <sz val="12"/>
      <color indexed="12"/>
      <name val="LFT Etica"/>
      <family val="3"/>
    </font>
    <font>
      <b/>
      <sz val="18"/>
      <name val="LFT Etica"/>
      <family val="3"/>
    </font>
    <font>
      <sz val="20"/>
      <name val="LFT Etica"/>
      <family val="3"/>
    </font>
    <font>
      <sz val="20"/>
      <color indexed="12"/>
      <name val="LFT Etica"/>
      <family val="3"/>
    </font>
    <font>
      <b/>
      <sz val="20"/>
      <name val="LFT Etica"/>
      <family val="3"/>
    </font>
    <font>
      <sz val="5"/>
      <color indexed="10"/>
      <name val="LFT Etica"/>
      <family val="3"/>
    </font>
    <font>
      <b/>
      <sz val="5"/>
      <color indexed="10"/>
      <name val="LFT Etica"/>
      <family val="3"/>
    </font>
    <font>
      <u/>
      <sz val="10"/>
      <color indexed="12"/>
      <name val="Arial"/>
      <family val="2"/>
    </font>
    <font>
      <u/>
      <sz val="8"/>
      <color indexed="12"/>
      <name val="LFT Etica"/>
      <family val="3"/>
    </font>
    <font>
      <b/>
      <sz val="8"/>
      <name val="LFT Etica"/>
      <family val="3"/>
    </font>
    <font>
      <b/>
      <sz val="6"/>
      <color indexed="12"/>
      <name val="LFT Etica"/>
      <family val="3"/>
    </font>
    <font>
      <sz val="10"/>
      <color indexed="8"/>
      <name val="Arial"/>
      <family val="2"/>
    </font>
    <font>
      <b/>
      <sz val="8"/>
      <color indexed="8"/>
      <name val="Verdana"/>
      <family val="2"/>
    </font>
    <font>
      <sz val="8"/>
      <color indexed="12"/>
      <name val="Arial"/>
      <family val="2"/>
    </font>
    <font>
      <sz val="1"/>
      <color indexed="9"/>
      <name val="Symbol"/>
      <family val="1"/>
      <charset val="2"/>
    </font>
    <font>
      <sz val="11"/>
      <color indexed="8"/>
      <name val="Calibri"/>
      <family val="2"/>
      <scheme val="minor"/>
    </font>
    <font>
      <b/>
      <u val="singleAccounting"/>
      <sz val="8"/>
      <color indexed="8"/>
      <name val="Verdana"/>
      <family val="2"/>
    </font>
    <font>
      <b/>
      <sz val="10"/>
      <color indexed="9"/>
      <name val="Arial"/>
      <family val="2"/>
    </font>
    <font>
      <b/>
      <sz val="12"/>
      <color indexed="8"/>
      <name val="Verdana"/>
      <family val="2"/>
    </font>
    <font>
      <sz val="8"/>
      <color indexed="10"/>
      <name val="Arial"/>
      <family val="2"/>
    </font>
    <font>
      <b/>
      <sz val="8"/>
      <color indexed="9"/>
      <name val="Verdana"/>
      <family val="2"/>
    </font>
    <font>
      <vertAlign val="subscript"/>
      <sz val="8"/>
      <color indexed="8"/>
      <name val="Arial"/>
      <family val="2"/>
    </font>
    <font>
      <vertAlign val="superscript"/>
      <sz val="8"/>
      <color indexed="8"/>
      <name val="Arial"/>
      <family val="2"/>
    </font>
    <font>
      <b/>
      <sz val="8"/>
      <color indexed="8"/>
      <name val="Arial"/>
      <family val="2"/>
    </font>
    <font>
      <i/>
      <sz val="8"/>
      <color indexed="8"/>
      <name val="Arial"/>
      <family val="2"/>
    </font>
    <font>
      <b/>
      <sz val="13"/>
      <color indexed="8"/>
      <name val="Verdana"/>
      <family val="2"/>
    </font>
    <font>
      <b/>
      <sz val="11"/>
      <color theme="1"/>
      <name val="Calibri"/>
      <family val="2"/>
      <scheme val="minor"/>
    </font>
    <font>
      <i/>
      <sz val="11"/>
      <color theme="1"/>
      <name val="Calibri"/>
      <family val="2"/>
      <scheme val="minor"/>
    </font>
    <font>
      <sz val="12"/>
      <color rgb="FF0000FF"/>
      <name val="Calibri"/>
      <family val="2"/>
      <scheme val="minor"/>
    </font>
    <font>
      <b/>
      <sz val="12"/>
      <color rgb="FF000000"/>
      <name val="Calibri"/>
      <family val="2"/>
      <scheme val="minor"/>
    </font>
    <font>
      <i/>
      <sz val="11"/>
      <color rgb="FF0000FF"/>
      <name val="Calibri"/>
      <family val="2"/>
      <scheme val="minor"/>
    </font>
    <font>
      <i/>
      <sz val="12"/>
      <color rgb="FF000000"/>
      <name val="Calibri"/>
      <family val="2"/>
      <scheme val="minor"/>
    </font>
    <font>
      <sz val="12"/>
      <color rgb="FF000000"/>
      <name val="Calibri"/>
      <family val="2"/>
      <scheme val="minor"/>
    </font>
  </fonts>
  <fills count="38">
    <fill>
      <patternFill patternType="none"/>
    </fill>
    <fill>
      <patternFill patternType="gray125"/>
    </fill>
    <fill>
      <patternFill patternType="solid">
        <fgColor indexed="22"/>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lightGray">
        <fgColor indexed="12"/>
      </patternFill>
    </fill>
    <fill>
      <patternFill patternType="solid">
        <fgColor indexed="26"/>
        <bgColor indexed="64"/>
      </patternFill>
    </fill>
    <fill>
      <patternFill patternType="solid">
        <fgColor indexed="15"/>
        <bgColor indexed="64"/>
      </patternFill>
    </fill>
    <fill>
      <patternFill patternType="solid">
        <fgColor indexed="43"/>
      </patternFill>
    </fill>
    <fill>
      <patternFill patternType="solid">
        <fgColor indexed="8"/>
        <bgColor indexed="64"/>
      </patternFill>
    </fill>
    <fill>
      <patternFill patternType="solid">
        <fgColor indexed="13"/>
        <bgColor indexed="64"/>
      </patternFill>
    </fill>
    <fill>
      <patternFill patternType="solid">
        <fgColor indexed="26"/>
      </patternFill>
    </fill>
    <fill>
      <patternFill patternType="solid">
        <fgColor indexed="61"/>
        <bgColor indexed="64"/>
      </patternFill>
    </fill>
    <fill>
      <patternFill patternType="solid">
        <fgColor indexed="55"/>
        <bgColor indexed="64"/>
      </patternFill>
    </fill>
    <fill>
      <patternFill patternType="solid">
        <fgColor indexed="9"/>
        <bgColor indexed="64"/>
      </patternFill>
    </fill>
    <fill>
      <patternFill patternType="solid">
        <fgColor indexed="60"/>
        <bgColor indexed="64"/>
      </patternFill>
    </fill>
    <fill>
      <patternFill patternType="solid">
        <fgColor rgb="FF808080"/>
        <bgColor indexed="64"/>
      </patternFill>
    </fill>
    <fill>
      <patternFill patternType="solid">
        <fgColor indexed="62"/>
        <bgColor indexed="64"/>
      </patternFill>
    </fill>
    <fill>
      <patternFill patternType="solid">
        <fgColor indexed="63"/>
        <bgColor indexed="64"/>
      </patternFill>
    </fill>
    <fill>
      <patternFill patternType="solid">
        <fgColor indexed="56"/>
        <bgColor indexed="64"/>
      </patternFill>
    </fill>
  </fills>
  <borders count="27">
    <border>
      <left/>
      <right/>
      <top/>
      <bottom/>
      <diagonal/>
    </border>
    <border>
      <left/>
      <right/>
      <top/>
      <bottom style="thin">
        <color rgb="FF000000"/>
      </bottom>
      <diagonal/>
    </border>
    <border>
      <left style="thin">
        <color indexed="23"/>
      </left>
      <right style="thin">
        <color indexed="23"/>
      </right>
      <top style="thin">
        <color indexed="23"/>
      </top>
      <bottom style="thin">
        <color indexed="23"/>
      </bottom>
      <diagonal/>
    </border>
    <border>
      <left/>
      <right/>
      <top/>
      <bottom style="double">
        <color indexed="64"/>
      </bottom>
      <diagonal/>
    </border>
    <border>
      <left style="double">
        <color indexed="63"/>
      </left>
      <right style="double">
        <color indexed="63"/>
      </right>
      <top style="double">
        <color indexed="63"/>
      </top>
      <bottom style="double">
        <color indexed="63"/>
      </bottom>
      <diagonal/>
    </border>
    <border>
      <left/>
      <right/>
      <top/>
      <bottom style="thin">
        <color indexed="64"/>
      </bottom>
      <diagonal/>
    </border>
    <border>
      <left/>
      <right style="thin">
        <color indexed="64"/>
      </right>
      <top/>
      <bottom/>
      <diagonal/>
    </border>
    <border>
      <left style="thin">
        <color indexed="9"/>
      </left>
      <right style="thin">
        <color indexed="9"/>
      </right>
      <top/>
      <bottom/>
      <diagonal/>
    </border>
    <border>
      <left style="thin">
        <color indexed="64"/>
      </left>
      <right style="thin">
        <color indexed="64"/>
      </right>
      <top style="thin">
        <color indexed="64"/>
      </top>
      <bottom style="thin">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8"/>
      </left>
      <right style="thin">
        <color indexed="8"/>
      </right>
      <top style="thin">
        <color indexed="8"/>
      </top>
      <bottom style="thin">
        <color indexed="8"/>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style="thin">
        <color indexed="64"/>
      </right>
      <top style="thin">
        <color indexed="64"/>
      </top>
      <bottom/>
      <diagonal/>
    </border>
    <border>
      <left/>
      <right/>
      <top/>
      <bottom style="thick">
        <color indexed="64"/>
      </bottom>
      <diagonal/>
    </border>
    <border>
      <left/>
      <right/>
      <top style="thin">
        <color indexed="62"/>
      </top>
      <bottom style="double">
        <color indexed="62"/>
      </bottom>
      <diagonal/>
    </border>
    <border>
      <left/>
      <right/>
      <top style="medium">
        <color rgb="FF000000"/>
      </top>
      <bottom style="medium">
        <color rgb="FF000000"/>
      </bottom>
      <diagonal/>
    </border>
    <border>
      <left style="double">
        <color indexed="64"/>
      </left>
      <right/>
      <top/>
      <bottom/>
      <diagonal/>
    </border>
    <border>
      <left/>
      <right style="double">
        <color indexed="64"/>
      </right>
      <top/>
      <bottom/>
      <diagonal/>
    </border>
    <border>
      <left/>
      <right/>
      <top/>
      <bottom style="medium">
        <color indexed="64"/>
      </bottom>
      <diagonal/>
    </border>
    <border>
      <left style="thin">
        <color indexed="23"/>
      </left>
      <right style="thin">
        <color indexed="23"/>
      </right>
      <top/>
      <bottom/>
      <diagonal/>
    </border>
    <border>
      <left style="thin">
        <color indexed="64"/>
      </left>
      <right style="thin">
        <color indexed="64"/>
      </right>
      <top/>
      <bottom style="thin">
        <color indexed="64"/>
      </bottom>
      <diagonal/>
    </border>
    <border>
      <left/>
      <right style="hair">
        <color rgb="FF000000"/>
      </right>
      <top/>
      <bottom/>
      <diagonal/>
    </border>
    <border>
      <left/>
      <right/>
      <top style="thin">
        <color rgb="FF000000"/>
      </top>
      <bottom/>
      <diagonal/>
    </border>
  </borders>
  <cellStyleXfs count="212">
    <xf numFmtId="0" fontId="0" fillId="0" borderId="0"/>
    <xf numFmtId="0" fontId="3" fillId="0" borderId="0"/>
    <xf numFmtId="167" fontId="3" fillId="0" borderId="0">
      <alignment horizontal="right"/>
    </xf>
    <xf numFmtId="168" fontId="3" fillId="2" borderId="0"/>
    <xf numFmtId="169" fontId="3" fillId="2" borderId="0"/>
    <xf numFmtId="168" fontId="3" fillId="2" borderId="0"/>
    <xf numFmtId="170" fontId="3" fillId="2" borderId="0"/>
    <xf numFmtId="171" fontId="3" fillId="2" borderId="0">
      <alignment horizontal="right"/>
    </xf>
    <xf numFmtId="172" fontId="4" fillId="0" borderId="0" applyFont="0" applyFill="0" applyBorder="0" applyAlignment="0" applyProtection="0"/>
    <xf numFmtId="0" fontId="5" fillId="0" borderId="0" applyNumberFormat="0" applyFont="0" applyFill="0" applyBorder="0" applyAlignment="0" applyProtection="0"/>
    <xf numFmtId="173" fontId="6" fillId="0" borderId="0"/>
    <xf numFmtId="0" fontId="7" fillId="3"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7"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7" fillId="10" borderId="0" applyNumberFormat="0" applyBorder="0" applyAlignment="0" applyProtection="0"/>
    <xf numFmtId="0" fontId="7" fillId="11" borderId="0" applyNumberFormat="0" applyBorder="0" applyAlignment="0" applyProtection="0"/>
    <xf numFmtId="0" fontId="7" fillId="6" borderId="0" applyNumberFormat="0" applyBorder="0" applyAlignment="0" applyProtection="0"/>
    <xf numFmtId="0" fontId="7" fillId="9" borderId="0" applyNumberFormat="0" applyBorder="0" applyAlignment="0" applyProtection="0"/>
    <xf numFmtId="0" fontId="7" fillId="12" borderId="0" applyNumberFormat="0" applyBorder="0" applyAlignment="0" applyProtection="0"/>
    <xf numFmtId="0" fontId="8" fillId="13" borderId="0" applyNumberFormat="0" applyBorder="0" applyAlignment="0" applyProtection="0"/>
    <xf numFmtId="0" fontId="8" fillId="10" borderId="0" applyNumberFormat="0" applyBorder="0" applyAlignment="0" applyProtection="0"/>
    <xf numFmtId="0" fontId="8" fillId="11" borderId="0" applyNumberFormat="0" applyBorder="0" applyAlignment="0" applyProtection="0"/>
    <xf numFmtId="0" fontId="8" fillId="14" borderId="0" applyNumberFormat="0" applyBorder="0" applyAlignment="0" applyProtection="0"/>
    <xf numFmtId="0" fontId="8" fillId="15" borderId="0" applyNumberFormat="0" applyBorder="0" applyAlignment="0" applyProtection="0"/>
    <xf numFmtId="0" fontId="8" fillId="16" borderId="0" applyNumberFormat="0" applyBorder="0" applyAlignment="0" applyProtection="0"/>
    <xf numFmtId="0" fontId="8" fillId="17" borderId="0" applyNumberFormat="0" applyBorder="0" applyAlignment="0" applyProtection="0"/>
    <xf numFmtId="0" fontId="8" fillId="18" borderId="0" applyNumberFormat="0" applyBorder="0" applyAlignment="0" applyProtection="0"/>
    <xf numFmtId="0" fontId="8" fillId="19" borderId="0" applyNumberFormat="0" applyBorder="0" applyAlignment="0" applyProtection="0"/>
    <xf numFmtId="0" fontId="8" fillId="14" borderId="0" applyNumberFormat="0" applyBorder="0" applyAlignment="0" applyProtection="0"/>
    <xf numFmtId="0" fontId="8" fillId="15" borderId="0" applyNumberFormat="0" applyBorder="0" applyAlignment="0" applyProtection="0"/>
    <xf numFmtId="0" fontId="8" fillId="20" borderId="0" applyNumberFormat="0" applyBorder="0" applyAlignment="0" applyProtection="0"/>
    <xf numFmtId="0" fontId="6" fillId="0" borderId="0"/>
    <xf numFmtId="0" fontId="9" fillId="4" borderId="0" applyNumberFormat="0" applyBorder="0" applyAlignment="0" applyProtection="0"/>
    <xf numFmtId="174" fontId="10" fillId="0" borderId="0" applyFont="0" applyFill="0" applyBorder="0" applyAlignment="0" applyProtection="0"/>
    <xf numFmtId="38" fontId="10" fillId="0" borderId="0" applyFill="0" applyBorder="0" applyAlignment="0" applyProtection="0">
      <protection locked="0"/>
    </xf>
    <xf numFmtId="0" fontId="11" fillId="0" borderId="0"/>
    <xf numFmtId="37" fontId="12" fillId="0" borderId="0">
      <alignment horizontal="centerContinuous"/>
    </xf>
    <xf numFmtId="0" fontId="13" fillId="21" borderId="2" applyNumberFormat="0" applyAlignment="0" applyProtection="0"/>
    <xf numFmtId="174" fontId="10" fillId="0" borderId="0" applyFont="0" applyFill="0" applyBorder="0" applyAlignment="0" applyProtection="0">
      <protection locked="0"/>
    </xf>
    <xf numFmtId="174" fontId="10" fillId="0" borderId="3" applyFont="0" applyFill="0" applyAlignment="0" applyProtection="0"/>
    <xf numFmtId="0" fontId="14" fillId="22" borderId="4" applyNumberFormat="0" applyAlignment="0" applyProtection="0"/>
    <xf numFmtId="0" fontId="5" fillId="0" borderId="0">
      <alignment horizontal="center" wrapText="1"/>
      <protection hidden="1"/>
    </xf>
    <xf numFmtId="0" fontId="15" fillId="0" borderId="5" applyNumberFormat="0" applyFill="0" applyBorder="0" applyProtection="0">
      <alignment horizontal="left" vertical="center"/>
    </xf>
    <xf numFmtId="0" fontId="15" fillId="0" borderId="5" applyNumberFormat="0" applyFill="0" applyBorder="0" applyProtection="0">
      <alignment horizontal="right" vertical="center"/>
    </xf>
    <xf numFmtId="43" fontId="5" fillId="0" borderId="0" applyFont="0" applyFill="0" applyBorder="0" applyAlignment="0" applyProtection="0"/>
    <xf numFmtId="37" fontId="16" fillId="0" borderId="0" applyFont="0" applyFill="0" applyBorder="0" applyAlignment="0" applyProtection="0"/>
    <xf numFmtId="39" fontId="16" fillId="0" borderId="0" applyFont="0" applyFill="0" applyBorder="0" applyAlignment="0" applyProtection="0"/>
    <xf numFmtId="0" fontId="17" fillId="23" borderId="0">
      <alignment horizontal="center" vertical="center" wrapText="1"/>
    </xf>
    <xf numFmtId="175" fontId="5" fillId="0" borderId="0" applyFill="0" applyBorder="0">
      <alignment horizontal="right"/>
      <protection locked="0"/>
    </xf>
    <xf numFmtId="0" fontId="18" fillId="0" borderId="0" applyFont="0" applyFill="0" applyBorder="0" applyAlignment="0"/>
    <xf numFmtId="7" fontId="19" fillId="0" borderId="0" applyFont="0" applyFill="0" applyBorder="0" applyAlignment="0" applyProtection="0"/>
    <xf numFmtId="5" fontId="16" fillId="0" borderId="0" applyFont="0" applyFill="0" applyBorder="0" applyAlignment="0" applyProtection="0"/>
    <xf numFmtId="176" fontId="6" fillId="0" borderId="0" applyFill="0" applyBorder="0" applyProtection="0">
      <alignment horizontal="right"/>
    </xf>
    <xf numFmtId="177" fontId="3" fillId="2" borderId="6">
      <alignment horizontal="right"/>
    </xf>
    <xf numFmtId="178" fontId="3" fillId="2" borderId="6">
      <alignment horizontal="right"/>
    </xf>
    <xf numFmtId="177" fontId="3" fillId="2" borderId="6">
      <alignment horizontal="right"/>
    </xf>
    <xf numFmtId="15" fontId="20" fillId="0" borderId="0" applyFill="0" applyBorder="0" applyAlignment="0"/>
    <xf numFmtId="179" fontId="18" fillId="24" borderId="0" applyFont="0" applyFill="0" applyBorder="0" applyAlignment="0" applyProtection="0"/>
    <xf numFmtId="180" fontId="20" fillId="0" borderId="5"/>
    <xf numFmtId="14" fontId="21" fillId="0" borderId="0" applyFont="0" applyFill="0" applyBorder="0" applyAlignment="0" applyProtection="0">
      <alignment horizontal="center"/>
    </xf>
    <xf numFmtId="181" fontId="21" fillId="0" borderId="0" applyFont="0" applyFill="0" applyBorder="0" applyAlignment="0" applyProtection="0">
      <alignment horizontal="center"/>
    </xf>
    <xf numFmtId="182" fontId="6" fillId="0" borderId="0" applyFont="0" applyFill="0" applyBorder="0" applyAlignment="0" applyProtection="0"/>
    <xf numFmtId="8" fontId="10" fillId="0" borderId="0" applyFont="0" applyFill="0" applyBorder="0" applyAlignment="0" applyProtection="0"/>
    <xf numFmtId="6" fontId="10" fillId="0" borderId="0" applyFont="0" applyFill="0" applyBorder="0" applyAlignment="0" applyProtection="0">
      <alignment horizontal="right"/>
    </xf>
    <xf numFmtId="6" fontId="10" fillId="0" borderId="0" applyFont="0" applyFill="0" applyBorder="0" applyAlignment="0" applyProtection="0"/>
    <xf numFmtId="39" fontId="3" fillId="25" borderId="0"/>
    <xf numFmtId="7" fontId="3" fillId="25" borderId="0" applyBorder="0"/>
    <xf numFmtId="183" fontId="3" fillId="25" borderId="0"/>
    <xf numFmtId="184" fontId="3" fillId="0" borderId="0"/>
    <xf numFmtId="185" fontId="3" fillId="25" borderId="0"/>
    <xf numFmtId="186" fontId="3" fillId="25" borderId="0"/>
    <xf numFmtId="187" fontId="11" fillId="0" borderId="0" applyFont="0" applyFill="0" applyBorder="0" applyProtection="0">
      <alignment horizontal="left"/>
      <protection locked="0"/>
    </xf>
    <xf numFmtId="188" fontId="3" fillId="0" borderId="0"/>
    <xf numFmtId="189" fontId="11" fillId="0" borderId="0" applyFont="0" applyFill="0" applyBorder="0" applyProtection="0">
      <alignment horizontal="left"/>
      <protection locked="0"/>
    </xf>
    <xf numFmtId="190" fontId="5" fillId="0" borderId="0" applyFont="0" applyFill="0" applyBorder="0" applyAlignment="0" applyProtection="0"/>
    <xf numFmtId="0" fontId="22" fillId="0" borderId="0" applyNumberFormat="0" applyFill="0" applyBorder="0" applyAlignment="0" applyProtection="0"/>
    <xf numFmtId="172" fontId="3" fillId="0" borderId="7"/>
    <xf numFmtId="191" fontId="3" fillId="2" borderId="6">
      <alignment horizontal="right"/>
    </xf>
    <xf numFmtId="192" fontId="3" fillId="2" borderId="6">
      <alignment horizontal="right"/>
    </xf>
    <xf numFmtId="191" fontId="3" fillId="2" borderId="6">
      <alignment horizontal="right"/>
    </xf>
    <xf numFmtId="193" fontId="10" fillId="0" borderId="0" applyFill="0" applyBorder="0" applyAlignment="0" applyProtection="0">
      <protection locked="0"/>
    </xf>
    <xf numFmtId="0" fontId="23" fillId="5" borderId="0" applyNumberFormat="0" applyBorder="0" applyAlignment="0" applyProtection="0"/>
    <xf numFmtId="194" fontId="24" fillId="0" borderId="0" applyFill="0" applyBorder="0" applyAlignment="0" applyProtection="0"/>
    <xf numFmtId="172" fontId="25" fillId="0" borderId="0" applyAlignment="0">
      <alignment horizontal="left"/>
      <protection locked="0"/>
    </xf>
    <xf numFmtId="193" fontId="6" fillId="26" borderId="8" applyNumberFormat="0" applyFont="0" applyAlignment="0" applyProtection="0"/>
    <xf numFmtId="0" fontId="26" fillId="0" borderId="9" applyNumberFormat="0" applyFill="0" applyAlignment="0" applyProtection="0"/>
    <xf numFmtId="0" fontId="27" fillId="0" borderId="10" applyNumberFormat="0" applyFill="0" applyAlignment="0" applyProtection="0"/>
    <xf numFmtId="0" fontId="28" fillId="0" borderId="11" applyNumberFormat="0" applyFill="0" applyAlignment="0" applyProtection="0"/>
    <xf numFmtId="0" fontId="28" fillId="0" borderId="0" applyNumberFormat="0" applyFill="0" applyBorder="0" applyAlignment="0" applyProtection="0"/>
    <xf numFmtId="193" fontId="29" fillId="0" borderId="0" applyNumberFormat="0" applyFill="0" applyBorder="0" applyAlignment="0" applyProtection="0"/>
    <xf numFmtId="0" fontId="30" fillId="0" borderId="0"/>
    <xf numFmtId="174" fontId="10" fillId="0" borderId="0" applyFont="0" applyFill="0" applyBorder="0" applyAlignment="0" applyProtection="0"/>
    <xf numFmtId="38" fontId="10" fillId="0" borderId="0" applyFill="0" applyBorder="0" applyAlignment="0" applyProtection="0">
      <alignment horizontal="right"/>
      <protection locked="0"/>
    </xf>
    <xf numFmtId="0" fontId="31" fillId="8" borderId="2" applyNumberFormat="0" applyAlignment="0" applyProtection="0"/>
    <xf numFmtId="0" fontId="18" fillId="24" borderId="0" applyFont="0" applyBorder="0" applyAlignment="0">
      <protection locked="0"/>
    </xf>
    <xf numFmtId="0" fontId="5" fillId="0" borderId="0" applyFill="0" applyBorder="0">
      <alignment horizontal="right"/>
      <protection locked="0"/>
    </xf>
    <xf numFmtId="17" fontId="32" fillId="27" borderId="0"/>
    <xf numFmtId="195" fontId="5" fillId="0" borderId="0" applyFill="0" applyBorder="0">
      <alignment horizontal="right"/>
      <protection locked="0"/>
    </xf>
    <xf numFmtId="0" fontId="33" fillId="28" borderId="12">
      <alignment horizontal="left" vertical="center" wrapText="1"/>
    </xf>
    <xf numFmtId="0" fontId="34" fillId="0" borderId="13" applyNumberFormat="0" applyFill="0" applyAlignment="0" applyProtection="0"/>
    <xf numFmtId="196" fontId="10" fillId="0" borderId="0" applyFont="0" applyFill="0" applyBorder="0" applyAlignment="0" applyProtection="0">
      <alignment horizontal="right"/>
    </xf>
    <xf numFmtId="197" fontId="3" fillId="0" borderId="0">
      <alignment horizontal="right"/>
    </xf>
    <xf numFmtId="198" fontId="3" fillId="25" borderId="0">
      <alignment horizontal="right"/>
    </xf>
    <xf numFmtId="199" fontId="3" fillId="0" borderId="0">
      <alignment horizontal="right"/>
    </xf>
    <xf numFmtId="197" fontId="3" fillId="0" borderId="0">
      <alignment horizontal="right"/>
    </xf>
    <xf numFmtId="172" fontId="35" fillId="0" borderId="0" applyFill="0" applyBorder="0" applyAlignment="0" applyProtection="0">
      <alignment horizontal="right"/>
    </xf>
    <xf numFmtId="172" fontId="35" fillId="0" borderId="0" applyFill="0" applyBorder="0" applyAlignment="0" applyProtection="0"/>
    <xf numFmtId="200" fontId="3" fillId="2" borderId="6">
      <alignment horizontal="right"/>
    </xf>
    <xf numFmtId="201" fontId="10" fillId="0" borderId="0" applyFont="0" applyFill="0" applyBorder="0" applyAlignment="0" applyProtection="0"/>
    <xf numFmtId="0" fontId="16" fillId="2" borderId="0" applyFont="0" applyBorder="0" applyAlignment="0" applyProtection="0">
      <alignment horizontal="right"/>
      <protection hidden="1"/>
    </xf>
    <xf numFmtId="0" fontId="36" fillId="26" borderId="0" applyNumberFormat="0" applyBorder="0" applyAlignment="0" applyProtection="0"/>
    <xf numFmtId="37" fontId="19" fillId="0" borderId="0" applyFont="0" applyFill="0" applyBorder="0" applyAlignment="0" applyProtection="0"/>
    <xf numFmtId="202" fontId="5" fillId="0" borderId="0" applyFont="0" applyFill="0" applyBorder="0" applyAlignment="0" applyProtection="0"/>
    <xf numFmtId="39" fontId="5" fillId="0" borderId="0" applyFont="0" applyFill="0" applyBorder="0" applyAlignment="0" applyProtection="0"/>
    <xf numFmtId="203" fontId="5" fillId="0" borderId="0" applyFont="0" applyFill="0" applyBorder="0" applyAlignment="0" applyProtection="0"/>
    <xf numFmtId="0" fontId="5" fillId="0" borderId="0"/>
    <xf numFmtId="0" fontId="20" fillId="0" borderId="0" applyNumberFormat="0" applyFill="0" applyBorder="0" applyAlignment="0" applyProtection="0"/>
    <xf numFmtId="0" fontId="18" fillId="0" borderId="0" applyFont="0" applyFill="0" applyBorder="0" applyAlignment="0" applyProtection="0"/>
    <xf numFmtId="204" fontId="18" fillId="0" borderId="0" applyFont="0" applyFill="0" applyBorder="0" applyAlignment="0" applyProtection="0"/>
    <xf numFmtId="0" fontId="7" fillId="29" borderId="14" applyNumberFormat="0" applyFont="0" applyAlignment="0" applyProtection="0"/>
    <xf numFmtId="0" fontId="16" fillId="0" borderId="0" applyFont="0" applyFill="0" applyBorder="0" applyAlignment="0" applyProtection="0"/>
    <xf numFmtId="205" fontId="5" fillId="0" borderId="0" applyFont="0" applyFill="0" applyBorder="0" applyAlignment="0" applyProtection="0"/>
    <xf numFmtId="0" fontId="16" fillId="0" borderId="0" applyFont="0" applyFill="0" applyBorder="0" applyAlignment="0" applyProtection="0"/>
    <xf numFmtId="0" fontId="37" fillId="21" borderId="15" applyNumberFormat="0" applyAlignment="0" applyProtection="0"/>
    <xf numFmtId="206" fontId="10" fillId="0" borderId="0" applyFont="0" applyFill="0" applyBorder="0" applyAlignment="0" applyProtection="0">
      <alignment horizontal="right"/>
    </xf>
    <xf numFmtId="0" fontId="38" fillId="0" borderId="0" applyNumberFormat="0" applyFill="0" applyBorder="0" applyAlignment="0" applyProtection="0"/>
    <xf numFmtId="0" fontId="18" fillId="0" borderId="0"/>
    <xf numFmtId="207" fontId="3" fillId="25" borderId="0"/>
    <xf numFmtId="9" fontId="10" fillId="0" borderId="0" applyFont="0" applyFill="0" applyBorder="0" applyAlignment="0" applyProtection="0">
      <alignment horizontal="right"/>
    </xf>
    <xf numFmtId="208" fontId="3" fillId="0" borderId="0"/>
    <xf numFmtId="0" fontId="5" fillId="0" borderId="0" applyFont="0" applyFill="0" applyBorder="0" applyAlignment="0"/>
    <xf numFmtId="168" fontId="5" fillId="0" borderId="0" applyFont="0" applyFill="0" applyBorder="0" applyAlignment="0" applyProtection="0"/>
    <xf numFmtId="209" fontId="5" fillId="0" borderId="0" applyFont="0" applyFill="0" applyBorder="0" applyAlignment="0" applyProtection="0"/>
    <xf numFmtId="210" fontId="5" fillId="0" borderId="0" applyFill="0" applyBorder="0">
      <alignment horizontal="right"/>
      <protection locked="0"/>
    </xf>
    <xf numFmtId="194" fontId="10" fillId="0" borderId="0" applyFont="0" applyFill="0" applyBorder="0" applyAlignment="0" applyProtection="0"/>
    <xf numFmtId="8" fontId="10" fillId="0" borderId="0" applyFont="0" applyFill="0" applyBorder="0" applyAlignment="0" applyProtection="0"/>
    <xf numFmtId="174" fontId="10" fillId="0" borderId="0" applyFont="0" applyFill="0" applyBorder="0" applyAlignment="0" applyProtection="0">
      <protection locked="0"/>
    </xf>
    <xf numFmtId="193" fontId="10" fillId="0" borderId="0" applyFill="0" applyBorder="0" applyAlignment="0" applyProtection="0"/>
    <xf numFmtId="38" fontId="10" fillId="0" borderId="0" applyFont="0" applyFill="0" applyBorder="0" applyAlignment="0" applyProtection="0"/>
    <xf numFmtId="170" fontId="3" fillId="2" borderId="16">
      <alignment horizontal="right"/>
    </xf>
    <xf numFmtId="211" fontId="39" fillId="2" borderId="0"/>
    <xf numFmtId="212" fontId="3" fillId="2" borderId="0"/>
    <xf numFmtId="0" fontId="40" fillId="0" borderId="0">
      <alignment horizontal="center"/>
    </xf>
    <xf numFmtId="0" fontId="3" fillId="0" borderId="5">
      <alignment horizontal="centerContinuous"/>
    </xf>
    <xf numFmtId="213" fontId="3" fillId="2" borderId="0">
      <alignment horizontal="right"/>
    </xf>
    <xf numFmtId="214" fontId="3" fillId="2" borderId="6">
      <alignment horizontal="right"/>
    </xf>
    <xf numFmtId="215" fontId="5" fillId="0" borderId="0">
      <alignment horizontal="right"/>
      <protection locked="0"/>
    </xf>
    <xf numFmtId="193" fontId="21" fillId="0" borderId="0" applyFont="0" applyFill="0" applyBorder="0" applyAlignment="0" applyProtection="0"/>
    <xf numFmtId="0" fontId="41" fillId="0" borderId="0" applyNumberFormat="0" applyFill="0" applyBorder="0" applyProtection="0">
      <alignment horizontal="right" vertical="center"/>
    </xf>
    <xf numFmtId="0" fontId="42" fillId="23" borderId="8">
      <alignment horizontal="center" vertical="center" wrapText="1"/>
      <protection hidden="1"/>
    </xf>
    <xf numFmtId="174" fontId="10" fillId="0" borderId="0" applyFill="0" applyBorder="0" applyAlignment="0" applyProtection="0">
      <protection locked="0"/>
    </xf>
    <xf numFmtId="216" fontId="21" fillId="0" borderId="0" applyFont="0" applyFill="0" applyBorder="0" applyAlignment="0" applyProtection="0">
      <alignment horizontal="right"/>
    </xf>
    <xf numFmtId="38" fontId="5" fillId="0" borderId="0" applyFont="0" applyFill="0" applyBorder="0" applyAlignment="0" applyProtection="0"/>
    <xf numFmtId="0" fontId="43" fillId="0" borderId="17" applyNumberFormat="0" applyFill="0" applyProtection="0">
      <alignment horizontal="left" vertical="top" wrapText="1"/>
    </xf>
    <xf numFmtId="0" fontId="30" fillId="0" borderId="0" applyNumberFormat="0" applyFill="0" applyBorder="0" applyProtection="0">
      <alignment horizontal="left" vertical="top" wrapText="1"/>
    </xf>
    <xf numFmtId="0" fontId="44" fillId="0" borderId="0" applyNumberFormat="0" applyFill="0" applyProtection="0">
      <alignment horizontal="left" vertical="top" wrapText="1"/>
    </xf>
    <xf numFmtId="0" fontId="45" fillId="0" borderId="0" applyNumberFormat="0" applyFill="0" applyBorder="0" applyProtection="0"/>
    <xf numFmtId="0" fontId="46" fillId="30" borderId="0" applyNumberFormat="0" applyBorder="0" applyProtection="0"/>
    <xf numFmtId="0" fontId="47" fillId="0" borderId="0" applyNumberFormat="0" applyFill="0" applyBorder="0" applyProtection="0">
      <alignment vertical="top"/>
    </xf>
    <xf numFmtId="217" fontId="48" fillId="0" borderId="0" applyFill="0" applyBorder="0" applyProtection="0">
      <alignment horizontal="right" wrapText="1"/>
    </xf>
    <xf numFmtId="218" fontId="48" fillId="0" borderId="0" applyFill="0" applyBorder="0" applyProtection="0">
      <alignment horizontal="right"/>
    </xf>
    <xf numFmtId="4" fontId="18" fillId="0" borderId="0" applyFill="0" applyBorder="0" applyProtection="0">
      <alignment horizontal="right"/>
    </xf>
    <xf numFmtId="186" fontId="49" fillId="0" borderId="0" applyFill="0" applyBorder="0" applyAlignment="0" applyProtection="0"/>
    <xf numFmtId="219" fontId="50" fillId="0" borderId="0" applyFill="0" applyBorder="0" applyAlignment="0" applyProtection="0">
      <alignment horizontal="left"/>
      <protection locked="0"/>
    </xf>
    <xf numFmtId="219" fontId="50" fillId="0" borderId="0" applyFill="0" applyBorder="0" applyAlignment="0" applyProtection="0"/>
    <xf numFmtId="219" fontId="51" fillId="0" borderId="0" applyFill="0" applyBorder="0" applyAlignment="0" applyProtection="0">
      <alignment horizontal="left"/>
      <protection locked="0"/>
    </xf>
    <xf numFmtId="219" fontId="51" fillId="0" borderId="0" applyFill="0" applyBorder="0" applyAlignment="0" applyProtection="0">
      <protection locked="0"/>
    </xf>
    <xf numFmtId="193" fontId="10" fillId="0" borderId="0" applyFill="0" applyBorder="0" applyAlignment="0" applyProtection="0">
      <protection locked="0"/>
    </xf>
    <xf numFmtId="193" fontId="49" fillId="0" borderId="0" applyFill="0" applyBorder="0" applyAlignment="0" applyProtection="0"/>
    <xf numFmtId="49" fontId="52" fillId="0" borderId="0"/>
    <xf numFmtId="220" fontId="5" fillId="0" borderId="0" applyFont="0" applyFill="0" applyBorder="0" applyAlignment="0" applyProtection="0"/>
    <xf numFmtId="221" fontId="5" fillId="0" borderId="0" applyFont="0" applyFill="0" applyBorder="0" applyAlignment="0" applyProtection="0"/>
    <xf numFmtId="0" fontId="53" fillId="0" borderId="0" applyNumberFormat="0" applyFill="0" applyBorder="0" applyAlignment="0" applyProtection="0"/>
    <xf numFmtId="0" fontId="54" fillId="1" borderId="0" applyNumberFormat="0" applyBorder="0" applyProtection="0">
      <alignment horizontal="left" vertical="center"/>
    </xf>
    <xf numFmtId="193" fontId="55" fillId="0" borderId="0" applyNumberFormat="0" applyFill="0" applyBorder="0" applyAlignment="0" applyProtection="0"/>
    <xf numFmtId="0" fontId="5" fillId="0" borderId="0" applyBorder="0"/>
    <xf numFmtId="38" fontId="56" fillId="0" borderId="0" applyFill="0" applyBorder="0" applyAlignment="0" applyProtection="0">
      <alignment horizontal="left"/>
    </xf>
    <xf numFmtId="0" fontId="57" fillId="0" borderId="0"/>
    <xf numFmtId="0" fontId="58" fillId="0" borderId="18" applyNumberFormat="0" applyFill="0" applyAlignment="0" applyProtection="0"/>
    <xf numFmtId="0" fontId="59" fillId="0" borderId="0" applyNumberFormat="0" applyFill="0" applyBorder="0" applyAlignment="0" applyProtection="0"/>
    <xf numFmtId="1" fontId="10" fillId="0" borderId="0" applyFont="0" applyFill="0" applyBorder="0" applyAlignment="0" applyProtection="0"/>
    <xf numFmtId="222" fontId="19" fillId="0" borderId="0" applyFont="0" applyFill="0" applyBorder="0" applyAlignment="0" applyProtection="0"/>
    <xf numFmtId="0" fontId="79" fillId="0" borderId="0" applyNumberFormat="0" applyFill="0" applyBorder="0" applyAlignment="0" applyProtection="0">
      <alignment vertical="top"/>
      <protection locked="0"/>
    </xf>
    <xf numFmtId="225" fontId="20" fillId="0" borderId="0" applyFill="0" applyBorder="0" applyAlignment="0" applyProtection="0">
      <alignment horizontal="right"/>
    </xf>
    <xf numFmtId="0" fontId="83" fillId="0" borderId="0" applyAlignment="0"/>
    <xf numFmtId="0" fontId="84" fillId="0" borderId="0" applyAlignment="0"/>
    <xf numFmtId="0" fontId="46" fillId="33" borderId="0" applyAlignment="0"/>
    <xf numFmtId="226" fontId="18" fillId="0" borderId="23" applyFont="0" applyFill="0" applyBorder="0" applyAlignment="0" applyProtection="0"/>
    <xf numFmtId="227" fontId="20" fillId="0" borderId="0" applyFont="0" applyFill="0" applyBorder="0" applyAlignment="0" applyProtection="0"/>
    <xf numFmtId="228" fontId="18" fillId="0" borderId="0" applyFont="0" applyFill="0" applyBorder="0" applyAlignment="0" applyProtection="0"/>
    <xf numFmtId="179" fontId="85" fillId="24" borderId="24" applyFont="0" applyFill="0" applyBorder="0" applyAlignment="0" applyProtection="0"/>
    <xf numFmtId="0" fontId="86" fillId="0" borderId="0" applyAlignment="0"/>
    <xf numFmtId="14" fontId="20" fillId="0" borderId="5" applyFont="0" applyFill="0" applyBorder="0" applyAlignment="0" applyProtection="0"/>
    <xf numFmtId="0" fontId="87" fillId="34" borderId="25"/>
    <xf numFmtId="0" fontId="88" fillId="35" borderId="0" applyAlignment="0"/>
    <xf numFmtId="0" fontId="89" fillId="36" borderId="0" applyAlignment="0"/>
    <xf numFmtId="0" fontId="90" fillId="0" borderId="0" applyAlignment="0"/>
    <xf numFmtId="229" fontId="18" fillId="0" borderId="0" applyFont="0" applyFill="0" applyBorder="0" applyAlignment="0" applyProtection="0">
      <alignment horizontal="right"/>
    </xf>
    <xf numFmtId="193" fontId="91" fillId="0" borderId="0" applyNumberFormat="0" applyFill="0" applyBorder="0" applyAlignment="0" applyProtection="0">
      <alignment horizontal="left"/>
    </xf>
    <xf numFmtId="0" fontId="92" fillId="37" borderId="0" applyAlignment="0"/>
    <xf numFmtId="0" fontId="93" fillId="0" borderId="0" applyAlignment="0"/>
    <xf numFmtId="0" fontId="94" fillId="0" borderId="0" applyAlignment="0"/>
    <xf numFmtId="0" fontId="95" fillId="0" borderId="0" applyAlignment="0"/>
    <xf numFmtId="0" fontId="96" fillId="0" borderId="0" applyAlignment="0"/>
    <xf numFmtId="0" fontId="47" fillId="0" borderId="0" applyAlignment="0"/>
    <xf numFmtId="230" fontId="18" fillId="0" borderId="0" applyFont="0" applyFill="0" applyBorder="0" applyAlignment="0" applyProtection="0">
      <alignment horizontal="right"/>
    </xf>
    <xf numFmtId="0" fontId="97" fillId="0" borderId="0" applyAlignment="0"/>
    <xf numFmtId="231" fontId="18" fillId="0" borderId="0" applyFont="0" applyFill="0" applyBorder="0" applyAlignment="0"/>
  </cellStyleXfs>
  <cellXfs count="134">
    <xf numFmtId="0" fontId="0" fillId="0" borderId="0" xfId="0"/>
    <xf numFmtId="0" fontId="61" fillId="0" borderId="0" xfId="0" applyFont="1"/>
    <xf numFmtId="0" fontId="61" fillId="0" borderId="1" xfId="0" applyFont="1" applyBorder="1"/>
    <xf numFmtId="0" fontId="61" fillId="0" borderId="0" xfId="0" applyFont="1" applyBorder="1"/>
    <xf numFmtId="0" fontId="62" fillId="0" borderId="1" xfId="0" applyFont="1" applyBorder="1"/>
    <xf numFmtId="0" fontId="62" fillId="0" borderId="0" xfId="0" applyFont="1" applyBorder="1"/>
    <xf numFmtId="0" fontId="65" fillId="0" borderId="0" xfId="0" applyFont="1" applyBorder="1"/>
    <xf numFmtId="0" fontId="2" fillId="0" borderId="0" xfId="0" applyFont="1" applyBorder="1"/>
    <xf numFmtId="223" fontId="0" fillId="0" borderId="0" xfId="0" applyNumberFormat="1" applyFont="1" applyBorder="1"/>
    <xf numFmtId="0" fontId="2" fillId="0" borderId="0" xfId="0" applyFont="1" applyFill="1" applyBorder="1"/>
    <xf numFmtId="224" fontId="1" fillId="0" borderId="0" xfId="0" applyNumberFormat="1" applyFont="1" applyFill="1" applyBorder="1" applyAlignment="1">
      <alignment horizontal="right"/>
    </xf>
    <xf numFmtId="14" fontId="1" fillId="0" borderId="0" xfId="0" applyNumberFormat="1" applyFont="1" applyFill="1" applyBorder="1" applyAlignment="1">
      <alignment horizontal="right"/>
    </xf>
    <xf numFmtId="0" fontId="1" fillId="0" borderId="0" xfId="0" applyFont="1" applyFill="1" applyBorder="1" applyAlignment="1">
      <alignment horizontal="right"/>
    </xf>
    <xf numFmtId="14" fontId="68" fillId="0" borderId="0" xfId="0" applyNumberFormat="1" applyFont="1" applyBorder="1"/>
    <xf numFmtId="0" fontId="68" fillId="0" borderId="0" xfId="0" applyFont="1" applyBorder="1"/>
    <xf numFmtId="0" fontId="68" fillId="0" borderId="1" xfId="0" applyFont="1" applyBorder="1"/>
    <xf numFmtId="0" fontId="65" fillId="0" borderId="1" xfId="0" applyFont="1" applyBorder="1"/>
    <xf numFmtId="0" fontId="61" fillId="0" borderId="0" xfId="0" applyFont="1" applyFill="1" applyBorder="1"/>
    <xf numFmtId="0" fontId="62" fillId="0" borderId="0" xfId="0" applyFont="1"/>
    <xf numFmtId="0" fontId="69" fillId="0" borderId="0" xfId="0" applyFont="1"/>
    <xf numFmtId="0" fontId="61" fillId="0" borderId="0" xfId="0" applyFont="1" applyBorder="1" applyAlignment="1">
      <alignment horizontal="left" indent="1"/>
    </xf>
    <xf numFmtId="0" fontId="61" fillId="0" borderId="0" xfId="0" applyFont="1" applyFill="1" applyBorder="1" applyAlignment="1">
      <alignment horizontal="left" indent="1"/>
    </xf>
    <xf numFmtId="0" fontId="69" fillId="0" borderId="0" xfId="0" applyFont="1" applyFill="1" applyBorder="1"/>
    <xf numFmtId="0" fontId="61" fillId="0" borderId="0" xfId="0" applyFont="1" applyAlignment="1">
      <alignment horizontal="left" indent="1"/>
    </xf>
    <xf numFmtId="0" fontId="62" fillId="0" borderId="0" xfId="0" applyFont="1" applyAlignment="1">
      <alignment horizontal="left" indent="1"/>
    </xf>
    <xf numFmtId="0" fontId="61" fillId="0" borderId="0" xfId="0" applyFont="1" applyAlignment="1">
      <alignment horizontal="left" indent="2"/>
    </xf>
    <xf numFmtId="0" fontId="61" fillId="0" borderId="19" xfId="0" applyFont="1" applyBorder="1"/>
    <xf numFmtId="0" fontId="70" fillId="0" borderId="19" xfId="0" applyFont="1" applyBorder="1"/>
    <xf numFmtId="164" fontId="66" fillId="0" borderId="0" xfId="0" applyNumberFormat="1" applyFont="1" applyFill="1" applyBorder="1" applyAlignment="1">
      <alignment horizontal="right"/>
    </xf>
    <xf numFmtId="14" fontId="67" fillId="0" borderId="0" xfId="0" applyNumberFormat="1" applyFont="1" applyFill="1" applyBorder="1" applyAlignment="1">
      <alignment horizontal="left"/>
    </xf>
    <xf numFmtId="0" fontId="60" fillId="0" borderId="0" xfId="0" applyFont="1" applyFill="1" applyBorder="1"/>
    <xf numFmtId="164" fontId="1" fillId="0" borderId="0" xfId="0" applyNumberFormat="1" applyFont="1" applyFill="1" applyBorder="1" applyAlignment="1">
      <alignment horizontal="right"/>
    </xf>
    <xf numFmtId="166" fontId="62" fillId="0" borderId="0" xfId="0" applyNumberFormat="1" applyFont="1" applyBorder="1"/>
    <xf numFmtId="165" fontId="62" fillId="0" borderId="0" xfId="0" applyNumberFormat="1" applyFont="1" applyBorder="1"/>
    <xf numFmtId="14" fontId="0" fillId="0" borderId="1" xfId="0" applyNumberFormat="1" applyBorder="1"/>
    <xf numFmtId="0" fontId="71" fillId="31" borderId="0" xfId="119" applyFont="1" applyFill="1"/>
    <xf numFmtId="0" fontId="71" fillId="32" borderId="20" xfId="119" applyFont="1" applyFill="1" applyBorder="1"/>
    <xf numFmtId="0" fontId="71" fillId="32" borderId="0" xfId="119" applyFont="1" applyFill="1"/>
    <xf numFmtId="0" fontId="71" fillId="32" borderId="0" xfId="119" applyFont="1" applyFill="1" applyBorder="1"/>
    <xf numFmtId="0" fontId="71" fillId="32" borderId="21" xfId="119" applyFont="1" applyFill="1" applyBorder="1"/>
    <xf numFmtId="0" fontId="72" fillId="32" borderId="22" xfId="119" applyFont="1" applyFill="1" applyBorder="1"/>
    <xf numFmtId="0" fontId="71" fillId="32" borderId="22" xfId="119" applyFont="1" applyFill="1" applyBorder="1"/>
    <xf numFmtId="0" fontId="72" fillId="32" borderId="0" xfId="119" applyFont="1" applyFill="1" applyBorder="1"/>
    <xf numFmtId="0" fontId="73" fillId="32" borderId="0" xfId="119" applyFont="1" applyFill="1" applyBorder="1"/>
    <xf numFmtId="0" fontId="74" fillId="32" borderId="20" xfId="119" applyFont="1" applyFill="1" applyBorder="1" applyAlignment="1">
      <alignment horizontal="centerContinuous"/>
    </xf>
    <xf numFmtId="0" fontId="75" fillId="32" borderId="0" xfId="119" applyFont="1" applyFill="1" applyBorder="1" applyAlignment="1">
      <alignment horizontal="centerContinuous"/>
    </xf>
    <xf numFmtId="0" fontId="74" fillId="32" borderId="0" xfId="119" applyFont="1" applyFill="1" applyBorder="1" applyAlignment="1">
      <alignment horizontal="centerContinuous"/>
    </xf>
    <xf numFmtId="0" fontId="76" fillId="32" borderId="0" xfId="119" applyFont="1" applyFill="1" applyBorder="1" applyAlignment="1">
      <alignment horizontal="centerContinuous"/>
    </xf>
    <xf numFmtId="0" fontId="74" fillId="32" borderId="21" xfId="119" applyFont="1" applyFill="1" applyBorder="1" applyAlignment="1">
      <alignment horizontal="centerContinuous"/>
    </xf>
    <xf numFmtId="0" fontId="80" fillId="32" borderId="0" xfId="186" applyFont="1" applyFill="1" applyBorder="1" applyAlignment="1" applyProtection="1">
      <alignment horizontal="left" indent="1"/>
    </xf>
    <xf numFmtId="0" fontId="81" fillId="32" borderId="0" xfId="119" applyFont="1" applyFill="1" applyBorder="1" applyAlignment="1">
      <alignment horizontal="left" indent="1"/>
    </xf>
    <xf numFmtId="0" fontId="82" fillId="32" borderId="22" xfId="119" applyFont="1" applyFill="1" applyBorder="1"/>
    <xf numFmtId="3" fontId="0" fillId="0" borderId="0" xfId="0" applyNumberFormat="1"/>
    <xf numFmtId="164" fontId="0" fillId="0" borderId="0" xfId="0" applyNumberFormat="1" applyFont="1"/>
    <xf numFmtId="224" fontId="0" fillId="0" borderId="0" xfId="0" applyNumberFormat="1" applyFont="1"/>
    <xf numFmtId="224" fontId="98" fillId="0" borderId="0" xfId="0" applyNumberFormat="1" applyFont="1"/>
    <xf numFmtId="232" fontId="99" fillId="0" borderId="0" xfId="0" applyNumberFormat="1" applyFont="1"/>
    <xf numFmtId="14" fontId="0" fillId="0" borderId="1" xfId="0" applyNumberFormat="1" applyFont="1" applyBorder="1"/>
    <xf numFmtId="166" fontId="98" fillId="0" borderId="26" xfId="0" applyNumberFormat="1" applyFont="1" applyBorder="1"/>
    <xf numFmtId="165" fontId="98" fillId="0" borderId="26" xfId="0" applyNumberFormat="1" applyFont="1" applyBorder="1"/>
    <xf numFmtId="3" fontId="1" fillId="0" borderId="0" xfId="0" applyNumberFormat="1" applyFont="1"/>
    <xf numFmtId="3" fontId="101" fillId="0" borderId="0" xfId="0" applyNumberFormat="1" applyFont="1"/>
    <xf numFmtId="3" fontId="60" fillId="0" borderId="0" xfId="0" applyNumberFormat="1" applyFont="1"/>
    <xf numFmtId="0" fontId="1" fillId="0" borderId="0" xfId="0" applyFont="1"/>
    <xf numFmtId="3" fontId="2" fillId="0" borderId="0" xfId="0" applyNumberFormat="1" applyFont="1"/>
    <xf numFmtId="232" fontId="67" fillId="0" borderId="0" xfId="0" applyNumberFormat="1" applyFont="1"/>
    <xf numFmtId="224" fontId="2" fillId="0" borderId="0" xfId="0" applyNumberFormat="1" applyFont="1"/>
    <xf numFmtId="235" fontId="67" fillId="0" borderId="0" xfId="0" applyNumberFormat="1" applyFont="1"/>
    <xf numFmtId="0" fontId="2" fillId="0" borderId="0" xfId="0" applyFont="1"/>
    <xf numFmtId="232" fontId="102" fillId="0" borderId="0" xfId="0" applyNumberFormat="1" applyFont="1"/>
    <xf numFmtId="236" fontId="0" fillId="0" borderId="0" xfId="0" applyNumberFormat="1" applyFont="1"/>
    <xf numFmtId="234" fontId="0" fillId="0" borderId="0" xfId="0" applyNumberFormat="1" applyFont="1"/>
    <xf numFmtId="236" fontId="2" fillId="0" borderId="0" xfId="0" applyNumberFormat="1" applyFont="1"/>
    <xf numFmtId="233" fontId="2" fillId="0" borderId="0" xfId="0" applyNumberFormat="1" applyFont="1"/>
    <xf numFmtId="232" fontId="1" fillId="0" borderId="0" xfId="0" applyNumberFormat="1" applyFont="1"/>
    <xf numFmtId="0" fontId="0" fillId="0" borderId="0" xfId="0" applyNumberFormat="1" applyFont="1"/>
    <xf numFmtId="236" fontId="1" fillId="0" borderId="0" xfId="0" applyNumberFormat="1" applyFont="1"/>
    <xf numFmtId="0" fontId="0" fillId="0" borderId="0" xfId="0" applyAlignment="1">
      <alignment horizontal="right"/>
    </xf>
    <xf numFmtId="237" fontId="68" fillId="0" borderId="1" xfId="0" applyNumberFormat="1" applyFont="1" applyBorder="1"/>
    <xf numFmtId="14" fontId="68" fillId="0" borderId="0" xfId="0" applyNumberFormat="1" applyFont="1"/>
    <xf numFmtId="238" fontId="101" fillId="0" borderId="0" xfId="0" applyNumberFormat="1" applyFont="1" applyBorder="1"/>
    <xf numFmtId="239" fontId="101" fillId="0" borderId="0" xfId="0" applyNumberFormat="1" applyFont="1" applyBorder="1"/>
    <xf numFmtId="237" fontId="103" fillId="0" borderId="1" xfId="0" applyNumberFormat="1" applyFont="1" applyBorder="1"/>
    <xf numFmtId="240" fontId="100" fillId="0" borderId="0" xfId="0" applyNumberFormat="1" applyFont="1" applyFill="1"/>
    <xf numFmtId="164" fontId="100" fillId="0" borderId="0" xfId="0" applyNumberFormat="1" applyFont="1" applyFill="1" applyBorder="1"/>
    <xf numFmtId="0" fontId="61" fillId="0" borderId="0" xfId="0" applyFont="1" applyFill="1" applyBorder="1" applyAlignment="1">
      <alignment horizontal="left"/>
    </xf>
    <xf numFmtId="164" fontId="100" fillId="0" borderId="0" xfId="0" applyNumberFormat="1" applyFont="1" applyFill="1" applyBorder="1" applyAlignment="1">
      <alignment horizontal="left" indent="3"/>
    </xf>
    <xf numFmtId="0" fontId="62" fillId="0" borderId="0" xfId="0" applyFont="1" applyBorder="1" applyAlignment="1">
      <alignment horizontal="left"/>
    </xf>
    <xf numFmtId="240" fontId="101" fillId="0" borderId="0" xfId="0" applyNumberFormat="1" applyFont="1" applyFill="1" applyBorder="1" applyAlignment="1">
      <alignment horizontal="left" indent="3"/>
    </xf>
    <xf numFmtId="236" fontId="60" fillId="0" borderId="0" xfId="0" applyNumberFormat="1" applyFont="1"/>
    <xf numFmtId="0" fontId="61" fillId="0" borderId="0" xfId="0" applyFont="1" applyBorder="1" applyAlignment="1">
      <alignment horizontal="left"/>
    </xf>
    <xf numFmtId="164" fontId="61" fillId="0" borderId="0" xfId="0" applyNumberFormat="1" applyFont="1" applyFill="1" applyBorder="1" applyAlignment="1">
      <alignment horizontal="left" indent="3"/>
    </xf>
    <xf numFmtId="240" fontId="100" fillId="0" borderId="0" xfId="0" applyNumberFormat="1" applyFont="1" applyFill="1" applyBorder="1" applyAlignment="1">
      <alignment horizontal="left" indent="3"/>
    </xf>
    <xf numFmtId="240" fontId="62" fillId="0" borderId="0" xfId="0" applyNumberFormat="1" applyFont="1" applyFill="1" applyBorder="1" applyAlignment="1">
      <alignment horizontal="left" indent="3"/>
    </xf>
    <xf numFmtId="164" fontId="61" fillId="0" borderId="0" xfId="0" applyNumberFormat="1" applyFont="1" applyFill="1" applyBorder="1"/>
    <xf numFmtId="164" fontId="68" fillId="0" borderId="0" xfId="0" applyNumberFormat="1" applyFont="1" applyFill="1" applyBorder="1"/>
    <xf numFmtId="236" fontId="0" fillId="0" borderId="0" xfId="0" applyNumberFormat="1"/>
    <xf numFmtId="232" fontId="61" fillId="0" borderId="0" xfId="0" applyNumberFormat="1" applyFont="1"/>
    <xf numFmtId="241" fontId="2" fillId="0" borderId="0" xfId="0" applyNumberFormat="1" applyFont="1"/>
    <xf numFmtId="240" fontId="100" fillId="0" borderId="0" xfId="0" applyNumberFormat="1" applyFont="1" applyFill="1" applyBorder="1"/>
    <xf numFmtId="237" fontId="103" fillId="0" borderId="0" xfId="0" applyNumberFormat="1" applyFont="1" applyBorder="1"/>
    <xf numFmtId="37" fontId="104" fillId="0" borderId="0" xfId="0" applyNumberFormat="1" applyFont="1"/>
    <xf numFmtId="0" fontId="61" fillId="0" borderId="0" xfId="0" quotePrefix="1" applyFont="1" applyBorder="1" applyAlignment="1">
      <alignment horizontal="left" indent="1"/>
    </xf>
    <xf numFmtId="240" fontId="62" fillId="0" borderId="0" xfId="0" applyNumberFormat="1" applyFont="1" applyBorder="1"/>
    <xf numFmtId="164" fontId="61" fillId="0" borderId="0" xfId="0" applyNumberFormat="1" applyFont="1" applyBorder="1"/>
    <xf numFmtId="232" fontId="61" fillId="0" borderId="0" xfId="0" applyNumberFormat="1" applyFont="1" applyBorder="1"/>
    <xf numFmtId="232" fontId="104" fillId="0" borderId="0" xfId="0" applyNumberFormat="1" applyFont="1"/>
    <xf numFmtId="234" fontId="61" fillId="0" borderId="0" xfId="0" applyNumberFormat="1" applyFont="1"/>
    <xf numFmtId="37" fontId="2" fillId="0" borderId="0" xfId="0" applyNumberFormat="1" applyFont="1"/>
    <xf numFmtId="37" fontId="0" fillId="0" borderId="0" xfId="0" applyNumberFormat="1"/>
    <xf numFmtId="37" fontId="61" fillId="0" borderId="0" xfId="0" applyNumberFormat="1" applyFont="1" applyBorder="1"/>
    <xf numFmtId="37" fontId="104" fillId="0" borderId="0" xfId="0" applyNumberFormat="1" applyFont="1" applyBorder="1"/>
    <xf numFmtId="232" fontId="100" fillId="0" borderId="0" xfId="0" applyNumberFormat="1" applyFont="1"/>
    <xf numFmtId="0" fontId="62" fillId="0" borderId="0" xfId="0" applyFont="1" applyFill="1" applyBorder="1"/>
    <xf numFmtId="0" fontId="77" fillId="32" borderId="0" xfId="119" applyFont="1" applyFill="1" applyBorder="1" applyAlignment="1">
      <alignment horizontal="left" wrapText="1"/>
    </xf>
    <xf numFmtId="0" fontId="78" fillId="32" borderId="0" xfId="119" applyFont="1" applyFill="1" applyBorder="1" applyAlignment="1">
      <alignment horizontal="left" wrapText="1"/>
    </xf>
    <xf numFmtId="236" fontId="61" fillId="0" borderId="0" xfId="0" applyNumberFormat="1" applyFont="1"/>
    <xf numFmtId="0" fontId="0" fillId="0" borderId="0" xfId="0" applyFont="1"/>
    <xf numFmtId="232" fontId="61" fillId="0" borderId="1" xfId="0" applyNumberFormat="1" applyFont="1" applyBorder="1"/>
    <xf numFmtId="9" fontId="100" fillId="0" borderId="1" xfId="0" applyNumberFormat="1" applyFont="1" applyBorder="1"/>
    <xf numFmtId="242" fontId="0" fillId="0" borderId="0" xfId="0" applyNumberFormat="1"/>
    <xf numFmtId="235" fontId="99" fillId="0" borderId="0" xfId="0" applyNumberFormat="1" applyFont="1"/>
    <xf numFmtId="236" fontId="100" fillId="0" borderId="0" xfId="0" applyNumberFormat="1" applyFont="1"/>
    <xf numFmtId="236" fontId="101" fillId="0" borderId="0" xfId="0" applyNumberFormat="1" applyFont="1"/>
    <xf numFmtId="0" fontId="100" fillId="0" borderId="0" xfId="0" applyFont="1"/>
    <xf numFmtId="0" fontId="62" fillId="0" borderId="0" xfId="0" applyFont="1" applyFill="1" applyBorder="1" applyAlignment="1">
      <alignment horizontal="left"/>
    </xf>
    <xf numFmtId="3" fontId="61" fillId="0" borderId="0" xfId="0" applyNumberFormat="1" applyFont="1" applyBorder="1"/>
    <xf numFmtId="3" fontId="98" fillId="0" borderId="0" xfId="0" applyNumberFormat="1" applyFont="1"/>
    <xf numFmtId="236" fontId="98" fillId="0" borderId="0" xfId="0" applyNumberFormat="1" applyFont="1"/>
    <xf numFmtId="0" fontId="69" fillId="0" borderId="0" xfId="0" applyFont="1" applyBorder="1"/>
    <xf numFmtId="0" fontId="62" fillId="0" borderId="0" xfId="0" applyFont="1" applyBorder="1" applyAlignment="1">
      <alignment horizontal="left" indent="1"/>
    </xf>
    <xf numFmtId="0" fontId="0" fillId="0" borderId="0" xfId="0" applyAlignment="1">
      <alignment horizontal="center"/>
    </xf>
    <xf numFmtId="0" fontId="61" fillId="0" borderId="0" xfId="0" quotePrefix="1" applyFont="1" applyBorder="1"/>
    <xf numFmtId="245" fontId="102" fillId="0" borderId="0" xfId="0" applyNumberFormat="1" applyFont="1"/>
  </cellXfs>
  <cellStyles count="212">
    <cellStyle name="$" xfId="1"/>
    <cellStyle name="$m" xfId="2"/>
    <cellStyle name="$q" xfId="3"/>
    <cellStyle name="$q*" xfId="4"/>
    <cellStyle name="$q_valuation" xfId="5"/>
    <cellStyle name="$qA" xfId="6"/>
    <cellStyle name="$qRange" xfId="7"/>
    <cellStyle name="%" xfId="8"/>
    <cellStyle name="******************************************" xfId="9"/>
    <cellStyle name="10Q" xfId="187"/>
    <cellStyle name="2 Decimal Places_MA Software Comps - List_AccretionDilution OTGS v16.xls Chart 1" xfId="10"/>
    <cellStyle name="20% - Accent1 2" xfId="11"/>
    <cellStyle name="20% - Accent2 2" xfId="12"/>
    <cellStyle name="20% - Accent3 2" xfId="13"/>
    <cellStyle name="20% - Accent4 2" xfId="14"/>
    <cellStyle name="20% - Accent5 2" xfId="15"/>
    <cellStyle name="20% - Accent6 2" xfId="16"/>
    <cellStyle name="40% - Accent1 2" xfId="17"/>
    <cellStyle name="40% - Accent2 2" xfId="18"/>
    <cellStyle name="40% - Accent3 2" xfId="19"/>
    <cellStyle name="40% - Accent4 2" xfId="20"/>
    <cellStyle name="40% - Accent5 2" xfId="21"/>
    <cellStyle name="40% - Accent6 2" xfId="22"/>
    <cellStyle name="60% - Accent1 2" xfId="23"/>
    <cellStyle name="60% - Accent2 2" xfId="24"/>
    <cellStyle name="60% - Accent3 2" xfId="25"/>
    <cellStyle name="60% - Accent4 2" xfId="26"/>
    <cellStyle name="60% - Accent5 2" xfId="27"/>
    <cellStyle name="60% - Accent6 2" xfId="28"/>
    <cellStyle name="Accent1 2" xfId="29"/>
    <cellStyle name="Accent2 2" xfId="30"/>
    <cellStyle name="Accent3 2" xfId="31"/>
    <cellStyle name="Accent4 2" xfId="32"/>
    <cellStyle name="Accent5 2" xfId="33"/>
    <cellStyle name="Accent6 2" xfId="34"/>
    <cellStyle name="AFE" xfId="35"/>
    <cellStyle name="Bad 2" xfId="36"/>
    <cellStyle name="Balance" xfId="37"/>
    <cellStyle name="BalanceSheet" xfId="38"/>
    <cellStyle name="Body_$Numeric" xfId="39"/>
    <cellStyle name="Bold Header" xfId="40"/>
    <cellStyle name="Calculation 2" xfId="41"/>
    <cellStyle name="CashFlow" xfId="42"/>
    <cellStyle name="ChartingText" xfId="188"/>
    <cellStyle name="Check" xfId="43"/>
    <cellStyle name="Check Cell 2" xfId="44"/>
    <cellStyle name="CHPTop" xfId="189"/>
    <cellStyle name="ColHeading" xfId="45"/>
    <cellStyle name="colheadleft" xfId="46"/>
    <cellStyle name="colheadright" xfId="47"/>
    <cellStyle name="ColumnHeaderNormal" xfId="190"/>
    <cellStyle name="Comma 2" xfId="48"/>
    <cellStyle name="Comma0" xfId="49"/>
    <cellStyle name="Comma2" xfId="50"/>
    <cellStyle name="Company" xfId="51"/>
    <cellStyle name="CurRatio" xfId="52"/>
    <cellStyle name="Currency--" xfId="191"/>
    <cellStyle name="Currency [1]" xfId="53"/>
    <cellStyle name="Currency [2]" xfId="54"/>
    <cellStyle name="Currency0" xfId="55"/>
    <cellStyle name="Currency2" xfId="56"/>
    <cellStyle name="d_yield" xfId="57"/>
    <cellStyle name="d_yield_CW's MAKER MODEL" xfId="58"/>
    <cellStyle name="d_yield_valuation" xfId="59"/>
    <cellStyle name="Date [d-mmm-yy]" xfId="60"/>
    <cellStyle name="Date [mm-dd-yy]" xfId="192"/>
    <cellStyle name="Date [mm-dd-yyyy]" xfId="193"/>
    <cellStyle name="Date [mm-d-yyyy]" xfId="194"/>
    <cellStyle name="Date [mmm-d-yyyy]" xfId="61"/>
    <cellStyle name="Date [mmm-yyyy]" xfId="62"/>
    <cellStyle name="Dates" xfId="63"/>
    <cellStyle name="DateYear" xfId="64"/>
    <cellStyle name="Dezimal_Capital expenditure planning FY 2000" xfId="65"/>
    <cellStyle name="Dollar" xfId="66"/>
    <cellStyle name="Dollars" xfId="67"/>
    <cellStyle name="DollarWhole" xfId="68"/>
    <cellStyle name="eps" xfId="69"/>
    <cellStyle name="eps$" xfId="70"/>
    <cellStyle name="eps$A" xfId="71"/>
    <cellStyle name="eps$E" xfId="72"/>
    <cellStyle name="eps_CW's MAKER MODEL" xfId="73"/>
    <cellStyle name="epsA" xfId="74"/>
    <cellStyle name="EPSActual" xfId="75"/>
    <cellStyle name="epsE" xfId="76"/>
    <cellStyle name="EPSEstimate" xfId="77"/>
    <cellStyle name="Euro" xfId="78"/>
    <cellStyle name="Explanatory Text 2" xfId="79"/>
    <cellStyle name="fy_eps$" xfId="80"/>
    <cellStyle name="g_rate" xfId="81"/>
    <cellStyle name="g_rate_CW's MAKER MODEL" xfId="82"/>
    <cellStyle name="g_rate_valuation" xfId="83"/>
    <cellStyle name="General" xfId="84"/>
    <cellStyle name="Good 2" xfId="85"/>
    <cellStyle name="GrowthRate" xfId="86"/>
    <cellStyle name="GrowthSeq" xfId="87"/>
    <cellStyle name="Hard Number Input" xfId="88"/>
    <cellStyle name="Heading 1 2" xfId="89"/>
    <cellStyle name="Heading 2 2" xfId="90"/>
    <cellStyle name="Heading 3 2" xfId="91"/>
    <cellStyle name="Heading 4 2" xfId="92"/>
    <cellStyle name="Historical Number" xfId="93"/>
    <cellStyle name="Hyperlink_Accretion Dilution Training Unprotected" xfId="186"/>
    <cellStyle name="iemens" xfId="94"/>
    <cellStyle name="Income" xfId="95"/>
    <cellStyle name="IncomeStatement" xfId="96"/>
    <cellStyle name="Input 2" xfId="97"/>
    <cellStyle name="Input Fixed [0]" xfId="98"/>
    <cellStyle name="Integer" xfId="99"/>
    <cellStyle name="Inverse Header" xfId="100"/>
    <cellStyle name="Invisible" xfId="195"/>
    <cellStyle name="Item" xfId="101"/>
    <cellStyle name="ItemTypeClass" xfId="102"/>
    <cellStyle name="Linked Cell 2" xfId="103"/>
    <cellStyle name="LTGR" xfId="104"/>
    <cellStyle name="m" xfId="105"/>
    <cellStyle name="m$" xfId="106"/>
    <cellStyle name="m/d/yy" xfId="196"/>
    <cellStyle name="m_CW's MAKER MODEL" xfId="107"/>
    <cellStyle name="m_valuation" xfId="108"/>
    <cellStyle name="Margin" xfId="109"/>
    <cellStyle name="Margins" xfId="110"/>
    <cellStyle name="mm" xfId="111"/>
    <cellStyle name="Multiple" xfId="112"/>
    <cellStyle name="MyStyle" xfId="197"/>
    <cellStyle name="NA is zero" xfId="113"/>
    <cellStyle name="Neutral 2" xfId="114"/>
    <cellStyle name="NewColumnHeaderNormal" xfId="198"/>
    <cellStyle name="NewSectionHeaderNormal" xfId="199"/>
    <cellStyle name="NewTitleNormal" xfId="200"/>
    <cellStyle name="Normal" xfId="0" builtinId="0"/>
    <cellStyle name="Normal--" xfId="201"/>
    <cellStyle name="Normal [0]" xfId="115"/>
    <cellStyle name="Normal [1]" xfId="116"/>
    <cellStyle name="Normal [2]" xfId="117"/>
    <cellStyle name="Normal [3]" xfId="118"/>
    <cellStyle name="Normal 2" xfId="119"/>
    <cellStyle name="Normal Bold" xfId="120"/>
    <cellStyle name="Normal Pct" xfId="121"/>
    <cellStyle name="NormalX" xfId="122"/>
    <cellStyle name="Note 2" xfId="123"/>
    <cellStyle name="NPPESalesPct" xfId="124"/>
    <cellStyle name="Number" xfId="125"/>
    <cellStyle name="NWI%S" xfId="126"/>
    <cellStyle name="Output 2" xfId="127"/>
    <cellStyle name="P/E" xfId="128"/>
    <cellStyle name="Palatino" xfId="129"/>
    <cellStyle name="pc1" xfId="130"/>
    <cellStyle name="pe" xfId="131"/>
    <cellStyle name="PE/LTGR" xfId="132"/>
    <cellStyle name="PEG" xfId="133"/>
    <cellStyle name="Percent [0]" xfId="134"/>
    <cellStyle name="Percent [1]" xfId="135"/>
    <cellStyle name="Percent [2]" xfId="136"/>
    <cellStyle name="PercentChange" xfId="137"/>
    <cellStyle name="PercentPresentation" xfId="138"/>
    <cellStyle name="PerShare" xfId="139"/>
    <cellStyle name="POPS" xfId="140"/>
    <cellStyle name="Presentation" xfId="141"/>
    <cellStyle name="PresentationZero" xfId="142"/>
    <cellStyle name="price" xfId="143"/>
    <cellStyle name="q" xfId="144"/>
    <cellStyle name="q_CW's MAKER MODEL" xfId="145"/>
    <cellStyle name="QEPS-h" xfId="146"/>
    <cellStyle name="QEPS-H1" xfId="147"/>
    <cellStyle name="qRange" xfId="148"/>
    <cellStyle name="range" xfId="149"/>
    <cellStyle name="RatioX" xfId="150"/>
    <cellStyle name="Red font" xfId="202"/>
    <cellStyle name="Report" xfId="151"/>
    <cellStyle name="Right" xfId="152"/>
    <cellStyle name="SectionHeaderNormal" xfId="203"/>
    <cellStyle name="SectionHeading" xfId="153"/>
    <cellStyle name="Shares" xfId="154"/>
    <cellStyle name="StockPrice" xfId="155"/>
    <cellStyle name="Style 1" xfId="156"/>
    <cellStyle name="Style 21" xfId="157"/>
    <cellStyle name="Style 22" xfId="158"/>
    <cellStyle name="Style 23" xfId="159"/>
    <cellStyle name="Style 24" xfId="160"/>
    <cellStyle name="Style 26" xfId="161"/>
    <cellStyle name="Style 27" xfId="162"/>
    <cellStyle name="Style 34" xfId="163"/>
    <cellStyle name="Style 37" xfId="164"/>
    <cellStyle name="Style 63" xfId="165"/>
    <cellStyle name="SubDollar" xfId="166"/>
    <cellStyle name="SubGrowth" xfId="167"/>
    <cellStyle name="SubGrowthRate" xfId="168"/>
    <cellStyle name="SubMargins" xfId="169"/>
    <cellStyle name="SubPenetration" xfId="170"/>
    <cellStyle name="Subscribers" xfId="171"/>
    <cellStyle name="SubScript" xfId="204"/>
    <cellStyle name="SubVariable" xfId="172"/>
    <cellStyle name="SuperScript" xfId="205"/>
    <cellStyle name="tcn" xfId="173"/>
    <cellStyle name="TextBold" xfId="206"/>
    <cellStyle name="TextItalic" xfId="207"/>
    <cellStyle name="TextNormal" xfId="208"/>
    <cellStyle name="Times" xfId="209"/>
    <cellStyle name="Times [1]" xfId="174"/>
    <cellStyle name="Times [2]" xfId="175"/>
    <cellStyle name="Title 2" xfId="176"/>
    <cellStyle name="title2" xfId="177"/>
    <cellStyle name="TitleII" xfId="178"/>
    <cellStyle name="TitleNormal" xfId="210"/>
    <cellStyle name="Titles" xfId="179"/>
    <cellStyle name="TitleSub" xfId="180"/>
    <cellStyle name="tn" xfId="181"/>
    <cellStyle name="Total 2" xfId="182"/>
    <cellStyle name="Warning Text 2" xfId="183"/>
    <cellStyle name="WholeNumber" xfId="184"/>
    <cellStyle name="Year&quot;E&quot;" xfId="185"/>
    <cellStyle name="Years" xfId="211"/>
  </cellStyles>
  <dxfs count="1">
    <dxf>
      <fill>
        <patternFill>
          <bgColor theme="8"/>
        </patternFill>
      </fill>
      <border>
        <left/>
        <right/>
        <top style="thin">
          <color rgb="FF9C0006"/>
        </top>
        <bottom style="thin">
          <color rgb="FF9C0006"/>
        </bottom>
        <vertical/>
        <horizontal/>
      </border>
    </dxf>
  </dxfs>
  <tableStyles count="0" defaultTableStyle="TableStyleMedium2" defaultPivotStyle="PivotStyleLight16"/>
  <colors>
    <mruColors>
      <color rgb="FF008000"/>
      <color rgb="FFFFFF99"/>
      <color rgb="FF0000FF"/>
      <color rgb="FFFFCC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2.xml"/><Relationship Id="rId4" Type="http://schemas.openxmlformats.org/officeDocument/2006/relationships/externalLink" Target="externalLinks/externalLink1.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wmf"/></Relationships>
</file>

<file path=xl/drawings/drawing1.xml><?xml version="1.0" encoding="utf-8"?>
<xdr:wsDr xmlns:xdr="http://schemas.openxmlformats.org/drawingml/2006/spreadsheetDrawing" xmlns:a="http://schemas.openxmlformats.org/drawingml/2006/main">
  <xdr:twoCellAnchor editAs="oneCell">
    <xdr:from>
      <xdr:col>5</xdr:col>
      <xdr:colOff>310350</xdr:colOff>
      <xdr:row>4</xdr:row>
      <xdr:rowOff>0</xdr:rowOff>
    </xdr:from>
    <xdr:to>
      <xdr:col>9</xdr:col>
      <xdr:colOff>271896</xdr:colOff>
      <xdr:row>10</xdr:row>
      <xdr:rowOff>20781</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167725" y="533400"/>
          <a:ext cx="2133246" cy="1039956"/>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DOCUME~1/Owner/LOCALS~1/Temp/Rar$DI00.921/Valuation_2010_Model.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nkumar.WSP/Downloads/DataSet1.xlsb"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istorical Data"/>
      <sheetName val="Forecast Drivers"/>
      <sheetName val="Results"/>
      <sheetName val="Valuation Summary"/>
    </sheetNames>
    <sheetDataSet>
      <sheetData sheetId="0" refreshError="1"/>
      <sheetData sheetId="1">
        <row r="25">
          <cell r="E25">
            <v>0</v>
          </cell>
          <cell r="F25">
            <v>0</v>
          </cell>
          <cell r="G25">
            <v>0</v>
          </cell>
          <cell r="H25">
            <v>0</v>
          </cell>
          <cell r="I25">
            <v>0</v>
          </cell>
          <cell r="J25">
            <v>0</v>
          </cell>
          <cell r="K25">
            <v>0</v>
          </cell>
          <cell r="L25">
            <v>0</v>
          </cell>
          <cell r="M25">
            <v>0</v>
          </cell>
          <cell r="N25">
            <v>0</v>
          </cell>
          <cell r="O25">
            <v>0</v>
          </cell>
          <cell r="P25">
            <v>0</v>
          </cell>
          <cell r="Q25">
            <v>0</v>
          </cell>
          <cell r="R25">
            <v>0</v>
          </cell>
          <cell r="S25">
            <v>0</v>
          </cell>
        </row>
        <row r="330">
          <cell r="D330">
            <v>1</v>
          </cell>
        </row>
      </sheetData>
      <sheetData sheetId="2">
        <row r="142">
          <cell r="F142">
            <v>0</v>
          </cell>
        </row>
        <row r="145">
          <cell r="F145">
            <v>0</v>
          </cell>
          <cell r="G145">
            <v>0</v>
          </cell>
          <cell r="H145">
            <v>0</v>
          </cell>
          <cell r="I145">
            <v>0</v>
          </cell>
          <cell r="J145">
            <v>0</v>
          </cell>
          <cell r="K145">
            <v>0</v>
          </cell>
          <cell r="L145">
            <v>0</v>
          </cell>
          <cell r="M145">
            <v>0</v>
          </cell>
          <cell r="N145">
            <v>0</v>
          </cell>
          <cell r="O145">
            <v>0</v>
          </cell>
          <cell r="P145">
            <v>0</v>
          </cell>
          <cell r="Q145">
            <v>0</v>
          </cell>
          <cell r="R145">
            <v>0</v>
          </cell>
          <cell r="S145">
            <v>0</v>
          </cell>
          <cell r="T145">
            <v>0</v>
          </cell>
          <cell r="U145">
            <v>0</v>
          </cell>
          <cell r="V145">
            <v>0</v>
          </cell>
          <cell r="W145">
            <v>0</v>
          </cell>
          <cell r="X145">
            <v>0</v>
          </cell>
          <cell r="Y145">
            <v>0</v>
          </cell>
          <cell r="Z145">
            <v>0</v>
          </cell>
          <cell r="AA145">
            <v>0</v>
          </cell>
          <cell r="AB145">
            <v>0</v>
          </cell>
          <cell r="AC145">
            <v>0</v>
          </cell>
          <cell r="AD145">
            <v>0</v>
          </cell>
        </row>
        <row r="182">
          <cell r="E182">
            <v>0</v>
          </cell>
          <cell r="F182">
            <v>0</v>
          </cell>
          <cell r="G182">
            <v>0</v>
          </cell>
          <cell r="H182">
            <v>0</v>
          </cell>
          <cell r="I182">
            <v>0</v>
          </cell>
          <cell r="J182">
            <v>0</v>
          </cell>
          <cell r="K182">
            <v>0</v>
          </cell>
          <cell r="L182">
            <v>0</v>
          </cell>
          <cell r="M182">
            <v>0</v>
          </cell>
          <cell r="N182">
            <v>0</v>
          </cell>
          <cell r="O182">
            <v>0</v>
          </cell>
          <cell r="P182">
            <v>0</v>
          </cell>
          <cell r="Q182">
            <v>0</v>
          </cell>
          <cell r="R182">
            <v>0</v>
          </cell>
          <cell r="S182">
            <v>0</v>
          </cell>
          <cell r="T182">
            <v>0</v>
          </cell>
          <cell r="U182">
            <v>0</v>
          </cell>
          <cell r="V182">
            <v>0</v>
          </cell>
          <cell r="W182">
            <v>0</v>
          </cell>
          <cell r="X182">
            <v>0</v>
          </cell>
          <cell r="Y182">
            <v>0</v>
          </cell>
          <cell r="Z182">
            <v>0</v>
          </cell>
          <cell r="AA182">
            <v>0</v>
          </cell>
          <cell r="AB182">
            <v>0</v>
          </cell>
          <cell r="AC182">
            <v>0</v>
          </cell>
          <cell r="AD182">
            <v>0</v>
          </cell>
        </row>
      </sheetData>
      <sheetData sheetId="3"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irc_ans"/>
      <sheetName val="Circ"/>
      <sheetName val="Reg 0"/>
      <sheetName val="Reg_ans"/>
      <sheetName val="CF"/>
      <sheetName val="CF_ans"/>
      <sheetName val="BoostToolkitClipBoard2010"/>
      <sheetName val="DS0"/>
      <sheetName val="DS0_ans"/>
      <sheetName val="Data Set1"/>
      <sheetName val="DataSet2"/>
      <sheetName val="DataSet3"/>
      <sheetName val="Other"/>
      <sheetName val="DataSet4"/>
      <sheetName val="Array0"/>
      <sheetName val="Array1"/>
      <sheetName val="Array2"/>
      <sheetName val="Array3"/>
      <sheetName val="Array4"/>
      <sheetName val="Array5"/>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ow r="5">
          <cell r="B5" t="str">
            <v>iPad</v>
          </cell>
          <cell r="C5">
            <v>500</v>
          </cell>
        </row>
        <row r="6">
          <cell r="B6" t="str">
            <v>iPod</v>
          </cell>
          <cell r="C6">
            <v>200</v>
          </cell>
        </row>
        <row r="7">
          <cell r="B7" t="str">
            <v>iPhone</v>
          </cell>
          <cell r="C7">
            <v>400</v>
          </cell>
        </row>
      </sheetData>
      <sheetData sheetId="15"/>
      <sheetData sheetId="16"/>
      <sheetData sheetId="17"/>
      <sheetData sheetId="18"/>
      <sheetData sheetId="1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
  <sheetViews>
    <sheetView workbookViewId="0"/>
  </sheetViews>
  <sheetFormatPr defaultRowHeight="14.4"/>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20"/>
  <sheetViews>
    <sheetView zoomScale="220" zoomScaleNormal="220" workbookViewId="0">
      <selection activeCell="B15" sqref="B15"/>
    </sheetView>
  </sheetViews>
  <sheetFormatPr defaultColWidth="9.109375" defaultRowHeight="10.8"/>
  <cols>
    <col min="1" max="1" width="1.5546875" style="35" customWidth="1"/>
    <col min="2" max="2" width="1.88671875" style="35" customWidth="1"/>
    <col min="3" max="14" width="8.109375" style="35" customWidth="1"/>
    <col min="15" max="15" width="2" style="35" customWidth="1"/>
    <col min="16" max="16384" width="9.109375" style="35"/>
  </cols>
  <sheetData>
    <row r="1" spans="2:15" ht="5.25" customHeight="1"/>
    <row r="2" spans="2:15" ht="4.5" customHeight="1">
      <c r="B2" s="36"/>
      <c r="C2" s="37"/>
      <c r="D2" s="37"/>
      <c r="E2" s="37"/>
      <c r="F2" s="37"/>
      <c r="G2" s="37"/>
      <c r="H2" s="37"/>
      <c r="I2" s="37"/>
      <c r="J2" s="37"/>
      <c r="K2" s="38"/>
      <c r="L2" s="38"/>
      <c r="M2" s="38"/>
      <c r="N2" s="38"/>
      <c r="O2" s="39"/>
    </row>
    <row r="3" spans="2:15" ht="16.8" thickBot="1">
      <c r="B3" s="36"/>
      <c r="C3" s="40"/>
      <c r="D3" s="41"/>
      <c r="E3" s="41"/>
      <c r="F3" s="41"/>
      <c r="G3" s="41"/>
      <c r="H3" s="41"/>
      <c r="I3" s="41"/>
      <c r="J3" s="41"/>
      <c r="K3" s="41"/>
      <c r="L3" s="41"/>
      <c r="M3" s="41"/>
      <c r="N3" s="41"/>
      <c r="O3" s="39"/>
    </row>
    <row r="4" spans="2:15" ht="16.2">
      <c r="B4" s="36"/>
      <c r="C4" s="42"/>
      <c r="D4" s="38"/>
      <c r="E4" s="38"/>
      <c r="F4" s="38"/>
      <c r="G4" s="38"/>
      <c r="H4" s="38"/>
      <c r="I4" s="38"/>
      <c r="J4" s="38"/>
      <c r="K4" s="38"/>
      <c r="L4" s="38"/>
      <c r="M4" s="38"/>
      <c r="N4" s="38"/>
      <c r="O4" s="39"/>
    </row>
    <row r="5" spans="2:15" ht="10.5" customHeight="1">
      <c r="B5" s="36"/>
      <c r="C5" s="42"/>
      <c r="D5" s="38"/>
      <c r="E5" s="38"/>
      <c r="F5" s="43"/>
      <c r="G5" s="38"/>
      <c r="H5" s="38"/>
      <c r="I5" s="38"/>
      <c r="J5" s="38"/>
      <c r="K5" s="38"/>
      <c r="L5" s="38"/>
      <c r="M5" s="38"/>
      <c r="N5" s="38"/>
      <c r="O5" s="39"/>
    </row>
    <row r="6" spans="2:15" ht="16.2">
      <c r="B6" s="36"/>
      <c r="C6" s="42"/>
      <c r="D6" s="38"/>
      <c r="E6" s="38"/>
      <c r="F6" s="38"/>
      <c r="G6" s="38"/>
      <c r="H6" s="38"/>
      <c r="I6" s="38"/>
      <c r="J6" s="38"/>
      <c r="K6" s="38"/>
      <c r="L6" s="38"/>
      <c r="M6" s="38"/>
      <c r="N6" s="38"/>
      <c r="O6" s="39"/>
    </row>
    <row r="7" spans="2:15" ht="16.2">
      <c r="B7" s="36"/>
      <c r="C7" s="42"/>
      <c r="D7" s="38"/>
      <c r="E7" s="38"/>
      <c r="F7" s="38"/>
      <c r="G7" s="38"/>
      <c r="H7" s="38"/>
      <c r="I7" s="38"/>
      <c r="J7" s="38"/>
      <c r="K7" s="38"/>
      <c r="L7" s="38"/>
      <c r="M7" s="38"/>
      <c r="N7" s="38"/>
      <c r="O7" s="39"/>
    </row>
    <row r="8" spans="2:15" ht="16.2">
      <c r="B8" s="36"/>
      <c r="C8" s="42"/>
      <c r="D8" s="38"/>
      <c r="E8" s="38"/>
      <c r="F8" s="38"/>
      <c r="G8" s="38"/>
      <c r="H8" s="38"/>
      <c r="I8" s="38"/>
      <c r="J8" s="38"/>
      <c r="K8" s="38"/>
      <c r="L8" s="38"/>
      <c r="M8" s="38"/>
      <c r="N8" s="38"/>
      <c r="O8" s="39"/>
    </row>
    <row r="9" spans="2:15" ht="16.2">
      <c r="B9" s="36"/>
      <c r="C9" s="42"/>
      <c r="D9" s="38"/>
      <c r="E9" s="38"/>
      <c r="F9" s="38"/>
      <c r="G9" s="38"/>
      <c r="H9" s="38"/>
      <c r="I9" s="38"/>
      <c r="J9" s="38"/>
      <c r="K9" s="38"/>
      <c r="L9" s="38"/>
      <c r="M9" s="38"/>
      <c r="N9" s="38"/>
      <c r="O9" s="39"/>
    </row>
    <row r="10" spans="2:15" ht="6.75" customHeight="1">
      <c r="B10" s="36"/>
      <c r="C10" s="42"/>
      <c r="D10" s="38"/>
      <c r="E10" s="38"/>
      <c r="F10" s="38"/>
      <c r="G10" s="38"/>
      <c r="H10" s="38"/>
      <c r="I10" s="38"/>
      <c r="J10" s="38"/>
      <c r="K10" s="38"/>
      <c r="L10" s="38"/>
      <c r="M10" s="38"/>
      <c r="N10" s="38"/>
      <c r="O10" s="39"/>
    </row>
    <row r="11" spans="2:15" ht="16.2">
      <c r="B11" s="36"/>
      <c r="C11" s="42"/>
      <c r="D11" s="38"/>
      <c r="E11" s="38"/>
      <c r="F11" s="38"/>
      <c r="G11" s="38"/>
      <c r="H11" s="38"/>
      <c r="I11" s="38"/>
      <c r="J11" s="38"/>
      <c r="K11" s="38"/>
      <c r="L11" s="38"/>
      <c r="M11" s="38"/>
      <c r="N11" s="38"/>
      <c r="O11" s="39"/>
    </row>
    <row r="12" spans="2:15" ht="26.4">
      <c r="B12" s="44" t="s">
        <v>54</v>
      </c>
      <c r="C12" s="45"/>
      <c r="D12" s="46"/>
      <c r="E12" s="47"/>
      <c r="F12" s="46"/>
      <c r="G12" s="46"/>
      <c r="H12" s="46"/>
      <c r="I12" s="46"/>
      <c r="J12" s="46"/>
      <c r="K12" s="46"/>
      <c r="L12" s="46"/>
      <c r="M12" s="46"/>
      <c r="N12" s="46"/>
      <c r="O12" s="48"/>
    </row>
    <row r="13" spans="2:15" ht="12.75" customHeight="1">
      <c r="B13" s="36"/>
      <c r="C13" s="114" t="s">
        <v>52</v>
      </c>
      <c r="D13" s="115"/>
      <c r="E13" s="115"/>
      <c r="F13" s="115"/>
      <c r="G13" s="115"/>
      <c r="H13" s="115"/>
      <c r="I13" s="115"/>
      <c r="J13" s="115"/>
      <c r="K13" s="115"/>
      <c r="L13" s="115"/>
      <c r="M13" s="115"/>
      <c r="N13" s="115"/>
      <c r="O13" s="39"/>
    </row>
    <row r="14" spans="2:15" ht="12.75" customHeight="1">
      <c r="B14" s="36"/>
      <c r="C14" s="115"/>
      <c r="D14" s="115"/>
      <c r="E14" s="115"/>
      <c r="F14" s="115"/>
      <c r="G14" s="115"/>
      <c r="H14" s="115"/>
      <c r="I14" s="115"/>
      <c r="J14" s="115"/>
      <c r="K14" s="115"/>
      <c r="L14" s="115"/>
      <c r="M14" s="115"/>
      <c r="N14" s="115"/>
      <c r="O14" s="39"/>
    </row>
    <row r="15" spans="2:15" ht="12.75" customHeight="1">
      <c r="B15" s="36"/>
      <c r="C15" s="115"/>
      <c r="D15" s="115"/>
      <c r="E15" s="115"/>
      <c r="F15" s="115"/>
      <c r="G15" s="115"/>
      <c r="H15" s="115"/>
      <c r="I15" s="115"/>
      <c r="J15" s="115"/>
      <c r="K15" s="115"/>
      <c r="L15" s="115"/>
      <c r="M15" s="115"/>
      <c r="N15" s="115"/>
      <c r="O15" s="39"/>
    </row>
    <row r="16" spans="2:15" ht="11.25" customHeight="1">
      <c r="B16" s="36"/>
      <c r="C16" s="115"/>
      <c r="D16" s="115"/>
      <c r="E16" s="115"/>
      <c r="F16" s="115"/>
      <c r="G16" s="115"/>
      <c r="H16" s="115"/>
      <c r="I16" s="115"/>
      <c r="J16" s="115"/>
      <c r="K16" s="115"/>
      <c r="L16" s="115"/>
      <c r="M16" s="115"/>
      <c r="N16" s="115"/>
      <c r="O16" s="39"/>
    </row>
    <row r="17" spans="2:15" ht="11.25" customHeight="1">
      <c r="B17" s="36"/>
      <c r="C17" s="115"/>
      <c r="D17" s="115"/>
      <c r="E17" s="115"/>
      <c r="F17" s="115"/>
      <c r="G17" s="115"/>
      <c r="H17" s="115"/>
      <c r="I17" s="115"/>
      <c r="J17" s="115"/>
      <c r="K17" s="115"/>
      <c r="L17" s="115"/>
      <c r="M17" s="115"/>
      <c r="N17" s="115"/>
      <c r="O17" s="39"/>
    </row>
    <row r="18" spans="2:15">
      <c r="B18" s="36"/>
      <c r="C18" s="49"/>
      <c r="D18" s="38"/>
      <c r="E18" s="38"/>
      <c r="F18" s="38"/>
      <c r="G18" s="50"/>
      <c r="H18" s="38"/>
      <c r="I18" s="38"/>
      <c r="J18" s="50"/>
      <c r="K18" s="38"/>
      <c r="L18" s="38"/>
      <c r="M18" s="50"/>
      <c r="N18" s="38"/>
      <c r="O18" s="39"/>
    </row>
    <row r="19" spans="2:15" ht="11.4" thickBot="1">
      <c r="B19" s="36"/>
      <c r="C19" s="51" t="s">
        <v>53</v>
      </c>
      <c r="D19" s="41"/>
      <c r="E19" s="41"/>
      <c r="F19" s="41"/>
      <c r="G19" s="41"/>
      <c r="H19" s="41"/>
      <c r="I19" s="41"/>
      <c r="J19" s="41"/>
      <c r="K19" s="41"/>
      <c r="L19" s="41"/>
      <c r="M19" s="41"/>
      <c r="N19" s="41"/>
      <c r="O19" s="39"/>
    </row>
    <row r="20" spans="2:15">
      <c r="B20" s="36"/>
      <c r="C20" s="49"/>
      <c r="D20" s="38"/>
      <c r="E20" s="38"/>
      <c r="F20" s="38"/>
      <c r="G20" s="38"/>
      <c r="H20" s="38"/>
      <c r="I20" s="38"/>
      <c r="J20" s="38"/>
      <c r="K20" s="38"/>
      <c r="L20" s="38"/>
      <c r="M20" s="38"/>
      <c r="N20" s="38"/>
      <c r="O20" s="39"/>
    </row>
  </sheetData>
  <sheetProtection password="9FC5" sheet="1" objects="1" scenarios="1" selectLockedCells="1" selectUnlockedCells="1"/>
  <mergeCells count="1">
    <mergeCell ref="C13:N17"/>
  </mergeCells>
  <pageMargins left="0.38" right="0.32" top="0.3" bottom="0.24" header="0.18" footer="0.17"/>
  <pageSetup scale="98" orientation="landscape" r:id="rId1"/>
  <headerFooter alignWithMargins="0"/>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320"/>
  <sheetViews>
    <sheetView tabSelected="1" topLeftCell="B303" zoomScaleNormal="100" workbookViewId="0">
      <selection activeCell="C321" sqref="C321"/>
    </sheetView>
  </sheetViews>
  <sheetFormatPr defaultColWidth="9.109375" defaultRowHeight="15.6"/>
  <cols>
    <col min="1" max="1" width="1.6640625" style="1" customWidth="1"/>
    <col min="2" max="2" width="50.88671875" style="1" customWidth="1"/>
    <col min="3" max="10" width="13.33203125" style="1" customWidth="1"/>
    <col min="11" max="11" width="9.109375" style="1"/>
    <col min="12" max="12" width="10.88671875" style="1" bestFit="1" customWidth="1"/>
    <col min="13" max="16384" width="9.109375" style="1"/>
  </cols>
  <sheetData>
    <row r="1" spans="1:10" ht="16.2" thickBot="1"/>
    <row r="2" spans="1:10" ht="26.4" thickBot="1">
      <c r="B2" s="27" t="str">
        <f>"Financial Statement Model for "&amp;Model!C5</f>
        <v>Financial Statement Model for Apple</v>
      </c>
      <c r="C2" s="26"/>
      <c r="D2" s="26"/>
      <c r="E2" s="26"/>
      <c r="F2" s="26"/>
      <c r="G2" s="26"/>
      <c r="H2" s="26"/>
      <c r="I2" s="26"/>
      <c r="J2" s="26"/>
    </row>
    <row r="3" spans="1:10">
      <c r="B3" s="29" t="s">
        <v>15</v>
      </c>
      <c r="C3" s="6"/>
      <c r="F3" s="3"/>
      <c r="G3" s="3"/>
      <c r="H3" s="3"/>
      <c r="I3" s="3"/>
      <c r="J3" s="3"/>
    </row>
    <row r="4" spans="1:10">
      <c r="B4" s="13"/>
      <c r="C4" s="6"/>
      <c r="F4" s="3"/>
    </row>
    <row r="5" spans="1:10">
      <c r="B5" s="7" t="s">
        <v>9</v>
      </c>
      <c r="C5" s="12" t="s">
        <v>22</v>
      </c>
      <c r="F5" s="3"/>
    </row>
    <row r="6" spans="1:10">
      <c r="B6" s="7" t="s">
        <v>10</v>
      </c>
      <c r="C6" s="12" t="s">
        <v>23</v>
      </c>
      <c r="F6" s="3"/>
    </row>
    <row r="7" spans="1:10">
      <c r="B7" s="8" t="s">
        <v>14</v>
      </c>
      <c r="C7" s="10">
        <v>604.86</v>
      </c>
      <c r="F7" s="3"/>
      <c r="G7" s="30"/>
      <c r="H7" s="3"/>
      <c r="I7" s="28"/>
      <c r="J7" s="3"/>
    </row>
    <row r="8" spans="1:10">
      <c r="B8" s="7" t="s">
        <v>13</v>
      </c>
      <c r="C8" s="11">
        <v>41778</v>
      </c>
      <c r="F8" s="3"/>
      <c r="G8" s="3"/>
      <c r="H8" s="3"/>
      <c r="I8" s="3"/>
      <c r="J8" s="3"/>
    </row>
    <row r="9" spans="1:10">
      <c r="B9" s="7" t="s">
        <v>12</v>
      </c>
      <c r="C9" s="11">
        <v>41545</v>
      </c>
      <c r="F9" s="3"/>
      <c r="G9" s="3"/>
      <c r="H9" s="3"/>
      <c r="I9" s="3"/>
      <c r="J9" s="3"/>
    </row>
    <row r="10" spans="1:10">
      <c r="B10" s="9" t="s">
        <v>51</v>
      </c>
      <c r="C10" s="31" t="s">
        <v>5</v>
      </c>
      <c r="E10" s="3"/>
      <c r="F10" s="3"/>
      <c r="G10" s="3"/>
      <c r="H10" s="3"/>
      <c r="I10" s="3"/>
      <c r="J10" s="3"/>
    </row>
    <row r="11" spans="1:10">
      <c r="D11" s="3"/>
      <c r="E11" s="3"/>
      <c r="F11" s="3"/>
      <c r="G11" s="3"/>
      <c r="H11" s="3"/>
      <c r="I11" s="3"/>
      <c r="J11" s="3"/>
    </row>
    <row r="12" spans="1:10">
      <c r="A12" s="1" t="s">
        <v>146</v>
      </c>
      <c r="B12" s="4" t="s">
        <v>49</v>
      </c>
      <c r="C12" s="16"/>
      <c r="D12" s="2"/>
      <c r="E12" s="2"/>
      <c r="F12" s="2"/>
      <c r="G12" s="2"/>
      <c r="H12" s="2"/>
      <c r="I12" s="2"/>
      <c r="J12" s="2"/>
    </row>
    <row r="13" spans="1:10">
      <c r="B13" s="3" t="s">
        <v>16</v>
      </c>
      <c r="C13" s="32">
        <f>D13-1</f>
        <v>2011</v>
      </c>
      <c r="D13" s="32">
        <f>E13-1</f>
        <v>2012</v>
      </c>
      <c r="E13" s="32">
        <f>YEAR(C9)</f>
        <v>2013</v>
      </c>
      <c r="F13" s="33">
        <f>E13+1</f>
        <v>2014</v>
      </c>
      <c r="G13" s="33">
        <f t="shared" ref="G13:J13" si="0">F13+1</f>
        <v>2015</v>
      </c>
      <c r="H13" s="33">
        <f t="shared" si="0"/>
        <v>2016</v>
      </c>
      <c r="I13" s="33">
        <f t="shared" si="0"/>
        <v>2017</v>
      </c>
      <c r="J13" s="33">
        <f t="shared" si="0"/>
        <v>2018</v>
      </c>
    </row>
    <row r="14" spans="1:10">
      <c r="B14" s="15" t="s">
        <v>11</v>
      </c>
      <c r="C14" s="34">
        <v>40810</v>
      </c>
      <c r="D14" s="34">
        <v>41181</v>
      </c>
      <c r="E14" s="34">
        <v>41545</v>
      </c>
      <c r="F14" s="34">
        <f>EOMONTH(E14,12)</f>
        <v>41912</v>
      </c>
      <c r="G14" s="34">
        <f t="shared" ref="G14:J14" si="1">EOMONTH(F14,12)</f>
        <v>42277</v>
      </c>
      <c r="H14" s="34">
        <f t="shared" si="1"/>
        <v>42643</v>
      </c>
      <c r="I14" s="34">
        <f t="shared" si="1"/>
        <v>43008</v>
      </c>
      <c r="J14" s="34">
        <f t="shared" si="1"/>
        <v>43373</v>
      </c>
    </row>
    <row r="15" spans="1:10">
      <c r="B15" s="14"/>
      <c r="C15"/>
      <c r="D15"/>
      <c r="E15"/>
      <c r="F15"/>
      <c r="G15"/>
      <c r="H15"/>
      <c r="I15"/>
      <c r="J15"/>
    </row>
    <row r="16" spans="1:10">
      <c r="B16" s="3" t="s">
        <v>17</v>
      </c>
      <c r="C16" s="122">
        <v>108249</v>
      </c>
      <c r="D16" s="76">
        <v>156508</v>
      </c>
      <c r="E16" s="76">
        <v>170910</v>
      </c>
      <c r="F16" s="52">
        <f>F58</f>
        <v>179274.04739999998</v>
      </c>
      <c r="G16" s="52">
        <f t="shared" ref="G16:J16" si="2">G58</f>
        <v>188540.12504498998</v>
      </c>
      <c r="H16" s="52">
        <f t="shared" si="2"/>
        <v>196985.69008615543</v>
      </c>
      <c r="I16" s="52">
        <f t="shared" si="2"/>
        <v>206674.29194608072</v>
      </c>
      <c r="J16" s="52">
        <f t="shared" si="2"/>
        <v>217808.79887119992</v>
      </c>
    </row>
    <row r="17" spans="2:10">
      <c r="B17" s="3" t="s">
        <v>25</v>
      </c>
      <c r="C17" s="122">
        <v>-64431</v>
      </c>
      <c r="D17" s="76">
        <v>-87846</v>
      </c>
      <c r="E17" s="76">
        <v>-106606</v>
      </c>
      <c r="F17" s="70">
        <f>-(F16*(1-F38))</f>
        <v>-112763.37581459999</v>
      </c>
      <c r="G17" s="70">
        <f t="shared" ref="G17:J17" si="3">-(G16*(1-G38))</f>
        <v>-118026.11827816373</v>
      </c>
      <c r="H17" s="70">
        <f t="shared" si="3"/>
        <v>-123313.04199393329</v>
      </c>
      <c r="I17" s="70">
        <f t="shared" si="3"/>
        <v>-129378.10675824653</v>
      </c>
      <c r="J17" s="70">
        <f t="shared" si="3"/>
        <v>-136348.30809337116</v>
      </c>
    </row>
    <row r="18" spans="2:10">
      <c r="B18" s="5" t="s">
        <v>24</v>
      </c>
      <c r="C18" s="123">
        <f>C16+C17</f>
        <v>43818</v>
      </c>
      <c r="D18" s="123">
        <f t="shared" ref="D18:E18" si="4">D16+D17</f>
        <v>68662</v>
      </c>
      <c r="E18" s="123">
        <f t="shared" si="4"/>
        <v>64304</v>
      </c>
      <c r="F18" s="61">
        <f t="shared" ref="F18" si="5">F16+F17</f>
        <v>66510.671585399992</v>
      </c>
      <c r="G18" s="61">
        <f t="shared" ref="G18" si="6">G16+G17</f>
        <v>70514.006766826249</v>
      </c>
      <c r="H18" s="61">
        <f t="shared" ref="H18" si="7">H16+H17</f>
        <v>73672.648092222138</v>
      </c>
      <c r="I18" s="61">
        <f t="shared" ref="I18" si="8">I16+I17</f>
        <v>77296.185187834184</v>
      </c>
      <c r="J18" s="61">
        <f t="shared" ref="J18" si="9">J16+J17</f>
        <v>81460.49077782876</v>
      </c>
    </row>
    <row r="19" spans="2:10">
      <c r="B19" s="17" t="s">
        <v>27</v>
      </c>
      <c r="C19" s="122">
        <v>-2429</v>
      </c>
      <c r="D19" s="76">
        <v>-3381</v>
      </c>
      <c r="E19" s="76">
        <v>-4475</v>
      </c>
      <c r="F19" s="70">
        <f>-(F16*F39)</f>
        <v>-5198.9473745999994</v>
      </c>
      <c r="G19" s="70">
        <f>-(G16*G39)</f>
        <v>-5844.7438763946893</v>
      </c>
      <c r="H19" s="70">
        <f>-(H16*H39)</f>
        <v>-6106.5563926708182</v>
      </c>
      <c r="I19" s="70">
        <f>-(I16*I39)</f>
        <v>-6406.9030503285021</v>
      </c>
      <c r="J19" s="70">
        <f>-(J16*J39)</f>
        <v>-6752.0727650071976</v>
      </c>
    </row>
    <row r="20" spans="2:10">
      <c r="B20" s="17" t="s">
        <v>28</v>
      </c>
      <c r="C20" s="122">
        <v>-7599</v>
      </c>
      <c r="D20" s="76">
        <v>-10040</v>
      </c>
      <c r="E20" s="76">
        <v>-10830</v>
      </c>
      <c r="F20" s="70">
        <f>-(F16*F40)</f>
        <v>-12190.635223199999</v>
      </c>
      <c r="G20" s="70">
        <f>-(G16*G40)</f>
        <v>-12820.728503059319</v>
      </c>
      <c r="H20" s="70">
        <f>-(H16*H40)</f>
        <v>-13395.02692585857</v>
      </c>
      <c r="I20" s="70">
        <f>-(I16*I40)</f>
        <v>-14053.85185233349</v>
      </c>
      <c r="J20" s="70">
        <f>-(J16*J40)</f>
        <v>-14810.998323241596</v>
      </c>
    </row>
    <row r="21" spans="2:10">
      <c r="B21" s="5" t="s">
        <v>3</v>
      </c>
      <c r="C21" s="62">
        <f>C18+C20+C19</f>
        <v>33790</v>
      </c>
      <c r="D21" s="62">
        <f t="shared" ref="D21:E21" si="10">D18+D20+D19</f>
        <v>55241</v>
      </c>
      <c r="E21" s="62">
        <f t="shared" si="10"/>
        <v>48999</v>
      </c>
      <c r="F21" s="62">
        <f t="shared" ref="F21" si="11">F18+F20+F19</f>
        <v>49121.088987599993</v>
      </c>
      <c r="G21" s="62">
        <f t="shared" ref="G21" si="12">G18+G20+G19</f>
        <v>51848.534387372238</v>
      </c>
      <c r="H21" s="62">
        <f t="shared" ref="H21" si="13">H18+H20+H19</f>
        <v>54171.064773692749</v>
      </c>
      <c r="I21" s="62">
        <f t="shared" ref="I21" si="14">I18+I20+I19</f>
        <v>56835.430285172188</v>
      </c>
      <c r="J21" s="62">
        <f t="shared" ref="J21" si="15">J18+J20+J19</f>
        <v>59897.419689579961</v>
      </c>
    </row>
    <row r="22" spans="2:10">
      <c r="B22" s="3" t="s">
        <v>6</v>
      </c>
      <c r="C22" s="63">
        <v>519</v>
      </c>
      <c r="D22" s="60">
        <v>1088</v>
      </c>
      <c r="E22" s="60">
        <v>1616</v>
      </c>
      <c r="F22" s="96">
        <f ca="1">F320</f>
        <v>1539.3080746766282</v>
      </c>
      <c r="G22" s="96">
        <f t="shared" ref="G22:J22" ca="1" si="16">G320</f>
        <v>1610.1760304807001</v>
      </c>
      <c r="H22" s="96">
        <f t="shared" ca="1" si="16"/>
        <v>1688.6479972221034</v>
      </c>
      <c r="I22" s="96">
        <f t="shared" ca="1" si="16"/>
        <v>1779.4169992947996</v>
      </c>
      <c r="J22" s="96">
        <f t="shared" ca="1" si="16"/>
        <v>1866.6566718140152</v>
      </c>
    </row>
    <row r="23" spans="2:10">
      <c r="B23" s="3" t="s">
        <v>42</v>
      </c>
      <c r="C23" s="63">
        <v>0</v>
      </c>
      <c r="D23" s="63">
        <v>0</v>
      </c>
      <c r="E23" s="76">
        <v>-136</v>
      </c>
      <c r="F23">
        <f ca="1">F312</f>
        <v>0</v>
      </c>
      <c r="G23">
        <f t="shared" ref="G23:J23" ca="1" si="17">G312</f>
        <v>0</v>
      </c>
      <c r="H23">
        <f t="shared" ca="1" si="17"/>
        <v>0</v>
      </c>
      <c r="I23">
        <f t="shared" ca="1" si="17"/>
        <v>0</v>
      </c>
      <c r="J23">
        <f t="shared" ca="1" si="17"/>
        <v>0</v>
      </c>
    </row>
    <row r="24" spans="2:10">
      <c r="B24" s="17" t="s">
        <v>43</v>
      </c>
      <c r="C24" s="76">
        <v>-104</v>
      </c>
      <c r="D24" s="76">
        <v>-566</v>
      </c>
      <c r="E24" s="76">
        <v>-324</v>
      </c>
      <c r="F24" s="76">
        <v>-324</v>
      </c>
      <c r="G24" s="76">
        <v>-324</v>
      </c>
      <c r="H24" s="76">
        <v>-324</v>
      </c>
      <c r="I24" s="76">
        <v>-324</v>
      </c>
      <c r="J24" s="76">
        <v>-324</v>
      </c>
    </row>
    <row r="25" spans="2:10">
      <c r="B25" s="5" t="s">
        <v>18</v>
      </c>
      <c r="C25" s="62">
        <f>C21+C24+C23+C22</f>
        <v>34205</v>
      </c>
      <c r="D25" s="62">
        <f t="shared" ref="D25:E25" si="18">D21+D24+D23+D22</f>
        <v>55763</v>
      </c>
      <c r="E25" s="62">
        <f t="shared" si="18"/>
        <v>50155</v>
      </c>
      <c r="F25" s="62">
        <f t="shared" ref="F25" ca="1" si="19">F21+F24+F23+F22</f>
        <v>50336.397062276621</v>
      </c>
      <c r="G25" s="62">
        <f t="shared" ref="G25" ca="1" si="20">G21+G24+G23+G22</f>
        <v>53134.710417852941</v>
      </c>
      <c r="H25" s="62">
        <f t="shared" ref="H25" ca="1" si="21">H21+H24+H23+H22</f>
        <v>55535.712770914855</v>
      </c>
      <c r="I25" s="62">
        <f t="shared" ref="I25" ca="1" si="22">I21+I24+I23+I22</f>
        <v>58290.847284466989</v>
      </c>
      <c r="J25" s="62">
        <f t="shared" ref="J25" ca="1" si="23">J21+J24+J23+J22</f>
        <v>61440.076361393978</v>
      </c>
    </row>
    <row r="26" spans="2:10">
      <c r="B26" s="3" t="s">
        <v>26</v>
      </c>
      <c r="C26" s="76">
        <v>-8283</v>
      </c>
      <c r="D26" s="76">
        <v>-14030</v>
      </c>
      <c r="E26" s="76">
        <v>-13118</v>
      </c>
      <c r="F26" s="72">
        <f ca="1">-(F25*F41)</f>
        <v>-13238.472427378752</v>
      </c>
      <c r="G26" s="72">
        <f ca="1">-(G25*G41)</f>
        <v>-13815.024708641766</v>
      </c>
      <c r="H26" s="72">
        <f ca="1">-(H25*H41)</f>
        <v>-14439.285320437863</v>
      </c>
      <c r="I26" s="72">
        <f ca="1">-(I25*I41)</f>
        <v>-15155.620293961418</v>
      </c>
      <c r="J26" s="70">
        <f ca="1">-(J25*J41)</f>
        <v>-15974.419853962434</v>
      </c>
    </row>
    <row r="27" spans="2:10">
      <c r="B27" s="5" t="s">
        <v>2</v>
      </c>
      <c r="C27" s="62">
        <f>C25+C26</f>
        <v>25922</v>
      </c>
      <c r="D27" s="62">
        <f t="shared" ref="D27:E27" si="24">D25+D26</f>
        <v>41733</v>
      </c>
      <c r="E27" s="62">
        <f t="shared" si="24"/>
        <v>37037</v>
      </c>
      <c r="F27" s="62">
        <f t="shared" ref="F27" ca="1" si="25">F25+F26</f>
        <v>37097.92463489787</v>
      </c>
      <c r="G27" s="62">
        <f t="shared" ref="G27" ca="1" si="26">G25+G26</f>
        <v>39319.685709211175</v>
      </c>
      <c r="H27" s="62">
        <f t="shared" ref="H27" ca="1" si="27">H25+H26</f>
        <v>41096.427450476993</v>
      </c>
      <c r="I27" s="62">
        <f t="shared" ref="I27" ca="1" si="28">I25+I26</f>
        <v>43135.226990505573</v>
      </c>
      <c r="J27" s="62">
        <f t="shared" ref="J27" ca="1" si="29">J25+J26</f>
        <v>45465.656507431544</v>
      </c>
    </row>
    <row r="28" spans="2:10">
      <c r="C28"/>
      <c r="D28"/>
      <c r="E28"/>
      <c r="F28"/>
      <c r="G28"/>
      <c r="H28"/>
      <c r="I28"/>
      <c r="J28"/>
    </row>
    <row r="29" spans="2:10">
      <c r="B29" s="17" t="s">
        <v>7</v>
      </c>
      <c r="C29" s="60">
        <v>925331</v>
      </c>
      <c r="D29" s="60">
        <v>934818</v>
      </c>
      <c r="E29" s="60">
        <v>925331</v>
      </c>
      <c r="F29"/>
      <c r="G29"/>
      <c r="H29"/>
      <c r="I29"/>
      <c r="J29"/>
    </row>
    <row r="30" spans="2:10">
      <c r="B30" s="17" t="s">
        <v>8</v>
      </c>
      <c r="C30" s="64">
        <f>C31-C29</f>
        <v>6331</v>
      </c>
      <c r="D30" s="64">
        <f t="shared" ref="D30:E30" si="30">D31-D29</f>
        <v>10537</v>
      </c>
      <c r="E30" s="64">
        <f t="shared" si="30"/>
        <v>6331</v>
      </c>
      <c r="F30"/>
      <c r="G30"/>
      <c r="H30"/>
      <c r="I30"/>
      <c r="J30"/>
    </row>
    <row r="31" spans="2:10">
      <c r="B31" s="1" t="s">
        <v>29</v>
      </c>
      <c r="C31" s="60">
        <v>931662</v>
      </c>
      <c r="D31" s="60">
        <v>945355</v>
      </c>
      <c r="E31" s="60">
        <v>931662</v>
      </c>
      <c r="F31"/>
      <c r="G31"/>
      <c r="H31"/>
      <c r="I31"/>
      <c r="J31"/>
    </row>
    <row r="32" spans="2:10">
      <c r="C32"/>
      <c r="D32"/>
      <c r="E32"/>
      <c r="F32"/>
      <c r="G32"/>
      <c r="H32"/>
      <c r="I32"/>
      <c r="J32"/>
    </row>
    <row r="33" spans="1:10">
      <c r="B33" s="1" t="s">
        <v>20</v>
      </c>
      <c r="C33" s="54"/>
      <c r="D33" s="54"/>
      <c r="E33" s="54"/>
      <c r="F33"/>
      <c r="G33"/>
      <c r="H33"/>
      <c r="I33"/>
      <c r="J33"/>
    </row>
    <row r="34" spans="1:10">
      <c r="B34" s="18" t="s">
        <v>19</v>
      </c>
      <c r="C34" s="55"/>
      <c r="D34" s="55"/>
      <c r="E34" s="55"/>
      <c r="F34"/>
      <c r="G34"/>
      <c r="H34"/>
      <c r="I34"/>
      <c r="J34"/>
    </row>
    <row r="35" spans="1:10">
      <c r="C35"/>
      <c r="D35"/>
      <c r="E35"/>
      <c r="F35"/>
      <c r="G35"/>
      <c r="H35"/>
      <c r="I35"/>
      <c r="J35"/>
    </row>
    <row r="36" spans="1:10">
      <c r="B36" s="19" t="s">
        <v>48</v>
      </c>
      <c r="C36"/>
      <c r="D36"/>
      <c r="E36"/>
      <c r="F36"/>
      <c r="G36"/>
      <c r="H36"/>
      <c r="I36"/>
      <c r="J36"/>
    </row>
    <row r="37" spans="1:10">
      <c r="B37" s="20" t="s">
        <v>1</v>
      </c>
      <c r="C37" s="77" t="s">
        <v>55</v>
      </c>
      <c r="D37" s="65">
        <f>D16/C16-1</f>
        <v>0.44581474193756976</v>
      </c>
      <c r="E37" s="65">
        <f>E16/D16-1</f>
        <v>9.2020855163953197E-2</v>
      </c>
      <c r="F37" s="65">
        <f t="shared" ref="F37:J37" si="31">F16/E16-1</f>
        <v>4.893831490258016E-2</v>
      </c>
      <c r="G37" s="65">
        <f t="shared" si="31"/>
        <v>5.1686665077156135E-2</v>
      </c>
      <c r="H37" s="65">
        <f t="shared" si="31"/>
        <v>4.4794523389385388E-2</v>
      </c>
      <c r="I37" s="65">
        <f t="shared" si="31"/>
        <v>4.9184292806689678E-2</v>
      </c>
      <c r="J37" s="65">
        <f t="shared" si="31"/>
        <v>5.3874658624808891E-2</v>
      </c>
    </row>
    <row r="38" spans="1:10">
      <c r="B38" s="20" t="s">
        <v>44</v>
      </c>
      <c r="C38" s="65">
        <f>C18/C16</f>
        <v>0.40478895878945764</v>
      </c>
      <c r="D38" s="65">
        <f t="shared" ref="D38:E38" si="32">D18/D16</f>
        <v>0.43871239808827661</v>
      </c>
      <c r="E38" s="65">
        <f t="shared" si="32"/>
        <v>0.37624480720847231</v>
      </c>
      <c r="F38" s="56">
        <v>0.371</v>
      </c>
      <c r="G38" s="56">
        <v>0.374</v>
      </c>
      <c r="H38" s="56">
        <v>0.374</v>
      </c>
      <c r="I38" s="56">
        <v>0.374</v>
      </c>
      <c r="J38" s="56">
        <v>0.374</v>
      </c>
    </row>
    <row r="39" spans="1:10">
      <c r="B39" s="21" t="s">
        <v>30</v>
      </c>
      <c r="C39" s="65">
        <f>-(C19/C16)</f>
        <v>2.2439006364954873E-2</v>
      </c>
      <c r="D39" s="65">
        <f>-(D19/D16)</f>
        <v>2.1602729572929181E-2</v>
      </c>
      <c r="E39" s="65">
        <f>-(E19/E16)</f>
        <v>2.6183371365045931E-2</v>
      </c>
      <c r="F39" s="56">
        <v>2.9000000000000001E-2</v>
      </c>
      <c r="G39" s="56">
        <v>3.1E-2</v>
      </c>
      <c r="H39" s="56">
        <v>3.1E-2</v>
      </c>
      <c r="I39" s="56">
        <v>3.1E-2</v>
      </c>
      <c r="J39" s="56">
        <v>3.1E-2</v>
      </c>
    </row>
    <row r="40" spans="1:10">
      <c r="B40" s="20" t="s">
        <v>31</v>
      </c>
      <c r="C40" s="65">
        <f>-(C20/C16)</f>
        <v>7.0199262810741903E-2</v>
      </c>
      <c r="D40" s="65">
        <f>-(D20/D16)</f>
        <v>6.4150075395506934E-2</v>
      </c>
      <c r="E40" s="65">
        <f>-(E20/E16)</f>
        <v>6.3366684219764782E-2</v>
      </c>
      <c r="F40" s="56">
        <v>6.8000000000000005E-2</v>
      </c>
      <c r="G40" s="56">
        <v>6.8000000000000005E-2</v>
      </c>
      <c r="H40" s="56">
        <v>6.8000000000000005E-2</v>
      </c>
      <c r="I40" s="56">
        <v>6.8000000000000005E-2</v>
      </c>
      <c r="J40" s="56">
        <v>6.8000000000000005E-2</v>
      </c>
    </row>
    <row r="41" spans="1:10">
      <c r="B41" s="20" t="s">
        <v>0</v>
      </c>
      <c r="C41" s="65">
        <f>-(C26/C25)</f>
        <v>0.24215757930127174</v>
      </c>
      <c r="D41" s="65">
        <f>-(D26/D25)</f>
        <v>0.25160052364471064</v>
      </c>
      <c r="E41" s="65">
        <f>-(E26/E25)</f>
        <v>0.26154919748778788</v>
      </c>
      <c r="F41" s="56">
        <v>0.26300000000000001</v>
      </c>
      <c r="G41" s="56">
        <v>0.26</v>
      </c>
      <c r="H41" s="56">
        <v>0.26</v>
      </c>
      <c r="I41" s="56">
        <v>0.26</v>
      </c>
      <c r="J41" s="56">
        <v>0.26</v>
      </c>
    </row>
    <row r="42" spans="1:10">
      <c r="C42"/>
      <c r="D42"/>
      <c r="E42"/>
      <c r="F42" s="56"/>
      <c r="G42" s="56"/>
      <c r="H42" s="56"/>
      <c r="I42" s="56"/>
      <c r="J42"/>
    </row>
    <row r="43" spans="1:10">
      <c r="B43" s="22" t="s">
        <v>47</v>
      </c>
      <c r="C43"/>
      <c r="D43"/>
      <c r="E43"/>
      <c r="F43"/>
      <c r="G43"/>
      <c r="H43"/>
      <c r="I43"/>
      <c r="J43"/>
    </row>
    <row r="44" spans="1:10">
      <c r="B44" s="23" t="s">
        <v>45</v>
      </c>
      <c r="C44" s="60">
        <v>1814</v>
      </c>
      <c r="D44" s="60">
        <v>3277</v>
      </c>
      <c r="E44" s="60">
        <v>6757</v>
      </c>
      <c r="F44" s="96">
        <f>-(F177+F164)</f>
        <v>7145.3176115999995</v>
      </c>
      <c r="G44" s="96">
        <f t="shared" ref="G44:J44" si="33">-(G177+G164)</f>
        <v>7540.5401478143021</v>
      </c>
      <c r="H44" s="96">
        <f t="shared" si="33"/>
        <v>7682.1924442956242</v>
      </c>
      <c r="I44" s="96">
        <f t="shared" si="33"/>
        <v>7792.0651309652267</v>
      </c>
      <c r="J44" s="96">
        <f t="shared" si="33"/>
        <v>8007.2119367516216</v>
      </c>
    </row>
    <row r="45" spans="1:10">
      <c r="B45" s="23" t="s">
        <v>46</v>
      </c>
      <c r="C45" s="60">
        <v>1168</v>
      </c>
      <c r="D45" s="60">
        <v>1740</v>
      </c>
      <c r="E45" s="60">
        <v>2253</v>
      </c>
      <c r="F45" s="96">
        <f>F231</f>
        <v>2212.6002930107998</v>
      </c>
      <c r="G45" s="96">
        <f t="shared" ref="G45:J45" si="34">G231</f>
        <v>2187.0654505218836</v>
      </c>
      <c r="H45" s="96">
        <f t="shared" si="34"/>
        <v>2285.0340049994029</v>
      </c>
      <c r="I45" s="96">
        <f t="shared" si="34"/>
        <v>2397.4217865745363</v>
      </c>
      <c r="J45" s="96">
        <f t="shared" si="34"/>
        <v>2526.5820669059194</v>
      </c>
    </row>
    <row r="46" spans="1:10">
      <c r="B46" s="24" t="s">
        <v>4</v>
      </c>
      <c r="C46" s="62">
        <f>C21+C45+C44</f>
        <v>36772</v>
      </c>
      <c r="D46" s="62">
        <f t="shared" ref="D46:J46" si="35">D21+D45+D44</f>
        <v>60258</v>
      </c>
      <c r="E46" s="62">
        <f t="shared" si="35"/>
        <v>58009</v>
      </c>
      <c r="F46" s="62">
        <f t="shared" si="35"/>
        <v>58479.006892210789</v>
      </c>
      <c r="G46" s="62">
        <f t="shared" si="35"/>
        <v>61576.139985708425</v>
      </c>
      <c r="H46" s="62">
        <f t="shared" si="35"/>
        <v>64138.291222987777</v>
      </c>
      <c r="I46" s="62">
        <f t="shared" si="35"/>
        <v>67024.917202711949</v>
      </c>
      <c r="J46" s="62">
        <f t="shared" si="35"/>
        <v>70431.2136932375</v>
      </c>
    </row>
    <row r="47" spans="1:10">
      <c r="C47"/>
      <c r="D47"/>
      <c r="E47"/>
      <c r="F47"/>
      <c r="G47"/>
      <c r="H47"/>
      <c r="I47"/>
      <c r="J47"/>
    </row>
    <row r="48" spans="1:10">
      <c r="A48" s="1" t="s">
        <v>146</v>
      </c>
      <c r="B48" s="4" t="s">
        <v>50</v>
      </c>
      <c r="C48"/>
      <c r="D48"/>
      <c r="E48"/>
      <c r="F48"/>
      <c r="G48"/>
      <c r="H48"/>
      <c r="I48"/>
      <c r="J48"/>
    </row>
    <row r="49" spans="2:10">
      <c r="B49" s="3" t="str">
        <f t="shared" ref="B49:B50" si="36">B13</f>
        <v xml:space="preserve">Fiscal year  </v>
      </c>
      <c r="C49" s="58">
        <f>D49-1</f>
        <v>2011</v>
      </c>
      <c r="D49" s="58">
        <f>E49-1</f>
        <v>2012</v>
      </c>
      <c r="E49" s="58">
        <f>YEAR(C9)</f>
        <v>2013</v>
      </c>
      <c r="F49" s="59">
        <f>E49+1</f>
        <v>2014</v>
      </c>
      <c r="G49" s="59">
        <f t="shared" ref="G49:J49" si="37">F49+1</f>
        <v>2015</v>
      </c>
      <c r="H49" s="59">
        <f t="shared" si="37"/>
        <v>2016</v>
      </c>
      <c r="I49" s="59">
        <f t="shared" si="37"/>
        <v>2017</v>
      </c>
      <c r="J49" s="59">
        <f t="shared" si="37"/>
        <v>2018</v>
      </c>
    </row>
    <row r="50" spans="2:10">
      <c r="B50" s="15" t="str">
        <f t="shared" si="36"/>
        <v>Fiscal year end date</v>
      </c>
      <c r="C50" s="34">
        <f>C14</f>
        <v>40810</v>
      </c>
      <c r="D50" s="34">
        <f>D14</f>
        <v>41181</v>
      </c>
      <c r="E50" s="34">
        <f>C9</f>
        <v>41545</v>
      </c>
      <c r="F50" s="57">
        <f>EOMONTH(E50,12)</f>
        <v>41912</v>
      </c>
      <c r="G50" s="57">
        <f t="shared" ref="G50:J50" si="38">EOMONTH(F50,12)</f>
        <v>42277</v>
      </c>
      <c r="H50" s="57">
        <f t="shared" si="38"/>
        <v>42643</v>
      </c>
      <c r="I50" s="57">
        <f t="shared" si="38"/>
        <v>43008</v>
      </c>
      <c r="J50" s="57">
        <f t="shared" si="38"/>
        <v>43373</v>
      </c>
    </row>
    <row r="51" spans="2:10">
      <c r="B51" s="18" t="s">
        <v>40</v>
      </c>
      <c r="C51"/>
      <c r="D51"/>
      <c r="E51"/>
      <c r="F51"/>
      <c r="G51"/>
      <c r="H51"/>
      <c r="I51"/>
      <c r="J51"/>
    </row>
    <row r="52" spans="2:10">
      <c r="B52" s="23" t="s">
        <v>37</v>
      </c>
      <c r="C52" s="60">
        <v>45998</v>
      </c>
      <c r="D52" s="60">
        <v>78692</v>
      </c>
      <c r="E52" s="60">
        <v>91279</v>
      </c>
      <c r="F52" s="70">
        <f>(F62*F72)/1000</f>
        <v>97967.925119999971</v>
      </c>
      <c r="G52" s="70">
        <f t="shared" ref="G52:J52" si="39">(G62*G72)/1000</f>
        <v>105021.61572863998</v>
      </c>
      <c r="H52" s="70">
        <f t="shared" si="39"/>
        <v>108172.26420049919</v>
      </c>
      <c r="I52" s="70">
        <f t="shared" si="39"/>
        <v>111417.43212651416</v>
      </c>
      <c r="J52" s="70">
        <f t="shared" si="39"/>
        <v>114759.95509030961</v>
      </c>
    </row>
    <row r="53" spans="2:10">
      <c r="B53" s="23" t="s">
        <v>33</v>
      </c>
      <c r="C53" s="60">
        <v>19168</v>
      </c>
      <c r="D53" s="60">
        <v>30945</v>
      </c>
      <c r="E53" s="60">
        <v>31980</v>
      </c>
      <c r="F53" s="70">
        <f>(F64*F74)/1000</f>
        <v>31590.195779999995</v>
      </c>
      <c r="G53" s="70">
        <f t="shared" ref="G53:J53" si="40">(G64*G74)/1000</f>
        <v>31590.195779999995</v>
      </c>
      <c r="H53" s="70">
        <f t="shared" si="40"/>
        <v>31590.195779999995</v>
      </c>
      <c r="I53" s="70">
        <f t="shared" si="40"/>
        <v>31590.195779999995</v>
      </c>
      <c r="J53" s="70">
        <f t="shared" si="40"/>
        <v>31590.195779999995</v>
      </c>
    </row>
    <row r="54" spans="2:10">
      <c r="B54" s="23" t="s">
        <v>32</v>
      </c>
      <c r="C54" s="60">
        <v>21783</v>
      </c>
      <c r="D54" s="60">
        <v>23221</v>
      </c>
      <c r="E54" s="60">
        <v>21483</v>
      </c>
      <c r="F54" s="70">
        <f>(F66*F76)/1000</f>
        <v>20902.958999999999</v>
      </c>
      <c r="G54" s="70">
        <f t="shared" ref="G54:J54" si="41">(G66*G76)/1000</f>
        <v>18860.217331724998</v>
      </c>
      <c r="H54" s="70">
        <f t="shared" si="41"/>
        <v>18860.217331724998</v>
      </c>
      <c r="I54" s="70">
        <f t="shared" si="41"/>
        <v>18860.217331724998</v>
      </c>
      <c r="J54" s="70">
        <f t="shared" si="41"/>
        <v>18860.217331724998</v>
      </c>
    </row>
    <row r="55" spans="2:10">
      <c r="B55" s="23" t="s">
        <v>34</v>
      </c>
      <c r="C55" s="60">
        <v>7453</v>
      </c>
      <c r="D55" s="60">
        <v>5615</v>
      </c>
      <c r="E55" s="60">
        <v>4411</v>
      </c>
      <c r="F55" s="70">
        <f>(F68*F78)/1000</f>
        <v>3275.1675</v>
      </c>
      <c r="G55" s="70">
        <f t="shared" ref="G55:J55" si="42">(G68*G78)/1000</f>
        <v>2736.566204625</v>
      </c>
      <c r="H55" s="70">
        <f t="shared" si="42"/>
        <v>2326.0812739312501</v>
      </c>
      <c r="I55" s="70">
        <f t="shared" si="42"/>
        <v>1977.1690828415624</v>
      </c>
      <c r="J55" s="70">
        <f t="shared" si="42"/>
        <v>1680.5937204153279</v>
      </c>
    </row>
    <row r="56" spans="2:10">
      <c r="B56" s="23" t="s">
        <v>35</v>
      </c>
      <c r="C56" s="60">
        <v>9373</v>
      </c>
      <c r="D56" s="60">
        <v>12890</v>
      </c>
      <c r="E56" s="60">
        <v>16051</v>
      </c>
      <c r="F56" s="70">
        <f>E56*(1+F81)</f>
        <v>19261.2</v>
      </c>
      <c r="G56" s="70">
        <f t="shared" ref="G56:J56" si="43">F56*(1+G81)</f>
        <v>23113.439999999999</v>
      </c>
      <c r="H56" s="70">
        <f t="shared" si="43"/>
        <v>27736.127999999997</v>
      </c>
      <c r="I56" s="70">
        <f t="shared" si="43"/>
        <v>33283.353599999995</v>
      </c>
      <c r="J56" s="70">
        <f t="shared" si="43"/>
        <v>39940.02431999999</v>
      </c>
    </row>
    <row r="57" spans="2:10">
      <c r="B57" s="23" t="s">
        <v>36</v>
      </c>
      <c r="C57" s="60">
        <v>4474</v>
      </c>
      <c r="D57" s="60">
        <v>5145</v>
      </c>
      <c r="E57" s="60">
        <v>5706</v>
      </c>
      <c r="F57" s="70">
        <f>E57*(1+F82)</f>
        <v>6276.6</v>
      </c>
      <c r="G57" s="70">
        <f t="shared" ref="G57:J57" si="44">F57*(1+G82)</f>
        <v>7218.09</v>
      </c>
      <c r="H57" s="70">
        <f t="shared" si="44"/>
        <v>8300.8035</v>
      </c>
      <c r="I57" s="70">
        <f t="shared" si="44"/>
        <v>9545.9240249999984</v>
      </c>
      <c r="J57" s="70">
        <f t="shared" si="44"/>
        <v>10977.812628749998</v>
      </c>
    </row>
    <row r="58" spans="2:10">
      <c r="B58" s="1" t="s">
        <v>38</v>
      </c>
      <c r="C58" s="64">
        <f>SUM(C52:C57)</f>
        <v>108249</v>
      </c>
      <c r="D58" s="64">
        <f t="shared" ref="D58:E58" si="45">SUM(D52:D57)</f>
        <v>156508</v>
      </c>
      <c r="E58" s="64">
        <f t="shared" si="45"/>
        <v>170910</v>
      </c>
      <c r="F58" s="64">
        <f t="shared" ref="F58" si="46">SUM(F52:F57)</f>
        <v>179274.04739999998</v>
      </c>
      <c r="G58" s="64">
        <f t="shared" ref="G58" si="47">SUM(G52:G57)</f>
        <v>188540.12504498998</v>
      </c>
      <c r="H58" s="64">
        <f t="shared" ref="H58" si="48">SUM(H52:H57)</f>
        <v>196985.69008615543</v>
      </c>
      <c r="I58" s="64">
        <f t="shared" ref="I58" si="49">SUM(I52:I57)</f>
        <v>206674.29194608072</v>
      </c>
      <c r="J58" s="64">
        <f t="shared" ref="J58" si="50">SUM(J52:J57)</f>
        <v>217808.79887119992</v>
      </c>
    </row>
    <row r="59" spans="2:10">
      <c r="B59" s="25" t="s">
        <v>21</v>
      </c>
      <c r="C59"/>
      <c r="D59" s="65">
        <f>D58/C58-1</f>
        <v>0.44581474193756976</v>
      </c>
      <c r="E59" s="65">
        <f>E58/D58-1</f>
        <v>9.2020855163953197E-2</v>
      </c>
      <c r="F59" s="65">
        <f t="shared" ref="F59:J59" si="51">F58/E58-1</f>
        <v>4.893831490258016E-2</v>
      </c>
      <c r="G59" s="65">
        <f t="shared" si="51"/>
        <v>5.1686665077156135E-2</v>
      </c>
      <c r="H59" s="65">
        <f t="shared" si="51"/>
        <v>4.4794523389385388E-2</v>
      </c>
      <c r="I59" s="65">
        <f t="shared" si="51"/>
        <v>4.9184292806689678E-2</v>
      </c>
      <c r="J59" s="65">
        <f t="shared" si="51"/>
        <v>5.3874658624808891E-2</v>
      </c>
    </row>
    <row r="60" spans="2:10">
      <c r="B60" s="25"/>
      <c r="C60"/>
      <c r="D60"/>
      <c r="E60"/>
      <c r="F60"/>
      <c r="G60"/>
      <c r="H60"/>
      <c r="I60"/>
      <c r="J60"/>
    </row>
    <row r="61" spans="2:10">
      <c r="B61" s="18" t="s">
        <v>39</v>
      </c>
      <c r="C61"/>
      <c r="D61"/>
      <c r="E61"/>
      <c r="F61"/>
      <c r="G61"/>
      <c r="H61"/>
      <c r="I61"/>
      <c r="J61"/>
    </row>
    <row r="62" spans="2:10">
      <c r="B62" s="23" t="s">
        <v>37</v>
      </c>
      <c r="C62" s="60">
        <v>72293.000000000015</v>
      </c>
      <c r="D62" s="60">
        <v>125046</v>
      </c>
      <c r="E62" s="60">
        <v>150257</v>
      </c>
      <c r="F62" s="72">
        <f>E62*(1+F63)</f>
        <v>167987.32599999997</v>
      </c>
      <c r="G62" s="72">
        <f t="shared" ref="G62:J62" si="52">F62*(1+G63)</f>
        <v>180082.41347199999</v>
      </c>
      <c r="H62" s="72">
        <f t="shared" si="52"/>
        <v>185484.88587616</v>
      </c>
      <c r="I62" s="72">
        <f t="shared" si="52"/>
        <v>191049.4324524448</v>
      </c>
      <c r="J62" s="72">
        <f t="shared" si="52"/>
        <v>196780.91542601815</v>
      </c>
    </row>
    <row r="63" spans="2:10">
      <c r="B63" s="25" t="s">
        <v>21</v>
      </c>
      <c r="C63"/>
      <c r="D63" s="67">
        <f>D62/C62-1</f>
        <v>0.72971103702986428</v>
      </c>
      <c r="E63" s="67">
        <f>E62/D62-1</f>
        <v>0.20161380611934798</v>
      </c>
      <c r="F63" s="69">
        <v>0.11799999999999999</v>
      </c>
      <c r="G63" s="69">
        <v>7.1999999999999995E-2</v>
      </c>
      <c r="H63" s="69">
        <v>0.03</v>
      </c>
      <c r="I63" s="69">
        <v>0.03</v>
      </c>
      <c r="J63" s="69">
        <v>0.03</v>
      </c>
    </row>
    <row r="64" spans="2:10">
      <c r="B64" s="23" t="s">
        <v>33</v>
      </c>
      <c r="C64" s="60">
        <v>32394</v>
      </c>
      <c r="D64" s="60">
        <v>58310</v>
      </c>
      <c r="E64" s="60">
        <v>71033</v>
      </c>
      <c r="F64" s="72">
        <f>E64*(F65+1)</f>
        <v>71672.296999999991</v>
      </c>
      <c r="G64" s="72">
        <f t="shared" ref="G64:J64" si="53">F64*(G65+1)</f>
        <v>71672.296999999991</v>
      </c>
      <c r="H64" s="72">
        <f t="shared" si="53"/>
        <v>71672.296999999991</v>
      </c>
      <c r="I64" s="72">
        <f t="shared" si="53"/>
        <v>71672.296999999991</v>
      </c>
      <c r="J64" s="72">
        <f t="shared" si="53"/>
        <v>71672.296999999991</v>
      </c>
    </row>
    <row r="65" spans="2:10">
      <c r="B65" s="25" t="s">
        <v>21</v>
      </c>
      <c r="C65"/>
      <c r="D65" s="67">
        <f>D64/C64-1</f>
        <v>0.80002469593134529</v>
      </c>
      <c r="E65" s="67">
        <f>E64/D64-1</f>
        <v>0.21819584976847883</v>
      </c>
      <c r="F65" s="69">
        <v>8.9999999999999993E-3</v>
      </c>
      <c r="G65" s="69">
        <v>0</v>
      </c>
      <c r="H65" s="69">
        <v>0</v>
      </c>
      <c r="I65" s="69">
        <v>0</v>
      </c>
      <c r="J65" s="69">
        <v>0</v>
      </c>
    </row>
    <row r="66" spans="2:10">
      <c r="B66" s="23" t="s">
        <v>32</v>
      </c>
      <c r="C66" s="60">
        <v>16735</v>
      </c>
      <c r="D66" s="60">
        <v>18157.999999999996</v>
      </c>
      <c r="E66" s="60">
        <v>16341.000000000004</v>
      </c>
      <c r="F66" s="72">
        <f>E66*(1+F67)</f>
        <v>15899.793000000003</v>
      </c>
      <c r="G66" s="72">
        <f t="shared" ref="G66:J66" si="54">F66*(1+G67)</f>
        <v>15343.300245000002</v>
      </c>
      <c r="H66" s="72">
        <f t="shared" si="54"/>
        <v>15343.300245000002</v>
      </c>
      <c r="I66" s="72">
        <f t="shared" si="54"/>
        <v>15343.300245000002</v>
      </c>
      <c r="J66" s="72">
        <f t="shared" si="54"/>
        <v>15343.300245000002</v>
      </c>
    </row>
    <row r="67" spans="2:10">
      <c r="B67" s="25" t="s">
        <v>21</v>
      </c>
      <c r="C67"/>
      <c r="D67" s="67">
        <f>D66/C66-1</f>
        <v>8.5031371377352727E-2</v>
      </c>
      <c r="E67" s="67">
        <f>E66/D66-1</f>
        <v>-0.10006608657341076</v>
      </c>
      <c r="F67" s="69">
        <v>-2.7E-2</v>
      </c>
      <c r="G67" s="69">
        <v>-3.5000000000000003E-2</v>
      </c>
      <c r="H67" s="69">
        <v>0</v>
      </c>
      <c r="I67" s="69">
        <v>0</v>
      </c>
      <c r="J67" s="69">
        <v>0</v>
      </c>
    </row>
    <row r="68" spans="2:10">
      <c r="B68" s="23" t="s">
        <v>34</v>
      </c>
      <c r="C68" s="60">
        <v>42620</v>
      </c>
      <c r="D68" s="60">
        <v>35165</v>
      </c>
      <c r="E68" s="60">
        <v>26379</v>
      </c>
      <c r="F68" s="72">
        <f>E68*(1+F69)</f>
        <v>19784.25</v>
      </c>
      <c r="G68" s="72">
        <f t="shared" ref="G68:J68" si="55">F68*(1+G69)</f>
        <v>16816.612499999999</v>
      </c>
      <c r="H68" s="72">
        <f t="shared" si="55"/>
        <v>14294.120625</v>
      </c>
      <c r="I68" s="72">
        <f t="shared" si="55"/>
        <v>12150.00253125</v>
      </c>
      <c r="J68" s="72">
        <f t="shared" si="55"/>
        <v>10327.502151562499</v>
      </c>
    </row>
    <row r="69" spans="2:10">
      <c r="B69" s="25" t="s">
        <v>21</v>
      </c>
      <c r="C69"/>
      <c r="D69" s="65">
        <f>D68/C68-1</f>
        <v>-0.17491787893007982</v>
      </c>
      <c r="E69" s="65">
        <f>E68/D68-1</f>
        <v>-0.24985070382482577</v>
      </c>
      <c r="F69" s="69">
        <v>-0.25</v>
      </c>
      <c r="G69" s="69">
        <v>-0.15</v>
      </c>
      <c r="H69" s="69">
        <v>-0.15</v>
      </c>
      <c r="I69" s="69">
        <v>-0.15</v>
      </c>
      <c r="J69" s="69">
        <v>-0.15</v>
      </c>
    </row>
    <row r="70" spans="2:10">
      <c r="B70" s="25"/>
      <c r="C70"/>
      <c r="D70"/>
      <c r="E70"/>
      <c r="F70"/>
      <c r="G70"/>
      <c r="H70"/>
      <c r="I70"/>
      <c r="J70"/>
    </row>
    <row r="71" spans="2:10">
      <c r="B71" s="18" t="s">
        <v>41</v>
      </c>
      <c r="C71"/>
      <c r="D71"/>
      <c r="E71"/>
      <c r="F71"/>
      <c r="G71"/>
      <c r="H71"/>
      <c r="I71"/>
      <c r="J71"/>
    </row>
    <row r="72" spans="2:10">
      <c r="B72" s="23" t="s">
        <v>37</v>
      </c>
      <c r="C72" s="66">
        <f>C52/C62*1000</f>
        <v>636.27183821393487</v>
      </c>
      <c r="D72" s="66">
        <f t="shared" ref="D72:E72" si="56">D52/D62*1000</f>
        <v>629.30441597492131</v>
      </c>
      <c r="E72" s="66">
        <f t="shared" si="56"/>
        <v>607.48584092588032</v>
      </c>
      <c r="F72" s="66">
        <f>E72*(1+F73)</f>
        <v>583.18640728884509</v>
      </c>
      <c r="G72" s="66">
        <f t="shared" ref="G72:J72" si="57">F72*(1+G73)</f>
        <v>583.18640728884509</v>
      </c>
      <c r="H72" s="66">
        <f t="shared" si="57"/>
        <v>583.18640728884509</v>
      </c>
      <c r="I72" s="66">
        <f t="shared" si="57"/>
        <v>583.18640728884509</v>
      </c>
      <c r="J72" s="66">
        <f t="shared" si="57"/>
        <v>583.18640728884509</v>
      </c>
    </row>
    <row r="73" spans="2:10">
      <c r="B73" s="25" t="s">
        <v>21</v>
      </c>
      <c r="C73"/>
      <c r="D73" s="65">
        <f>D72/C72-1</f>
        <v>-1.0950386015152969E-2</v>
      </c>
      <c r="E73" s="65">
        <f>E72/D72-1</f>
        <v>-3.4670939048218052E-2</v>
      </c>
      <c r="F73" s="69">
        <v>-0.04</v>
      </c>
      <c r="G73" s="69">
        <v>0</v>
      </c>
      <c r="H73" s="69">
        <v>0</v>
      </c>
      <c r="I73" s="69">
        <v>0</v>
      </c>
      <c r="J73" s="69">
        <v>0</v>
      </c>
    </row>
    <row r="74" spans="2:10">
      <c r="B74" s="23" t="s">
        <v>33</v>
      </c>
      <c r="C74" s="66">
        <f>C53/C64*1000</f>
        <v>591.71451503364824</v>
      </c>
      <c r="D74" s="66">
        <f t="shared" ref="D74:E74" si="58">D53/D64*1000</f>
        <v>530.69799348310755</v>
      </c>
      <c r="E74" s="66">
        <f t="shared" si="58"/>
        <v>450.21328115101431</v>
      </c>
      <c r="F74" s="66">
        <f>E74*(1+F75)</f>
        <v>440.758802246843</v>
      </c>
      <c r="G74" s="66">
        <f t="shared" ref="G74:J74" si="59">F74*(1+G75)</f>
        <v>440.758802246843</v>
      </c>
      <c r="H74" s="66">
        <f t="shared" si="59"/>
        <v>440.758802246843</v>
      </c>
      <c r="I74" s="66">
        <f t="shared" si="59"/>
        <v>440.758802246843</v>
      </c>
      <c r="J74" s="66">
        <f t="shared" si="59"/>
        <v>440.758802246843</v>
      </c>
    </row>
    <row r="75" spans="2:10">
      <c r="B75" s="25" t="s">
        <v>21</v>
      </c>
      <c r="C75"/>
      <c r="D75" s="65">
        <f>D74/C74-1</f>
        <v>-0.10311817608035345</v>
      </c>
      <c r="E75" s="65">
        <f>E74/D74-1</f>
        <v>-0.15165821864871087</v>
      </c>
      <c r="F75" s="69">
        <v>-2.1000000000000001E-2</v>
      </c>
      <c r="G75" s="69">
        <v>0</v>
      </c>
      <c r="H75" s="69">
        <v>0</v>
      </c>
      <c r="I75" s="69">
        <v>0</v>
      </c>
      <c r="J75" s="69">
        <v>0</v>
      </c>
    </row>
    <row r="76" spans="2:10">
      <c r="B76" s="23" t="s">
        <v>32</v>
      </c>
      <c r="C76" s="66">
        <f>C54/C66*1000</f>
        <v>1301.6432626232445</v>
      </c>
      <c r="D76" s="66">
        <f t="shared" ref="D76:E76" si="60">D54/D66*1000</f>
        <v>1278.8302676506225</v>
      </c>
      <c r="E76" s="66">
        <f t="shared" si="60"/>
        <v>1314.6686249311545</v>
      </c>
      <c r="F76" s="66">
        <f>E76*(1+F77)</f>
        <v>1314.6686249311545</v>
      </c>
      <c r="G76" s="66">
        <f t="shared" ref="G76:J76" si="61">F76*(1+G77)</f>
        <v>1229.2151643106295</v>
      </c>
      <c r="H76" s="66">
        <f t="shared" si="61"/>
        <v>1229.2151643106295</v>
      </c>
      <c r="I76" s="66">
        <f t="shared" si="61"/>
        <v>1229.2151643106295</v>
      </c>
      <c r="J76" s="66">
        <f t="shared" si="61"/>
        <v>1229.2151643106295</v>
      </c>
    </row>
    <row r="77" spans="2:10">
      <c r="B77" s="25" t="s">
        <v>21</v>
      </c>
      <c r="C77"/>
      <c r="D77" s="65">
        <f>D76/C76-1</f>
        <v>-1.7526303579251112E-2</v>
      </c>
      <c r="E77" s="65">
        <f>E76/D76-1</f>
        <v>2.8024326751642903E-2</v>
      </c>
      <c r="F77" s="69">
        <v>0</v>
      </c>
      <c r="G77" s="69">
        <v>-6.5000000000000002E-2</v>
      </c>
      <c r="H77" s="69">
        <v>0</v>
      </c>
      <c r="I77" s="69">
        <v>0</v>
      </c>
      <c r="J77" s="69">
        <v>0</v>
      </c>
    </row>
    <row r="78" spans="2:10">
      <c r="B78" s="23" t="s">
        <v>34</v>
      </c>
      <c r="C78" s="66">
        <f>C55/C68*1000</f>
        <v>174.87095260441106</v>
      </c>
      <c r="D78" s="66">
        <f t="shared" ref="D78:E78" si="62">D55/D68*1000</f>
        <v>159.67581401962178</v>
      </c>
      <c r="E78" s="66">
        <f t="shared" si="62"/>
        <v>167.21634633610068</v>
      </c>
      <c r="F78" s="66">
        <f>E78*(1+F79)</f>
        <v>165.54418287273967</v>
      </c>
      <c r="G78" s="66">
        <f t="shared" ref="G78:J78" si="63">F78*(1+G79)</f>
        <v>162.7299317639031</v>
      </c>
      <c r="H78" s="66">
        <f t="shared" si="63"/>
        <v>162.7299317639031</v>
      </c>
      <c r="I78" s="66">
        <f t="shared" si="63"/>
        <v>162.7299317639031</v>
      </c>
      <c r="J78" s="66">
        <f t="shared" si="63"/>
        <v>162.7299317639031</v>
      </c>
    </row>
    <row r="79" spans="2:10">
      <c r="B79" s="25" t="s">
        <v>21</v>
      </c>
      <c r="C79"/>
      <c r="D79" s="65">
        <f>D78/C78-1</f>
        <v>-8.6893439753618518E-2</v>
      </c>
      <c r="E79" s="65">
        <f>E78/D78-1</f>
        <v>4.7224010491359047E-2</v>
      </c>
      <c r="F79" s="69">
        <v>-0.01</v>
      </c>
      <c r="G79" s="69">
        <v>-1.7000000000000001E-2</v>
      </c>
      <c r="H79" s="69">
        <v>0</v>
      </c>
      <c r="I79" s="69">
        <v>0</v>
      </c>
      <c r="J79" s="69">
        <v>0</v>
      </c>
    </row>
    <row r="80" spans="2:10">
      <c r="C80"/>
      <c r="D80" s="75"/>
      <c r="E80" s="75"/>
      <c r="F80" s="75"/>
      <c r="G80" s="75"/>
      <c r="H80" s="75"/>
      <c r="I80" s="75"/>
      <c r="J80" s="75"/>
    </row>
    <row r="81" spans="1:10">
      <c r="B81" s="1" t="s">
        <v>35</v>
      </c>
      <c r="C81"/>
      <c r="D81" s="65">
        <f>D56/C56-1</f>
        <v>0.37522671503254035</v>
      </c>
      <c r="E81" s="65">
        <f>E56/D56-1</f>
        <v>0.24522885958107055</v>
      </c>
      <c r="F81" s="69">
        <v>0.2</v>
      </c>
      <c r="G81" s="69">
        <v>0.2</v>
      </c>
      <c r="H81" s="69">
        <v>0.2</v>
      </c>
      <c r="I81" s="69">
        <v>0.2</v>
      </c>
      <c r="J81" s="69">
        <v>0.2</v>
      </c>
    </row>
    <row r="82" spans="1:10">
      <c r="B82" s="1" t="s">
        <v>36</v>
      </c>
      <c r="C82"/>
      <c r="D82" s="65">
        <f>D57/C57-1</f>
        <v>0.14997764863656693</v>
      </c>
      <c r="E82" s="65">
        <f>E57/D57-1</f>
        <v>0.10903790087463561</v>
      </c>
      <c r="F82" s="69">
        <v>0.1</v>
      </c>
      <c r="G82" s="69">
        <v>0.15</v>
      </c>
      <c r="H82" s="69">
        <v>0.15</v>
      </c>
      <c r="I82" s="69">
        <v>0.15</v>
      </c>
      <c r="J82" s="69">
        <v>0.15</v>
      </c>
    </row>
    <row r="83" spans="1:10">
      <c r="C83"/>
      <c r="D83"/>
      <c r="E83"/>
      <c r="F83"/>
      <c r="G83"/>
      <c r="H83"/>
      <c r="I83"/>
      <c r="J83"/>
    </row>
    <row r="84" spans="1:10">
      <c r="A84" s="1" t="s">
        <v>146</v>
      </c>
      <c r="B84" s="4" t="s">
        <v>56</v>
      </c>
      <c r="C84" s="78"/>
      <c r="D84" s="78"/>
      <c r="E84" s="78"/>
      <c r="F84" s="2"/>
      <c r="G84" s="2"/>
      <c r="H84" s="2"/>
      <c r="I84" s="2"/>
      <c r="J84" s="2"/>
    </row>
    <row r="85" spans="1:10">
      <c r="B85" s="79" t="str">
        <f>B13</f>
        <v xml:space="preserve">Fiscal year  </v>
      </c>
      <c r="C85" s="80"/>
      <c r="D85" s="80">
        <f t="shared" ref="D85:J86" si="64">D13</f>
        <v>2012</v>
      </c>
      <c r="E85" s="80">
        <f t="shared" si="64"/>
        <v>2013</v>
      </c>
      <c r="F85" s="81">
        <f t="shared" si="64"/>
        <v>2014</v>
      </c>
      <c r="G85" s="81">
        <f t="shared" si="64"/>
        <v>2015</v>
      </c>
      <c r="H85" s="81">
        <f t="shared" si="64"/>
        <v>2016</v>
      </c>
      <c r="I85" s="81">
        <f t="shared" si="64"/>
        <v>2017</v>
      </c>
      <c r="J85" s="81">
        <f t="shared" si="64"/>
        <v>2018</v>
      </c>
    </row>
    <row r="86" spans="1:10">
      <c r="B86" s="2" t="str">
        <f>B14</f>
        <v>Fiscal year end date</v>
      </c>
      <c r="C86" s="82"/>
      <c r="D86" s="82">
        <f t="shared" si="64"/>
        <v>41181</v>
      </c>
      <c r="E86" s="82">
        <f t="shared" si="64"/>
        <v>41545</v>
      </c>
      <c r="F86" s="82">
        <f t="shared" si="64"/>
        <v>41912</v>
      </c>
      <c r="G86" s="82">
        <f t="shared" si="64"/>
        <v>42277</v>
      </c>
      <c r="H86" s="82">
        <f t="shared" si="64"/>
        <v>42643</v>
      </c>
      <c r="I86" s="82">
        <f t="shared" si="64"/>
        <v>43008</v>
      </c>
      <c r="J86" s="82">
        <f t="shared" si="64"/>
        <v>43373</v>
      </c>
    </row>
    <row r="87" spans="1:10">
      <c r="B87" s="1" t="s">
        <v>57</v>
      </c>
      <c r="C87" s="83"/>
      <c r="D87" s="72">
        <f>10746+18383+92122</f>
        <v>121251</v>
      </c>
      <c r="E87" s="72">
        <f>14259+26287+106215</f>
        <v>146761</v>
      </c>
      <c r="F87" s="96">
        <f ca="1">E87+F290</f>
        <v>152133.77178186952</v>
      </c>
      <c r="G87" s="96">
        <f t="shared" ref="G87:J87" ca="1" si="65">F87+G290</f>
        <v>160521.76811729561</v>
      </c>
      <c r="H87" s="96">
        <f t="shared" ca="1" si="65"/>
        <v>167371.04687728541</v>
      </c>
      <c r="I87" s="96">
        <f t="shared" ca="1" si="65"/>
        <v>178146.81706348865</v>
      </c>
      <c r="J87" s="96">
        <f t="shared" ca="1" si="65"/>
        <v>184310.78911391232</v>
      </c>
    </row>
    <row r="88" spans="1:10">
      <c r="B88" s="3" t="s">
        <v>58</v>
      </c>
      <c r="C88" s="84"/>
      <c r="D88" s="76">
        <v>10930</v>
      </c>
      <c r="E88" s="76">
        <v>13102</v>
      </c>
      <c r="F88" s="109">
        <f>F126</f>
        <v>13535.190578699998</v>
      </c>
      <c r="G88" s="109">
        <f t="shared" ref="G88:J88" si="66">G126</f>
        <v>14329.049503419239</v>
      </c>
      <c r="H88" s="109">
        <f t="shared" si="66"/>
        <v>14970.912446547813</v>
      </c>
      <c r="I88" s="109">
        <f t="shared" si="66"/>
        <v>15707.246187902134</v>
      </c>
      <c r="J88" s="109">
        <f t="shared" si="66"/>
        <v>16553.468714211194</v>
      </c>
    </row>
    <row r="89" spans="1:10">
      <c r="B89" s="3" t="s">
        <v>59</v>
      </c>
      <c r="C89" s="84"/>
      <c r="D89" s="76">
        <v>791</v>
      </c>
      <c r="E89" s="76">
        <v>1764</v>
      </c>
      <c r="F89" s="96">
        <f>F134</f>
        <v>1804.2140130335999</v>
      </c>
      <c r="G89" s="96">
        <f t="shared" ref="G89:J89" si="67">G134</f>
        <v>1947.4309515897016</v>
      </c>
      <c r="H89" s="96">
        <f t="shared" si="67"/>
        <v>2034.6651928998995</v>
      </c>
      <c r="I89" s="96">
        <f t="shared" si="67"/>
        <v>2134.7387615110679</v>
      </c>
      <c r="J89" s="96">
        <f t="shared" si="67"/>
        <v>2249.7470835406243</v>
      </c>
    </row>
    <row r="90" spans="1:10">
      <c r="B90" s="17" t="s">
        <v>60</v>
      </c>
      <c r="C90" s="84"/>
      <c r="D90" s="76">
        <v>2583</v>
      </c>
      <c r="E90" s="76">
        <v>3453</v>
      </c>
      <c r="F90" s="96">
        <f>F192</f>
        <v>3453</v>
      </c>
      <c r="G90" s="96">
        <f t="shared" ref="G90:J90" si="68">G192</f>
        <v>3453</v>
      </c>
      <c r="H90" s="96">
        <f t="shared" si="68"/>
        <v>3453</v>
      </c>
      <c r="I90" s="96">
        <f t="shared" si="68"/>
        <v>3453</v>
      </c>
      <c r="J90" s="96">
        <f t="shared" si="68"/>
        <v>3453</v>
      </c>
    </row>
    <row r="91" spans="1:10">
      <c r="B91" s="3" t="s">
        <v>61</v>
      </c>
      <c r="C91" s="84"/>
      <c r="D91" s="72">
        <f>7762+6458</f>
        <v>14220</v>
      </c>
      <c r="E91" s="72">
        <f>7539+6882</f>
        <v>14421</v>
      </c>
      <c r="F91" s="96">
        <f>F187</f>
        <v>14421</v>
      </c>
      <c r="G91" s="96">
        <f t="shared" ref="G91:J91" si="69">G187</f>
        <v>14421</v>
      </c>
      <c r="H91" s="96">
        <f t="shared" si="69"/>
        <v>14421</v>
      </c>
      <c r="I91" s="96">
        <f t="shared" si="69"/>
        <v>14421</v>
      </c>
      <c r="J91" s="96">
        <f t="shared" si="69"/>
        <v>14421</v>
      </c>
    </row>
    <row r="92" spans="1:10">
      <c r="B92" s="17" t="s">
        <v>62</v>
      </c>
      <c r="C92" s="84"/>
      <c r="D92" s="76">
        <v>15452</v>
      </c>
      <c r="E92" s="76">
        <v>16597</v>
      </c>
      <c r="F92" s="96">
        <f>F173</f>
        <v>19465.3847584</v>
      </c>
      <c r="G92" s="96">
        <f t="shared" ref="G92:J92" si="70">G173</f>
        <v>23656.631738150129</v>
      </c>
      <c r="H92" s="96">
        <f t="shared" si="70"/>
        <v>28035.623628765366</v>
      </c>
      <c r="I92" s="96">
        <f t="shared" si="70"/>
        <v>32629.993138726739</v>
      </c>
      <c r="J92" s="96">
        <f t="shared" si="70"/>
        <v>37471.882737633518</v>
      </c>
    </row>
    <row r="93" spans="1:10">
      <c r="B93" s="17" t="s">
        <v>63</v>
      </c>
      <c r="C93" s="84"/>
      <c r="D93" s="72">
        <f>4224+1135</f>
        <v>5359</v>
      </c>
      <c r="E93" s="72">
        <f>4179+1577</f>
        <v>5756</v>
      </c>
      <c r="F93" s="96">
        <f>F161</f>
        <v>4706</v>
      </c>
      <c r="G93" s="96">
        <f t="shared" ref="G93:J93" si="71">G161</f>
        <v>3721</v>
      </c>
      <c r="H93" s="96">
        <f t="shared" si="71"/>
        <v>2888</v>
      </c>
      <c r="I93" s="96">
        <f t="shared" si="71"/>
        <v>2282</v>
      </c>
      <c r="J93" s="96">
        <f t="shared" si="71"/>
        <v>1848</v>
      </c>
    </row>
    <row r="94" spans="1:10">
      <c r="B94" s="85" t="s">
        <v>64</v>
      </c>
      <c r="C94" s="86"/>
      <c r="D94" s="76">
        <v>5478</v>
      </c>
      <c r="E94" s="76">
        <v>5146</v>
      </c>
      <c r="F94" s="96">
        <f>F197</f>
        <v>5146</v>
      </c>
      <c r="G94" s="96">
        <f t="shared" ref="G94:J94" si="72">G197</f>
        <v>5146</v>
      </c>
      <c r="H94" s="96">
        <f t="shared" si="72"/>
        <v>5146</v>
      </c>
      <c r="I94" s="96">
        <f t="shared" si="72"/>
        <v>5146</v>
      </c>
      <c r="J94" s="96">
        <f t="shared" si="72"/>
        <v>5146</v>
      </c>
    </row>
    <row r="95" spans="1:10">
      <c r="B95" s="87" t="s">
        <v>65</v>
      </c>
      <c r="C95" s="88"/>
      <c r="D95" s="89">
        <f>SUM(D87:D94)</f>
        <v>176064</v>
      </c>
      <c r="E95" s="89">
        <f>SUM(E87:E94)</f>
        <v>207000</v>
      </c>
      <c r="F95" s="89">
        <f t="shared" ref="F95:J95" ca="1" si="73">SUM(F87:F94)</f>
        <v>214664.56113200312</v>
      </c>
      <c r="G95" s="89">
        <f t="shared" ca="1" si="73"/>
        <v>227195.88031045464</v>
      </c>
      <c r="H95" s="89">
        <f t="shared" ca="1" si="73"/>
        <v>238320.24814549851</v>
      </c>
      <c r="I95" s="89">
        <f t="shared" ca="1" si="73"/>
        <v>253920.79515162861</v>
      </c>
      <c r="J95" s="89">
        <f t="shared" ca="1" si="73"/>
        <v>265453.88764929766</v>
      </c>
    </row>
    <row r="96" spans="1:10">
      <c r="B96" s="90"/>
      <c r="C96" s="91"/>
      <c r="D96" s="53"/>
      <c r="E96" s="53"/>
      <c r="F96"/>
      <c r="G96"/>
      <c r="H96"/>
      <c r="I96"/>
      <c r="J96"/>
    </row>
    <row r="97" spans="2:10">
      <c r="B97" s="90" t="s">
        <v>66</v>
      </c>
      <c r="C97" s="92"/>
      <c r="D97" s="76">
        <v>21175</v>
      </c>
      <c r="E97" s="76">
        <v>22367</v>
      </c>
      <c r="F97" s="96">
        <f>F142</f>
        <v>22890.965290363798</v>
      </c>
      <c r="G97" s="96">
        <f t="shared" ref="G97:J97" si="74">G142</f>
        <v>24313.380365301728</v>
      </c>
      <c r="H97" s="96">
        <f t="shared" si="74"/>
        <v>25402.486650750256</v>
      </c>
      <c r="I97" s="96">
        <f t="shared" si="74"/>
        <v>26651.889992198783</v>
      </c>
      <c r="J97" s="96">
        <f t="shared" si="74"/>
        <v>28087.751467234459</v>
      </c>
    </row>
    <row r="98" spans="2:10">
      <c r="B98" s="90" t="s">
        <v>67</v>
      </c>
      <c r="C98" s="92"/>
      <c r="D98" s="72">
        <f>11414+5953+2648</f>
        <v>20015</v>
      </c>
      <c r="E98" s="72">
        <f>13856+7435+2625</f>
        <v>23916</v>
      </c>
      <c r="F98" s="96">
        <f>F150</f>
        <v>23843.448304199999</v>
      </c>
      <c r="G98" s="96">
        <f t="shared" ref="G98:J98" si="75">G150</f>
        <v>23850.325818191232</v>
      </c>
      <c r="H98" s="96">
        <f t="shared" si="75"/>
        <v>23835.268500424805</v>
      </c>
      <c r="I98" s="96">
        <f t="shared" si="75"/>
        <v>23974.217865745366</v>
      </c>
      <c r="J98" s="96">
        <f t="shared" si="75"/>
        <v>23958.96787583199</v>
      </c>
    </row>
    <row r="99" spans="2:10">
      <c r="B99" s="90" t="s">
        <v>68</v>
      </c>
      <c r="C99" s="92"/>
      <c r="D99" s="70">
        <v>0</v>
      </c>
      <c r="E99" s="70">
        <v>0</v>
      </c>
      <c r="F99" s="96">
        <f ca="1">F299</f>
        <v>0</v>
      </c>
      <c r="G99" s="96">
        <f ca="1">G299</f>
        <v>0</v>
      </c>
      <c r="H99" s="96">
        <f ca="1">H299</f>
        <v>0</v>
      </c>
      <c r="I99" s="96">
        <f ca="1">I299</f>
        <v>0</v>
      </c>
      <c r="J99" s="96">
        <f ca="1">J299</f>
        <v>0</v>
      </c>
    </row>
    <row r="100" spans="2:10">
      <c r="B100" s="90" t="s">
        <v>69</v>
      </c>
      <c r="C100" s="88"/>
      <c r="D100" s="76">
        <v>0</v>
      </c>
      <c r="E100" s="76">
        <v>16960</v>
      </c>
      <c r="F100" s="96">
        <f>F212</f>
        <v>16960</v>
      </c>
      <c r="G100" s="96">
        <f t="shared" ref="G100:J100" si="76">G212</f>
        <v>16960</v>
      </c>
      <c r="H100" s="96">
        <f t="shared" si="76"/>
        <v>14460</v>
      </c>
      <c r="I100" s="96">
        <f t="shared" si="76"/>
        <v>14460</v>
      </c>
      <c r="J100" s="96">
        <f t="shared" si="76"/>
        <v>8460</v>
      </c>
    </row>
    <row r="101" spans="2:10">
      <c r="B101" s="85" t="s">
        <v>70</v>
      </c>
      <c r="C101" s="88"/>
      <c r="D101" s="76">
        <v>16664</v>
      </c>
      <c r="E101" s="76">
        <v>20208</v>
      </c>
      <c r="F101" s="96">
        <f>F202</f>
        <v>23208</v>
      </c>
      <c r="G101" s="96">
        <f t="shared" ref="G101:J101" si="77">G202</f>
        <v>26208</v>
      </c>
      <c r="H101" s="96">
        <f t="shared" si="77"/>
        <v>29208</v>
      </c>
      <c r="I101" s="96">
        <f t="shared" si="77"/>
        <v>32208</v>
      </c>
      <c r="J101" s="96">
        <f t="shared" si="77"/>
        <v>35208</v>
      </c>
    </row>
    <row r="102" spans="2:10">
      <c r="B102" s="87" t="s">
        <v>71</v>
      </c>
      <c r="C102" s="88"/>
      <c r="D102" s="89">
        <f>SUM(D97:D101)</f>
        <v>57854</v>
      </c>
      <c r="E102" s="89">
        <f>SUM(E97:E101)</f>
        <v>83451</v>
      </c>
      <c r="F102" s="89">
        <f t="shared" ref="F102:J102" ca="1" si="78">SUM(F97:F101)</f>
        <v>86902.413594563797</v>
      </c>
      <c r="G102" s="89">
        <f t="shared" ca="1" si="78"/>
        <v>91331.706183492963</v>
      </c>
      <c r="H102" s="89">
        <f t="shared" ca="1" si="78"/>
        <v>92905.755151175064</v>
      </c>
      <c r="I102" s="89">
        <f t="shared" ca="1" si="78"/>
        <v>97294.107857944153</v>
      </c>
      <c r="J102" s="89">
        <f t="shared" ca="1" si="78"/>
        <v>95714.719343066448</v>
      </c>
    </row>
    <row r="103" spans="2:10">
      <c r="B103" s="87"/>
      <c r="C103" s="88"/>
      <c r="D103" s="53"/>
      <c r="E103" s="53"/>
      <c r="F103"/>
      <c r="G103"/>
      <c r="H103"/>
      <c r="I103"/>
      <c r="J103"/>
    </row>
    <row r="104" spans="2:10">
      <c r="B104" s="90" t="s">
        <v>72</v>
      </c>
      <c r="C104" s="92"/>
      <c r="D104" s="76">
        <v>16422</v>
      </c>
      <c r="E104" s="76">
        <v>19764</v>
      </c>
      <c r="F104" s="96">
        <f>F228</f>
        <v>21976.600293010801</v>
      </c>
      <c r="G104" s="96">
        <f t="shared" ref="G104:J104" si="79">G228</f>
        <v>24163.665743532685</v>
      </c>
      <c r="H104" s="96">
        <f t="shared" si="79"/>
        <v>26448.69974853209</v>
      </c>
      <c r="I104" s="96">
        <f t="shared" si="79"/>
        <v>28846.121535106628</v>
      </c>
      <c r="J104" s="96">
        <f t="shared" si="79"/>
        <v>31372.703602012545</v>
      </c>
    </row>
    <row r="105" spans="2:10">
      <c r="B105" s="90" t="s">
        <v>73</v>
      </c>
      <c r="C105" s="92"/>
      <c r="D105" s="70">
        <v>0</v>
      </c>
      <c r="E105" s="70">
        <v>0</v>
      </c>
      <c r="F105" s="96">
        <f>F237</f>
        <v>-23968</v>
      </c>
      <c r="G105" s="96">
        <f t="shared" ref="G105:J105" si="80">G237</f>
        <v>-47936</v>
      </c>
      <c r="H105" s="96">
        <f t="shared" si="80"/>
        <v>-71904</v>
      </c>
      <c r="I105" s="96">
        <f t="shared" si="80"/>
        <v>-95872</v>
      </c>
      <c r="J105" s="96">
        <f t="shared" si="80"/>
        <v>-119840</v>
      </c>
    </row>
    <row r="106" spans="2:10">
      <c r="B106" s="90" t="s">
        <v>74</v>
      </c>
      <c r="C106" s="86"/>
      <c r="D106" s="76">
        <v>101289</v>
      </c>
      <c r="E106" s="76">
        <v>104256</v>
      </c>
      <c r="F106" s="52">
        <f ca="1">F249</f>
        <v>130224.54724442851</v>
      </c>
      <c r="G106" s="52">
        <f t="shared" ref="G106:J106" ca="1" si="81">G249</f>
        <v>160107.508383429</v>
      </c>
      <c r="H106" s="52">
        <f t="shared" ca="1" si="81"/>
        <v>191340.79324579198</v>
      </c>
      <c r="I106" s="52">
        <f t="shared" ca="1" si="81"/>
        <v>224123.56575856666</v>
      </c>
      <c r="J106" s="52">
        <f t="shared" ca="1" si="81"/>
        <v>258677.46470433022</v>
      </c>
    </row>
    <row r="107" spans="2:10">
      <c r="B107" s="90" t="s">
        <v>75</v>
      </c>
      <c r="C107" s="86"/>
      <c r="D107" s="76">
        <v>499</v>
      </c>
      <c r="E107" s="76">
        <v>-471</v>
      </c>
      <c r="F107" s="96">
        <f>F258</f>
        <v>-471</v>
      </c>
      <c r="G107" s="96">
        <f t="shared" ref="G107:J107" si="82">G258</f>
        <v>-471</v>
      </c>
      <c r="H107" s="96">
        <f t="shared" si="82"/>
        <v>-471</v>
      </c>
      <c r="I107" s="96">
        <f t="shared" si="82"/>
        <v>-471</v>
      </c>
      <c r="J107" s="96">
        <f t="shared" si="82"/>
        <v>-471</v>
      </c>
    </row>
    <row r="108" spans="2:10">
      <c r="B108" s="87" t="s">
        <v>76</v>
      </c>
      <c r="C108" s="93"/>
      <c r="D108" s="89">
        <f>SUM(D104:D107)</f>
        <v>118210</v>
      </c>
      <c r="E108" s="89">
        <f>SUM(E104:E107)</f>
        <v>123549</v>
      </c>
      <c r="F108" s="89">
        <f t="shared" ref="F108:J108" ca="1" si="83">SUM(F104:F107)</f>
        <v>127762.1475374393</v>
      </c>
      <c r="G108" s="89">
        <f t="shared" ca="1" si="83"/>
        <v>135864.17412696168</v>
      </c>
      <c r="H108" s="89">
        <f t="shared" ca="1" si="83"/>
        <v>145414.49299432407</v>
      </c>
      <c r="I108" s="89">
        <f t="shared" ca="1" si="83"/>
        <v>156626.68729367328</v>
      </c>
      <c r="J108" s="89">
        <f t="shared" ca="1" si="83"/>
        <v>169739.16830634276</v>
      </c>
    </row>
    <row r="109" spans="2:10">
      <c r="B109" s="3"/>
      <c r="C109" s="94"/>
      <c r="D109"/>
      <c r="E109"/>
      <c r="F109"/>
      <c r="G109"/>
      <c r="H109"/>
      <c r="I109"/>
      <c r="J109"/>
    </row>
    <row r="110" spans="2:10">
      <c r="B110" s="14" t="s">
        <v>77</v>
      </c>
      <c r="C110" s="95"/>
      <c r="D110" s="96">
        <f>D95-(D102+D108)</f>
        <v>0</v>
      </c>
      <c r="E110" s="96">
        <f>E95-(E102+E108)</f>
        <v>0</v>
      </c>
      <c r="F110" s="96">
        <f t="shared" ref="F110:J110" ca="1" si="84">F95-(F102+F108)</f>
        <v>0</v>
      </c>
      <c r="G110" s="96">
        <f t="shared" ca="1" si="84"/>
        <v>0</v>
      </c>
      <c r="H110" s="96">
        <f t="shared" ca="1" si="84"/>
        <v>-6.4028427004814148E-10</v>
      </c>
      <c r="I110" s="96">
        <f t="shared" ca="1" si="84"/>
        <v>1.1175870895385742E-8</v>
      </c>
      <c r="J110" s="96">
        <f t="shared" ca="1" si="84"/>
        <v>-1.1158408597111702E-7</v>
      </c>
    </row>
    <row r="111" spans="2:10">
      <c r="C111" s="97"/>
      <c r="D111"/>
      <c r="E111"/>
      <c r="F111"/>
      <c r="G111"/>
      <c r="H111"/>
      <c r="I111"/>
      <c r="J111"/>
    </row>
    <row r="112" spans="2:10">
      <c r="B112" s="18" t="s">
        <v>78</v>
      </c>
      <c r="C112" s="97"/>
      <c r="D112"/>
      <c r="E112"/>
      <c r="F112"/>
      <c r="G112"/>
      <c r="H112"/>
      <c r="I112"/>
      <c r="J112"/>
    </row>
    <row r="113" spans="1:10">
      <c r="B113" s="1" t="s">
        <v>79</v>
      </c>
      <c r="C113" s="97"/>
      <c r="D113" s="96">
        <f>D100-D87</f>
        <v>-121251</v>
      </c>
      <c r="E113" s="96">
        <f>E100-E87</f>
        <v>-129801</v>
      </c>
      <c r="F113"/>
      <c r="G113"/>
      <c r="H113"/>
      <c r="I113"/>
      <c r="J113"/>
    </row>
    <row r="114" spans="1:10">
      <c r="B114" s="1" t="s">
        <v>80</v>
      </c>
      <c r="C114" s="97"/>
      <c r="D114" s="98">
        <f>D16/D95</f>
        <v>0.88892675390766995</v>
      </c>
      <c r="E114" s="98">
        <f>E16/E95</f>
        <v>0.82565217391304346</v>
      </c>
      <c r="F114"/>
      <c r="G114"/>
      <c r="H114"/>
      <c r="I114"/>
      <c r="J114"/>
    </row>
    <row r="115" spans="1:10">
      <c r="B115" s="1" t="s">
        <v>81</v>
      </c>
      <c r="C115" s="97"/>
      <c r="D115" s="56">
        <f>D27/D16</f>
        <v>0.26665090602397323</v>
      </c>
      <c r="E115" s="56">
        <f>E27/E16</f>
        <v>0.21670469837926393</v>
      </c>
      <c r="F115"/>
      <c r="G115"/>
      <c r="H115"/>
      <c r="I115"/>
      <c r="J115"/>
    </row>
    <row r="116" spans="1:10">
      <c r="B116" s="1" t="s">
        <v>82</v>
      </c>
      <c r="C116" s="97"/>
      <c r="D116" s="56">
        <f>D27/D95</f>
        <v>0.23703312431842966</v>
      </c>
      <c r="E116" s="56">
        <f>E27/E95</f>
        <v>0.17892270531400967</v>
      </c>
      <c r="F116"/>
      <c r="G116"/>
      <c r="H116"/>
      <c r="I116"/>
      <c r="J116"/>
    </row>
    <row r="117" spans="1:10">
      <c r="B117" s="1" t="s">
        <v>83</v>
      </c>
      <c r="C117" s="97"/>
      <c r="D117" s="56">
        <f>D27/D108</f>
        <v>0.35304119786820065</v>
      </c>
      <c r="E117" s="56">
        <f>E27/E108</f>
        <v>0.29977579745687943</v>
      </c>
      <c r="F117"/>
      <c r="G117"/>
      <c r="H117"/>
      <c r="I117"/>
      <c r="J117"/>
    </row>
    <row r="119" spans="1:10">
      <c r="A119" s="1" t="s">
        <v>146</v>
      </c>
      <c r="B119" s="4" t="s">
        <v>84</v>
      </c>
      <c r="C119" s="78"/>
      <c r="D119" s="78"/>
      <c r="E119" s="78"/>
      <c r="F119" s="2"/>
      <c r="G119" s="2"/>
      <c r="H119" s="2"/>
      <c r="I119" s="2"/>
      <c r="J119" s="2"/>
    </row>
    <row r="120" spans="1:10">
      <c r="B120" s="79" t="str">
        <f>B13</f>
        <v xml:space="preserve">Fiscal year  </v>
      </c>
      <c r="C120" s="80"/>
      <c r="D120" s="80">
        <f t="shared" ref="D120:J121" si="85">D13</f>
        <v>2012</v>
      </c>
      <c r="E120" s="80">
        <f t="shared" si="85"/>
        <v>2013</v>
      </c>
      <c r="F120" s="81">
        <f t="shared" si="85"/>
        <v>2014</v>
      </c>
      <c r="G120" s="81">
        <f t="shared" si="85"/>
        <v>2015</v>
      </c>
      <c r="H120" s="81">
        <f t="shared" si="85"/>
        <v>2016</v>
      </c>
      <c r="I120" s="81">
        <f t="shared" si="85"/>
        <v>2017</v>
      </c>
      <c r="J120" s="81">
        <f t="shared" si="85"/>
        <v>2018</v>
      </c>
    </row>
    <row r="121" spans="1:10">
      <c r="B121" s="2" t="str">
        <f>B14</f>
        <v>Fiscal year end date</v>
      </c>
      <c r="C121" s="82"/>
      <c r="D121" s="82">
        <f t="shared" si="85"/>
        <v>41181</v>
      </c>
      <c r="E121" s="82">
        <f t="shared" si="85"/>
        <v>41545</v>
      </c>
      <c r="F121" s="82">
        <f t="shared" si="85"/>
        <v>41912</v>
      </c>
      <c r="G121" s="82">
        <f t="shared" si="85"/>
        <v>42277</v>
      </c>
      <c r="H121" s="82">
        <f t="shared" si="85"/>
        <v>42643</v>
      </c>
      <c r="I121" s="82">
        <f t="shared" si="85"/>
        <v>43008</v>
      </c>
      <c r="J121" s="82">
        <f t="shared" si="85"/>
        <v>43373</v>
      </c>
    </row>
    <row r="122" spans="1:10">
      <c r="B122" s="3"/>
      <c r="C122" s="99"/>
      <c r="D122" s="100"/>
      <c r="E122" s="100"/>
    </row>
    <row r="123" spans="1:10">
      <c r="B123" s="5" t="s">
        <v>58</v>
      </c>
      <c r="C123" s="5"/>
      <c r="D123" s="5"/>
      <c r="E123" s="5"/>
    </row>
    <row r="124" spans="1:10">
      <c r="B124" s="20" t="s">
        <v>85</v>
      </c>
      <c r="C124" s="3"/>
      <c r="D124" s="3"/>
      <c r="E124" s="110"/>
      <c r="F124" s="111">
        <f t="shared" ref="F124:J124" si="86">E126</f>
        <v>13102</v>
      </c>
      <c r="G124" s="111">
        <f t="shared" si="86"/>
        <v>13535.190578699998</v>
      </c>
      <c r="H124" s="111">
        <f t="shared" si="86"/>
        <v>14329.049503419239</v>
      </c>
      <c r="I124" s="111">
        <f t="shared" si="86"/>
        <v>14970.912446547813</v>
      </c>
      <c r="J124" s="111">
        <f t="shared" si="86"/>
        <v>15707.246187902134</v>
      </c>
    </row>
    <row r="125" spans="1:10">
      <c r="B125" s="102" t="s">
        <v>86</v>
      </c>
      <c r="C125" s="3"/>
      <c r="D125" s="3"/>
      <c r="E125" s="110"/>
      <c r="F125" s="101">
        <f>F126-F124</f>
        <v>433.19057869999779</v>
      </c>
      <c r="G125" s="101">
        <f t="shared" ref="G125:J125" si="87">G126-G124</f>
        <v>793.85892471924126</v>
      </c>
      <c r="H125" s="101">
        <f t="shared" si="87"/>
        <v>641.86294312857353</v>
      </c>
      <c r="I125" s="101">
        <f t="shared" si="87"/>
        <v>736.33374135432132</v>
      </c>
      <c r="J125" s="101">
        <f t="shared" si="87"/>
        <v>846.22252630906041</v>
      </c>
    </row>
    <row r="126" spans="1:10">
      <c r="B126" s="20" t="s">
        <v>87</v>
      </c>
      <c r="C126" s="103"/>
      <c r="D126" s="101">
        <f>D88</f>
        <v>10930</v>
      </c>
      <c r="E126" s="101">
        <f>E88</f>
        <v>13102</v>
      </c>
      <c r="F126" s="101">
        <f>IF(F128,(F128*F16), F124*(F16/E16))</f>
        <v>13535.190578699998</v>
      </c>
      <c r="G126" s="101">
        <f t="shared" ref="G126:J126" si="88">IF(G128,(G128*G16), G124*(G16/F16))</f>
        <v>14329.049503419239</v>
      </c>
      <c r="H126" s="101">
        <f t="shared" si="88"/>
        <v>14970.912446547813</v>
      </c>
      <c r="I126" s="101">
        <f t="shared" si="88"/>
        <v>15707.246187902134</v>
      </c>
      <c r="J126" s="101">
        <f t="shared" si="88"/>
        <v>16553.468714211194</v>
      </c>
    </row>
    <row r="127" spans="1:10">
      <c r="B127" s="3"/>
      <c r="C127" s="104"/>
    </row>
    <row r="128" spans="1:10">
      <c r="B128" s="20" t="s">
        <v>88</v>
      </c>
      <c r="C128" s="105"/>
      <c r="D128" s="106">
        <f>D126/D16</f>
        <v>6.9836685664630568E-2</v>
      </c>
      <c r="E128" s="106">
        <f>E126/E16</f>
        <v>7.6660230530688669E-2</v>
      </c>
      <c r="F128" s="112">
        <v>7.5499999999999998E-2</v>
      </c>
      <c r="G128" s="112">
        <v>7.5999999999999998E-2</v>
      </c>
      <c r="H128" s="112">
        <v>7.5999999999999998E-2</v>
      </c>
      <c r="I128" s="112">
        <v>7.5999999999999998E-2</v>
      </c>
      <c r="J128" s="112">
        <v>7.5999999999999998E-2</v>
      </c>
    </row>
    <row r="129" spans="2:10">
      <c r="B129" s="21" t="s">
        <v>89</v>
      </c>
      <c r="C129" s="105"/>
      <c r="D129" s="107">
        <f>365*D128</f>
        <v>25.490390267590158</v>
      </c>
      <c r="E129" s="107">
        <f>365*E128</f>
        <v>27.980984143701363</v>
      </c>
      <c r="F129" s="107">
        <f t="shared" ref="F129:J129" si="89">365*F128</f>
        <v>27.557499999999997</v>
      </c>
      <c r="G129" s="107">
        <f t="shared" si="89"/>
        <v>27.74</v>
      </c>
      <c r="H129" s="107">
        <f t="shared" si="89"/>
        <v>27.74</v>
      </c>
      <c r="I129" s="107">
        <f t="shared" si="89"/>
        <v>27.74</v>
      </c>
      <c r="J129" s="107">
        <f t="shared" si="89"/>
        <v>27.74</v>
      </c>
    </row>
    <row r="130" spans="2:10">
      <c r="B130" s="3"/>
      <c r="C130" s="105"/>
      <c r="D130" s="106"/>
      <c r="E130"/>
      <c r="F130"/>
      <c r="G130"/>
      <c r="H130"/>
      <c r="I130"/>
      <c r="J130"/>
    </row>
    <row r="131" spans="2:10">
      <c r="B131" s="5" t="s">
        <v>90</v>
      </c>
      <c r="C131" s="5"/>
      <c r="D131" s="107"/>
      <c r="E131"/>
      <c r="F131"/>
      <c r="G131"/>
      <c r="H131"/>
      <c r="I131"/>
      <c r="J131"/>
    </row>
    <row r="132" spans="2:10">
      <c r="B132" s="20" t="s">
        <v>85</v>
      </c>
      <c r="C132" s="3"/>
      <c r="D132"/>
      <c r="E132"/>
      <c r="F132" s="108">
        <f>E134</f>
        <v>1764</v>
      </c>
      <c r="G132" s="108">
        <f>F134</f>
        <v>1804.2140130335999</v>
      </c>
      <c r="H132" s="108">
        <f t="shared" ref="H132:J132" si="90">G134</f>
        <v>1947.4309515897016</v>
      </c>
      <c r="I132" s="108">
        <f t="shared" si="90"/>
        <v>2034.6651928998995</v>
      </c>
      <c r="J132" s="108">
        <f t="shared" si="90"/>
        <v>2134.7387615110679</v>
      </c>
    </row>
    <row r="133" spans="2:10">
      <c r="B133" s="102" t="s">
        <v>86</v>
      </c>
      <c r="C133" s="3"/>
      <c r="D133"/>
      <c r="E133"/>
      <c r="F133" s="72">
        <f>F134-F132</f>
        <v>40.21401303359994</v>
      </c>
      <c r="G133" s="72">
        <f t="shared" ref="G133:J133" si="91">G134-G132</f>
        <v>143.2169385561017</v>
      </c>
      <c r="H133" s="72">
        <f t="shared" si="91"/>
        <v>87.234241310197831</v>
      </c>
      <c r="I133" s="72">
        <f t="shared" si="91"/>
        <v>100.07356861116841</v>
      </c>
      <c r="J133" s="72">
        <f t="shared" si="91"/>
        <v>115.00832202955644</v>
      </c>
    </row>
    <row r="134" spans="2:10">
      <c r="B134" s="20" t="s">
        <v>87</v>
      </c>
      <c r="C134" s="103"/>
      <c r="D134" s="108">
        <f>D89</f>
        <v>791</v>
      </c>
      <c r="E134" s="108">
        <f>E89</f>
        <v>1764</v>
      </c>
      <c r="F134" s="72">
        <f>-(IF(F136,(F136*F17),(E134*(F16/E16))))</f>
        <v>1804.2140130335999</v>
      </c>
      <c r="G134" s="72">
        <f>-(IF(G136,(G136*G17),(F134*(G16/F16))))</f>
        <v>1947.4309515897016</v>
      </c>
      <c r="H134" s="72">
        <f t="shared" ref="H134:J134" si="92">-(IF(H136,(H136*H17),(G134*(H16/G16))))</f>
        <v>2034.6651928998995</v>
      </c>
      <c r="I134" s="72">
        <f t="shared" si="92"/>
        <v>2134.7387615110679</v>
      </c>
      <c r="J134" s="72">
        <f t="shared" si="92"/>
        <v>2249.7470835406243</v>
      </c>
    </row>
    <row r="135" spans="2:10">
      <c r="B135" s="3"/>
      <c r="C135" s="104"/>
      <c r="D135"/>
      <c r="E135"/>
      <c r="F135"/>
      <c r="G135"/>
      <c r="H135"/>
      <c r="I135"/>
      <c r="J135"/>
    </row>
    <row r="136" spans="2:10">
      <c r="B136" s="20" t="s">
        <v>91</v>
      </c>
      <c r="C136" s="105"/>
      <c r="D136" s="65">
        <f>-(D134/D17)</f>
        <v>9.0043940532295152E-3</v>
      </c>
      <c r="E136" s="65">
        <f>-(E134/E17)</f>
        <v>1.6546911055662909E-2</v>
      </c>
      <c r="F136" s="69">
        <v>1.6E-2</v>
      </c>
      <c r="G136" s="69">
        <v>1.6500000000000001E-2</v>
      </c>
      <c r="H136" s="69">
        <v>1.6500000000000001E-2</v>
      </c>
      <c r="I136" s="69">
        <v>1.6500000000000001E-2</v>
      </c>
      <c r="J136" s="69">
        <v>1.6500000000000001E-2</v>
      </c>
    </row>
    <row r="137" spans="2:10">
      <c r="B137" s="20" t="s">
        <v>92</v>
      </c>
      <c r="C137" s="105"/>
      <c r="D137" s="73">
        <f t="shared" ref="D137:J137" si="93">-(D17/D134)</f>
        <v>111.05689001264223</v>
      </c>
      <c r="E137" s="73">
        <f t="shared" si="93"/>
        <v>60.434240362811792</v>
      </c>
      <c r="F137" s="73">
        <f t="shared" si="93"/>
        <v>62.499999999999993</v>
      </c>
      <c r="G137" s="73">
        <f t="shared" si="93"/>
        <v>60.606060606060602</v>
      </c>
      <c r="H137" s="73">
        <f t="shared" si="93"/>
        <v>60.606060606060602</v>
      </c>
      <c r="I137" s="73">
        <f t="shared" si="93"/>
        <v>60.606060606060602</v>
      </c>
      <c r="J137" s="73">
        <f t="shared" si="93"/>
        <v>60.606060606060602</v>
      </c>
    </row>
    <row r="138" spans="2:10">
      <c r="B138" s="3"/>
      <c r="C138" s="105"/>
      <c r="D138"/>
      <c r="E138"/>
      <c r="F138"/>
      <c r="G138"/>
      <c r="H138"/>
      <c r="I138"/>
      <c r="J138"/>
    </row>
    <row r="139" spans="2:10">
      <c r="B139" s="5" t="s">
        <v>66</v>
      </c>
      <c r="C139" s="5"/>
      <c r="D139"/>
      <c r="E139"/>
      <c r="F139"/>
      <c r="G139"/>
      <c r="H139"/>
      <c r="I139"/>
      <c r="J139"/>
    </row>
    <row r="140" spans="2:10">
      <c r="B140" s="20" t="s">
        <v>85</v>
      </c>
      <c r="C140" s="3"/>
      <c r="D140"/>
      <c r="E140" s="109"/>
      <c r="F140" s="108">
        <f>E142</f>
        <v>22367</v>
      </c>
      <c r="G140" s="108">
        <f t="shared" ref="G140:J140" si="94">F142</f>
        <v>22890.965290363798</v>
      </c>
      <c r="H140" s="108">
        <f t="shared" si="94"/>
        <v>24313.380365301728</v>
      </c>
      <c r="I140" s="108">
        <f t="shared" si="94"/>
        <v>25402.486650750256</v>
      </c>
      <c r="J140" s="108">
        <f t="shared" si="94"/>
        <v>26651.889992198783</v>
      </c>
    </row>
    <row r="141" spans="2:10">
      <c r="B141" s="102" t="s">
        <v>86</v>
      </c>
      <c r="C141" s="3"/>
      <c r="D141"/>
      <c r="E141"/>
      <c r="F141" s="72">
        <f>F142-F140</f>
        <v>523.96529036379798</v>
      </c>
      <c r="G141" s="72">
        <f t="shared" ref="G141:J141" si="95">G142-G140</f>
        <v>1422.4150749379296</v>
      </c>
      <c r="H141" s="72">
        <f t="shared" si="95"/>
        <v>1089.1062854485281</v>
      </c>
      <c r="I141" s="72">
        <f t="shared" si="95"/>
        <v>1249.4033414485275</v>
      </c>
      <c r="J141" s="72">
        <f t="shared" si="95"/>
        <v>1435.8614750356755</v>
      </c>
    </row>
    <row r="142" spans="2:10">
      <c r="B142" s="20" t="s">
        <v>87</v>
      </c>
      <c r="C142" s="103"/>
      <c r="D142" s="108">
        <f>D97</f>
        <v>21175</v>
      </c>
      <c r="E142" s="108">
        <f>E97</f>
        <v>22367</v>
      </c>
      <c r="F142" s="72">
        <f>-IF(F144,(F144*F17),(E142*(F17/E17)))</f>
        <v>22890.965290363798</v>
      </c>
      <c r="G142" s="72">
        <f t="shared" ref="G142:J142" si="96">-IF(G144,(G144*G17),(F142*(G17/F17)))</f>
        <v>24313.380365301728</v>
      </c>
      <c r="H142" s="72">
        <f t="shared" si="96"/>
        <v>25402.486650750256</v>
      </c>
      <c r="I142" s="72">
        <f t="shared" si="96"/>
        <v>26651.889992198783</v>
      </c>
      <c r="J142" s="72">
        <f t="shared" si="96"/>
        <v>28087.751467234459</v>
      </c>
    </row>
    <row r="143" spans="2:10">
      <c r="B143" s="3"/>
      <c r="C143" s="105"/>
      <c r="D143"/>
      <c r="E143"/>
      <c r="F143"/>
      <c r="G143"/>
      <c r="H143"/>
      <c r="I143"/>
      <c r="J143"/>
    </row>
    <row r="144" spans="2:10">
      <c r="B144" s="20" t="s">
        <v>93</v>
      </c>
      <c r="C144" s="105"/>
      <c r="D144" s="65">
        <f>-(D142/D17)</f>
        <v>0.24104683195592286</v>
      </c>
      <c r="E144" s="65">
        <f>-(E142/E17)</f>
        <v>0.20980995441157158</v>
      </c>
      <c r="F144" s="69">
        <v>0.20300000000000001</v>
      </c>
      <c r="G144" s="69">
        <v>0.20599999999999999</v>
      </c>
      <c r="H144" s="69">
        <v>0.20599999999999999</v>
      </c>
      <c r="I144" s="69">
        <v>0.20599999999999999</v>
      </c>
      <c r="J144" s="69">
        <v>0.20599999999999999</v>
      </c>
    </row>
    <row r="145" spans="1:10">
      <c r="B145" s="20" t="s">
        <v>94</v>
      </c>
      <c r="C145" s="105"/>
      <c r="D145" s="71">
        <f>365*D144</f>
        <v>87.98209366391184</v>
      </c>
      <c r="E145" s="71">
        <f>365*E144</f>
        <v>76.580633360223629</v>
      </c>
      <c r="F145" s="71">
        <f t="shared" ref="F145:J145" si="97">365*F144</f>
        <v>74.094999999999999</v>
      </c>
      <c r="G145" s="71">
        <f t="shared" si="97"/>
        <v>75.19</v>
      </c>
      <c r="H145" s="71">
        <f t="shared" si="97"/>
        <v>75.19</v>
      </c>
      <c r="I145" s="71">
        <f t="shared" si="97"/>
        <v>75.19</v>
      </c>
      <c r="J145" s="71">
        <f t="shared" si="97"/>
        <v>75.19</v>
      </c>
    </row>
    <row r="146" spans="1:10">
      <c r="B146" s="3"/>
      <c r="C146" s="105"/>
      <c r="D146"/>
      <c r="E146"/>
      <c r="F146"/>
      <c r="G146"/>
      <c r="H146"/>
      <c r="I146"/>
      <c r="J146"/>
    </row>
    <row r="147" spans="1:10">
      <c r="B147" s="5" t="s">
        <v>95</v>
      </c>
      <c r="C147" s="105"/>
      <c r="D147"/>
      <c r="E147"/>
      <c r="F147"/>
      <c r="G147"/>
      <c r="H147"/>
      <c r="I147"/>
      <c r="J147"/>
    </row>
    <row r="148" spans="1:10">
      <c r="B148" s="20" t="s">
        <v>85</v>
      </c>
      <c r="C148" s="105"/>
      <c r="D148"/>
      <c r="E148"/>
      <c r="F148" s="108">
        <f>E150</f>
        <v>23916</v>
      </c>
      <c r="G148" s="108">
        <f t="shared" ref="G148:J148" si="98">F150</f>
        <v>23843.448304199999</v>
      </c>
      <c r="H148" s="108">
        <f t="shared" si="98"/>
        <v>23850.325818191232</v>
      </c>
      <c r="I148" s="108">
        <f t="shared" si="98"/>
        <v>23835.268500424805</v>
      </c>
      <c r="J148" s="108">
        <f t="shared" si="98"/>
        <v>23974.217865745366</v>
      </c>
    </row>
    <row r="149" spans="1:10">
      <c r="B149" s="102" t="s">
        <v>86</v>
      </c>
      <c r="C149" s="105"/>
      <c r="D149"/>
      <c r="E149"/>
      <c r="F149" s="72">
        <f>F150-F148</f>
        <v>-72.551695800000743</v>
      </c>
      <c r="G149" s="72">
        <f t="shared" ref="G149:J149" si="99">G150-G148</f>
        <v>6.8775139912322629</v>
      </c>
      <c r="H149" s="72">
        <f t="shared" si="99"/>
        <v>-15.057317766426422</v>
      </c>
      <c r="I149" s="72">
        <f t="shared" si="99"/>
        <v>138.9493653205609</v>
      </c>
      <c r="J149" s="72">
        <f t="shared" si="99"/>
        <v>-15.249989913376339</v>
      </c>
    </row>
    <row r="150" spans="1:10">
      <c r="B150" s="20" t="s">
        <v>87</v>
      </c>
      <c r="C150" s="105"/>
      <c r="D150" s="108">
        <f>D98</f>
        <v>20015</v>
      </c>
      <c r="E150" s="108">
        <f>E98</f>
        <v>23916</v>
      </c>
      <c r="F150" s="72">
        <f>IF(F152, (F16*F152), (E150*(F16/E16)))</f>
        <v>23843.448304199999</v>
      </c>
      <c r="G150" s="72">
        <f t="shared" ref="G150:J150" si="100">IF(G152, (G16*G152), (F150*(G16/F16)))</f>
        <v>23850.325818191232</v>
      </c>
      <c r="H150" s="72">
        <f t="shared" si="100"/>
        <v>23835.268500424805</v>
      </c>
      <c r="I150" s="72">
        <f t="shared" si="100"/>
        <v>23974.217865745366</v>
      </c>
      <c r="J150" s="72">
        <f t="shared" si="100"/>
        <v>23958.96787583199</v>
      </c>
    </row>
    <row r="151" spans="1:10">
      <c r="B151" s="3"/>
      <c r="C151" s="105"/>
      <c r="D151"/>
      <c r="E151"/>
      <c r="F151"/>
      <c r="G151"/>
      <c r="H151"/>
      <c r="I151"/>
      <c r="J151"/>
    </row>
    <row r="152" spans="1:10">
      <c r="B152" s="20" t="s">
        <v>96</v>
      </c>
      <c r="C152" s="105"/>
      <c r="D152" s="65">
        <f>D150/D16</f>
        <v>0.12788483655787564</v>
      </c>
      <c r="E152" s="65">
        <f>E150/E16</f>
        <v>0.1399332982271371</v>
      </c>
      <c r="F152" s="74">
        <v>0.13300000000000001</v>
      </c>
      <c r="G152" s="74">
        <v>0.1265</v>
      </c>
      <c r="H152" s="74">
        <v>0.121</v>
      </c>
      <c r="I152" s="74">
        <v>0.11600000000000001</v>
      </c>
      <c r="J152" s="74">
        <v>0.11</v>
      </c>
    </row>
    <row r="154" spans="1:10">
      <c r="A154" s="1" t="s">
        <v>146</v>
      </c>
      <c r="B154" s="4" t="s">
        <v>97</v>
      </c>
      <c r="C154" s="2"/>
      <c r="D154" s="2"/>
      <c r="E154" s="2"/>
      <c r="F154" s="2"/>
      <c r="G154" s="2"/>
      <c r="H154" s="2"/>
      <c r="I154" s="2"/>
      <c r="J154" s="2"/>
    </row>
    <row r="155" spans="1:10">
      <c r="B155" s="79" t="str">
        <f t="shared" ref="B155:J156" si="101">B13</f>
        <v xml:space="preserve">Fiscal year  </v>
      </c>
      <c r="C155" s="80">
        <f t="shared" si="101"/>
        <v>2011</v>
      </c>
      <c r="D155" s="80">
        <f t="shared" si="101"/>
        <v>2012</v>
      </c>
      <c r="E155" s="80">
        <f t="shared" si="101"/>
        <v>2013</v>
      </c>
      <c r="F155" s="81">
        <f t="shared" si="101"/>
        <v>2014</v>
      </c>
      <c r="G155" s="81">
        <f t="shared" si="101"/>
        <v>2015</v>
      </c>
      <c r="H155" s="81">
        <f t="shared" si="101"/>
        <v>2016</v>
      </c>
      <c r="I155" s="81">
        <f t="shared" si="101"/>
        <v>2017</v>
      </c>
      <c r="J155" s="81">
        <f t="shared" si="101"/>
        <v>2018</v>
      </c>
    </row>
    <row r="156" spans="1:10">
      <c r="B156" s="2" t="str">
        <f t="shared" si="101"/>
        <v>Fiscal year end date</v>
      </c>
      <c r="C156" s="82">
        <f t="shared" si="101"/>
        <v>40810</v>
      </c>
      <c r="D156" s="82">
        <f t="shared" si="101"/>
        <v>41181</v>
      </c>
      <c r="E156" s="82">
        <f t="shared" si="101"/>
        <v>41545</v>
      </c>
      <c r="F156" s="82">
        <f t="shared" si="101"/>
        <v>41912</v>
      </c>
      <c r="G156" s="82">
        <f t="shared" si="101"/>
        <v>42277</v>
      </c>
      <c r="H156" s="82">
        <f t="shared" si="101"/>
        <v>42643</v>
      </c>
      <c r="I156" s="82">
        <f t="shared" si="101"/>
        <v>43008</v>
      </c>
      <c r="J156" s="82">
        <f t="shared" si="101"/>
        <v>43373</v>
      </c>
    </row>
    <row r="157" spans="1:10">
      <c r="B157" s="3"/>
    </row>
    <row r="158" spans="1:10">
      <c r="B158" s="20" t="s">
        <v>85</v>
      </c>
      <c r="C158"/>
      <c r="D158"/>
      <c r="E158"/>
      <c r="F158" s="72">
        <f>E161</f>
        <v>5756</v>
      </c>
      <c r="G158" s="72">
        <f t="shared" ref="G158:J158" si="102">F161</f>
        <v>4706</v>
      </c>
      <c r="H158" s="72">
        <f t="shared" si="102"/>
        <v>3721</v>
      </c>
      <c r="I158" s="72">
        <f t="shared" si="102"/>
        <v>2888</v>
      </c>
      <c r="J158" s="72">
        <f t="shared" si="102"/>
        <v>2282</v>
      </c>
    </row>
    <row r="159" spans="1:10">
      <c r="B159" s="102" t="s">
        <v>98</v>
      </c>
      <c r="C159"/>
      <c r="D159"/>
      <c r="E159"/>
      <c r="F159" s="68">
        <f>F163</f>
        <v>0</v>
      </c>
      <c r="G159" s="68">
        <f t="shared" ref="G159:J159" si="103">G163</f>
        <v>0</v>
      </c>
      <c r="H159" s="68">
        <f t="shared" si="103"/>
        <v>0</v>
      </c>
      <c r="I159" s="68">
        <f t="shared" si="103"/>
        <v>0</v>
      </c>
      <c r="J159" s="68">
        <f t="shared" si="103"/>
        <v>0</v>
      </c>
    </row>
    <row r="160" spans="1:10">
      <c r="B160" s="102" t="s">
        <v>99</v>
      </c>
      <c r="C160"/>
      <c r="D160"/>
      <c r="E160"/>
      <c r="F160" s="72">
        <f>F164</f>
        <v>-1050</v>
      </c>
      <c r="G160" s="72">
        <f t="shared" ref="G160:J160" si="104">G164</f>
        <v>-985</v>
      </c>
      <c r="H160" s="72">
        <f t="shared" si="104"/>
        <v>-833</v>
      </c>
      <c r="I160" s="72">
        <f t="shared" si="104"/>
        <v>-606</v>
      </c>
      <c r="J160" s="72">
        <f t="shared" si="104"/>
        <v>-434</v>
      </c>
    </row>
    <row r="161" spans="1:10">
      <c r="B161" s="20" t="s">
        <v>87</v>
      </c>
      <c r="C161"/>
      <c r="D161" s="72">
        <f>D93</f>
        <v>5359</v>
      </c>
      <c r="E161" s="72">
        <f>E93</f>
        <v>5756</v>
      </c>
      <c r="F161" s="72">
        <f>SUM(F158:F160)</f>
        <v>4706</v>
      </c>
      <c r="G161" s="72">
        <f t="shared" ref="G161:J161" si="105">SUM(G158:G160)</f>
        <v>3721</v>
      </c>
      <c r="H161" s="72">
        <f t="shared" si="105"/>
        <v>2888</v>
      </c>
      <c r="I161" s="72">
        <f t="shared" si="105"/>
        <v>2282</v>
      </c>
      <c r="J161" s="72">
        <f t="shared" si="105"/>
        <v>1848</v>
      </c>
    </row>
    <row r="162" spans="1:10">
      <c r="B162" s="3"/>
      <c r="C162"/>
      <c r="D162"/>
      <c r="E162"/>
      <c r="F162"/>
      <c r="G162"/>
      <c r="H162"/>
      <c r="I162"/>
      <c r="J162"/>
    </row>
    <row r="163" spans="1:10">
      <c r="B163" s="21" t="s">
        <v>100</v>
      </c>
      <c r="C163" s="63">
        <v>3192</v>
      </c>
      <c r="D163" s="63">
        <v>1107</v>
      </c>
      <c r="E163" s="63">
        <v>911</v>
      </c>
      <c r="F163" s="63">
        <v>0</v>
      </c>
      <c r="G163" s="63">
        <v>0</v>
      </c>
      <c r="H163" s="63">
        <v>0</v>
      </c>
      <c r="I163" s="63">
        <v>0</v>
      </c>
      <c r="J163" s="63">
        <v>0</v>
      </c>
    </row>
    <row r="164" spans="1:10">
      <c r="B164" s="21" t="s">
        <v>101</v>
      </c>
      <c r="C164" s="76">
        <v>-192</v>
      </c>
      <c r="D164" s="76">
        <v>-605</v>
      </c>
      <c r="E164" s="76">
        <v>-960</v>
      </c>
      <c r="F164" s="76">
        <v>-1050</v>
      </c>
      <c r="G164" s="76">
        <v>-985</v>
      </c>
      <c r="H164" s="76">
        <v>-833</v>
      </c>
      <c r="I164" s="76">
        <v>-606</v>
      </c>
      <c r="J164" s="76">
        <v>-434</v>
      </c>
    </row>
    <row r="165" spans="1:10">
      <c r="B165" s="3"/>
    </row>
    <row r="166" spans="1:10">
      <c r="A166" s="1" t="s">
        <v>146</v>
      </c>
      <c r="B166" s="4" t="s">
        <v>102</v>
      </c>
      <c r="C166" s="2"/>
      <c r="D166" s="2"/>
      <c r="E166" s="2"/>
      <c r="F166" s="2"/>
      <c r="G166" s="2"/>
      <c r="H166" s="2"/>
      <c r="I166" s="2"/>
      <c r="J166" s="2"/>
    </row>
    <row r="167" spans="1:10">
      <c r="B167" s="79" t="str">
        <f t="shared" ref="B167:J168" si="106">B13</f>
        <v xml:space="preserve">Fiscal year  </v>
      </c>
      <c r="C167" s="80">
        <f t="shared" si="106"/>
        <v>2011</v>
      </c>
      <c r="D167" s="80">
        <f t="shared" si="106"/>
        <v>2012</v>
      </c>
      <c r="E167" s="80">
        <f t="shared" si="106"/>
        <v>2013</v>
      </c>
      <c r="F167" s="81">
        <f t="shared" si="106"/>
        <v>2014</v>
      </c>
      <c r="G167" s="81">
        <f t="shared" si="106"/>
        <v>2015</v>
      </c>
      <c r="H167" s="81">
        <f t="shared" si="106"/>
        <v>2016</v>
      </c>
      <c r="I167" s="81">
        <f t="shared" si="106"/>
        <v>2017</v>
      </c>
      <c r="J167" s="81">
        <f t="shared" si="106"/>
        <v>2018</v>
      </c>
    </row>
    <row r="168" spans="1:10">
      <c r="B168" s="2" t="str">
        <f t="shared" si="106"/>
        <v>Fiscal year end date</v>
      </c>
      <c r="C168" s="82">
        <f t="shared" si="106"/>
        <v>40810</v>
      </c>
      <c r="D168" s="82">
        <f t="shared" si="106"/>
        <v>41181</v>
      </c>
      <c r="E168" s="82">
        <f t="shared" si="106"/>
        <v>41545</v>
      </c>
      <c r="F168" s="82">
        <f t="shared" si="106"/>
        <v>41912</v>
      </c>
      <c r="G168" s="82">
        <f t="shared" si="106"/>
        <v>42277</v>
      </c>
      <c r="H168" s="82">
        <f t="shared" si="106"/>
        <v>42643</v>
      </c>
      <c r="I168" s="82">
        <f t="shared" si="106"/>
        <v>43008</v>
      </c>
      <c r="J168" s="82">
        <f t="shared" si="106"/>
        <v>43373</v>
      </c>
    </row>
    <row r="169" spans="1:10">
      <c r="B169" s="5"/>
    </row>
    <row r="170" spans="1:10">
      <c r="B170" s="20" t="s">
        <v>85</v>
      </c>
      <c r="C170"/>
      <c r="D170"/>
      <c r="E170"/>
      <c r="F170" s="72">
        <f>E173</f>
        <v>16597</v>
      </c>
      <c r="G170" s="72">
        <f t="shared" ref="G170:J170" si="107">F173</f>
        <v>19465.3847584</v>
      </c>
      <c r="H170" s="72">
        <f t="shared" si="107"/>
        <v>23656.631738150129</v>
      </c>
      <c r="I170" s="72">
        <f t="shared" si="107"/>
        <v>28035.623628765366</v>
      </c>
      <c r="J170" s="72">
        <f t="shared" si="107"/>
        <v>32629.993138726739</v>
      </c>
    </row>
    <row r="171" spans="1:10">
      <c r="B171" s="102" t="s">
        <v>103</v>
      </c>
      <c r="C171"/>
      <c r="D171"/>
      <c r="E171"/>
      <c r="F171" s="72">
        <f>F175</f>
        <v>8963.7023699999991</v>
      </c>
      <c r="G171" s="72">
        <f t="shared" ref="G171:J171" si="108">G175</f>
        <v>10746.78712756443</v>
      </c>
      <c r="H171" s="72">
        <f t="shared" si="108"/>
        <v>11228.18433491086</v>
      </c>
      <c r="I171" s="72">
        <f t="shared" si="108"/>
        <v>11780.434640926602</v>
      </c>
      <c r="J171" s="72">
        <f t="shared" si="108"/>
        <v>12415.101535658396</v>
      </c>
    </row>
    <row r="172" spans="1:10">
      <c r="B172" s="102" t="s">
        <v>104</v>
      </c>
      <c r="C172" s="52"/>
      <c r="D172" s="72">
        <f>D177</f>
        <v>-2672</v>
      </c>
      <c r="E172" s="72">
        <f>E177</f>
        <v>-5797</v>
      </c>
      <c r="F172" s="72">
        <f>-(F44+F160)</f>
        <v>-6095.3176115999995</v>
      </c>
      <c r="G172" s="72">
        <f>-(G44+G160)</f>
        <v>-6555.5401478143021</v>
      </c>
      <c r="H172" s="72">
        <f>-(H44+H160)</f>
        <v>-6849.1924442956242</v>
      </c>
      <c r="I172" s="72">
        <f>-(I44+I160)</f>
        <v>-7186.0651309652267</v>
      </c>
      <c r="J172" s="72">
        <f>-(J44+J160)</f>
        <v>-7573.2119367516216</v>
      </c>
    </row>
    <row r="173" spans="1:10">
      <c r="B173" s="20" t="s">
        <v>87</v>
      </c>
      <c r="C173"/>
      <c r="D173" s="72">
        <f>D92</f>
        <v>15452</v>
      </c>
      <c r="E173" s="72">
        <f>E92</f>
        <v>16597</v>
      </c>
      <c r="F173" s="72">
        <f>SUM(F170:F172)</f>
        <v>19465.3847584</v>
      </c>
      <c r="G173" s="72">
        <f t="shared" ref="G173:J173" si="109">SUM(G170:G172)</f>
        <v>23656.631738150129</v>
      </c>
      <c r="H173" s="72">
        <f t="shared" si="109"/>
        <v>28035.623628765366</v>
      </c>
      <c r="I173" s="72">
        <f t="shared" si="109"/>
        <v>32629.993138726739</v>
      </c>
      <c r="J173" s="72">
        <f t="shared" si="109"/>
        <v>37471.882737633518</v>
      </c>
    </row>
    <row r="174" spans="1:10">
      <c r="B174" s="20"/>
      <c r="C174"/>
      <c r="D174"/>
      <c r="E174"/>
      <c r="F174"/>
      <c r="G174"/>
      <c r="H174"/>
      <c r="I174"/>
      <c r="J174"/>
    </row>
    <row r="175" spans="1:10">
      <c r="B175" s="21" t="s">
        <v>105</v>
      </c>
      <c r="C175" s="60">
        <v>4260</v>
      </c>
      <c r="D175" s="60">
        <v>8295</v>
      </c>
      <c r="E175" s="60">
        <v>8165</v>
      </c>
      <c r="F175" s="72">
        <f>IF(F176,F176*F16,(E175*(F16/E16)))</f>
        <v>8963.7023699999991</v>
      </c>
      <c r="G175" s="72">
        <f t="shared" ref="G175:J175" si="110">IF(G176,G176*G16,(F175*(G16/F16)))</f>
        <v>10746.78712756443</v>
      </c>
      <c r="H175" s="72">
        <f t="shared" si="110"/>
        <v>11228.18433491086</v>
      </c>
      <c r="I175" s="72">
        <f t="shared" si="110"/>
        <v>11780.434640926602</v>
      </c>
      <c r="J175" s="72">
        <f t="shared" si="110"/>
        <v>12415.101535658396</v>
      </c>
    </row>
    <row r="176" spans="1:10">
      <c r="B176" s="20" t="s">
        <v>106</v>
      </c>
      <c r="C176" s="65">
        <f>C175/C16</f>
        <v>3.9353712274478286E-2</v>
      </c>
      <c r="D176" s="65">
        <f t="shared" ref="D176:E176" si="111">D175/D16</f>
        <v>5.3000485598180283E-2</v>
      </c>
      <c r="E176" s="65">
        <f t="shared" si="111"/>
        <v>4.7773682054882687E-2</v>
      </c>
      <c r="F176" s="69">
        <v>0.05</v>
      </c>
      <c r="G176" s="69">
        <v>5.7000000000000002E-2</v>
      </c>
      <c r="H176" s="69">
        <v>5.7000000000000002E-2</v>
      </c>
      <c r="I176" s="69">
        <v>5.7000000000000002E-2</v>
      </c>
      <c r="J176" s="69">
        <v>5.7000000000000002E-2</v>
      </c>
    </row>
    <row r="177" spans="1:10">
      <c r="B177" s="21" t="s">
        <v>107</v>
      </c>
      <c r="C177" s="72">
        <f>-(C44+C164)</f>
        <v>-1622</v>
      </c>
      <c r="D177" s="72">
        <f>-(D44+D164)</f>
        <v>-2672</v>
      </c>
      <c r="E177" s="72">
        <f>-(E44+E164)</f>
        <v>-5797</v>
      </c>
      <c r="F177" s="72">
        <f>-(F178*F175)</f>
        <v>-6095.3176115999995</v>
      </c>
      <c r="G177" s="72">
        <f t="shared" ref="G177:J177" si="112">-(G178*G175)</f>
        <v>-6555.5401478143021</v>
      </c>
      <c r="H177" s="72">
        <f t="shared" si="112"/>
        <v>-6849.1924442956242</v>
      </c>
      <c r="I177" s="72">
        <f t="shared" si="112"/>
        <v>-7186.0651309652267</v>
      </c>
      <c r="J177" s="72">
        <f t="shared" si="112"/>
        <v>-7573.2119367516216</v>
      </c>
    </row>
    <row r="178" spans="1:10">
      <c r="B178" s="20" t="s">
        <v>108</v>
      </c>
      <c r="C178" s="65">
        <f>-(C177/C175)</f>
        <v>0.3807511737089202</v>
      </c>
      <c r="D178" s="65">
        <f>-(D177/D175)</f>
        <v>0.32212176009644367</v>
      </c>
      <c r="E178" s="65">
        <f>-(E177/E175)</f>
        <v>0.70998162890385796</v>
      </c>
      <c r="F178" s="69">
        <v>0.68</v>
      </c>
      <c r="G178" s="69">
        <v>0.61</v>
      </c>
      <c r="H178" s="69">
        <v>0.61</v>
      </c>
      <c r="I178" s="69">
        <v>0.61</v>
      </c>
      <c r="J178" s="69">
        <v>0.61</v>
      </c>
    </row>
    <row r="180" spans="1:10">
      <c r="A180" s="1" t="s">
        <v>146</v>
      </c>
      <c r="B180" s="4" t="s">
        <v>109</v>
      </c>
      <c r="C180" s="2"/>
      <c r="D180" s="2"/>
      <c r="E180" s="2"/>
      <c r="F180" s="2"/>
      <c r="G180" s="2"/>
      <c r="H180" s="2"/>
      <c r="I180" s="2"/>
      <c r="J180" s="2"/>
    </row>
    <row r="181" spans="1:10">
      <c r="B181" s="79" t="str">
        <f t="shared" ref="B181:J182" si="113">B13</f>
        <v xml:space="preserve">Fiscal year  </v>
      </c>
      <c r="C181" s="80">
        <f t="shared" si="113"/>
        <v>2011</v>
      </c>
      <c r="D181" s="80">
        <f t="shared" si="113"/>
        <v>2012</v>
      </c>
      <c r="E181" s="80">
        <f t="shared" si="113"/>
        <v>2013</v>
      </c>
      <c r="F181" s="81">
        <f t="shared" si="113"/>
        <v>2014</v>
      </c>
      <c r="G181" s="81">
        <f t="shared" si="113"/>
        <v>2015</v>
      </c>
      <c r="H181" s="81">
        <f t="shared" si="113"/>
        <v>2016</v>
      </c>
      <c r="I181" s="81">
        <f t="shared" si="113"/>
        <v>2017</v>
      </c>
      <c r="J181" s="81">
        <f t="shared" si="113"/>
        <v>2018</v>
      </c>
    </row>
    <row r="182" spans="1:10">
      <c r="B182" s="2" t="str">
        <f t="shared" si="113"/>
        <v>Fiscal year end date</v>
      </c>
      <c r="C182" s="82">
        <f t="shared" si="113"/>
        <v>40810</v>
      </c>
      <c r="D182" s="82">
        <f t="shared" si="113"/>
        <v>41181</v>
      </c>
      <c r="E182" s="82">
        <f t="shared" si="113"/>
        <v>41545</v>
      </c>
      <c r="F182" s="82">
        <f t="shared" si="113"/>
        <v>41912</v>
      </c>
      <c r="G182" s="82">
        <f t="shared" si="113"/>
        <v>42277</v>
      </c>
      <c r="H182" s="82">
        <f t="shared" si="113"/>
        <v>42643</v>
      </c>
      <c r="I182" s="82">
        <f t="shared" si="113"/>
        <v>43008</v>
      </c>
      <c r="J182" s="82">
        <f t="shared" si="113"/>
        <v>43373</v>
      </c>
    </row>
    <row r="183" spans="1:10">
      <c r="B183" s="5"/>
    </row>
    <row r="184" spans="1:10">
      <c r="B184" s="5" t="s">
        <v>61</v>
      </c>
    </row>
    <row r="185" spans="1:10">
      <c r="B185" s="20" t="s">
        <v>85</v>
      </c>
      <c r="D185"/>
      <c r="E185"/>
      <c r="F185" s="72">
        <f>E187</f>
        <v>14421</v>
      </c>
      <c r="G185" s="72">
        <f t="shared" ref="G185:J185" si="114">F187</f>
        <v>14421</v>
      </c>
      <c r="H185" s="72">
        <f t="shared" si="114"/>
        <v>14421</v>
      </c>
      <c r="I185" s="72">
        <f t="shared" si="114"/>
        <v>14421</v>
      </c>
      <c r="J185" s="72">
        <f t="shared" si="114"/>
        <v>14421</v>
      </c>
    </row>
    <row r="186" spans="1:10">
      <c r="B186" s="102" t="s">
        <v>86</v>
      </c>
      <c r="D186"/>
      <c r="E186"/>
      <c r="F186" s="63">
        <v>0</v>
      </c>
      <c r="G186" s="63">
        <v>0</v>
      </c>
      <c r="H186" s="63">
        <v>0</v>
      </c>
      <c r="I186" s="63">
        <v>0</v>
      </c>
      <c r="J186" s="63">
        <v>0</v>
      </c>
    </row>
    <row r="187" spans="1:10">
      <c r="B187" s="20" t="s">
        <v>87</v>
      </c>
      <c r="D187" s="72">
        <f>D91</f>
        <v>14220</v>
      </c>
      <c r="E187" s="72">
        <f>E91</f>
        <v>14421</v>
      </c>
      <c r="F187" s="72">
        <f>SUM(F185:F186)</f>
        <v>14421</v>
      </c>
      <c r="G187" s="72">
        <f t="shared" ref="G187:J187" si="115">SUM(G185:G186)</f>
        <v>14421</v>
      </c>
      <c r="H187" s="72">
        <f t="shared" si="115"/>
        <v>14421</v>
      </c>
      <c r="I187" s="72">
        <f t="shared" si="115"/>
        <v>14421</v>
      </c>
      <c r="J187" s="72">
        <f t="shared" si="115"/>
        <v>14421</v>
      </c>
    </row>
    <row r="188" spans="1:10">
      <c r="B188" s="3"/>
      <c r="D188"/>
      <c r="E188"/>
      <c r="F188"/>
      <c r="G188"/>
      <c r="H188"/>
      <c r="I188"/>
      <c r="J188"/>
    </row>
    <row r="189" spans="1:10">
      <c r="B189" s="113" t="s">
        <v>110</v>
      </c>
      <c r="D189"/>
      <c r="E189"/>
      <c r="F189"/>
      <c r="G189"/>
      <c r="H189"/>
      <c r="I189"/>
      <c r="J189"/>
    </row>
    <row r="190" spans="1:10">
      <c r="B190" s="20" t="s">
        <v>85</v>
      </c>
      <c r="D190"/>
      <c r="E190"/>
      <c r="F190" s="72">
        <f>E192</f>
        <v>3453</v>
      </c>
      <c r="G190" s="72">
        <f t="shared" ref="G190:J190" si="116">F192</f>
        <v>3453</v>
      </c>
      <c r="H190" s="72">
        <f t="shared" si="116"/>
        <v>3453</v>
      </c>
      <c r="I190" s="72">
        <f t="shared" si="116"/>
        <v>3453</v>
      </c>
      <c r="J190" s="72">
        <f t="shared" si="116"/>
        <v>3453</v>
      </c>
    </row>
    <row r="191" spans="1:10">
      <c r="B191" s="102" t="s">
        <v>86</v>
      </c>
      <c r="D191"/>
      <c r="E191"/>
      <c r="F191" s="63">
        <v>0</v>
      </c>
      <c r="G191" s="63">
        <v>0</v>
      </c>
      <c r="H191" s="63">
        <v>0</v>
      </c>
      <c r="I191" s="63">
        <v>0</v>
      </c>
      <c r="J191" s="63">
        <v>0</v>
      </c>
    </row>
    <row r="192" spans="1:10">
      <c r="B192" s="20" t="s">
        <v>87</v>
      </c>
      <c r="D192" s="72">
        <f>D90</f>
        <v>2583</v>
      </c>
      <c r="E192" s="72">
        <f>E90</f>
        <v>3453</v>
      </c>
      <c r="F192" s="72">
        <f>SUM(F190:F191)</f>
        <v>3453</v>
      </c>
      <c r="G192" s="72">
        <f t="shared" ref="G192:J192" si="117">SUM(G190:G191)</f>
        <v>3453</v>
      </c>
      <c r="H192" s="72">
        <f t="shared" si="117"/>
        <v>3453</v>
      </c>
      <c r="I192" s="72">
        <f t="shared" si="117"/>
        <v>3453</v>
      </c>
      <c r="J192" s="72">
        <f t="shared" si="117"/>
        <v>3453</v>
      </c>
    </row>
    <row r="193" spans="1:10">
      <c r="B193" s="3"/>
      <c r="D193"/>
      <c r="E193"/>
      <c r="F193"/>
      <c r="G193"/>
      <c r="H193"/>
      <c r="I193"/>
      <c r="J193"/>
    </row>
    <row r="194" spans="1:10">
      <c r="B194" s="113" t="s">
        <v>64</v>
      </c>
      <c r="D194"/>
      <c r="E194"/>
      <c r="F194"/>
      <c r="G194"/>
      <c r="H194"/>
      <c r="I194"/>
      <c r="J194"/>
    </row>
    <row r="195" spans="1:10">
      <c r="B195" s="20" t="s">
        <v>85</v>
      </c>
      <c r="D195"/>
      <c r="E195"/>
      <c r="F195" s="72">
        <f>E197</f>
        <v>5146</v>
      </c>
      <c r="G195" s="72">
        <f t="shared" ref="G195:J195" si="118">F197</f>
        <v>5146</v>
      </c>
      <c r="H195" s="72">
        <f t="shared" si="118"/>
        <v>5146</v>
      </c>
      <c r="I195" s="72">
        <f t="shared" si="118"/>
        <v>5146</v>
      </c>
      <c r="J195" s="72">
        <f t="shared" si="118"/>
        <v>5146</v>
      </c>
    </row>
    <row r="196" spans="1:10">
      <c r="B196" s="102" t="s">
        <v>86</v>
      </c>
      <c r="D196"/>
      <c r="E196"/>
      <c r="F196" s="63">
        <v>0</v>
      </c>
      <c r="G196" s="63">
        <v>0</v>
      </c>
      <c r="H196" s="63">
        <v>0</v>
      </c>
      <c r="I196" s="63">
        <v>0</v>
      </c>
      <c r="J196" s="63">
        <v>0</v>
      </c>
    </row>
    <row r="197" spans="1:10">
      <c r="B197" s="20" t="s">
        <v>87</v>
      </c>
      <c r="D197" s="72">
        <f>D94</f>
        <v>5478</v>
      </c>
      <c r="E197" s="72">
        <f>E94</f>
        <v>5146</v>
      </c>
      <c r="F197" s="72">
        <f>SUM(F195:F196)</f>
        <v>5146</v>
      </c>
      <c r="G197" s="72">
        <f t="shared" ref="G197:J197" si="119">SUM(G195:G196)</f>
        <v>5146</v>
      </c>
      <c r="H197" s="72">
        <f t="shared" si="119"/>
        <v>5146</v>
      </c>
      <c r="I197" s="72">
        <f t="shared" si="119"/>
        <v>5146</v>
      </c>
      <c r="J197" s="72">
        <f t="shared" si="119"/>
        <v>5146</v>
      </c>
    </row>
    <row r="198" spans="1:10">
      <c r="B198" s="3"/>
      <c r="D198"/>
      <c r="E198"/>
      <c r="F198"/>
      <c r="G198"/>
      <c r="H198"/>
      <c r="I198"/>
      <c r="J198"/>
    </row>
    <row r="199" spans="1:10">
      <c r="B199" s="5" t="s">
        <v>111</v>
      </c>
      <c r="D199"/>
      <c r="E199"/>
      <c r="F199"/>
      <c r="G199"/>
      <c r="H199"/>
      <c r="I199"/>
      <c r="J199"/>
    </row>
    <row r="200" spans="1:10">
      <c r="B200" s="20" t="s">
        <v>85</v>
      </c>
      <c r="D200"/>
      <c r="E200"/>
      <c r="F200" s="72">
        <f>E202</f>
        <v>20208</v>
      </c>
      <c r="G200" s="72">
        <f t="shared" ref="G200:J200" si="120">F202</f>
        <v>23208</v>
      </c>
      <c r="H200" s="72">
        <f t="shared" si="120"/>
        <v>26208</v>
      </c>
      <c r="I200" s="72">
        <f t="shared" si="120"/>
        <v>29208</v>
      </c>
      <c r="J200" s="72">
        <f t="shared" si="120"/>
        <v>32208</v>
      </c>
    </row>
    <row r="201" spans="1:10">
      <c r="B201" s="102" t="s">
        <v>86</v>
      </c>
      <c r="D201"/>
      <c r="E201"/>
      <c r="F201" s="76">
        <v>3000</v>
      </c>
      <c r="G201" s="76">
        <v>3000</v>
      </c>
      <c r="H201" s="76">
        <v>3000</v>
      </c>
      <c r="I201" s="76">
        <v>3000</v>
      </c>
      <c r="J201" s="76">
        <v>3000</v>
      </c>
    </row>
    <row r="202" spans="1:10">
      <c r="B202" s="23" t="s">
        <v>87</v>
      </c>
      <c r="C202" s="117"/>
      <c r="D202" s="72">
        <f>D101</f>
        <v>16664</v>
      </c>
      <c r="E202" s="72">
        <f>E101</f>
        <v>20208</v>
      </c>
      <c r="F202" s="72">
        <f>SUM(F200:F201)</f>
        <v>23208</v>
      </c>
      <c r="G202" s="72">
        <f>SUM(G200:G201)</f>
        <v>26208</v>
      </c>
      <c r="H202" s="72">
        <f t="shared" ref="G202:J202" si="121">SUM(H200:H201)</f>
        <v>29208</v>
      </c>
      <c r="I202" s="72">
        <f t="shared" si="121"/>
        <v>32208</v>
      </c>
      <c r="J202" s="72">
        <f t="shared" si="121"/>
        <v>35208</v>
      </c>
    </row>
    <row r="204" spans="1:10">
      <c r="A204" s="1" t="s">
        <v>146</v>
      </c>
      <c r="B204" s="4" t="s">
        <v>112</v>
      </c>
      <c r="C204" s="118"/>
      <c r="D204" s="118"/>
      <c r="E204" s="118"/>
      <c r="F204" s="119"/>
      <c r="G204" s="119"/>
      <c r="H204" s="119"/>
      <c r="I204" s="119"/>
      <c r="J204" s="119"/>
    </row>
    <row r="205" spans="1:10">
      <c r="B205" s="79" t="str">
        <f>B13</f>
        <v xml:space="preserve">Fiscal year  </v>
      </c>
      <c r="C205" s="80"/>
      <c r="D205" s="80">
        <f t="shared" ref="D205:J206" si="122">D13</f>
        <v>2012</v>
      </c>
      <c r="E205" s="80">
        <f t="shared" si="122"/>
        <v>2013</v>
      </c>
      <c r="F205" s="81">
        <f t="shared" si="122"/>
        <v>2014</v>
      </c>
      <c r="G205" s="81">
        <f t="shared" si="122"/>
        <v>2015</v>
      </c>
      <c r="H205" s="81">
        <f t="shared" si="122"/>
        <v>2016</v>
      </c>
      <c r="I205" s="81">
        <f t="shared" si="122"/>
        <v>2017</v>
      </c>
      <c r="J205" s="81">
        <f t="shared" si="122"/>
        <v>2018</v>
      </c>
    </row>
    <row r="206" spans="1:10">
      <c r="B206" s="2" t="str">
        <f>B14</f>
        <v>Fiscal year end date</v>
      </c>
      <c r="C206" s="82"/>
      <c r="D206" s="82">
        <f t="shared" si="122"/>
        <v>41181</v>
      </c>
      <c r="E206" s="82">
        <f t="shared" si="122"/>
        <v>41545</v>
      </c>
      <c r="F206" s="82">
        <f t="shared" si="122"/>
        <v>41912</v>
      </c>
      <c r="G206" s="82">
        <f t="shared" si="122"/>
        <v>42277</v>
      </c>
      <c r="H206" s="82">
        <f t="shared" si="122"/>
        <v>42643</v>
      </c>
      <c r="I206" s="82">
        <f t="shared" si="122"/>
        <v>43008</v>
      </c>
      <c r="J206" s="82">
        <f t="shared" si="122"/>
        <v>43373</v>
      </c>
    </row>
    <row r="207" spans="1:10">
      <c r="B207" s="3"/>
    </row>
    <row r="208" spans="1:10">
      <c r="B208" s="87" t="s">
        <v>113</v>
      </c>
    </row>
    <row r="209" spans="1:10">
      <c r="B209" s="20" t="s">
        <v>85</v>
      </c>
      <c r="D209"/>
      <c r="E209"/>
      <c r="F209" s="96">
        <f>E212</f>
        <v>16960</v>
      </c>
      <c r="G209" s="96">
        <f t="shared" ref="G209:J209" si="123">F212</f>
        <v>16960</v>
      </c>
      <c r="H209" s="96">
        <f t="shared" si="123"/>
        <v>16960</v>
      </c>
      <c r="I209" s="96">
        <f t="shared" si="123"/>
        <v>14460</v>
      </c>
      <c r="J209" s="96">
        <f t="shared" si="123"/>
        <v>14460</v>
      </c>
    </row>
    <row r="210" spans="1:10">
      <c r="B210" s="20" t="s">
        <v>114</v>
      </c>
      <c r="D210"/>
      <c r="E210"/>
      <c r="F210">
        <f>0</f>
        <v>0</v>
      </c>
      <c r="G210">
        <f>0</f>
        <v>0</v>
      </c>
      <c r="H210" s="70">
        <v>-2500</v>
      </c>
      <c r="I210">
        <v>0</v>
      </c>
      <c r="J210" s="70">
        <v>-6000</v>
      </c>
    </row>
    <row r="211" spans="1:10">
      <c r="B211" s="20" t="s">
        <v>115</v>
      </c>
      <c r="D211"/>
      <c r="E211"/>
      <c r="F211">
        <f>F214*F218</f>
        <v>0</v>
      </c>
      <c r="G211">
        <f t="shared" ref="G211:J211" si="124">G214*G218</f>
        <v>0</v>
      </c>
      <c r="H211">
        <f t="shared" si="124"/>
        <v>0</v>
      </c>
      <c r="I211">
        <f t="shared" si="124"/>
        <v>0</v>
      </c>
      <c r="J211">
        <f t="shared" si="124"/>
        <v>0</v>
      </c>
    </row>
    <row r="212" spans="1:10">
      <c r="B212" s="20" t="s">
        <v>87</v>
      </c>
      <c r="D212" s="96">
        <f>D100</f>
        <v>0</v>
      </c>
      <c r="E212" s="96">
        <f>E100</f>
        <v>16960</v>
      </c>
      <c r="F212" s="96">
        <f>SUM(F209:F211)</f>
        <v>16960</v>
      </c>
      <c r="G212" s="96">
        <f t="shared" ref="G212:J212" si="125">SUM(G209:G211)</f>
        <v>16960</v>
      </c>
      <c r="H212" s="96">
        <f t="shared" si="125"/>
        <v>14460</v>
      </c>
      <c r="I212" s="96">
        <f t="shared" si="125"/>
        <v>14460</v>
      </c>
      <c r="J212" s="96">
        <f t="shared" si="125"/>
        <v>8460</v>
      </c>
    </row>
    <row r="213" spans="1:10">
      <c r="B213" s="3"/>
      <c r="D213"/>
      <c r="E213"/>
      <c r="F213"/>
      <c r="G213"/>
      <c r="H213"/>
      <c r="I213"/>
      <c r="J213"/>
    </row>
    <row r="214" spans="1:10">
      <c r="B214" s="20" t="s">
        <v>116</v>
      </c>
      <c r="D214"/>
      <c r="E214"/>
      <c r="F214" s="120">
        <f>0.0051*1000+0.011*2000+0.0051*1500+0.0108*4000+0.0244*5500+0.0391*3000</f>
        <v>329.45000000000005</v>
      </c>
      <c r="G214" s="120">
        <f>0.0051*1000+0.011*2000+0.0051*1500+0.0108*4000+0.0244*5500+0.0391*3000</f>
        <v>329.45000000000005</v>
      </c>
      <c r="H214" s="120">
        <f>0.011*2000+0.0108*4000+0.0244*5500+0.0391*3000</f>
        <v>316.70000000000005</v>
      </c>
      <c r="I214" s="120">
        <f t="shared" ref="I214:J214" si="126">0.011*2000+0.0108*4000+0.0244*5500+0.0391*3000</f>
        <v>316.70000000000005</v>
      </c>
      <c r="J214" s="120">
        <f>0.0244*5500+0.0391*3000</f>
        <v>251.50000000000003</v>
      </c>
    </row>
    <row r="215" spans="1:10">
      <c r="B215" s="20" t="s">
        <v>117</v>
      </c>
      <c r="D215"/>
      <c r="E215"/>
      <c r="F215" s="56">
        <f>F214/AVERAGE(F212,F209)</f>
        <v>1.9425117924528303E-2</v>
      </c>
      <c r="G215" s="56">
        <f t="shared" ref="G215:J215" si="127">G214/AVERAGE(G212,G209)</f>
        <v>1.9425117924528303E-2</v>
      </c>
      <c r="H215" s="56">
        <f t="shared" si="127"/>
        <v>2.0159134309357101E-2</v>
      </c>
      <c r="I215" s="56">
        <f t="shared" si="127"/>
        <v>2.1901798063623794E-2</v>
      </c>
      <c r="J215" s="56">
        <f t="shared" si="127"/>
        <v>2.1945898778359514E-2</v>
      </c>
    </row>
    <row r="216" spans="1:10">
      <c r="B216" s="20"/>
      <c r="D216"/>
      <c r="E216"/>
      <c r="F216"/>
      <c r="G216"/>
      <c r="H216"/>
      <c r="I216"/>
      <c r="J216"/>
    </row>
    <row r="217" spans="1:10">
      <c r="B217" s="20" t="s">
        <v>118</v>
      </c>
      <c r="D217"/>
      <c r="E217"/>
      <c r="F217" s="121">
        <v>1</v>
      </c>
      <c r="G217" s="121">
        <v>1</v>
      </c>
      <c r="H217" s="121">
        <v>1</v>
      </c>
      <c r="I217" s="121">
        <v>1</v>
      </c>
      <c r="J217" s="121">
        <v>1</v>
      </c>
    </row>
    <row r="218" spans="1:10">
      <c r="B218" s="20" t="s">
        <v>119</v>
      </c>
      <c r="D218"/>
      <c r="E218"/>
      <c r="F218" s="121">
        <f>1-F217</f>
        <v>0</v>
      </c>
      <c r="G218" s="121">
        <f t="shared" ref="G218:J218" si="128">1-G217</f>
        <v>0</v>
      </c>
      <c r="H218" s="121">
        <f t="shared" si="128"/>
        <v>0</v>
      </c>
      <c r="I218" s="121">
        <f t="shared" si="128"/>
        <v>0</v>
      </c>
      <c r="J218" s="121">
        <f t="shared" si="128"/>
        <v>0</v>
      </c>
    </row>
    <row r="220" spans="1:10">
      <c r="A220" s="1" t="s">
        <v>146</v>
      </c>
      <c r="B220" s="4" t="s">
        <v>120</v>
      </c>
      <c r="C220" s="2"/>
      <c r="D220" s="2"/>
      <c r="E220" s="2"/>
      <c r="F220" s="2"/>
      <c r="G220" s="2"/>
      <c r="H220" s="2"/>
      <c r="I220" s="2"/>
      <c r="J220" s="2"/>
    </row>
    <row r="221" spans="1:10">
      <c r="B221" s="79" t="str">
        <f t="shared" ref="B221:B222" si="129">B13</f>
        <v xml:space="preserve">Fiscal year  </v>
      </c>
      <c r="C221" s="80"/>
      <c r="D221" s="80">
        <f t="shared" ref="D221:J222" si="130">D13</f>
        <v>2012</v>
      </c>
      <c r="E221" s="80">
        <f t="shared" si="130"/>
        <v>2013</v>
      </c>
      <c r="F221" s="81">
        <f t="shared" si="130"/>
        <v>2014</v>
      </c>
      <c r="G221" s="81">
        <f t="shared" si="130"/>
        <v>2015</v>
      </c>
      <c r="H221" s="81">
        <f t="shared" si="130"/>
        <v>2016</v>
      </c>
      <c r="I221" s="81">
        <f t="shared" si="130"/>
        <v>2017</v>
      </c>
      <c r="J221" s="81">
        <f t="shared" si="130"/>
        <v>2018</v>
      </c>
    </row>
    <row r="222" spans="1:10">
      <c r="B222" s="2" t="str">
        <f t="shared" si="129"/>
        <v>Fiscal year end date</v>
      </c>
      <c r="C222" s="82"/>
      <c r="D222" s="82">
        <f t="shared" si="130"/>
        <v>41181</v>
      </c>
      <c r="E222" s="82">
        <f t="shared" si="130"/>
        <v>41545</v>
      </c>
      <c r="F222" s="82">
        <f t="shared" si="130"/>
        <v>41912</v>
      </c>
      <c r="G222" s="82">
        <f t="shared" si="130"/>
        <v>42277</v>
      </c>
      <c r="H222" s="82">
        <f t="shared" si="130"/>
        <v>42643</v>
      </c>
      <c r="I222" s="82">
        <f t="shared" si="130"/>
        <v>43008</v>
      </c>
      <c r="J222" s="82">
        <f t="shared" si="130"/>
        <v>43373</v>
      </c>
    </row>
    <row r="223" spans="1:10">
      <c r="B223" s="3"/>
    </row>
    <row r="224" spans="1:10">
      <c r="B224" s="5" t="s">
        <v>121</v>
      </c>
    </row>
    <row r="225" spans="2:10">
      <c r="B225" s="20" t="s">
        <v>85</v>
      </c>
      <c r="C225"/>
      <c r="D225"/>
      <c r="E225"/>
      <c r="F225" s="72">
        <f>E228</f>
        <v>19764</v>
      </c>
      <c r="G225" s="72">
        <f t="shared" ref="G225:J225" si="131">F228</f>
        <v>21976.600293010801</v>
      </c>
      <c r="H225" s="72">
        <f t="shared" si="131"/>
        <v>24163.665743532685</v>
      </c>
      <c r="I225" s="72">
        <f t="shared" si="131"/>
        <v>26448.69974853209</v>
      </c>
      <c r="J225" s="72">
        <f t="shared" si="131"/>
        <v>28846.121535106628</v>
      </c>
    </row>
    <row r="226" spans="2:10">
      <c r="B226" s="102" t="s">
        <v>122</v>
      </c>
      <c r="C226"/>
      <c r="D226"/>
      <c r="E226"/>
      <c r="F226" s="68">
        <f>F230</f>
        <v>0</v>
      </c>
      <c r="G226" s="68">
        <f t="shared" ref="G226:J226" si="132">G230</f>
        <v>0</v>
      </c>
      <c r="H226" s="68">
        <f t="shared" si="132"/>
        <v>0</v>
      </c>
      <c r="I226" s="68">
        <f t="shared" si="132"/>
        <v>0</v>
      </c>
      <c r="J226" s="68">
        <f t="shared" si="132"/>
        <v>0</v>
      </c>
    </row>
    <row r="227" spans="2:10">
      <c r="B227" s="102" t="s">
        <v>123</v>
      </c>
      <c r="C227"/>
      <c r="D227"/>
      <c r="E227"/>
      <c r="F227" s="72">
        <f>F231</f>
        <v>2212.6002930107998</v>
      </c>
      <c r="G227" s="72">
        <f t="shared" ref="G227:J227" si="133">G231</f>
        <v>2187.0654505218836</v>
      </c>
      <c r="H227" s="72">
        <f t="shared" si="133"/>
        <v>2285.0340049994029</v>
      </c>
      <c r="I227" s="72">
        <f t="shared" si="133"/>
        <v>2397.4217865745363</v>
      </c>
      <c r="J227" s="72">
        <f t="shared" si="133"/>
        <v>2526.5820669059194</v>
      </c>
    </row>
    <row r="228" spans="2:10">
      <c r="B228" s="20" t="s">
        <v>87</v>
      </c>
      <c r="C228"/>
      <c r="D228" s="72">
        <f>D104</f>
        <v>16422</v>
      </c>
      <c r="E228" s="72">
        <f>E104</f>
        <v>19764</v>
      </c>
      <c r="F228" s="72">
        <f>SUM(F225:F227)</f>
        <v>21976.600293010801</v>
      </c>
      <c r="G228" s="72">
        <f t="shared" ref="G228:J228" si="134">SUM(G225:G227)</f>
        <v>24163.665743532685</v>
      </c>
      <c r="H228" s="72">
        <f t="shared" si="134"/>
        <v>26448.69974853209</v>
      </c>
      <c r="I228" s="72">
        <f t="shared" si="134"/>
        <v>28846.121535106628</v>
      </c>
      <c r="J228" s="72">
        <f t="shared" si="134"/>
        <v>31372.703602012545</v>
      </c>
    </row>
    <row r="229" spans="2:10">
      <c r="B229" s="20"/>
      <c r="C229"/>
      <c r="D229"/>
      <c r="E229"/>
      <c r="F229"/>
      <c r="G229"/>
      <c r="H229"/>
      <c r="I229"/>
      <c r="J229"/>
    </row>
    <row r="230" spans="2:10">
      <c r="B230" s="20" t="s">
        <v>124</v>
      </c>
      <c r="C230"/>
      <c r="D230" s="124">
        <v>665</v>
      </c>
      <c r="E230" s="124">
        <v>530</v>
      </c>
      <c r="F230" s="63">
        <v>0</v>
      </c>
      <c r="G230" s="63">
        <v>0</v>
      </c>
      <c r="H230" s="63">
        <v>0</v>
      </c>
      <c r="I230" s="63">
        <v>0</v>
      </c>
      <c r="J230" s="63">
        <v>0</v>
      </c>
    </row>
    <row r="231" spans="2:10">
      <c r="B231" s="20" t="s">
        <v>46</v>
      </c>
      <c r="C231"/>
      <c r="D231" s="63">
        <v>1740</v>
      </c>
      <c r="E231" s="63">
        <v>2253</v>
      </c>
      <c r="F231" s="72">
        <f>-(F232*SUM(F17,F19:F20))</f>
        <v>2212.6002930107998</v>
      </c>
      <c r="G231" s="72">
        <f t="shared" ref="G231:J231" si="135">-(G232*SUM(G17,G19:G20))</f>
        <v>2187.0654505218836</v>
      </c>
      <c r="H231" s="72">
        <f t="shared" si="135"/>
        <v>2285.0340049994029</v>
      </c>
      <c r="I231" s="72">
        <f t="shared" si="135"/>
        <v>2397.4217865745363</v>
      </c>
      <c r="J231" s="72">
        <f t="shared" si="135"/>
        <v>2526.5820669059194</v>
      </c>
    </row>
    <row r="232" spans="2:10">
      <c r="B232" s="20" t="s">
        <v>125</v>
      </c>
      <c r="C232"/>
      <c r="D232" s="65">
        <f>-(D231/SUM(D19:D20,D17))</f>
        <v>1.7182300255759526E-2</v>
      </c>
      <c r="E232" s="65">
        <f>-(E231/SUM(E19:E20,E17))</f>
        <v>1.8480694933188966E-2</v>
      </c>
      <c r="F232" s="69">
        <v>1.7000000000000001E-2</v>
      </c>
      <c r="G232" s="69">
        <v>1.6E-2</v>
      </c>
      <c r="H232" s="69">
        <v>1.6E-2</v>
      </c>
      <c r="I232" s="69">
        <v>1.6E-2</v>
      </c>
      <c r="J232" s="69">
        <v>1.6E-2</v>
      </c>
    </row>
    <row r="233" spans="2:10">
      <c r="B233" s="20"/>
      <c r="C233"/>
      <c r="D233"/>
      <c r="E233"/>
      <c r="F233"/>
      <c r="G233"/>
      <c r="H233"/>
      <c r="I233"/>
      <c r="J233"/>
    </row>
    <row r="234" spans="2:10">
      <c r="B234" s="5" t="s">
        <v>73</v>
      </c>
      <c r="C234"/>
      <c r="D234"/>
      <c r="E234"/>
      <c r="F234"/>
      <c r="G234"/>
      <c r="H234"/>
      <c r="I234"/>
      <c r="J234"/>
    </row>
    <row r="235" spans="2:10">
      <c r="B235" s="20" t="s">
        <v>85</v>
      </c>
      <c r="C235"/>
      <c r="D235"/>
      <c r="E235"/>
      <c r="F235" s="72">
        <f>E237</f>
        <v>0</v>
      </c>
      <c r="G235" s="72">
        <f t="shared" ref="G235:J235" si="136">F237</f>
        <v>-23968</v>
      </c>
      <c r="H235" s="72">
        <f t="shared" si="136"/>
        <v>-47936</v>
      </c>
      <c r="I235" s="72">
        <f t="shared" si="136"/>
        <v>-71904</v>
      </c>
      <c r="J235" s="72">
        <f t="shared" si="136"/>
        <v>-95872</v>
      </c>
    </row>
    <row r="236" spans="2:10">
      <c r="B236" s="102" t="s">
        <v>126</v>
      </c>
      <c r="C236"/>
      <c r="D236"/>
      <c r="E236" s="70"/>
      <c r="F236" s="72">
        <f>F239</f>
        <v>-23968</v>
      </c>
      <c r="G236" s="72">
        <f t="shared" ref="G236:J236" si="137">G239</f>
        <v>-23968</v>
      </c>
      <c r="H236" s="72">
        <f t="shared" si="137"/>
        <v>-23968</v>
      </c>
      <c r="I236" s="72">
        <f t="shared" si="137"/>
        <v>-23968</v>
      </c>
      <c r="J236" s="72">
        <f t="shared" si="137"/>
        <v>-23968</v>
      </c>
    </row>
    <row r="237" spans="2:10">
      <c r="B237" s="20" t="s">
        <v>87</v>
      </c>
      <c r="C237"/>
      <c r="D237" s="72">
        <f>D105</f>
        <v>0</v>
      </c>
      <c r="E237" s="72">
        <f>E105</f>
        <v>0</v>
      </c>
      <c r="F237" s="72">
        <f>SUM(F235:F236)</f>
        <v>-23968</v>
      </c>
      <c r="G237" s="72">
        <f t="shared" ref="G237:J237" si="138">SUM(G235:G236)</f>
        <v>-47936</v>
      </c>
      <c r="H237" s="72">
        <f t="shared" si="138"/>
        <v>-71904</v>
      </c>
      <c r="I237" s="72">
        <f t="shared" si="138"/>
        <v>-95872</v>
      </c>
      <c r="J237" s="72">
        <f t="shared" si="138"/>
        <v>-119840</v>
      </c>
    </row>
    <row r="238" spans="2:10">
      <c r="B238" s="3"/>
      <c r="C238"/>
      <c r="D238"/>
      <c r="E238"/>
      <c r="F238"/>
      <c r="G238"/>
      <c r="H238"/>
      <c r="I238"/>
      <c r="J238"/>
    </row>
    <row r="239" spans="2:10">
      <c r="B239" s="102" t="s">
        <v>127</v>
      </c>
      <c r="C239"/>
      <c r="D239" s="63">
        <v>0</v>
      </c>
      <c r="E239" s="76">
        <v>-22860</v>
      </c>
      <c r="F239" s="76">
        <v>-23968</v>
      </c>
      <c r="G239" s="76">
        <v>-23968</v>
      </c>
      <c r="H239" s="76">
        <v>-23968</v>
      </c>
      <c r="I239" s="76">
        <v>-23968</v>
      </c>
      <c r="J239" s="76">
        <v>-23968</v>
      </c>
    </row>
    <row r="241" spans="1:10">
      <c r="A241" s="1" t="s">
        <v>146</v>
      </c>
      <c r="B241" s="4" t="s">
        <v>128</v>
      </c>
      <c r="C241" s="2"/>
      <c r="D241" s="2"/>
      <c r="E241" s="2"/>
      <c r="F241" s="2"/>
      <c r="G241" s="2"/>
      <c r="H241" s="2"/>
      <c r="I241" s="2"/>
      <c r="J241" s="2"/>
    </row>
    <row r="242" spans="1:10">
      <c r="B242" s="79" t="str">
        <f t="shared" ref="B242:J243" si="139">B13</f>
        <v xml:space="preserve">Fiscal year  </v>
      </c>
      <c r="C242" s="80">
        <f t="shared" si="139"/>
        <v>2011</v>
      </c>
      <c r="D242" s="80">
        <f t="shared" si="139"/>
        <v>2012</v>
      </c>
      <c r="E242" s="80">
        <f t="shared" si="139"/>
        <v>2013</v>
      </c>
      <c r="F242" s="81">
        <f t="shared" si="139"/>
        <v>2014</v>
      </c>
      <c r="G242" s="81">
        <f t="shared" si="139"/>
        <v>2015</v>
      </c>
      <c r="H242" s="81">
        <f t="shared" si="139"/>
        <v>2016</v>
      </c>
      <c r="I242" s="81">
        <f t="shared" si="139"/>
        <v>2017</v>
      </c>
      <c r="J242" s="81">
        <f t="shared" si="139"/>
        <v>2018</v>
      </c>
    </row>
    <row r="243" spans="1:10">
      <c r="B243" s="2" t="str">
        <f t="shared" si="139"/>
        <v>Fiscal year end date</v>
      </c>
      <c r="C243" s="82">
        <f t="shared" si="139"/>
        <v>40810</v>
      </c>
      <c r="D243" s="82">
        <f t="shared" si="139"/>
        <v>41181</v>
      </c>
      <c r="E243" s="82">
        <f t="shared" si="139"/>
        <v>41545</v>
      </c>
      <c r="F243" s="82">
        <f t="shared" si="139"/>
        <v>41912</v>
      </c>
      <c r="G243" s="82">
        <f t="shared" si="139"/>
        <v>42277</v>
      </c>
      <c r="H243" s="82">
        <f t="shared" si="139"/>
        <v>42643</v>
      </c>
      <c r="I243" s="82">
        <f t="shared" si="139"/>
        <v>43008</v>
      </c>
      <c r="J243" s="82">
        <f t="shared" si="139"/>
        <v>43373</v>
      </c>
    </row>
    <row r="244" spans="1:10">
      <c r="B244" s="3"/>
    </row>
    <row r="245" spans="1:10">
      <c r="B245" s="5" t="s">
        <v>129</v>
      </c>
      <c r="C245"/>
      <c r="D245"/>
      <c r="E245"/>
      <c r="F245"/>
      <c r="G245"/>
      <c r="H245"/>
      <c r="I245"/>
      <c r="J245"/>
    </row>
    <row r="246" spans="1:10">
      <c r="B246" s="20" t="s">
        <v>85</v>
      </c>
      <c r="C246"/>
      <c r="D246"/>
      <c r="E246"/>
      <c r="F246" s="64">
        <f>E249</f>
        <v>104256</v>
      </c>
      <c r="G246" s="64">
        <f t="shared" ref="G246:J246" ca="1" si="140">F249</f>
        <v>130224.54724442851</v>
      </c>
      <c r="H246" s="64">
        <f t="shared" ca="1" si="140"/>
        <v>160107.508383429</v>
      </c>
      <c r="I246" s="64">
        <f t="shared" ca="1" si="140"/>
        <v>191340.79324579198</v>
      </c>
      <c r="J246" s="64">
        <f t="shared" ca="1" si="140"/>
        <v>224123.56575856666</v>
      </c>
    </row>
    <row r="247" spans="1:10">
      <c r="B247" s="102" t="s">
        <v>130</v>
      </c>
      <c r="C247"/>
      <c r="D247"/>
      <c r="E247"/>
      <c r="F247" s="64">
        <f ca="1">F251</f>
        <v>37097.92463489787</v>
      </c>
      <c r="G247" s="64">
        <f t="shared" ref="G247:J247" ca="1" si="141">G251</f>
        <v>39319.685709211175</v>
      </c>
      <c r="H247" s="64">
        <f t="shared" ca="1" si="141"/>
        <v>41096.427450476906</v>
      </c>
      <c r="I247" s="64">
        <f t="shared" ca="1" si="141"/>
        <v>43135.226990506402</v>
      </c>
      <c r="J247" s="64">
        <f t="shared" ca="1" si="141"/>
        <v>45465.656507429085</v>
      </c>
    </row>
    <row r="248" spans="1:10">
      <c r="B248" s="102" t="s">
        <v>131</v>
      </c>
      <c r="C248"/>
      <c r="D248"/>
      <c r="E248"/>
      <c r="F248" s="72">
        <f ca="1">(F253)</f>
        <v>-11129.377390469361</v>
      </c>
      <c r="G248" s="72">
        <f t="shared" ref="G248:J248" ca="1" si="142">(G253)</f>
        <v>-9436.7245702106811</v>
      </c>
      <c r="H248" s="72">
        <f t="shared" ca="1" si="142"/>
        <v>-9863.1425881144569</v>
      </c>
      <c r="I248" s="72">
        <f t="shared" ca="1" si="142"/>
        <v>-10352.454477721536</v>
      </c>
      <c r="J248" s="72">
        <f t="shared" ca="1" si="142"/>
        <v>-10911.757561782981</v>
      </c>
    </row>
    <row r="249" spans="1:10">
      <c r="B249" s="20" t="s">
        <v>87</v>
      </c>
      <c r="C249"/>
      <c r="D249" s="60">
        <v>101289</v>
      </c>
      <c r="E249" s="60">
        <v>104256</v>
      </c>
      <c r="F249" s="64">
        <f ca="1">SUM(F246:F248)</f>
        <v>130224.54724442851</v>
      </c>
      <c r="G249" s="64">
        <f t="shared" ref="G249:J249" ca="1" si="143">SUM(G246:G248)</f>
        <v>160107.50838342903</v>
      </c>
      <c r="H249" s="64">
        <f t="shared" ca="1" si="143"/>
        <v>191340.79324579146</v>
      </c>
      <c r="I249" s="64">
        <f t="shared" ca="1" si="143"/>
        <v>224123.56575857685</v>
      </c>
      <c r="J249" s="64">
        <f t="shared" ca="1" si="143"/>
        <v>258677.46470421276</v>
      </c>
    </row>
    <row r="250" spans="1:10">
      <c r="B250" s="3"/>
      <c r="C250"/>
      <c r="D250"/>
      <c r="E250"/>
      <c r="F250"/>
      <c r="G250"/>
      <c r="H250"/>
      <c r="I250"/>
      <c r="J250"/>
    </row>
    <row r="251" spans="1:10">
      <c r="B251" s="21" t="s">
        <v>2</v>
      </c>
      <c r="C251"/>
      <c r="D251" s="64">
        <f>D27</f>
        <v>41733</v>
      </c>
      <c r="E251" s="64">
        <f t="shared" ref="E251:J251" si="144">E27</f>
        <v>37037</v>
      </c>
      <c r="F251" s="64">
        <f t="shared" ca="1" si="144"/>
        <v>37097.92463489787</v>
      </c>
      <c r="G251" s="64">
        <f t="shared" ca="1" si="144"/>
        <v>39319.685709211175</v>
      </c>
      <c r="H251" s="64">
        <f t="shared" ca="1" si="144"/>
        <v>41096.427450476993</v>
      </c>
      <c r="I251" s="64">
        <f t="shared" ca="1" si="144"/>
        <v>43135.226990505573</v>
      </c>
      <c r="J251" s="64">
        <f t="shared" ca="1" si="144"/>
        <v>45465.656507431544</v>
      </c>
    </row>
    <row r="252" spans="1:10">
      <c r="B252" s="20" t="s">
        <v>132</v>
      </c>
      <c r="C252"/>
      <c r="D252" s="65">
        <f>-(D253/D251)</f>
        <v>5.961708959336736E-2</v>
      </c>
      <c r="E252" s="65">
        <f>-(E253/E251)</f>
        <v>0.28522828522828525</v>
      </c>
      <c r="F252" s="69">
        <v>0.3</v>
      </c>
      <c r="G252" s="69">
        <v>0.24</v>
      </c>
      <c r="H252" s="69">
        <v>0.24</v>
      </c>
      <c r="I252" s="69">
        <v>0.24</v>
      </c>
      <c r="J252" s="69">
        <v>0.24</v>
      </c>
    </row>
    <row r="253" spans="1:10">
      <c r="B253" s="21" t="s">
        <v>133</v>
      </c>
      <c r="C253"/>
      <c r="D253" s="76">
        <v>-2488</v>
      </c>
      <c r="E253" s="76">
        <v>-10564</v>
      </c>
      <c r="F253" s="72">
        <f ca="1">-(F252*F251)</f>
        <v>-11129.377390469361</v>
      </c>
      <c r="G253" s="72">
        <f ca="1">-(G252*G251)</f>
        <v>-9436.7245702106811</v>
      </c>
      <c r="H253" s="72">
        <f ca="1">-(H252*H251)</f>
        <v>-9863.1425881144787</v>
      </c>
      <c r="I253" s="72">
        <f ca="1">-(I252*I251)</f>
        <v>-10352.454477721338</v>
      </c>
      <c r="J253" s="72">
        <f ca="1">-(J252*J251)</f>
        <v>-10911.75756178357</v>
      </c>
    </row>
    <row r="254" spans="1:10">
      <c r="B254" s="3"/>
      <c r="C254"/>
      <c r="D254"/>
      <c r="E254"/>
      <c r="F254"/>
      <c r="G254"/>
      <c r="H254"/>
      <c r="I254"/>
      <c r="J254"/>
    </row>
    <row r="255" spans="1:10">
      <c r="B255" s="125" t="s">
        <v>75</v>
      </c>
      <c r="C255"/>
      <c r="D255"/>
      <c r="E255"/>
      <c r="F255"/>
      <c r="G255"/>
      <c r="H255"/>
      <c r="I255"/>
      <c r="J255"/>
    </row>
    <row r="256" spans="1:10">
      <c r="B256" s="20" t="s">
        <v>85</v>
      </c>
      <c r="C256"/>
      <c r="D256"/>
      <c r="E256"/>
      <c r="F256" s="96">
        <f>E258</f>
        <v>-471</v>
      </c>
      <c r="G256" s="96">
        <f t="shared" ref="G256:J256" si="145">F258</f>
        <v>-471</v>
      </c>
      <c r="H256" s="96">
        <f t="shared" si="145"/>
        <v>-471</v>
      </c>
      <c r="I256" s="96">
        <f t="shared" si="145"/>
        <v>-471</v>
      </c>
      <c r="J256" s="96">
        <f t="shared" si="145"/>
        <v>-471</v>
      </c>
    </row>
    <row r="257" spans="1:10">
      <c r="B257" s="102" t="s">
        <v>134</v>
      </c>
      <c r="C257"/>
      <c r="D257"/>
      <c r="E257"/>
      <c r="F257" s="63">
        <v>0</v>
      </c>
      <c r="G257" s="63">
        <v>0</v>
      </c>
      <c r="H257" s="63">
        <v>0</v>
      </c>
      <c r="I257" s="63">
        <v>0</v>
      </c>
      <c r="J257" s="63">
        <v>0</v>
      </c>
    </row>
    <row r="258" spans="1:10">
      <c r="B258" s="20" t="s">
        <v>87</v>
      </c>
      <c r="C258"/>
      <c r="D258" s="96">
        <f>D107</f>
        <v>499</v>
      </c>
      <c r="E258" s="96">
        <f>E107</f>
        <v>-471</v>
      </c>
      <c r="F258" s="96">
        <f>SUM(F256:F257)</f>
        <v>-471</v>
      </c>
      <c r="G258" s="96">
        <f t="shared" ref="G258:J258" si="146">SUM(G256:G257)</f>
        <v>-471</v>
      </c>
      <c r="H258" s="96">
        <f t="shared" si="146"/>
        <v>-471</v>
      </c>
      <c r="I258" s="96">
        <f t="shared" si="146"/>
        <v>-471</v>
      </c>
      <c r="J258" s="96">
        <f t="shared" si="146"/>
        <v>-471</v>
      </c>
    </row>
    <row r="260" spans="1:10">
      <c r="A260" s="1" t="s">
        <v>146</v>
      </c>
      <c r="B260" s="4" t="s">
        <v>135</v>
      </c>
      <c r="C260" s="78"/>
      <c r="D260" s="78"/>
      <c r="E260" s="78"/>
      <c r="F260" s="78"/>
      <c r="G260" s="78"/>
      <c r="H260" s="78"/>
      <c r="I260" s="78"/>
      <c r="J260" s="78"/>
    </row>
    <row r="261" spans="1:10">
      <c r="B261" s="79" t="str">
        <f>B13</f>
        <v xml:space="preserve">Fiscal year  </v>
      </c>
      <c r="C261" s="80"/>
      <c r="D261" s="80">
        <f t="shared" ref="D261:J262" si="147">D13</f>
        <v>2012</v>
      </c>
      <c r="E261" s="80">
        <f t="shared" si="147"/>
        <v>2013</v>
      </c>
      <c r="F261" s="81">
        <f t="shared" si="147"/>
        <v>2014</v>
      </c>
      <c r="G261" s="81">
        <f t="shared" si="147"/>
        <v>2015</v>
      </c>
      <c r="H261" s="81">
        <f t="shared" si="147"/>
        <v>2016</v>
      </c>
      <c r="I261" s="81">
        <f t="shared" si="147"/>
        <v>2017</v>
      </c>
      <c r="J261" s="81">
        <f t="shared" si="147"/>
        <v>2018</v>
      </c>
    </row>
    <row r="262" spans="1:10">
      <c r="B262" s="2" t="str">
        <f>B14</f>
        <v>Fiscal year end date</v>
      </c>
      <c r="C262" s="82"/>
      <c r="D262" s="82">
        <f t="shared" si="147"/>
        <v>41181</v>
      </c>
      <c r="E262" s="82">
        <f t="shared" si="147"/>
        <v>41545</v>
      </c>
      <c r="F262" s="82">
        <f t="shared" si="147"/>
        <v>41912</v>
      </c>
      <c r="G262" s="82">
        <f t="shared" si="147"/>
        <v>42277</v>
      </c>
      <c r="H262" s="82">
        <f t="shared" si="147"/>
        <v>42643</v>
      </c>
      <c r="I262" s="82">
        <f t="shared" si="147"/>
        <v>43008</v>
      </c>
      <c r="J262" s="82">
        <f t="shared" si="147"/>
        <v>43373</v>
      </c>
    </row>
    <row r="263" spans="1:10">
      <c r="D263"/>
      <c r="E263"/>
      <c r="F263"/>
      <c r="G263"/>
      <c r="H263"/>
      <c r="I263"/>
      <c r="J263"/>
    </row>
    <row r="264" spans="1:10">
      <c r="B264" s="3" t="s">
        <v>2</v>
      </c>
      <c r="C264" s="126"/>
      <c r="D264"/>
      <c r="E264"/>
      <c r="F264" s="52">
        <f ca="1">F27</f>
        <v>37097.92463489787</v>
      </c>
      <c r="G264" s="52">
        <f t="shared" ref="G264:J264" ca="1" si="148">G27</f>
        <v>39319.685709211175</v>
      </c>
      <c r="H264" s="52">
        <f t="shared" ca="1" si="148"/>
        <v>41096.427450476993</v>
      </c>
      <c r="I264" s="52">
        <f t="shared" ca="1" si="148"/>
        <v>43135.226990505573</v>
      </c>
      <c r="J264" s="52">
        <f t="shared" ca="1" si="148"/>
        <v>45465.656507431544</v>
      </c>
    </row>
    <row r="265" spans="1:10">
      <c r="B265" s="3" t="s">
        <v>136</v>
      </c>
      <c r="C265" s="126"/>
      <c r="D265"/>
      <c r="E265"/>
      <c r="F265" s="96">
        <f>F44</f>
        <v>7145.3176115999995</v>
      </c>
      <c r="G265" s="96">
        <f t="shared" ref="G265:J265" si="149">G44</f>
        <v>7540.5401478143021</v>
      </c>
      <c r="H265" s="96">
        <f t="shared" si="149"/>
        <v>7682.1924442956242</v>
      </c>
      <c r="I265" s="96">
        <f t="shared" si="149"/>
        <v>7792.0651309652267</v>
      </c>
      <c r="J265" s="96">
        <f t="shared" si="149"/>
        <v>8007.2119367516216</v>
      </c>
    </row>
    <row r="266" spans="1:10">
      <c r="B266" s="3" t="s">
        <v>46</v>
      </c>
      <c r="C266" s="126"/>
      <c r="D266"/>
      <c r="E266"/>
      <c r="F266" s="96">
        <f>F231</f>
        <v>2212.6002930107998</v>
      </c>
      <c r="G266" s="96">
        <f t="shared" ref="G266:J266" si="150">G231</f>
        <v>2187.0654505218836</v>
      </c>
      <c r="H266" s="96">
        <f t="shared" si="150"/>
        <v>2285.0340049994029</v>
      </c>
      <c r="I266" s="96">
        <f t="shared" si="150"/>
        <v>2397.4217865745363</v>
      </c>
      <c r="J266" s="96">
        <f t="shared" si="150"/>
        <v>2526.5820669059194</v>
      </c>
    </row>
    <row r="267" spans="1:10">
      <c r="B267" s="3" t="s">
        <v>58</v>
      </c>
      <c r="C267" s="110"/>
      <c r="D267"/>
      <c r="E267"/>
      <c r="F267" s="109">
        <f>-(F125)</f>
        <v>-433.19057869999779</v>
      </c>
      <c r="G267" s="109">
        <f t="shared" ref="G267:J267" si="151">-(G125)</f>
        <v>-793.85892471924126</v>
      </c>
      <c r="H267" s="109">
        <f t="shared" si="151"/>
        <v>-641.86294312857353</v>
      </c>
      <c r="I267" s="109">
        <f t="shared" si="151"/>
        <v>-736.33374135432132</v>
      </c>
      <c r="J267" s="109">
        <f t="shared" si="151"/>
        <v>-846.22252630906041</v>
      </c>
    </row>
    <row r="268" spans="1:10">
      <c r="B268" s="3" t="s">
        <v>59</v>
      </c>
      <c r="D268"/>
      <c r="E268"/>
      <c r="F268" s="96">
        <f>-(F133)</f>
        <v>-40.21401303359994</v>
      </c>
      <c r="G268" s="96">
        <f t="shared" ref="G268:J268" si="152">-(G133)</f>
        <v>-143.2169385561017</v>
      </c>
      <c r="H268" s="96">
        <f t="shared" si="152"/>
        <v>-87.234241310197831</v>
      </c>
      <c r="I268" s="96">
        <f t="shared" si="152"/>
        <v>-100.07356861116841</v>
      </c>
      <c r="J268" s="96">
        <f t="shared" si="152"/>
        <v>-115.00832202955644</v>
      </c>
    </row>
    <row r="269" spans="1:10">
      <c r="B269" s="3" t="s">
        <v>66</v>
      </c>
      <c r="D269"/>
      <c r="E269"/>
      <c r="F269" s="96">
        <f>F141</f>
        <v>523.96529036379798</v>
      </c>
      <c r="G269" s="96">
        <f t="shared" ref="G269:J269" si="153">G141</f>
        <v>1422.4150749379296</v>
      </c>
      <c r="H269" s="96">
        <f t="shared" si="153"/>
        <v>1089.1062854485281</v>
      </c>
      <c r="I269" s="96">
        <f t="shared" si="153"/>
        <v>1249.4033414485275</v>
      </c>
      <c r="J269" s="96">
        <f t="shared" si="153"/>
        <v>1435.8614750356755</v>
      </c>
    </row>
    <row r="270" spans="1:10">
      <c r="B270" s="3" t="s">
        <v>95</v>
      </c>
      <c r="D270"/>
      <c r="E270"/>
      <c r="F270" s="96">
        <f>F149</f>
        <v>-72.551695800000743</v>
      </c>
      <c r="G270" s="96">
        <f t="shared" ref="G270:J270" si="154">G149</f>
        <v>6.8775139912322629</v>
      </c>
      <c r="H270" s="96">
        <f t="shared" si="154"/>
        <v>-15.057317766426422</v>
      </c>
      <c r="I270" s="96">
        <f t="shared" si="154"/>
        <v>138.9493653205609</v>
      </c>
      <c r="J270" s="96">
        <f t="shared" si="154"/>
        <v>-15.249989913376339</v>
      </c>
    </row>
    <row r="271" spans="1:10">
      <c r="B271" s="3" t="s">
        <v>61</v>
      </c>
      <c r="D271"/>
      <c r="E271"/>
      <c r="F271">
        <f>-(F257)</f>
        <v>0</v>
      </c>
      <c r="G271">
        <f t="shared" ref="G271:J271" si="155">-(G257)</f>
        <v>0</v>
      </c>
      <c r="H271">
        <f t="shared" si="155"/>
        <v>0</v>
      </c>
      <c r="I271">
        <f t="shared" si="155"/>
        <v>0</v>
      </c>
      <c r="J271">
        <f t="shared" si="155"/>
        <v>0</v>
      </c>
    </row>
    <row r="272" spans="1:10">
      <c r="B272" s="17" t="s">
        <v>110</v>
      </c>
      <c r="D272"/>
      <c r="E272"/>
      <c r="F272">
        <f>-(F191)</f>
        <v>0</v>
      </c>
      <c r="G272">
        <f t="shared" ref="G272:J272" si="156">-(G191)</f>
        <v>0</v>
      </c>
      <c r="H272">
        <f t="shared" si="156"/>
        <v>0</v>
      </c>
      <c r="I272">
        <f t="shared" si="156"/>
        <v>0</v>
      </c>
      <c r="J272">
        <f t="shared" si="156"/>
        <v>0</v>
      </c>
    </row>
    <row r="273" spans="2:12">
      <c r="B273" s="17" t="s">
        <v>64</v>
      </c>
      <c r="D273"/>
      <c r="E273"/>
      <c r="F273">
        <f>-(F196)</f>
        <v>0</v>
      </c>
      <c r="G273">
        <f t="shared" ref="G273:J273" si="157">-(G196)</f>
        <v>0</v>
      </c>
      <c r="H273">
        <f t="shared" si="157"/>
        <v>0</v>
      </c>
      <c r="I273">
        <f t="shared" si="157"/>
        <v>0</v>
      </c>
      <c r="J273">
        <f t="shared" si="157"/>
        <v>0</v>
      </c>
    </row>
    <row r="274" spans="2:12">
      <c r="B274" s="3" t="s">
        <v>111</v>
      </c>
      <c r="D274"/>
      <c r="E274"/>
      <c r="F274" s="96">
        <f>F201</f>
        <v>3000</v>
      </c>
      <c r="G274" s="96">
        <f t="shared" ref="G274:J274" si="158">G201</f>
        <v>3000</v>
      </c>
      <c r="H274" s="96">
        <f t="shared" si="158"/>
        <v>3000</v>
      </c>
      <c r="I274" s="96">
        <f t="shared" si="158"/>
        <v>3000</v>
      </c>
      <c r="J274" s="96">
        <f t="shared" si="158"/>
        <v>3000</v>
      </c>
    </row>
    <row r="275" spans="2:12">
      <c r="B275" s="3" t="s">
        <v>137</v>
      </c>
      <c r="D275"/>
      <c r="E275"/>
      <c r="F275">
        <f>F211</f>
        <v>0</v>
      </c>
      <c r="G275">
        <f t="shared" ref="G275:J275" si="159">G211</f>
        <v>0</v>
      </c>
      <c r="H275">
        <f t="shared" si="159"/>
        <v>0</v>
      </c>
      <c r="I275">
        <f t="shared" si="159"/>
        <v>0</v>
      </c>
      <c r="J275">
        <f t="shared" si="159"/>
        <v>0</v>
      </c>
    </row>
    <row r="276" spans="2:12">
      <c r="B276" s="5" t="s">
        <v>138</v>
      </c>
      <c r="D276"/>
      <c r="E276"/>
      <c r="F276" s="127">
        <f ca="1">SUM(F264:F275)</f>
        <v>49433.851542338874</v>
      </c>
      <c r="G276" s="127">
        <f t="shared" ref="G276:J276" ca="1" si="160">SUM(G264:G275)</f>
        <v>52539.508033201186</v>
      </c>
      <c r="H276" s="127">
        <f t="shared" ca="1" si="160"/>
        <v>54408.605683015354</v>
      </c>
      <c r="I276" s="127">
        <f t="shared" ca="1" si="160"/>
        <v>56876.65930484893</v>
      </c>
      <c r="J276" s="127">
        <f t="shared" ca="1" si="160"/>
        <v>59458.831147872763</v>
      </c>
    </row>
    <row r="277" spans="2:12">
      <c r="B277" s="3"/>
      <c r="D277"/>
      <c r="E277"/>
      <c r="F277"/>
      <c r="G277"/>
      <c r="H277"/>
      <c r="I277"/>
      <c r="J277"/>
    </row>
    <row r="278" spans="2:12">
      <c r="B278" s="3" t="s">
        <v>139</v>
      </c>
      <c r="D278"/>
      <c r="E278"/>
      <c r="F278" s="96">
        <f>-(F171)</f>
        <v>-8963.7023699999991</v>
      </c>
      <c r="G278" s="96">
        <f t="shared" ref="G278:J278" si="161">-(G171)</f>
        <v>-10746.78712756443</v>
      </c>
      <c r="H278" s="96">
        <f t="shared" si="161"/>
        <v>-11228.18433491086</v>
      </c>
      <c r="I278" s="96">
        <f t="shared" si="161"/>
        <v>-11780.434640926602</v>
      </c>
      <c r="J278" s="96">
        <f t="shared" si="161"/>
        <v>-12415.101535658396</v>
      </c>
    </row>
    <row r="279" spans="2:12">
      <c r="B279" s="3" t="s">
        <v>140</v>
      </c>
      <c r="D279"/>
      <c r="E279"/>
      <c r="F279">
        <f>-(F159)</f>
        <v>0</v>
      </c>
      <c r="G279">
        <f t="shared" ref="G279:J279" si="162">-(G159)</f>
        <v>0</v>
      </c>
      <c r="H279">
        <f t="shared" si="162"/>
        <v>0</v>
      </c>
      <c r="I279">
        <f t="shared" si="162"/>
        <v>0</v>
      </c>
      <c r="J279">
        <f t="shared" si="162"/>
        <v>0</v>
      </c>
    </row>
    <row r="280" spans="2:12">
      <c r="B280" s="5" t="s">
        <v>141</v>
      </c>
      <c r="D280"/>
      <c r="E280"/>
      <c r="F280" s="128">
        <f>SUM(F278:F279)</f>
        <v>-8963.7023699999991</v>
      </c>
      <c r="G280" s="128">
        <f t="shared" ref="G280:J280" si="163">SUM(G278:G279)</f>
        <v>-10746.78712756443</v>
      </c>
      <c r="H280" s="128">
        <f t="shared" si="163"/>
        <v>-11228.18433491086</v>
      </c>
      <c r="I280" s="128">
        <f t="shared" si="163"/>
        <v>-11780.434640926602</v>
      </c>
      <c r="J280" s="128">
        <f t="shared" si="163"/>
        <v>-12415.101535658396</v>
      </c>
    </row>
    <row r="281" spans="2:12">
      <c r="B281" s="3"/>
      <c r="D281"/>
      <c r="E281"/>
      <c r="F281"/>
      <c r="G281"/>
      <c r="H281"/>
      <c r="I281"/>
      <c r="J281"/>
    </row>
    <row r="282" spans="2:12">
      <c r="B282" s="3" t="s">
        <v>69</v>
      </c>
      <c r="D282"/>
      <c r="E282"/>
      <c r="F282" s="70">
        <f>F210</f>
        <v>0</v>
      </c>
      <c r="G282" s="70">
        <f t="shared" ref="G282:J282" si="164">G210</f>
        <v>0</v>
      </c>
      <c r="H282" s="70">
        <f t="shared" si="164"/>
        <v>-2500</v>
      </c>
      <c r="I282" s="70">
        <f t="shared" si="164"/>
        <v>0</v>
      </c>
      <c r="J282" s="70">
        <f t="shared" si="164"/>
        <v>-6000</v>
      </c>
    </row>
    <row r="283" spans="2:12">
      <c r="B283" s="3" t="s">
        <v>133</v>
      </c>
      <c r="D283"/>
      <c r="E283"/>
      <c r="F283" s="96">
        <f ca="1">F248</f>
        <v>-11129.377390469361</v>
      </c>
      <c r="G283" s="96">
        <f t="shared" ref="G283:J283" ca="1" si="165">G248</f>
        <v>-9436.7245702106811</v>
      </c>
      <c r="H283" s="96">
        <f t="shared" ca="1" si="165"/>
        <v>-9863.1425881144569</v>
      </c>
      <c r="I283" s="96">
        <f t="shared" ca="1" si="165"/>
        <v>-10352.454477721536</v>
      </c>
      <c r="J283" s="96">
        <f t="shared" ca="1" si="165"/>
        <v>-10911.757561782981</v>
      </c>
      <c r="L283" s="116"/>
    </row>
    <row r="284" spans="2:12">
      <c r="B284" s="17" t="s">
        <v>142</v>
      </c>
      <c r="D284"/>
      <c r="E284"/>
      <c r="F284">
        <f>F226</f>
        <v>0</v>
      </c>
      <c r="G284">
        <f t="shared" ref="G284:J284" si="166">G226</f>
        <v>0</v>
      </c>
      <c r="H284">
        <f t="shared" si="166"/>
        <v>0</v>
      </c>
      <c r="I284">
        <f t="shared" si="166"/>
        <v>0</v>
      </c>
      <c r="J284">
        <f t="shared" si="166"/>
        <v>0</v>
      </c>
    </row>
    <row r="285" spans="2:12">
      <c r="B285" s="17" t="s">
        <v>143</v>
      </c>
      <c r="D285"/>
      <c r="E285"/>
      <c r="F285" s="96">
        <f>F239</f>
        <v>-23968</v>
      </c>
      <c r="G285" s="96">
        <f t="shared" ref="G285:J285" si="167">G239</f>
        <v>-23968</v>
      </c>
      <c r="H285" s="96">
        <f t="shared" si="167"/>
        <v>-23968</v>
      </c>
      <c r="I285" s="96">
        <f t="shared" si="167"/>
        <v>-23968</v>
      </c>
      <c r="J285" s="96">
        <f t="shared" si="167"/>
        <v>-23968</v>
      </c>
    </row>
    <row r="286" spans="2:12">
      <c r="B286" s="17" t="s">
        <v>75</v>
      </c>
      <c r="D286"/>
      <c r="E286"/>
      <c r="F286">
        <f>F257</f>
        <v>0</v>
      </c>
      <c r="G286">
        <f t="shared" ref="G286:J286" si="168">G257</f>
        <v>0</v>
      </c>
      <c r="H286">
        <f t="shared" si="168"/>
        <v>0</v>
      </c>
      <c r="I286">
        <f t="shared" si="168"/>
        <v>0</v>
      </c>
      <c r="J286">
        <f t="shared" si="168"/>
        <v>0</v>
      </c>
    </row>
    <row r="287" spans="2:12">
      <c r="B287" s="3" t="s">
        <v>68</v>
      </c>
      <c r="D287"/>
      <c r="E287"/>
      <c r="F287" s="96">
        <f ca="1">-(F298)</f>
        <v>0</v>
      </c>
      <c r="G287" s="96">
        <f ca="1">-(G298)</f>
        <v>0</v>
      </c>
      <c r="H287" s="96">
        <f ca="1">-(H298)</f>
        <v>0</v>
      </c>
      <c r="I287" s="96">
        <f ca="1">-(I298)</f>
        <v>0</v>
      </c>
      <c r="J287" s="96">
        <f ca="1">-(J298)</f>
        <v>0</v>
      </c>
    </row>
    <row r="288" spans="2:12">
      <c r="B288" s="5" t="s">
        <v>144</v>
      </c>
      <c r="D288"/>
      <c r="E288"/>
      <c r="F288" s="128">
        <f ca="1">SUM(F282:F287)</f>
        <v>-35097.377390469359</v>
      </c>
      <c r="G288" s="128">
        <f t="shared" ref="G288:J288" ca="1" si="169">SUM(G282:G287)</f>
        <v>-33404.724570210681</v>
      </c>
      <c r="H288" s="128">
        <f t="shared" ca="1" si="169"/>
        <v>-36331.142588114453</v>
      </c>
      <c r="I288" s="128">
        <f t="shared" ca="1" si="169"/>
        <v>-34320.454477721534</v>
      </c>
      <c r="J288" s="128">
        <f t="shared" ca="1" si="169"/>
        <v>-40879.757561782979</v>
      </c>
    </row>
    <row r="289" spans="1:10">
      <c r="D289"/>
      <c r="E289"/>
      <c r="F289"/>
      <c r="G289"/>
      <c r="H289"/>
      <c r="I289"/>
      <c r="J289"/>
    </row>
    <row r="290" spans="1:10">
      <c r="B290" s="18" t="s">
        <v>145</v>
      </c>
      <c r="D290"/>
      <c r="E290"/>
      <c r="F290" s="128">
        <f ca="1">SUM(F288,F280,F276)</f>
        <v>5372.7717818695164</v>
      </c>
      <c r="G290" s="128">
        <f t="shared" ref="G290:J290" ca="1" si="170">SUM(G288,G280,G276)</f>
        <v>8387.9963354260763</v>
      </c>
      <c r="H290" s="128">
        <f t="shared" ca="1" si="170"/>
        <v>6849.2787599900403</v>
      </c>
      <c r="I290" s="128">
        <f t="shared" ca="1" si="170"/>
        <v>10775.770186200796</v>
      </c>
      <c r="J290" s="128">
        <f t="shared" ca="1" si="170"/>
        <v>6163.9720504313882</v>
      </c>
    </row>
    <row r="292" spans="1:10">
      <c r="A292" s="1" t="s">
        <v>146</v>
      </c>
      <c r="B292" s="4" t="s">
        <v>147</v>
      </c>
      <c r="C292" s="2"/>
      <c r="D292" s="2"/>
      <c r="E292" s="2"/>
      <c r="F292" s="2"/>
      <c r="G292" s="2"/>
      <c r="H292" s="2"/>
      <c r="I292" s="2"/>
      <c r="J292" s="2"/>
    </row>
    <row r="293" spans="1:10">
      <c r="B293" s="79" t="str">
        <f>B13</f>
        <v xml:space="preserve">Fiscal year  </v>
      </c>
      <c r="C293" s="80"/>
      <c r="D293" s="80">
        <f t="shared" ref="D293:J294" si="171">D13</f>
        <v>2012</v>
      </c>
      <c r="E293" s="80">
        <f t="shared" si="171"/>
        <v>2013</v>
      </c>
      <c r="F293" s="81">
        <f t="shared" si="171"/>
        <v>2014</v>
      </c>
      <c r="G293" s="81">
        <f t="shared" si="171"/>
        <v>2015</v>
      </c>
      <c r="H293" s="81">
        <f t="shared" si="171"/>
        <v>2016</v>
      </c>
      <c r="I293" s="81">
        <f t="shared" si="171"/>
        <v>2017</v>
      </c>
      <c r="J293" s="81">
        <f t="shared" si="171"/>
        <v>2018</v>
      </c>
    </row>
    <row r="294" spans="1:10">
      <c r="B294" s="2" t="str">
        <f>B14</f>
        <v>Fiscal year end date</v>
      </c>
      <c r="C294" s="82"/>
      <c r="D294" s="82">
        <f t="shared" si="171"/>
        <v>41181</v>
      </c>
      <c r="E294" s="82">
        <f t="shared" si="171"/>
        <v>41545</v>
      </c>
      <c r="F294" s="82">
        <f t="shared" si="171"/>
        <v>41912</v>
      </c>
      <c r="G294" s="82">
        <f t="shared" si="171"/>
        <v>42277</v>
      </c>
      <c r="H294" s="82">
        <f t="shared" si="171"/>
        <v>42643</v>
      </c>
      <c r="I294" s="82">
        <f t="shared" si="171"/>
        <v>43008</v>
      </c>
      <c r="J294" s="82">
        <f t="shared" si="171"/>
        <v>43373</v>
      </c>
    </row>
    <row r="295" spans="1:10">
      <c r="B295" s="5"/>
    </row>
    <row r="296" spans="1:10">
      <c r="B296" s="5" t="s">
        <v>68</v>
      </c>
      <c r="D296"/>
      <c r="E296"/>
      <c r="F296"/>
      <c r="G296"/>
      <c r="H296"/>
      <c r="I296"/>
      <c r="J296"/>
    </row>
    <row r="297" spans="1:10">
      <c r="B297" s="20" t="s">
        <v>85</v>
      </c>
      <c r="D297"/>
      <c r="E297"/>
      <c r="F297" s="72">
        <f>E299</f>
        <v>0</v>
      </c>
      <c r="G297" s="72">
        <f t="shared" ref="G297:J297" ca="1" si="172">F299</f>
        <v>0</v>
      </c>
      <c r="H297" s="72">
        <f t="shared" ca="1" si="172"/>
        <v>0</v>
      </c>
      <c r="I297" s="72">
        <f t="shared" ca="1" si="172"/>
        <v>0</v>
      </c>
      <c r="J297" s="72">
        <f t="shared" ca="1" si="172"/>
        <v>0</v>
      </c>
    </row>
    <row r="298" spans="1:10">
      <c r="B298" s="102" t="s">
        <v>86</v>
      </c>
      <c r="D298"/>
      <c r="E298"/>
      <c r="F298" s="72">
        <f ca="1">-MIN(F297,F309)</f>
        <v>0</v>
      </c>
      <c r="G298" s="72">
        <f t="shared" ref="G298:J298" ca="1" si="173">-MIN(G297,G309)</f>
        <v>0</v>
      </c>
      <c r="H298" s="72">
        <f t="shared" ca="1" si="173"/>
        <v>0</v>
      </c>
      <c r="I298" s="72">
        <f t="shared" ca="1" si="173"/>
        <v>0</v>
      </c>
      <c r="J298" s="72">
        <f t="shared" ca="1" si="173"/>
        <v>0</v>
      </c>
    </row>
    <row r="299" spans="1:10">
      <c r="B299" s="20" t="s">
        <v>87</v>
      </c>
      <c r="D299" s="72">
        <f>D99</f>
        <v>0</v>
      </c>
      <c r="E299" s="72">
        <f>E99</f>
        <v>0</v>
      </c>
      <c r="F299" s="72">
        <f ca="1">SUM(F297:F298)</f>
        <v>0</v>
      </c>
      <c r="G299" s="72">
        <f t="shared" ref="G299:J299" ca="1" si="174">SUM(G297:G298)</f>
        <v>0</v>
      </c>
      <c r="H299" s="72">
        <f t="shared" ca="1" si="174"/>
        <v>0</v>
      </c>
      <c r="I299" s="72">
        <f t="shared" ca="1" si="174"/>
        <v>0</v>
      </c>
      <c r="J299" s="72">
        <f t="shared" ca="1" si="174"/>
        <v>0</v>
      </c>
    </row>
    <row r="300" spans="1:10">
      <c r="B300" s="20"/>
      <c r="D300"/>
      <c r="E300"/>
      <c r="F300"/>
      <c r="G300"/>
      <c r="H300"/>
      <c r="I300"/>
      <c r="J300"/>
    </row>
    <row r="301" spans="1:10">
      <c r="B301" s="20" t="s">
        <v>148</v>
      </c>
      <c r="D301"/>
      <c r="E301"/>
      <c r="F301" s="108">
        <f>SUM(F88:F89)</f>
        <v>15339.404591733597</v>
      </c>
      <c r="G301" s="108">
        <f t="shared" ref="G301:J301" si="175">SUM(G88:G89)</f>
        <v>16276.480455008941</v>
      </c>
      <c r="H301" s="108">
        <f t="shared" si="175"/>
        <v>17005.577639447711</v>
      </c>
      <c r="I301" s="108">
        <f t="shared" si="175"/>
        <v>17841.984949413203</v>
      </c>
      <c r="J301" s="108">
        <f t="shared" si="175"/>
        <v>18803.215797751818</v>
      </c>
    </row>
    <row r="302" spans="1:10">
      <c r="B302" s="20" t="s">
        <v>149</v>
      </c>
      <c r="D302"/>
      <c r="E302"/>
      <c r="F302" s="131" t="str">
        <f ca="1">IF(F299&gt;F301,"OVERDRAWN","OK")</f>
        <v>OK</v>
      </c>
      <c r="G302" s="131" t="str">
        <f t="shared" ref="G302:J302" ca="1" si="176">IF(G299&gt;G301,"OVERDRAWN","OK")</f>
        <v>OK</v>
      </c>
      <c r="H302" s="131" t="str">
        <f t="shared" ca="1" si="176"/>
        <v>OK</v>
      </c>
      <c r="I302" s="131" t="str">
        <f t="shared" ca="1" si="176"/>
        <v>OK</v>
      </c>
      <c r="J302" s="131" t="str">
        <f t="shared" ca="1" si="176"/>
        <v>OK</v>
      </c>
    </row>
    <row r="303" spans="1:10">
      <c r="B303" s="3"/>
      <c r="D303"/>
      <c r="E303"/>
      <c r="F303"/>
      <c r="G303"/>
      <c r="H303"/>
      <c r="I303"/>
      <c r="J303"/>
    </row>
    <row r="304" spans="1:10">
      <c r="B304" s="129" t="s">
        <v>150</v>
      </c>
      <c r="D304"/>
      <c r="E304"/>
      <c r="F304"/>
      <c r="G304"/>
      <c r="H304"/>
      <c r="I304"/>
      <c r="J304"/>
    </row>
    <row r="305" spans="2:10">
      <c r="B305" s="20" t="s">
        <v>85</v>
      </c>
      <c r="D305"/>
      <c r="E305"/>
      <c r="F305" s="72">
        <f>E87</f>
        <v>146761</v>
      </c>
      <c r="G305" s="72">
        <f t="shared" ref="G305:J305" ca="1" si="177">F87</f>
        <v>152133.77178186952</v>
      </c>
      <c r="H305" s="72">
        <f t="shared" ca="1" si="177"/>
        <v>160521.76811729561</v>
      </c>
      <c r="I305" s="72">
        <f t="shared" ca="1" si="177"/>
        <v>167371.04687728541</v>
      </c>
      <c r="J305" s="72">
        <f t="shared" ca="1" si="177"/>
        <v>178146.81706348865</v>
      </c>
    </row>
    <row r="306" spans="2:10">
      <c r="B306" s="20" t="s">
        <v>151</v>
      </c>
      <c r="D306"/>
      <c r="E306"/>
      <c r="F306" s="76">
        <v>5000</v>
      </c>
      <c r="G306" s="76">
        <v>5000</v>
      </c>
      <c r="H306" s="76">
        <v>5000</v>
      </c>
      <c r="I306" s="76">
        <v>5000</v>
      </c>
      <c r="J306" s="76">
        <v>5000</v>
      </c>
    </row>
    <row r="307" spans="2:10">
      <c r="B307" s="20" t="s">
        <v>152</v>
      </c>
      <c r="D307"/>
      <c r="E307"/>
      <c r="F307" s="72">
        <f>F305-F306</f>
        <v>141761</v>
      </c>
      <c r="G307" s="72">
        <f t="shared" ref="G307:J307" ca="1" si="178">G305-G306</f>
        <v>147133.77178186952</v>
      </c>
      <c r="H307" s="72">
        <f t="shared" ca="1" si="178"/>
        <v>155521.76811729561</v>
      </c>
      <c r="I307" s="72">
        <f t="shared" ca="1" si="178"/>
        <v>162371.04687728541</v>
      </c>
      <c r="J307" s="72">
        <f t="shared" ca="1" si="178"/>
        <v>173146.81706348865</v>
      </c>
    </row>
    <row r="308" spans="2:10">
      <c r="B308" s="20" t="s">
        <v>153</v>
      </c>
      <c r="D308"/>
      <c r="E308"/>
      <c r="F308" s="72">
        <f ca="1">SUM(F282:F286,F280,F276)</f>
        <v>5372.7717818695164</v>
      </c>
      <c r="G308" s="72">
        <f t="shared" ref="G308:J308" ca="1" si="179">SUM(G282:G286,G280,G276)</f>
        <v>8387.9963354260763</v>
      </c>
      <c r="H308" s="72">
        <f t="shared" ca="1" si="179"/>
        <v>6849.2787599900403</v>
      </c>
      <c r="I308" s="72">
        <f t="shared" ca="1" si="179"/>
        <v>10775.770186200796</v>
      </c>
      <c r="J308" s="72">
        <f t="shared" ca="1" si="179"/>
        <v>6163.9720504313882</v>
      </c>
    </row>
    <row r="309" spans="2:10">
      <c r="B309" s="130" t="s">
        <v>154</v>
      </c>
      <c r="D309"/>
      <c r="E309"/>
      <c r="F309" s="72">
        <f ca="1">SUM(F307:F308)</f>
        <v>147133.77178186952</v>
      </c>
      <c r="G309" s="72">
        <f t="shared" ref="G309:J309" ca="1" si="180">SUM(G307:G308)</f>
        <v>155521.76811729561</v>
      </c>
      <c r="H309" s="72">
        <f t="shared" ca="1" si="180"/>
        <v>162371.04687728564</v>
      </c>
      <c r="I309" s="72">
        <f t="shared" ca="1" si="180"/>
        <v>173146.8170634862</v>
      </c>
      <c r="J309" s="72">
        <f t="shared" ca="1" si="180"/>
        <v>179310.78911392004</v>
      </c>
    </row>
    <row r="310" spans="2:10">
      <c r="B310" s="3"/>
      <c r="D310"/>
      <c r="E310"/>
      <c r="F310"/>
      <c r="G310"/>
      <c r="H310"/>
      <c r="I310"/>
      <c r="J310"/>
    </row>
    <row r="311" spans="2:10">
      <c r="B311" s="20" t="s">
        <v>155</v>
      </c>
      <c r="D311"/>
      <c r="E311"/>
      <c r="F311" s="69">
        <v>0.02</v>
      </c>
      <c r="G311" s="69">
        <v>0.02</v>
      </c>
      <c r="H311" s="69">
        <v>0.02</v>
      </c>
      <c r="I311" s="69">
        <v>0.02</v>
      </c>
      <c r="J311" s="69">
        <v>0.02</v>
      </c>
    </row>
    <row r="312" spans="2:10">
      <c r="B312" s="20" t="s">
        <v>156</v>
      </c>
      <c r="D312"/>
      <c r="E312"/>
      <c r="F312" s="68">
        <f ca="1">F311*AVERAGE(F297,F299)</f>
        <v>0</v>
      </c>
      <c r="G312" s="68">
        <f t="shared" ref="G312:J312" ca="1" si="181">G311*AVERAGE(G297,G299)</f>
        <v>0</v>
      </c>
      <c r="H312" s="68">
        <f t="shared" ca="1" si="181"/>
        <v>0</v>
      </c>
      <c r="I312" s="68">
        <f t="shared" ca="1" si="181"/>
        <v>0</v>
      </c>
      <c r="J312" s="68">
        <f t="shared" ca="1" si="181"/>
        <v>0</v>
      </c>
    </row>
    <row r="314" spans="2:10">
      <c r="B314" s="87" t="s">
        <v>157</v>
      </c>
    </row>
    <row r="315" spans="2:10">
      <c r="B315" s="20" t="s">
        <v>85</v>
      </c>
      <c r="C315"/>
      <c r="D315"/>
      <c r="E315"/>
      <c r="F315" s="72">
        <f>E317</f>
        <v>146761</v>
      </c>
      <c r="G315" s="72">
        <f t="shared" ref="G315:J315" ca="1" si="182">F317</f>
        <v>152133.77178186952</v>
      </c>
      <c r="H315" s="72">
        <f t="shared" ca="1" si="182"/>
        <v>160521.76811729555</v>
      </c>
      <c r="I315" s="72">
        <f t="shared" ca="1" si="182"/>
        <v>167371.04687728718</v>
      </c>
      <c r="J315" s="72">
        <f t="shared" ca="1" si="182"/>
        <v>178146.8170634683</v>
      </c>
    </row>
    <row r="316" spans="2:10">
      <c r="B316" s="132" t="s">
        <v>158</v>
      </c>
      <c r="C316"/>
      <c r="D316"/>
      <c r="E316"/>
      <c r="F316" s="72">
        <f ca="1">F317-F315</f>
        <v>5372.7717818695237</v>
      </c>
      <c r="G316" s="72">
        <f t="shared" ref="G316:J316" ca="1" si="183">G317-G315</f>
        <v>8387.9963354260253</v>
      </c>
      <c r="H316" s="72">
        <f t="shared" ca="1" si="183"/>
        <v>6849.2787599916337</v>
      </c>
      <c r="I316" s="72">
        <f t="shared" ca="1" si="183"/>
        <v>10775.770186181122</v>
      </c>
      <c r="J316" s="72">
        <f t="shared" ca="1" si="183"/>
        <v>6163.9720504382276</v>
      </c>
    </row>
    <row r="317" spans="2:10">
      <c r="B317" s="20" t="s">
        <v>87</v>
      </c>
      <c r="C317" s="96"/>
      <c r="D317" s="72">
        <f>D87</f>
        <v>121251</v>
      </c>
      <c r="E317" s="72">
        <f>E87</f>
        <v>146761</v>
      </c>
      <c r="F317" s="72">
        <f ca="1">F87</f>
        <v>152133.77178186952</v>
      </c>
      <c r="G317" s="72">
        <f t="shared" ref="G317:J317" ca="1" si="184">G87</f>
        <v>160521.76811729561</v>
      </c>
      <c r="H317" s="72">
        <f t="shared" ca="1" si="184"/>
        <v>167371.04687728541</v>
      </c>
      <c r="I317" s="72">
        <f t="shared" ca="1" si="184"/>
        <v>178146.81706348865</v>
      </c>
      <c r="J317" s="72">
        <f t="shared" ca="1" si="184"/>
        <v>184310.78911391232</v>
      </c>
    </row>
    <row r="318" spans="2:10">
      <c r="B318" s="20"/>
      <c r="C318"/>
      <c r="D318"/>
      <c r="E318"/>
      <c r="F318"/>
      <c r="G318"/>
      <c r="H318"/>
      <c r="I318"/>
      <c r="J318"/>
    </row>
    <row r="319" spans="2:10">
      <c r="B319" s="20" t="s">
        <v>159</v>
      </c>
      <c r="C319"/>
      <c r="D319" s="56"/>
      <c r="E319" s="133">
        <v>1.03E-2</v>
      </c>
      <c r="F319" s="133">
        <v>1.03E-2</v>
      </c>
      <c r="G319" s="133">
        <v>1.03E-2</v>
      </c>
      <c r="H319" s="133">
        <v>1.03E-2</v>
      </c>
      <c r="I319" s="133">
        <v>1.03E-2</v>
      </c>
      <c r="J319" s="133">
        <v>1.03E-2</v>
      </c>
    </row>
    <row r="320" spans="2:10">
      <c r="B320" s="20" t="s">
        <v>6</v>
      </c>
      <c r="C320" s="64"/>
      <c r="D320" s="64">
        <f t="shared" ref="D320:E320" si="185">D22</f>
        <v>1088</v>
      </c>
      <c r="E320" s="64">
        <f t="shared" si="185"/>
        <v>1616</v>
      </c>
      <c r="F320" s="72">
        <f ca="1">AVERAGE(F317,F315)*F319</f>
        <v>1539.3080746766282</v>
      </c>
      <c r="G320" s="72">
        <f t="shared" ref="G320:J320" ca="1" si="186">AVERAGE(G317,G315)*G319</f>
        <v>1610.1760304807005</v>
      </c>
      <c r="H320" s="72">
        <f t="shared" ca="1" si="186"/>
        <v>1688.6479972220918</v>
      </c>
      <c r="I320" s="72">
        <f t="shared" ca="1" si="186"/>
        <v>1779.4169992949958</v>
      </c>
      <c r="J320" s="72">
        <f t="shared" ca="1" si="186"/>
        <v>1866.6566718135105</v>
      </c>
    </row>
  </sheetData>
  <conditionalFormatting sqref="B40">
    <cfRule type="expression" dxfId="0" priority="1">
      <formula>#REF!=$B40</formula>
    </cfRule>
  </conditionalFormatting>
  <dataValidations count="2">
    <dataValidation type="list" allowBlank="1" showInputMessage="1" showErrorMessage="1" sqref="I7 C10">
      <formula1>"ON,OFF"</formula1>
    </dataValidation>
    <dataValidation type="list" allowBlank="1" showInputMessage="1" showErrorMessage="1" sqref="B3">
      <formula1>"$ bns except per share, $ mm except per share,$ in thousands except per share"</formula1>
    </dataValidation>
  </dataValidations>
  <pageMargins left="0.7" right="0.7" top="0.75" bottom="0.75" header="0.3" footer="0.3"/>
  <pageSetup orientation="portrait" r:id="rId1"/>
  <ignoredErrors>
    <ignoredError sqref="D74:E74 D76:E76 D78:E78" formula="1"/>
  </ignoredErrors>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Cover</vt:lpstr>
      <vt:lpstr>Model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Wall Street Prep</dc:creator>
  <cp:lastModifiedBy>Mary Roberts</cp:lastModifiedBy>
  <cp:lastPrinted>2014-05-21T15:17:24Z</cp:lastPrinted>
  <dcterms:created xsi:type="dcterms:W3CDTF">2011-11-04T21:28:06Z</dcterms:created>
  <dcterms:modified xsi:type="dcterms:W3CDTF">2017-06-19T22:47:07Z</dcterms:modified>
</cp:coreProperties>
</file>