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C:\Users\Mary\Desktop\WSP Models\"/>
    </mc:Choice>
  </mc:AlternateContent>
  <bookViews>
    <workbookView xWindow="720" yWindow="528" windowWidth="15240" windowHeight="12180"/>
  </bookViews>
  <sheets>
    <sheet name="Financial Statement Model" sheetId="1" r:id="rId1"/>
    <sheet name="DCF" sheetId="11" r:id="rId2"/>
  </sheets>
  <externalReferences>
    <externalReference r:id="rId3"/>
    <externalReference r:id="rId4"/>
  </externalReferences>
  <definedNames>
    <definedName name="Inv_Cap">[1]Results!$E$182:$AD$182</definedName>
    <definedName name="NOPLAT">[1]Results!$E$145:$AD$145</definedName>
    <definedName name="One">'[1]Forecast Drivers'!$D$330</definedName>
    <definedName name="Products">[2]Array0!$B$5:$C$7</definedName>
    <definedName name="Rev">'[1]Forecast Drivers'!$E$25:$S$25</definedName>
  </definedNames>
  <calcPr calcId="171027" calcMode="autoNoTable" iterate="1"/>
</workbook>
</file>

<file path=xl/calcChain.xml><?xml version="1.0" encoding="utf-8"?>
<calcChain xmlns="http://schemas.openxmlformats.org/spreadsheetml/2006/main">
  <c r="J75" i="11" l="1"/>
  <c r="D115" i="11" l="1"/>
  <c r="D114" i="11"/>
  <c r="D113" i="11"/>
  <c r="D112" i="11"/>
  <c r="D111" i="11"/>
  <c r="C105" i="11"/>
  <c r="C106" i="11" s="1"/>
  <c r="C103" i="11"/>
  <c r="C102" i="11" s="1"/>
  <c r="G101" i="11"/>
  <c r="H101" i="11" s="1"/>
  <c r="E101" i="11"/>
  <c r="D101" i="11" s="1"/>
  <c r="G92" i="11"/>
  <c r="H92" i="11" s="1"/>
  <c r="E92" i="11"/>
  <c r="D92" i="11"/>
  <c r="C96" i="11"/>
  <c r="C97" i="11" s="1"/>
  <c r="C94" i="11"/>
  <c r="C93" i="11"/>
  <c r="C83" i="11" l="1"/>
  <c r="H83" i="11"/>
  <c r="B83" i="11"/>
  <c r="B86" i="11" s="1"/>
  <c r="I82" i="11"/>
  <c r="G82" i="11"/>
  <c r="F82" i="11"/>
  <c r="I81" i="11"/>
  <c r="H81" i="11"/>
  <c r="G81" i="11"/>
  <c r="F81" i="11"/>
  <c r="H80" i="11"/>
  <c r="G80" i="11"/>
  <c r="F80" i="11"/>
  <c r="J80" i="11" l="1"/>
  <c r="J81" i="11"/>
  <c r="J82" i="11"/>
  <c r="E140" i="11"/>
  <c r="C140" i="11"/>
  <c r="E139" i="11"/>
  <c r="C139" i="11"/>
  <c r="J126" i="11"/>
  <c r="J121" i="11"/>
  <c r="J120" i="11"/>
  <c r="H110" i="11"/>
  <c r="F110" i="11"/>
  <c r="E110" i="11" s="1"/>
  <c r="C57" i="11"/>
  <c r="J54" i="11"/>
  <c r="I54" i="11"/>
  <c r="J16" i="11"/>
  <c r="J62" i="11" s="1"/>
  <c r="I16" i="11"/>
  <c r="H16" i="11"/>
  <c r="G16" i="11"/>
  <c r="F16" i="11"/>
  <c r="D12" i="11"/>
  <c r="C12" i="11"/>
  <c r="C5" i="11"/>
  <c r="D83" i="11" s="1"/>
  <c r="B2" i="11"/>
  <c r="C53" i="11" l="1"/>
  <c r="I73" i="11" s="1"/>
  <c r="G83" i="11"/>
  <c r="B139" i="11"/>
  <c r="J63" i="11"/>
  <c r="I83" i="11"/>
  <c r="D140" i="11"/>
  <c r="B140" i="11"/>
  <c r="D139" i="11"/>
  <c r="I53" i="11"/>
  <c r="C60" i="11"/>
  <c r="J53" i="11" l="1"/>
  <c r="C61" i="11"/>
  <c r="C62" i="11" s="1"/>
  <c r="C63" i="11" s="1"/>
  <c r="C65" i="11" s="1"/>
  <c r="I72" i="11" l="1"/>
  <c r="J72" i="11" s="1"/>
  <c r="J73" i="11" s="1"/>
  <c r="E83" i="11"/>
  <c r="F83" i="11" s="1"/>
  <c r="J56" i="11"/>
  <c r="I56" i="11"/>
  <c r="J123" i="11"/>
  <c r="J124" i="11" s="1"/>
  <c r="C141" i="11" l="1"/>
  <c r="E141" i="11"/>
  <c r="D141" i="11" l="1"/>
  <c r="G329" i="1" l="1"/>
  <c r="J331" i="1" l="1"/>
  <c r="I331" i="1"/>
  <c r="H331" i="1"/>
  <c r="G331" i="1"/>
  <c r="F331" i="1"/>
  <c r="J330" i="1"/>
  <c r="I330" i="1"/>
  <c r="H330" i="1"/>
  <c r="G330" i="1"/>
  <c r="F330" i="1"/>
  <c r="J329" i="1"/>
  <c r="I329" i="1"/>
  <c r="H329" i="1"/>
  <c r="F329" i="1"/>
  <c r="G297" i="1"/>
  <c r="H296" i="1"/>
  <c r="I296" i="1" s="1"/>
  <c r="J296" i="1" s="1"/>
  <c r="F291" i="1"/>
  <c r="D288" i="1"/>
  <c r="B288" i="1"/>
  <c r="B287" i="1"/>
  <c r="E284" i="1"/>
  <c r="D284" i="1"/>
  <c r="C284" i="1"/>
  <c r="J283" i="1"/>
  <c r="F283" i="1"/>
  <c r="G283" i="1" s="1"/>
  <c r="H283" i="1" s="1"/>
  <c r="I283" i="1" s="1"/>
  <c r="E263" i="1"/>
  <c r="F261" i="1" s="1"/>
  <c r="D263" i="1"/>
  <c r="D258" i="1"/>
  <c r="B258" i="1"/>
  <c r="B257" i="1"/>
  <c r="J250" i="1"/>
  <c r="I250" i="1"/>
  <c r="H250" i="1"/>
  <c r="G250" i="1"/>
  <c r="F250" i="1"/>
  <c r="J246" i="1"/>
  <c r="I246" i="1"/>
  <c r="H246" i="1"/>
  <c r="G246" i="1"/>
  <c r="F246" i="1"/>
  <c r="J238" i="1"/>
  <c r="J28" i="11" s="1"/>
  <c r="I238" i="1"/>
  <c r="I28" i="11" s="1"/>
  <c r="H238" i="1"/>
  <c r="H28" i="11" s="1"/>
  <c r="G238" i="1"/>
  <c r="G28" i="11" s="1"/>
  <c r="F238" i="1"/>
  <c r="F28" i="11" s="1"/>
  <c r="J237" i="1"/>
  <c r="J27" i="11" s="1"/>
  <c r="I237" i="1"/>
  <c r="I27" i="11" s="1"/>
  <c r="H237" i="1"/>
  <c r="H27" i="11" s="1"/>
  <c r="G237" i="1"/>
  <c r="G27" i="11" s="1"/>
  <c r="F237" i="1"/>
  <c r="F27" i="11" s="1"/>
  <c r="J236" i="1"/>
  <c r="J26" i="11" s="1"/>
  <c r="I236" i="1"/>
  <c r="I26" i="11" s="1"/>
  <c r="H236" i="1"/>
  <c r="H26" i="11" s="1"/>
  <c r="G236" i="1"/>
  <c r="G26" i="11" s="1"/>
  <c r="F236" i="1"/>
  <c r="F26" i="11" s="1"/>
  <c r="J235" i="1"/>
  <c r="J25" i="11" s="1"/>
  <c r="I235" i="1"/>
  <c r="I25" i="11" s="1"/>
  <c r="H235" i="1"/>
  <c r="H25" i="11" s="1"/>
  <c r="G235" i="1"/>
  <c r="G25" i="11" s="1"/>
  <c r="F235" i="1"/>
  <c r="F25" i="11" s="1"/>
  <c r="D226" i="1"/>
  <c r="B226" i="1"/>
  <c r="B225" i="1"/>
  <c r="E222" i="1"/>
  <c r="F220" i="1" s="1"/>
  <c r="F222" i="1" s="1"/>
  <c r="D222" i="1"/>
  <c r="E213" i="1"/>
  <c r="F210" i="1" s="1"/>
  <c r="D213" i="1"/>
  <c r="D207" i="1"/>
  <c r="C207" i="1"/>
  <c r="B207" i="1"/>
  <c r="B206" i="1"/>
  <c r="E201" i="1"/>
  <c r="F199" i="1" s="1"/>
  <c r="D201" i="1"/>
  <c r="J200" i="1"/>
  <c r="J249" i="1" s="1"/>
  <c r="I200" i="1"/>
  <c r="I249" i="1" s="1"/>
  <c r="H200" i="1"/>
  <c r="H249" i="1" s="1"/>
  <c r="G200" i="1"/>
  <c r="G249" i="1" s="1"/>
  <c r="F200" i="1"/>
  <c r="F249" i="1" s="1"/>
  <c r="D196" i="1"/>
  <c r="E195" i="1"/>
  <c r="E196" i="1" s="1"/>
  <c r="D195" i="1"/>
  <c r="C195" i="1"/>
  <c r="C196" i="1" s="1"/>
  <c r="E192" i="1"/>
  <c r="F189" i="1" s="1"/>
  <c r="D192" i="1"/>
  <c r="J190" i="1"/>
  <c r="J248" i="1" s="1"/>
  <c r="I190" i="1"/>
  <c r="I248" i="1" s="1"/>
  <c r="H190" i="1"/>
  <c r="H248" i="1" s="1"/>
  <c r="G190" i="1"/>
  <c r="G248" i="1" s="1"/>
  <c r="F190" i="1"/>
  <c r="F248" i="1" s="1"/>
  <c r="D186" i="1"/>
  <c r="B186" i="1"/>
  <c r="B185" i="1"/>
  <c r="J182" i="1"/>
  <c r="I182" i="1"/>
  <c r="H182" i="1"/>
  <c r="G182" i="1"/>
  <c r="F182" i="1"/>
  <c r="I175" i="1"/>
  <c r="I239" i="1" s="1"/>
  <c r="E176" i="1"/>
  <c r="F173" i="1" s="1"/>
  <c r="D176" i="1"/>
  <c r="D170" i="1"/>
  <c r="B170" i="1"/>
  <c r="B169" i="1"/>
  <c r="E166" i="1"/>
  <c r="F164" i="1" s="1"/>
  <c r="F166" i="1" s="1"/>
  <c r="D166" i="1"/>
  <c r="E161" i="1"/>
  <c r="F159" i="1" s="1"/>
  <c r="F161" i="1" s="1"/>
  <c r="D161" i="1"/>
  <c r="E156" i="1"/>
  <c r="F154" i="1" s="1"/>
  <c r="F156" i="1" s="1"/>
  <c r="D156" i="1"/>
  <c r="D151" i="1"/>
  <c r="D146" i="1"/>
  <c r="C146" i="1"/>
  <c r="B146" i="1"/>
  <c r="B145" i="1"/>
  <c r="E142" i="1"/>
  <c r="D142" i="1"/>
  <c r="C142" i="1"/>
  <c r="E140" i="1"/>
  <c r="D140" i="1"/>
  <c r="C140" i="1"/>
  <c r="E137" i="1"/>
  <c r="F134" i="1" s="1"/>
  <c r="D137" i="1"/>
  <c r="D132" i="1"/>
  <c r="C132" i="1"/>
  <c r="B132" i="1"/>
  <c r="B131" i="1"/>
  <c r="J124" i="1"/>
  <c r="I124" i="1"/>
  <c r="H124" i="1"/>
  <c r="G124" i="1"/>
  <c r="F124" i="1"/>
  <c r="J123" i="1"/>
  <c r="J243" i="1" s="1"/>
  <c r="J31" i="11" s="1"/>
  <c r="I123" i="1"/>
  <c r="I243" i="1" s="1"/>
  <c r="I31" i="11" s="1"/>
  <c r="H123" i="1"/>
  <c r="H243" i="1" s="1"/>
  <c r="H31" i="11" s="1"/>
  <c r="G123" i="1"/>
  <c r="G243" i="1" s="1"/>
  <c r="G31" i="11" s="1"/>
  <c r="F123" i="1"/>
  <c r="F243" i="1" s="1"/>
  <c r="F31" i="11" s="1"/>
  <c r="D120" i="1"/>
  <c r="C120" i="1"/>
  <c r="B120" i="1"/>
  <c r="B119" i="1"/>
  <c r="J109" i="1"/>
  <c r="I109" i="1"/>
  <c r="H109" i="1"/>
  <c r="G109" i="1"/>
  <c r="F109" i="1"/>
  <c r="E106" i="1"/>
  <c r="E108" i="1" s="1"/>
  <c r="E109" i="1" s="1"/>
  <c r="D106" i="1"/>
  <c r="D108" i="1" s="1"/>
  <c r="D109" i="1" s="1"/>
  <c r="E98" i="1"/>
  <c r="E101" i="1" s="1"/>
  <c r="D98" i="1"/>
  <c r="D101" i="1" s="1"/>
  <c r="J93" i="1"/>
  <c r="I93" i="1"/>
  <c r="H93" i="1"/>
  <c r="G93" i="1"/>
  <c r="F93" i="1"/>
  <c r="E90" i="1"/>
  <c r="E92" i="1" s="1"/>
  <c r="E93" i="1" s="1"/>
  <c r="D90" i="1"/>
  <c r="D92" i="1" s="1"/>
  <c r="D93" i="1" s="1"/>
  <c r="D85" i="1"/>
  <c r="B85" i="1"/>
  <c r="B84" i="1"/>
  <c r="E72" i="1"/>
  <c r="D72" i="1"/>
  <c r="E114" i="1"/>
  <c r="D66" i="1"/>
  <c r="E125" i="1"/>
  <c r="F122" i="1" s="1"/>
  <c r="D125" i="1"/>
  <c r="E151" i="1"/>
  <c r="F149" i="1" s="1"/>
  <c r="F151" i="1" s="1"/>
  <c r="F55" i="1" s="1"/>
  <c r="D281" i="1"/>
  <c r="D50" i="1"/>
  <c r="B50" i="1"/>
  <c r="B49" i="1"/>
  <c r="E40" i="1"/>
  <c r="D40" i="1"/>
  <c r="C40" i="1"/>
  <c r="E39" i="1"/>
  <c r="D39" i="1"/>
  <c r="C39" i="1"/>
  <c r="D38" i="1"/>
  <c r="E37" i="1"/>
  <c r="D37" i="1"/>
  <c r="F30" i="1"/>
  <c r="G30" i="1" s="1"/>
  <c r="H30" i="1" s="1"/>
  <c r="I30" i="1" s="1"/>
  <c r="J30" i="1" s="1"/>
  <c r="F24" i="1"/>
  <c r="G24" i="1" s="1"/>
  <c r="H24" i="1" s="1"/>
  <c r="I24" i="1" s="1"/>
  <c r="J24" i="1" s="1"/>
  <c r="E38" i="1"/>
  <c r="D15" i="11"/>
  <c r="C38" i="1"/>
  <c r="E14" i="1"/>
  <c r="E13" i="1"/>
  <c r="B2" i="1"/>
  <c r="F125" i="1" l="1"/>
  <c r="F57" i="1" s="1"/>
  <c r="G175" i="1"/>
  <c r="G239" i="1" s="1"/>
  <c r="F175" i="1"/>
  <c r="F239" i="1" s="1"/>
  <c r="J175" i="1"/>
  <c r="J239" i="1" s="1"/>
  <c r="D77" i="1"/>
  <c r="F88" i="1"/>
  <c r="F96" i="1"/>
  <c r="H175" i="1"/>
  <c r="H239" i="1" s="1"/>
  <c r="F201" i="1"/>
  <c r="G199" i="1" s="1"/>
  <c r="G201" i="1" s="1"/>
  <c r="F58" i="1"/>
  <c r="G159" i="1"/>
  <c r="G161" i="1" s="1"/>
  <c r="H159" i="1" s="1"/>
  <c r="H161" i="1" s="1"/>
  <c r="H58" i="1" s="1"/>
  <c r="F65" i="1"/>
  <c r="G164" i="1"/>
  <c r="G166" i="1" s="1"/>
  <c r="H164" i="1" s="1"/>
  <c r="H166" i="1" s="1"/>
  <c r="H65" i="1" s="1"/>
  <c r="F54" i="1"/>
  <c r="G154" i="1"/>
  <c r="G156" i="1" s="1"/>
  <c r="G54" i="1" s="1"/>
  <c r="F104" i="1"/>
  <c r="E287" i="1"/>
  <c r="E257" i="1"/>
  <c r="E206" i="1"/>
  <c r="E169" i="1"/>
  <c r="E131" i="1"/>
  <c r="E119" i="1"/>
  <c r="E12" i="11"/>
  <c r="E11" i="11" s="1"/>
  <c r="E207" i="1"/>
  <c r="E226" i="1"/>
  <c r="E186" i="1"/>
  <c r="E170" i="1"/>
  <c r="E146" i="1"/>
  <c r="D46" i="1"/>
  <c r="D14" i="11" s="1"/>
  <c r="E50" i="1"/>
  <c r="E84" i="1"/>
  <c r="D114" i="1"/>
  <c r="D116" i="1" s="1"/>
  <c r="E120" i="1"/>
  <c r="E145" i="1"/>
  <c r="H154" i="1"/>
  <c r="H156" i="1" s="1"/>
  <c r="G220" i="1"/>
  <c r="G222" i="1" s="1"/>
  <c r="F71" i="1"/>
  <c r="E225" i="1"/>
  <c r="E288" i="1"/>
  <c r="D13" i="1"/>
  <c r="F13" i="1"/>
  <c r="F14" i="1"/>
  <c r="E49" i="1"/>
  <c r="G58" i="1"/>
  <c r="D59" i="1"/>
  <c r="E116" i="1"/>
  <c r="F112" i="1"/>
  <c r="E85" i="1"/>
  <c r="E100" i="1"/>
  <c r="E132" i="1"/>
  <c r="G149" i="1"/>
  <c r="G151" i="1" s="1"/>
  <c r="E185" i="1"/>
  <c r="E258" i="1"/>
  <c r="E281" i="1"/>
  <c r="F279" i="1" s="1"/>
  <c r="F269" i="1"/>
  <c r="F271" i="1" s="1"/>
  <c r="E59" i="1"/>
  <c r="E66" i="1"/>
  <c r="E77" i="1"/>
  <c r="D100" i="1"/>
  <c r="I159" i="1" l="1"/>
  <c r="I161" i="1" s="1"/>
  <c r="G122" i="1"/>
  <c r="G125" i="1" s="1"/>
  <c r="F69" i="1"/>
  <c r="F176" i="1"/>
  <c r="G65" i="1"/>
  <c r="I164" i="1"/>
  <c r="I166" i="1" s="1"/>
  <c r="I65" i="1" s="1"/>
  <c r="H149" i="1"/>
  <c r="H151" i="1" s="1"/>
  <c r="G55" i="1"/>
  <c r="C15" i="11"/>
  <c r="C46" i="1"/>
  <c r="C14" i="11" s="1"/>
  <c r="F287" i="1"/>
  <c r="F257" i="1"/>
  <c r="F225" i="1"/>
  <c r="F206" i="1"/>
  <c r="F185" i="1"/>
  <c r="F145" i="1"/>
  <c r="F84" i="1"/>
  <c r="F49" i="1"/>
  <c r="F169" i="1"/>
  <c r="F131" i="1"/>
  <c r="F119" i="1"/>
  <c r="G13" i="1"/>
  <c r="D41" i="1"/>
  <c r="D16" i="11" s="1"/>
  <c r="D17" i="11" s="1"/>
  <c r="J159" i="1"/>
  <c r="J161" i="1" s="1"/>
  <c r="J58" i="1" s="1"/>
  <c r="I58" i="1"/>
  <c r="E78" i="1"/>
  <c r="E74" i="1"/>
  <c r="D78" i="1"/>
  <c r="D74" i="1"/>
  <c r="E15" i="11"/>
  <c r="E46" i="1"/>
  <c r="E14" i="11" s="1"/>
  <c r="F12" i="11"/>
  <c r="F35" i="11" s="1"/>
  <c r="F37" i="11" s="1"/>
  <c r="F288" i="1"/>
  <c r="F258" i="1"/>
  <c r="F226" i="1"/>
  <c r="F186" i="1"/>
  <c r="F207" i="1"/>
  <c r="F132" i="1"/>
  <c r="F120" i="1"/>
  <c r="F85" i="1"/>
  <c r="F50" i="1"/>
  <c r="F170" i="1"/>
  <c r="F146" i="1"/>
  <c r="G14" i="1"/>
  <c r="D287" i="1"/>
  <c r="D257" i="1"/>
  <c r="D225" i="1"/>
  <c r="D206" i="1"/>
  <c r="D185" i="1"/>
  <c r="D145" i="1"/>
  <c r="D84" i="1"/>
  <c r="D49" i="1"/>
  <c r="D119" i="1"/>
  <c r="D169" i="1"/>
  <c r="D131" i="1"/>
  <c r="C13" i="1"/>
  <c r="H220" i="1"/>
  <c r="H222" i="1" s="1"/>
  <c r="G71" i="1"/>
  <c r="I154" i="1"/>
  <c r="I156" i="1" s="1"/>
  <c r="H54" i="1"/>
  <c r="D11" i="11"/>
  <c r="C11" i="11" s="1"/>
  <c r="F11" i="11"/>
  <c r="G11" i="11" s="1"/>
  <c r="H11" i="11" s="1"/>
  <c r="I11" i="11" s="1"/>
  <c r="J11" i="11" s="1"/>
  <c r="H199" i="1"/>
  <c r="H201" i="1" s="1"/>
  <c r="G69" i="1"/>
  <c r="G57" i="1"/>
  <c r="H122" i="1"/>
  <c r="H125" i="1" s="1"/>
  <c r="J164" i="1" l="1"/>
  <c r="J166" i="1" s="1"/>
  <c r="J65" i="1" s="1"/>
  <c r="F64" i="1"/>
  <c r="G173" i="1"/>
  <c r="G176" i="1" s="1"/>
  <c r="F179" i="1"/>
  <c r="F335" i="1"/>
  <c r="F328" i="1" s="1"/>
  <c r="I122" i="1"/>
  <c r="I125" i="1" s="1"/>
  <c r="H57" i="1"/>
  <c r="I199" i="1"/>
  <c r="I201" i="1" s="1"/>
  <c r="H69" i="1"/>
  <c r="C131" i="1"/>
  <c r="C119" i="1"/>
  <c r="C145" i="1"/>
  <c r="C206" i="1"/>
  <c r="C41" i="1"/>
  <c r="C16" i="11" s="1"/>
  <c r="C17" i="11" s="1"/>
  <c r="H55" i="1"/>
  <c r="I149" i="1"/>
  <c r="I151" i="1" s="1"/>
  <c r="J154" i="1"/>
  <c r="J156" i="1" s="1"/>
  <c r="J54" i="1" s="1"/>
  <c r="I54" i="1"/>
  <c r="I220" i="1"/>
  <c r="I222" i="1" s="1"/>
  <c r="H71" i="1"/>
  <c r="G12" i="11"/>
  <c r="G35" i="11" s="1"/>
  <c r="G37" i="11" s="1"/>
  <c r="G207" i="1"/>
  <c r="G288" i="1"/>
  <c r="G258" i="1"/>
  <c r="G170" i="1"/>
  <c r="G146" i="1"/>
  <c r="G186" i="1"/>
  <c r="G120" i="1"/>
  <c r="G50" i="1"/>
  <c r="H14" i="1"/>
  <c r="G226" i="1"/>
  <c r="G132" i="1"/>
  <c r="G85" i="1"/>
  <c r="E41" i="1"/>
  <c r="E16" i="11" s="1"/>
  <c r="E17" i="11" s="1"/>
  <c r="J119" i="11"/>
  <c r="J122" i="11" s="1"/>
  <c r="J125" i="11" s="1"/>
  <c r="D215" i="1"/>
  <c r="D216" i="1" s="1"/>
  <c r="D80" i="1"/>
  <c r="D34" i="1"/>
  <c r="D296" i="1" s="1"/>
  <c r="D81" i="1"/>
  <c r="D79" i="1"/>
  <c r="D33" i="1"/>
  <c r="G225" i="1"/>
  <c r="G185" i="1"/>
  <c r="G169" i="1"/>
  <c r="G131" i="1"/>
  <c r="G119" i="1"/>
  <c r="G287" i="1"/>
  <c r="G206" i="1"/>
  <c r="G145" i="1"/>
  <c r="G84" i="1"/>
  <c r="H13" i="1"/>
  <c r="G257" i="1"/>
  <c r="G49" i="1"/>
  <c r="G179" i="1" l="1"/>
  <c r="G64" i="1"/>
  <c r="H173" i="1"/>
  <c r="H176" i="1" s="1"/>
  <c r="F16" i="1"/>
  <c r="G335" i="1"/>
  <c r="G328" i="1" s="1"/>
  <c r="J220" i="1"/>
  <c r="J222" i="1" s="1"/>
  <c r="J71" i="1" s="1"/>
  <c r="I71" i="1"/>
  <c r="C215" i="1"/>
  <c r="C216" i="1" s="1"/>
  <c r="C33" i="1"/>
  <c r="C34" i="1"/>
  <c r="C296" i="1" s="1"/>
  <c r="D297" i="1" s="1"/>
  <c r="I57" i="1"/>
  <c r="J122" i="1"/>
  <c r="J125" i="1" s="1"/>
  <c r="J57" i="1" s="1"/>
  <c r="H287" i="1"/>
  <c r="H257" i="1"/>
  <c r="H225" i="1"/>
  <c r="H206" i="1"/>
  <c r="H185" i="1"/>
  <c r="H145" i="1"/>
  <c r="H84" i="1"/>
  <c r="H49" i="1"/>
  <c r="H119" i="1"/>
  <c r="H169" i="1"/>
  <c r="H131" i="1"/>
  <c r="I13" i="1"/>
  <c r="E81" i="1"/>
  <c r="E80" i="1"/>
  <c r="E79" i="1"/>
  <c r="E215" i="1"/>
  <c r="E216" i="1" s="1"/>
  <c r="E33" i="1"/>
  <c r="E34" i="1"/>
  <c r="E296" i="1" s="1"/>
  <c r="H12" i="11"/>
  <c r="H35" i="11" s="1"/>
  <c r="H37" i="11" s="1"/>
  <c r="H288" i="1"/>
  <c r="H258" i="1"/>
  <c r="H226" i="1"/>
  <c r="H186" i="1"/>
  <c r="H132" i="1"/>
  <c r="H120" i="1"/>
  <c r="H85" i="1"/>
  <c r="H50" i="1"/>
  <c r="H207" i="1"/>
  <c r="H170" i="1"/>
  <c r="H146" i="1"/>
  <c r="I14" i="1"/>
  <c r="J149" i="1"/>
  <c r="J151" i="1" s="1"/>
  <c r="J55" i="1" s="1"/>
  <c r="I55" i="1"/>
  <c r="I69" i="1"/>
  <c r="J199" i="1"/>
  <c r="J201" i="1" s="1"/>
  <c r="J69" i="1" s="1"/>
  <c r="I173" i="1" l="1"/>
  <c r="I176" i="1" s="1"/>
  <c r="I179" i="1" s="1"/>
  <c r="H64" i="1"/>
  <c r="H179" i="1"/>
  <c r="F90" i="1"/>
  <c r="F52" i="1" s="1"/>
  <c r="F20" i="1"/>
  <c r="F114" i="1"/>
  <c r="F113" i="1" s="1"/>
  <c r="F234" i="1" s="1"/>
  <c r="F19" i="1"/>
  <c r="F195" i="1" s="1"/>
  <c r="F191" i="1" s="1"/>
  <c r="F192" i="1" s="1"/>
  <c r="F139" i="1"/>
  <c r="F141" i="1" s="1"/>
  <c r="F44" i="1" s="1"/>
  <c r="F18" i="1"/>
  <c r="F17" i="1" s="1"/>
  <c r="F98" i="1" s="1"/>
  <c r="G16" i="1"/>
  <c r="G114" i="1" s="1"/>
  <c r="G62" i="1" s="1"/>
  <c r="H335" i="1"/>
  <c r="H328" i="1" s="1"/>
  <c r="I12" i="11"/>
  <c r="I35" i="11" s="1"/>
  <c r="I37" i="11" s="1"/>
  <c r="I207" i="1"/>
  <c r="I226" i="1"/>
  <c r="I186" i="1"/>
  <c r="I170" i="1"/>
  <c r="I146" i="1"/>
  <c r="I288" i="1"/>
  <c r="I132" i="1"/>
  <c r="I85" i="1"/>
  <c r="J14" i="1"/>
  <c r="I258" i="1"/>
  <c r="I120" i="1"/>
  <c r="I50" i="1"/>
  <c r="E297" i="1"/>
  <c r="F297" i="1"/>
  <c r="F298" i="1" s="1"/>
  <c r="I287" i="1"/>
  <c r="I257" i="1"/>
  <c r="I206" i="1"/>
  <c r="I169" i="1"/>
  <c r="I131" i="1"/>
  <c r="I119" i="1"/>
  <c r="I225" i="1"/>
  <c r="I49" i="1"/>
  <c r="J13" i="1"/>
  <c r="I185" i="1"/>
  <c r="I145" i="1"/>
  <c r="I84" i="1"/>
  <c r="F24" i="11"/>
  <c r="F106" i="1"/>
  <c r="G104" i="1" s="1"/>
  <c r="F53" i="1"/>
  <c r="G96" i="1"/>
  <c r="F97" i="1"/>
  <c r="F232" i="1" s="1"/>
  <c r="F101" i="1"/>
  <c r="I64" i="1" l="1"/>
  <c r="J173" i="1"/>
  <c r="J176" i="1" s="1"/>
  <c r="F136" i="1"/>
  <c r="G19" i="1"/>
  <c r="F89" i="1"/>
  <c r="F231" i="1" s="1"/>
  <c r="F21" i="11" s="1"/>
  <c r="F265" i="1"/>
  <c r="F135" i="1"/>
  <c r="F242" i="1" s="1"/>
  <c r="F30" i="11" s="1"/>
  <c r="G18" i="1"/>
  <c r="G17" i="1" s="1"/>
  <c r="G98" i="1" s="1"/>
  <c r="G101" i="1" s="1"/>
  <c r="F21" i="1"/>
  <c r="F15" i="11" s="1"/>
  <c r="F17" i="11" s="1"/>
  <c r="G88" i="1"/>
  <c r="G20" i="1"/>
  <c r="G90" i="1"/>
  <c r="H88" i="1" s="1"/>
  <c r="F62" i="1"/>
  <c r="G112" i="1"/>
  <c r="G113" i="1" s="1"/>
  <c r="G234" i="1" s="1"/>
  <c r="G24" i="11" s="1"/>
  <c r="G139" i="1"/>
  <c r="G135" i="1" s="1"/>
  <c r="G242" i="1" s="1"/>
  <c r="G30" i="11" s="1"/>
  <c r="H112" i="1"/>
  <c r="H16" i="1"/>
  <c r="H20" i="1" s="1"/>
  <c r="J287" i="1"/>
  <c r="J257" i="1"/>
  <c r="J225" i="1"/>
  <c r="J206" i="1"/>
  <c r="J185" i="1"/>
  <c r="J145" i="1"/>
  <c r="J84" i="1"/>
  <c r="J49" i="1"/>
  <c r="J169" i="1"/>
  <c r="J131" i="1"/>
  <c r="J119" i="1"/>
  <c r="G298" i="1"/>
  <c r="F292" i="1"/>
  <c r="F293" i="1"/>
  <c r="J12" i="11"/>
  <c r="J35" i="11" s="1"/>
  <c r="J37" i="11" s="1"/>
  <c r="J288" i="1"/>
  <c r="J258" i="1"/>
  <c r="J226" i="1"/>
  <c r="J186" i="1"/>
  <c r="J207" i="1"/>
  <c r="J132" i="1"/>
  <c r="J120" i="1"/>
  <c r="J85" i="1"/>
  <c r="J50" i="1"/>
  <c r="J170" i="1"/>
  <c r="J146" i="1"/>
  <c r="I335" i="1"/>
  <c r="I328" i="1" s="1"/>
  <c r="F22" i="11"/>
  <c r="F45" i="1"/>
  <c r="F105" i="1"/>
  <c r="F233" i="1" s="1"/>
  <c r="F23" i="11" s="1"/>
  <c r="F137" i="1"/>
  <c r="F56" i="1" s="1"/>
  <c r="F61" i="1"/>
  <c r="F230" i="1"/>
  <c r="F20" i="11" s="1"/>
  <c r="F229" i="1"/>
  <c r="F68" i="1"/>
  <c r="G189" i="1"/>
  <c r="G52" i="1" l="1"/>
  <c r="G195" i="1"/>
  <c r="G191" i="1" s="1"/>
  <c r="G45" i="1" s="1"/>
  <c r="G53" i="1"/>
  <c r="J64" i="1"/>
  <c r="J179" i="1"/>
  <c r="F46" i="1"/>
  <c r="H19" i="1"/>
  <c r="I16" i="1"/>
  <c r="I19" i="1" s="1"/>
  <c r="F244" i="1"/>
  <c r="H90" i="1"/>
  <c r="H52" i="1" s="1"/>
  <c r="H114" i="1"/>
  <c r="I112" i="1" s="1"/>
  <c r="H139" i="1"/>
  <c r="H141" i="1" s="1"/>
  <c r="H136" i="1" s="1"/>
  <c r="H18" i="1"/>
  <c r="H17" i="1" s="1"/>
  <c r="G89" i="1"/>
  <c r="G231" i="1" s="1"/>
  <c r="G21" i="11" s="1"/>
  <c r="G21" i="1"/>
  <c r="G15" i="11" s="1"/>
  <c r="G17" i="11" s="1"/>
  <c r="G106" i="1"/>
  <c r="G61" i="1" s="1"/>
  <c r="H96" i="1"/>
  <c r="G97" i="1"/>
  <c r="G232" i="1" s="1"/>
  <c r="G22" i="11" s="1"/>
  <c r="G141" i="1"/>
  <c r="G136" i="1" s="1"/>
  <c r="G244" i="1"/>
  <c r="G293" i="1"/>
  <c r="H298" i="1"/>
  <c r="G292" i="1"/>
  <c r="F294" i="1"/>
  <c r="J335" i="1"/>
  <c r="J328" i="1" s="1"/>
  <c r="F19" i="11"/>
  <c r="F29" i="11" s="1"/>
  <c r="F32" i="11" s="1"/>
  <c r="F14" i="11"/>
  <c r="G265" i="1"/>
  <c r="G192" i="1"/>
  <c r="H189" i="1" s="1"/>
  <c r="G230" i="1"/>
  <c r="G20" i="11" s="1"/>
  <c r="G134" i="1"/>
  <c r="I88" i="1"/>
  <c r="H106" i="1" l="1"/>
  <c r="H61" i="1" s="1"/>
  <c r="H89" i="1"/>
  <c r="H231" i="1" s="1"/>
  <c r="H21" i="11" s="1"/>
  <c r="I139" i="1"/>
  <c r="I135" i="1" s="1"/>
  <c r="I242" i="1" s="1"/>
  <c r="I30" i="11" s="1"/>
  <c r="H21" i="1"/>
  <c r="H15" i="11" s="1"/>
  <c r="H17" i="11" s="1"/>
  <c r="H98" i="1"/>
  <c r="H53" i="1" s="1"/>
  <c r="H265" i="1" s="1"/>
  <c r="G105" i="1"/>
  <c r="G233" i="1" s="1"/>
  <c r="G23" i="11" s="1"/>
  <c r="I20" i="1"/>
  <c r="I18" i="1"/>
  <c r="I17" i="1" s="1"/>
  <c r="I114" i="1"/>
  <c r="I62" i="1" s="1"/>
  <c r="H44" i="1"/>
  <c r="H229" i="1" s="1"/>
  <c r="H19" i="11" s="1"/>
  <c r="I90" i="1"/>
  <c r="I52" i="1" s="1"/>
  <c r="H62" i="1"/>
  <c r="J16" i="1"/>
  <c r="J114" i="1" s="1"/>
  <c r="J62" i="1" s="1"/>
  <c r="H113" i="1"/>
  <c r="H234" i="1" s="1"/>
  <c r="H24" i="11" s="1"/>
  <c r="I104" i="1"/>
  <c r="H104" i="1"/>
  <c r="H105" i="1" s="1"/>
  <c r="H233" i="1" s="1"/>
  <c r="H23" i="11" s="1"/>
  <c r="H195" i="1"/>
  <c r="H191" i="1" s="1"/>
  <c r="H230" i="1" s="1"/>
  <c r="H20" i="11" s="1"/>
  <c r="G137" i="1"/>
  <c r="H134" i="1" s="1"/>
  <c r="H135" i="1"/>
  <c r="H242" i="1" s="1"/>
  <c r="H30" i="11" s="1"/>
  <c r="G44" i="1"/>
  <c r="G46" i="1" s="1"/>
  <c r="G14" i="11" s="1"/>
  <c r="G291" i="1"/>
  <c r="F29" i="1"/>
  <c r="F31" i="1" s="1"/>
  <c r="I298" i="1"/>
  <c r="H292" i="1"/>
  <c r="H293" i="1"/>
  <c r="G68" i="1"/>
  <c r="I113" i="1"/>
  <c r="I234" i="1" s="1"/>
  <c r="I24" i="11" s="1"/>
  <c r="I98" i="1"/>
  <c r="I101" i="1" s="1"/>
  <c r="J139" i="1"/>
  <c r="J141" i="1" s="1"/>
  <c r="J136" i="1" s="1"/>
  <c r="I106" i="1"/>
  <c r="I61" i="1" s="1"/>
  <c r="I21" i="1"/>
  <c r="I15" i="11" s="1"/>
  <c r="I17" i="11" s="1"/>
  <c r="I96" i="1"/>
  <c r="H101" i="1"/>
  <c r="J88" i="1"/>
  <c r="J90" i="1"/>
  <c r="J52" i="1" s="1"/>
  <c r="H45" i="1" l="1"/>
  <c r="I141" i="1"/>
  <c r="I44" i="1" s="1"/>
  <c r="I229" i="1" s="1"/>
  <c r="I19" i="11" s="1"/>
  <c r="I244" i="1"/>
  <c r="H97" i="1"/>
  <c r="H232" i="1" s="1"/>
  <c r="H22" i="11" s="1"/>
  <c r="H29" i="11" s="1"/>
  <c r="H32" i="11" s="1"/>
  <c r="J112" i="1"/>
  <c r="J113" i="1" s="1"/>
  <c r="J234" i="1" s="1"/>
  <c r="J24" i="11" s="1"/>
  <c r="G56" i="1"/>
  <c r="I89" i="1"/>
  <c r="I231" i="1" s="1"/>
  <c r="I21" i="11" s="1"/>
  <c r="I195" i="1"/>
  <c r="I191" i="1" s="1"/>
  <c r="I45" i="1" s="1"/>
  <c r="I46" i="1" s="1"/>
  <c r="I14" i="11" s="1"/>
  <c r="H46" i="1"/>
  <c r="H14" i="11" s="1"/>
  <c r="H192" i="1"/>
  <c r="H68" i="1" s="1"/>
  <c r="J19" i="1"/>
  <c r="J20" i="1"/>
  <c r="J18" i="1"/>
  <c r="J17" i="1" s="1"/>
  <c r="J98" i="1" s="1"/>
  <c r="J53" i="1" s="1"/>
  <c r="J265" i="1" s="1"/>
  <c r="G229" i="1"/>
  <c r="G19" i="11" s="1"/>
  <c r="G29" i="11" s="1"/>
  <c r="G32" i="11" s="1"/>
  <c r="G33" i="11" s="1"/>
  <c r="H137" i="1"/>
  <c r="H56" i="1" s="1"/>
  <c r="H244" i="1"/>
  <c r="I293" i="1"/>
  <c r="I292" i="1"/>
  <c r="J298" i="1"/>
  <c r="G294" i="1"/>
  <c r="H291" i="1" s="1"/>
  <c r="J44" i="1"/>
  <c r="J229" i="1" s="1"/>
  <c r="J19" i="11" s="1"/>
  <c r="J135" i="1"/>
  <c r="J242" i="1" s="1"/>
  <c r="J30" i="11" s="1"/>
  <c r="J96" i="1"/>
  <c r="J104" i="1"/>
  <c r="I97" i="1"/>
  <c r="I232" i="1" s="1"/>
  <c r="I22" i="11" s="1"/>
  <c r="I53" i="1"/>
  <c r="I265" i="1" s="1"/>
  <c r="I105" i="1"/>
  <c r="I233" i="1" s="1"/>
  <c r="I23" i="11" s="1"/>
  <c r="J89" i="1"/>
  <c r="J231" i="1" s="1"/>
  <c r="J21" i="11" s="1"/>
  <c r="I136" i="1"/>
  <c r="J101" i="1"/>
  <c r="I230" i="1" l="1"/>
  <c r="I20" i="11" s="1"/>
  <c r="I189" i="1"/>
  <c r="I192" i="1" s="1"/>
  <c r="J189" i="1" s="1"/>
  <c r="J106" i="1"/>
  <c r="J61" i="1" s="1"/>
  <c r="J97" i="1"/>
  <c r="J232" i="1" s="1"/>
  <c r="J22" i="11" s="1"/>
  <c r="J21" i="1"/>
  <c r="J15" i="11" s="1"/>
  <c r="J17" i="11" s="1"/>
  <c r="J195" i="1"/>
  <c r="J191" i="1" s="1"/>
  <c r="J45" i="1" s="1"/>
  <c r="I134" i="1"/>
  <c r="I137" i="1" s="1"/>
  <c r="I56" i="1" s="1"/>
  <c r="H294" i="1"/>
  <c r="I291" i="1" s="1"/>
  <c r="G29" i="1"/>
  <c r="G31" i="1" s="1"/>
  <c r="J292" i="1"/>
  <c r="J293" i="1"/>
  <c r="H33" i="11"/>
  <c r="I29" i="11"/>
  <c r="I32" i="11" s="1"/>
  <c r="J244" i="1"/>
  <c r="J105" i="1"/>
  <c r="J233" i="1" s="1"/>
  <c r="J23" i="11" s="1"/>
  <c r="J192" i="1" l="1"/>
  <c r="J68" i="1" s="1"/>
  <c r="I68" i="1"/>
  <c r="J46" i="1"/>
  <c r="J14" i="11" s="1"/>
  <c r="J230" i="1"/>
  <c r="J20" i="11" s="1"/>
  <c r="C41" i="11" s="1"/>
  <c r="H29" i="1"/>
  <c r="H31" i="1" s="1"/>
  <c r="I294" i="1"/>
  <c r="J291" i="1" s="1"/>
  <c r="I29" i="1"/>
  <c r="I31" i="1" s="1"/>
  <c r="I33" i="11"/>
  <c r="J134" i="1"/>
  <c r="J137" i="1" s="1"/>
  <c r="J56" i="1" s="1"/>
  <c r="J41" i="11" l="1"/>
  <c r="J43" i="11" s="1"/>
  <c r="J29" i="11"/>
  <c r="J32" i="11" s="1"/>
  <c r="J294" i="1"/>
  <c r="J29" i="1"/>
  <c r="J31" i="1" s="1"/>
  <c r="J33" i="11" l="1"/>
  <c r="C42" i="11" l="1"/>
  <c r="J83" i="11" l="1"/>
  <c r="C85" i="11" s="1"/>
  <c r="C86" i="11" s="1"/>
  <c r="J66" i="11" s="1"/>
  <c r="J68" i="11" s="1"/>
  <c r="C8" i="11" l="1"/>
  <c r="I38" i="11" l="1"/>
  <c r="J38" i="11"/>
  <c r="H38" i="11"/>
  <c r="J47" i="11"/>
  <c r="J44" i="11"/>
  <c r="G38" i="11"/>
  <c r="C37" i="11"/>
  <c r="C44" i="11" s="1"/>
  <c r="C48" i="11" s="1"/>
  <c r="F38" i="11"/>
  <c r="C46" i="11" s="1"/>
  <c r="J45" i="11" s="1"/>
  <c r="J46" i="11" l="1"/>
  <c r="J52" i="11" s="1"/>
  <c r="J55" i="11" s="1"/>
  <c r="J57" i="11" s="1"/>
  <c r="J58" i="11" s="1"/>
  <c r="C45" i="11"/>
  <c r="C47" i="11" s="1"/>
  <c r="I52" i="11" s="1"/>
  <c r="I55" i="11" s="1"/>
  <c r="I57" i="11" s="1"/>
  <c r="C92" i="11" s="1"/>
  <c r="C101" i="11" l="1"/>
  <c r="D110" i="11"/>
  <c r="I58" i="11"/>
  <c r="F66" i="1"/>
  <c r="G66" i="1"/>
  <c r="H66" i="1"/>
  <c r="I66" i="1"/>
  <c r="J66" i="1"/>
  <c r="F22" i="1"/>
  <c r="G22" i="1"/>
  <c r="H22" i="1"/>
  <c r="I22" i="1"/>
  <c r="J22" i="1"/>
  <c r="F23" i="1"/>
  <c r="G23" i="1"/>
  <c r="H23" i="1"/>
  <c r="I23" i="1"/>
  <c r="J23" i="1"/>
  <c r="F25" i="1"/>
  <c r="G25" i="1"/>
  <c r="H25" i="1"/>
  <c r="I25" i="1"/>
  <c r="J25" i="1"/>
  <c r="F26" i="1"/>
  <c r="G26" i="1"/>
  <c r="H26" i="1"/>
  <c r="I26" i="1"/>
  <c r="J26" i="1"/>
  <c r="F27" i="1"/>
  <c r="G27" i="1"/>
  <c r="H27" i="1"/>
  <c r="I27" i="1"/>
  <c r="J27" i="1"/>
  <c r="F33" i="1"/>
  <c r="G33" i="1"/>
  <c r="H33" i="1"/>
  <c r="I33" i="1"/>
  <c r="J33" i="1"/>
  <c r="F34" i="1"/>
  <c r="G34" i="1"/>
  <c r="H34" i="1"/>
  <c r="I34" i="1"/>
  <c r="J34" i="1"/>
  <c r="F51" i="1"/>
  <c r="G51" i="1"/>
  <c r="H51" i="1"/>
  <c r="I51" i="1"/>
  <c r="J51" i="1"/>
  <c r="F59" i="1"/>
  <c r="G59" i="1"/>
  <c r="H59" i="1"/>
  <c r="I59" i="1"/>
  <c r="J59" i="1"/>
  <c r="F63" i="1"/>
  <c r="G63" i="1"/>
  <c r="H63" i="1"/>
  <c r="I63" i="1"/>
  <c r="J63" i="1"/>
  <c r="F70" i="1"/>
  <c r="G70" i="1"/>
  <c r="H70" i="1"/>
  <c r="I70" i="1"/>
  <c r="J70" i="1"/>
  <c r="F72" i="1"/>
  <c r="G72" i="1"/>
  <c r="H72" i="1"/>
  <c r="I72" i="1"/>
  <c r="J72" i="1"/>
  <c r="F74" i="1"/>
  <c r="G74" i="1"/>
  <c r="H74" i="1"/>
  <c r="I74" i="1"/>
  <c r="J74" i="1"/>
  <c r="F77" i="1"/>
  <c r="G77" i="1"/>
  <c r="H77" i="1"/>
  <c r="I77" i="1"/>
  <c r="J77" i="1"/>
  <c r="F78" i="1"/>
  <c r="G78" i="1"/>
  <c r="H78" i="1"/>
  <c r="I78" i="1"/>
  <c r="J78" i="1"/>
  <c r="F79" i="1"/>
  <c r="G79" i="1"/>
  <c r="H79" i="1"/>
  <c r="I79" i="1"/>
  <c r="J79" i="1"/>
  <c r="F80" i="1"/>
  <c r="G80" i="1"/>
  <c r="H80" i="1"/>
  <c r="I80" i="1"/>
  <c r="J80" i="1"/>
  <c r="F81" i="1"/>
  <c r="G81" i="1"/>
  <c r="H81" i="1"/>
  <c r="I81" i="1"/>
  <c r="J81" i="1"/>
  <c r="G210" i="1"/>
  <c r="H210" i="1"/>
  <c r="I210" i="1"/>
  <c r="J210" i="1"/>
  <c r="F211" i="1"/>
  <c r="G211" i="1"/>
  <c r="H211" i="1"/>
  <c r="I211" i="1"/>
  <c r="J211" i="1"/>
  <c r="F212" i="1"/>
  <c r="G212" i="1"/>
  <c r="H212" i="1"/>
  <c r="I212" i="1"/>
  <c r="J212" i="1"/>
  <c r="F213" i="1"/>
  <c r="G213" i="1"/>
  <c r="H213" i="1"/>
  <c r="I213" i="1"/>
  <c r="J213" i="1"/>
  <c r="F215" i="1"/>
  <c r="G215" i="1"/>
  <c r="H215" i="1"/>
  <c r="I215" i="1"/>
  <c r="J215" i="1"/>
  <c r="F217" i="1"/>
  <c r="G217" i="1"/>
  <c r="H217" i="1"/>
  <c r="I217" i="1"/>
  <c r="J217" i="1"/>
  <c r="F228" i="1"/>
  <c r="G228" i="1"/>
  <c r="H228" i="1"/>
  <c r="I228" i="1"/>
  <c r="J228" i="1"/>
  <c r="F240" i="1"/>
  <c r="G240" i="1"/>
  <c r="H240" i="1"/>
  <c r="I240" i="1"/>
  <c r="J240" i="1"/>
  <c r="F247" i="1"/>
  <c r="G247" i="1"/>
  <c r="H247" i="1"/>
  <c r="I247" i="1"/>
  <c r="J247" i="1"/>
  <c r="F251" i="1"/>
  <c r="G251" i="1"/>
  <c r="H251" i="1"/>
  <c r="I251" i="1"/>
  <c r="J251" i="1"/>
  <c r="F252" i="1"/>
  <c r="G252" i="1"/>
  <c r="H252" i="1"/>
  <c r="I252" i="1"/>
  <c r="J252" i="1"/>
  <c r="F254" i="1"/>
  <c r="G254" i="1"/>
  <c r="H254" i="1"/>
  <c r="I254" i="1"/>
  <c r="J254" i="1"/>
  <c r="G261" i="1"/>
  <c r="H261" i="1"/>
  <c r="I261" i="1"/>
  <c r="J261" i="1"/>
  <c r="F262" i="1"/>
  <c r="G262" i="1"/>
  <c r="H262" i="1"/>
  <c r="I262" i="1"/>
  <c r="J262" i="1"/>
  <c r="F263" i="1"/>
  <c r="G263" i="1"/>
  <c r="H263" i="1"/>
  <c r="I263" i="1"/>
  <c r="J263" i="1"/>
  <c r="F266" i="1"/>
  <c r="G266" i="1"/>
  <c r="H266" i="1"/>
  <c r="I266" i="1"/>
  <c r="J266" i="1"/>
  <c r="G269" i="1"/>
  <c r="H269" i="1"/>
  <c r="I269" i="1"/>
  <c r="J269" i="1"/>
  <c r="G271" i="1"/>
  <c r="H271" i="1"/>
  <c r="I271" i="1"/>
  <c r="J271" i="1"/>
  <c r="F272" i="1"/>
  <c r="G272" i="1"/>
  <c r="H272" i="1"/>
  <c r="I272" i="1"/>
  <c r="J272" i="1"/>
  <c r="F273" i="1"/>
  <c r="G273" i="1"/>
  <c r="H273" i="1"/>
  <c r="I273" i="1"/>
  <c r="J273" i="1"/>
  <c r="F276" i="1"/>
  <c r="G276" i="1"/>
  <c r="H276" i="1"/>
  <c r="I276" i="1"/>
  <c r="J276" i="1"/>
  <c r="G279" i="1"/>
  <c r="H279" i="1"/>
  <c r="I279" i="1"/>
  <c r="J279" i="1"/>
  <c r="F280" i="1"/>
  <c r="G280" i="1"/>
  <c r="H280" i="1"/>
  <c r="I280" i="1"/>
  <c r="J280" i="1"/>
  <c r="F281" i="1"/>
  <c r="G281" i="1"/>
  <c r="H281" i="1"/>
  <c r="I281" i="1"/>
  <c r="J281" i="1"/>
  <c r="F284" i="1"/>
  <c r="G284" i="1"/>
  <c r="H284" i="1"/>
  <c r="I284" i="1"/>
  <c r="J284" i="1"/>
  <c r="C304" i="1"/>
  <c r="C314" i="1"/>
</calcChain>
</file>

<file path=xl/comments1.xml><?xml version="1.0" encoding="utf-8"?>
<comments xmlns="http://schemas.openxmlformats.org/spreadsheetml/2006/main">
  <authors>
    <author>Wall Street Prep</author>
  </authors>
  <commentList>
    <comment ref="C10" authorId="0" shapeId="0">
      <text>
        <r>
          <rPr>
            <b/>
            <sz val="9"/>
            <color indexed="81"/>
            <rFont val="Tahoma"/>
            <family val="2"/>
          </rPr>
          <t>Wall Street Prep:</t>
        </r>
        <r>
          <rPr>
            <sz val="9"/>
            <color indexed="81"/>
            <rFont val="Tahoma"/>
            <family val="2"/>
          </rPr>
          <t xml:space="preserve">
If the model "blows up" (i.e. REF and DIV/0 everywhere), turn the circuit breaker above on, and then immediately off again. 
</t>
        </r>
        <r>
          <rPr>
            <b/>
            <sz val="9"/>
            <color indexed="81"/>
            <rFont val="Tahoma"/>
            <family val="2"/>
          </rPr>
          <t xml:space="preserve">Why do we need this?
</t>
        </r>
        <r>
          <rPr>
            <sz val="9"/>
            <color indexed="81"/>
            <rFont val="Tahoma"/>
            <family val="2"/>
          </rPr>
          <t xml:space="preserve">This model has an intentional circularity in the calculation of interest expense and interest income. 
Interest expense is calculated as interest rate times average current and prior period revolver debt balances. Since current period revolver balance is itself impacted by current period interest expense, the circularity exists.
The same logic applies to interest expense.
</t>
        </r>
        <r>
          <rPr>
            <b/>
            <sz val="9"/>
            <color indexed="81"/>
            <rFont val="Tahoma"/>
            <family val="2"/>
          </rPr>
          <t xml:space="preserve">Setting Iterations in Excel
</t>
        </r>
        <r>
          <rPr>
            <sz val="9"/>
            <color indexed="81"/>
            <rFont val="Tahoma"/>
            <family val="2"/>
          </rPr>
          <t xml:space="preserve">Make sure that iterations are selected under Excel Options &gt; Formulas
</t>
        </r>
        <r>
          <rPr>
            <b/>
            <sz val="9"/>
            <color indexed="81"/>
            <rFont val="Tahoma"/>
            <family val="2"/>
          </rPr>
          <t>Removing circularity altogether</t>
        </r>
        <r>
          <rPr>
            <sz val="9"/>
            <color indexed="81"/>
            <rFont val="Tahoma"/>
            <family val="2"/>
          </rPr>
          <t xml:space="preserve">
To avoid a circularity altogether, calculate interest expense using prior period debt balances (as opposed to average balances).</t>
        </r>
      </text>
    </comment>
  </commentList>
</comments>
</file>

<file path=xl/comments2.xml><?xml version="1.0" encoding="utf-8"?>
<comments xmlns="http://schemas.openxmlformats.org/spreadsheetml/2006/main">
  <authors>
    <author>Wall Street Prep</author>
  </authors>
  <commentList>
    <comment ref="C7" authorId="0" shapeId="0">
      <text>
        <r>
          <rPr>
            <b/>
            <sz val="9"/>
            <color indexed="81"/>
            <rFont val="Tahoma"/>
            <family val="2"/>
          </rPr>
          <t>Wall Street Prep:</t>
        </r>
        <r>
          <rPr>
            <sz val="9"/>
            <color indexed="81"/>
            <rFont val="Tahoma"/>
            <family val="2"/>
          </rPr>
          <t xml:space="preserve">
Per AAPL Q2 10-Q, as of April 11, 2014</t>
        </r>
      </text>
    </comment>
    <comment ref="J42" authorId="0" shapeId="0">
      <text>
        <r>
          <rPr>
            <b/>
            <sz val="9"/>
            <color indexed="81"/>
            <rFont val="Tahoma"/>
            <family val="2"/>
          </rPr>
          <t>Wall Street Prep:</t>
        </r>
        <r>
          <rPr>
            <sz val="9"/>
            <color indexed="81"/>
            <rFont val="Tahoma"/>
            <family val="2"/>
          </rPr>
          <t xml:space="preserve">
Factset Comps</t>
        </r>
      </text>
    </comment>
    <comment ref="J47" authorId="0" shapeId="0">
      <text>
        <r>
          <rPr>
            <b/>
            <sz val="9"/>
            <color indexed="81"/>
            <rFont val="Tahoma"/>
            <family val="2"/>
          </rPr>
          <t>Wall Street Prep:</t>
        </r>
        <r>
          <rPr>
            <sz val="9"/>
            <color indexed="81"/>
            <rFont val="Tahoma"/>
            <family val="2"/>
          </rPr>
          <t xml:space="preserve">
With a midyear adjustment, the implied growth formula is as follows
[r -FCF(t)*(1+r)^0.5/TV]/(1+FCF(t)*(1+r)^0.5/TV)
</t>
        </r>
      </text>
    </comment>
    <comment ref="J65" authorId="0" shapeId="0">
      <text>
        <r>
          <rPr>
            <b/>
            <sz val="9"/>
            <color indexed="81"/>
            <rFont val="Tahoma"/>
            <family val="2"/>
          </rPr>
          <t>Wall Street Prep:</t>
        </r>
        <r>
          <rPr>
            <sz val="9"/>
            <color indexed="81"/>
            <rFont val="Tahoma"/>
            <family val="2"/>
          </rPr>
          <t xml:space="preserve">
Yield on 10 Year US Treasury</t>
        </r>
      </text>
    </comment>
    <comment ref="K66" authorId="0" shapeId="0">
      <text>
        <r>
          <rPr>
            <b/>
            <sz val="9"/>
            <color indexed="81"/>
            <rFont val="Tahoma"/>
            <family val="2"/>
          </rPr>
          <t>Wall Street Prep:</t>
        </r>
        <r>
          <rPr>
            <sz val="9"/>
            <color indexed="81"/>
            <rFont val="Tahoma"/>
            <family val="2"/>
          </rPr>
          <t xml:space="preserve">
CIQ</t>
        </r>
      </text>
    </comment>
    <comment ref="C80" authorId="0" shapeId="0">
      <text>
        <r>
          <rPr>
            <b/>
            <sz val="9"/>
            <color indexed="81"/>
            <rFont val="Tahoma"/>
            <family val="2"/>
          </rPr>
          <t>Wall Street Prep:</t>
        </r>
        <r>
          <rPr>
            <sz val="9"/>
            <color indexed="81"/>
            <rFont val="Tahoma"/>
            <family val="2"/>
          </rPr>
          <t xml:space="preserve">
CIQ</t>
        </r>
      </text>
    </comment>
    <comment ref="I80" authorId="0" shapeId="0">
      <text>
        <r>
          <rPr>
            <b/>
            <sz val="9"/>
            <color indexed="81"/>
            <rFont val="Tahoma"/>
            <family val="2"/>
          </rPr>
          <t>Wall Street Prep:</t>
        </r>
        <r>
          <rPr>
            <sz val="9"/>
            <color indexed="81"/>
            <rFont val="Tahoma"/>
            <family val="2"/>
          </rPr>
          <t xml:space="preserve">
Last 9 month per latest 10Q footnotes</t>
        </r>
      </text>
    </comment>
    <comment ref="C81" authorId="0" shapeId="0">
      <text>
        <r>
          <rPr>
            <b/>
            <sz val="9"/>
            <color indexed="81"/>
            <rFont val="Tahoma"/>
            <family val="2"/>
          </rPr>
          <t>Wall Street Prep:</t>
        </r>
        <r>
          <rPr>
            <sz val="9"/>
            <color indexed="81"/>
            <rFont val="Tahoma"/>
            <family val="2"/>
          </rPr>
          <t xml:space="preserve">
CIQ</t>
        </r>
      </text>
    </comment>
    <comment ref="I81" authorId="0" shapeId="0">
      <text>
        <r>
          <rPr>
            <b/>
            <sz val="9"/>
            <color indexed="81"/>
            <rFont val="Tahoma"/>
            <family val="2"/>
          </rPr>
          <t>Wall Street Prep:</t>
        </r>
        <r>
          <rPr>
            <sz val="9"/>
            <color indexed="81"/>
            <rFont val="Tahoma"/>
            <family val="2"/>
          </rPr>
          <t xml:space="preserve">
Non-GAAP tax rate from latest 10Q</t>
        </r>
      </text>
    </comment>
    <comment ref="C82" authorId="0" shapeId="0">
      <text>
        <r>
          <rPr>
            <b/>
            <sz val="9"/>
            <color indexed="81"/>
            <rFont val="Tahoma"/>
            <family val="2"/>
          </rPr>
          <t>Wall Street Prep:</t>
        </r>
        <r>
          <rPr>
            <sz val="9"/>
            <color indexed="81"/>
            <rFont val="Tahoma"/>
            <family val="2"/>
          </rPr>
          <t xml:space="preserve">
CIQ</t>
        </r>
      </text>
    </comment>
    <comment ref="I82" authorId="0" shapeId="0">
      <text>
        <r>
          <rPr>
            <b/>
            <sz val="9"/>
            <color indexed="81"/>
            <rFont val="Tahoma"/>
            <family val="2"/>
          </rPr>
          <t>Wall Street Prep:</t>
        </r>
        <r>
          <rPr>
            <sz val="9"/>
            <color indexed="81"/>
            <rFont val="Tahoma"/>
            <family val="2"/>
          </rPr>
          <t xml:space="preserve">
Annualized tax rate</t>
        </r>
      </text>
    </comment>
    <comment ref="C83" authorId="0" shapeId="0">
      <text>
        <r>
          <rPr>
            <b/>
            <sz val="9"/>
            <color indexed="81"/>
            <rFont val="Tahoma"/>
            <family val="2"/>
          </rPr>
          <t>Wall Street Prep:</t>
        </r>
        <r>
          <rPr>
            <sz val="9"/>
            <color indexed="81"/>
            <rFont val="Tahoma"/>
            <family val="2"/>
          </rPr>
          <t xml:space="preserve">
CIQ</t>
        </r>
      </text>
    </comment>
  </commentList>
</comments>
</file>

<file path=xl/sharedStrings.xml><?xml version="1.0" encoding="utf-8"?>
<sst xmlns="http://schemas.openxmlformats.org/spreadsheetml/2006/main" count="388" uniqueCount="258">
  <si>
    <t>$ mm except per share</t>
  </si>
  <si>
    <t>Company name</t>
  </si>
  <si>
    <t>Ticker</t>
  </si>
  <si>
    <t>Share price as of last close</t>
  </si>
  <si>
    <t>Latest closing share price date</t>
  </si>
  <si>
    <t>Latest fiscal year end date</t>
  </si>
  <si>
    <t>Circuit breaker:</t>
  </si>
  <si>
    <t>OFF</t>
  </si>
  <si>
    <t>INCOME STATEMENT</t>
  </si>
  <si>
    <t xml:space="preserve">Fiscal year  </t>
  </si>
  <si>
    <t>Fiscal year end date</t>
  </si>
  <si>
    <t>Revenue</t>
  </si>
  <si>
    <t>Cost of sales (enter as -)</t>
  </si>
  <si>
    <t>Gross Profit</t>
  </si>
  <si>
    <t>Research &amp; development (enter as -)</t>
  </si>
  <si>
    <t>Selling, general &amp; administrative (enter as -)</t>
  </si>
  <si>
    <t>Operating profit (EBIT)</t>
  </si>
  <si>
    <t>Interest income</t>
  </si>
  <si>
    <t>Interest expense (enter as -)</t>
  </si>
  <si>
    <t>Other expense (enter as -)</t>
  </si>
  <si>
    <t>Pretax profit</t>
  </si>
  <si>
    <t>Taxes (enter expense as -)</t>
  </si>
  <si>
    <t>Net income</t>
  </si>
  <si>
    <t>Basic shares outstanding</t>
  </si>
  <si>
    <t>Impact of dilutive securities</t>
  </si>
  <si>
    <t>Diluted shares outstanding</t>
  </si>
  <si>
    <t>Basic EPS</t>
  </si>
  <si>
    <t>Diluted EPS</t>
  </si>
  <si>
    <t>Growth rates &amp; margins</t>
  </si>
  <si>
    <t>Revenue growth</t>
  </si>
  <si>
    <t>NA</t>
  </si>
  <si>
    <t>Gross profit as % of sales</t>
  </si>
  <si>
    <t>R&amp;D margin</t>
  </si>
  <si>
    <t>SG&amp;A margin</t>
  </si>
  <si>
    <t>Tax rate</t>
  </si>
  <si>
    <t>EBITDA reconciliation</t>
  </si>
  <si>
    <t>Depreciation &amp; amortization</t>
  </si>
  <si>
    <t>Stock based compensation</t>
  </si>
  <si>
    <t>EBITDA</t>
  </si>
  <si>
    <t>iPhone</t>
  </si>
  <si>
    <t>% growth</t>
  </si>
  <si>
    <t>BALANCE SHEET</t>
  </si>
  <si>
    <t>Cash &amp; equivalents ST &amp; LT market. securities</t>
  </si>
  <si>
    <t>Accounts receivable</t>
  </si>
  <si>
    <t>Inventory</t>
  </si>
  <si>
    <t>Deferred tax assets</t>
  </si>
  <si>
    <t>Other current assets (inc. non-trade receivables)</t>
  </si>
  <si>
    <t>Property, plant &amp; equipment</t>
  </si>
  <si>
    <t>Acquired intangible assets (inc. Goodwill)</t>
  </si>
  <si>
    <t>Other assets</t>
  </si>
  <si>
    <t>Total assets</t>
  </si>
  <si>
    <t>Accounts payable</t>
  </si>
  <si>
    <t>Accrued expenses &amp; def rev. (current &amp; non-current)</t>
  </si>
  <si>
    <t>Revolver</t>
  </si>
  <si>
    <t>Long term debt</t>
  </si>
  <si>
    <t>Other non-current liabilities</t>
  </si>
  <si>
    <t>Total liabilities</t>
  </si>
  <si>
    <t>Common stock / additional paid in capital</t>
  </si>
  <si>
    <t>Treasury stock</t>
  </si>
  <si>
    <t>Retained earnings / accumulated deficit</t>
  </si>
  <si>
    <t>Other comprehensive income / (loss)</t>
  </si>
  <si>
    <t>Total equity</t>
  </si>
  <si>
    <t>Balance check</t>
  </si>
  <si>
    <t>Ratios</t>
  </si>
  <si>
    <t>Net debt</t>
  </si>
  <si>
    <t>Asset turnover (Revenue / Total assets)</t>
  </si>
  <si>
    <t>Net profit margin</t>
  </si>
  <si>
    <t>Return on assets (ROA)</t>
  </si>
  <si>
    <t>Return on book equity (ROE)</t>
  </si>
  <si>
    <t>WORKING CAPITAL</t>
  </si>
  <si>
    <t>Beginning of period</t>
  </si>
  <si>
    <t>Increases / (decreases)</t>
  </si>
  <si>
    <t>End of period</t>
  </si>
  <si>
    <t>AR as % of sales</t>
  </si>
  <si>
    <t>Days sales outstanding (DSO)</t>
  </si>
  <si>
    <t xml:space="preserve">Inventory </t>
  </si>
  <si>
    <t>Inventory as % of COGS</t>
  </si>
  <si>
    <t>Inventory turnover</t>
  </si>
  <si>
    <t>AP as % of COGS</t>
  </si>
  <si>
    <t>Days payables outstanding (DPO)</t>
  </si>
  <si>
    <t>Accrued expenses &amp; def revenues</t>
  </si>
  <si>
    <t>Accrued expenses &amp; def revs as % of sales</t>
  </si>
  <si>
    <t>INTANGIBLE ASSETS (INC. GOODWILL)</t>
  </si>
  <si>
    <t>Plus: Purchases of intangible assets</t>
  </si>
  <si>
    <t>Less: Amortization</t>
  </si>
  <si>
    <t>Purchases of intangible assets (enter as +)</t>
  </si>
  <si>
    <t>Amortization (enter as -)</t>
  </si>
  <si>
    <t>PROPERTY, PLANT &amp; EQUIPMENT</t>
  </si>
  <si>
    <t>Plus: Capital expenditures</t>
  </si>
  <si>
    <t>Less: Depreciation</t>
  </si>
  <si>
    <t>Capex (enter as +)</t>
  </si>
  <si>
    <t>Capital expenditures as % of revenue</t>
  </si>
  <si>
    <t>Depreciation (enter as -)</t>
  </si>
  <si>
    <t>Depreciation as a % of capital expenditures</t>
  </si>
  <si>
    <t>OTHER ASSETS / LIABILITIES &amp; DEFERRED TAXES</t>
  </si>
  <si>
    <t>Deferred tax assets (DTAs)</t>
  </si>
  <si>
    <t>Other non current liabilities</t>
  </si>
  <si>
    <t>DEBT</t>
  </si>
  <si>
    <t xml:space="preserve">Long term debt </t>
  </si>
  <si>
    <t xml:space="preserve">Additional borrowing / (pay down) </t>
  </si>
  <si>
    <t>PIK accrual</t>
  </si>
  <si>
    <t>Interest expense on long term debt</t>
  </si>
  <si>
    <t>Weighted average interest rate</t>
  </si>
  <si>
    <t>% of interest expense paid in cash</t>
  </si>
  <si>
    <t>% of interest expense accrues as PIK</t>
  </si>
  <si>
    <t>CAPITAL STOCK</t>
  </si>
  <si>
    <t>Common stock / APIC</t>
  </si>
  <si>
    <t>Plus: new share issuances</t>
  </si>
  <si>
    <t>Plus: Stock based compensation</t>
  </si>
  <si>
    <t>New share issuance</t>
  </si>
  <si>
    <t>SBC as % of all operating expenses</t>
  </si>
  <si>
    <t>Less: Stock repurchases</t>
  </si>
  <si>
    <t>Stock repurchases</t>
  </si>
  <si>
    <t>RETAINED EARNINGS &amp; OCI</t>
  </si>
  <si>
    <t>Retained earnings</t>
  </si>
  <si>
    <t>Plus: Net income</t>
  </si>
  <si>
    <t>Less: Common dividends</t>
  </si>
  <si>
    <t>Dividend payout ratio</t>
  </si>
  <si>
    <t>Common dividends</t>
  </si>
  <si>
    <t>Plus: Income / (loss)</t>
  </si>
  <si>
    <t>CASH FLOW STATEMENT</t>
  </si>
  <si>
    <t>Depreciation and amortization</t>
  </si>
  <si>
    <t xml:space="preserve">Non-cash (PIK) interest </t>
  </si>
  <si>
    <t>Cash from operating activities</t>
  </si>
  <si>
    <t>Capital expenditures</t>
  </si>
  <si>
    <t>Purchases of intangible assets</t>
  </si>
  <si>
    <t>Cash from investing activities</t>
  </si>
  <si>
    <t>New share issuances</t>
  </si>
  <si>
    <t>Share repurchases</t>
  </si>
  <si>
    <t>Cash from financing activities</t>
  </si>
  <si>
    <t>Net change in cash during period</t>
  </si>
  <si>
    <t>MODEL PLUG: REVOLVER &amp; CASH</t>
  </si>
  <si>
    <t>Maximum availability</t>
  </si>
  <si>
    <t>Compliance check</t>
  </si>
  <si>
    <t>Revolver needs analysis</t>
  </si>
  <si>
    <t>Less: Minimum cash desired</t>
  </si>
  <si>
    <t>Equals: Excess cash at BOP</t>
  </si>
  <si>
    <t>Plus: Free cash flows generated during period</t>
  </si>
  <si>
    <t>Equals: Cash available (needed) to paydown (draw from) revolver</t>
  </si>
  <si>
    <t>Interest rate on revolver</t>
  </si>
  <si>
    <t>Interest expense</t>
  </si>
  <si>
    <t>Cash</t>
  </si>
  <si>
    <t>+/- additions</t>
  </si>
  <si>
    <t>Interest rate on cash</t>
  </si>
  <si>
    <t>SHARES OUTSTANDING</t>
  </si>
  <si>
    <t>+ new shares issued</t>
  </si>
  <si>
    <t>- shares repurchased</t>
  </si>
  <si>
    <t>Consensus EPS</t>
  </si>
  <si>
    <t>% change in EPS, year-over-year</t>
  </si>
  <si>
    <t>Average share price</t>
  </si>
  <si>
    <t>SENSITIVITY ANALYSIS</t>
  </si>
  <si>
    <t>Revenue growth rate</t>
  </si>
  <si>
    <t>Gross</t>
  </si>
  <si>
    <t>Profit</t>
  </si>
  <si>
    <t>Margin:</t>
  </si>
  <si>
    <t>iPad unit growth</t>
  </si>
  <si>
    <t xml:space="preserve"> unit</t>
  </si>
  <si>
    <t>growth</t>
  </si>
  <si>
    <t>SCENARIO ANALYSIS</t>
  </si>
  <si>
    <t>Select an operating scenario:</t>
  </si>
  <si>
    <t>Base case</t>
  </si>
  <si>
    <t>Best case</t>
  </si>
  <si>
    <t>Weak case</t>
  </si>
  <si>
    <t>General assumptions</t>
  </si>
  <si>
    <t>Latest basic share count</t>
  </si>
  <si>
    <t>Weighted average cost of capital</t>
  </si>
  <si>
    <t>Free cash flow buildup</t>
  </si>
  <si>
    <t>EBIT</t>
  </si>
  <si>
    <t>tax rate</t>
  </si>
  <si>
    <t>EBIAT (NOPAT)</t>
  </si>
  <si>
    <t>Unlevered CFO</t>
  </si>
  <si>
    <t>Less: Capital expenditures</t>
  </si>
  <si>
    <t>Less: Purchases of intangible assets</t>
  </si>
  <si>
    <t>Unlevered FCF</t>
  </si>
  <si>
    <t>Discount factor</t>
  </si>
  <si>
    <t>Present value of Unlevered FCF</t>
  </si>
  <si>
    <t>Perpetuity approach</t>
  </si>
  <si>
    <t>Exit EBITDA multiple approach</t>
  </si>
  <si>
    <t>Terminal year EBITDA</t>
  </si>
  <si>
    <t>Terminal value EBITDA multiple</t>
  </si>
  <si>
    <t>Long term growth rate (g)</t>
  </si>
  <si>
    <t xml:space="preserve">Terminal value </t>
  </si>
  <si>
    <t>Present value of terminal value</t>
  </si>
  <si>
    <t>Present value of stage 1 cash flows</t>
  </si>
  <si>
    <t xml:space="preserve">Enterprise value </t>
  </si>
  <si>
    <t>Less: Net debt</t>
  </si>
  <si>
    <t>Equity value</t>
  </si>
  <si>
    <t>Diluted shares</t>
  </si>
  <si>
    <t>Equity value per share</t>
  </si>
  <si>
    <t>Cost of capital assumptions</t>
  </si>
  <si>
    <t>Cost of debt</t>
  </si>
  <si>
    <t>Risk free rate</t>
  </si>
  <si>
    <t>Beta</t>
  </si>
  <si>
    <t>Market risk premium</t>
  </si>
  <si>
    <t>Cost of capital (WACC)</t>
  </si>
  <si>
    <t>Total proceeds ($mm)</t>
  </si>
  <si>
    <t>Total shares repurchased (mm)</t>
  </si>
  <si>
    <t>Net dilutive options</t>
  </si>
  <si>
    <t xml:space="preserve">Dilutive impact of shares from other securities </t>
  </si>
  <si>
    <t>Net diluted shares outstanding</t>
  </si>
  <si>
    <t>x</t>
  </si>
  <si>
    <t>2014 EPS sensitivity</t>
  </si>
  <si>
    <t>Net Debt</t>
  </si>
  <si>
    <t>Perpetuity</t>
  </si>
  <si>
    <t>Enterprise value</t>
  </si>
  <si>
    <t>Less: Trapped cash</t>
  </si>
  <si>
    <t>Fair value per share</t>
  </si>
  <si>
    <t>Market premium / (discount) to fair value</t>
  </si>
  <si>
    <t>Exercisable options</t>
  </si>
  <si>
    <t>Exercise price</t>
  </si>
  <si>
    <t>In-the-money exercisable options</t>
  </si>
  <si>
    <t>Sensitivity analysis</t>
  </si>
  <si>
    <t>Exit EBITDA Multiple</t>
  </si>
  <si>
    <t>Operating income</t>
  </si>
  <si>
    <t>Market cap</t>
  </si>
  <si>
    <t>EV/EBITDA</t>
  </si>
  <si>
    <t>Assume cash flows are generated at:</t>
  </si>
  <si>
    <t>Middle of period</t>
  </si>
  <si>
    <t>Midperiod adjustment factor</t>
  </si>
  <si>
    <t>Comps derived EV/EBITDA</t>
  </si>
  <si>
    <t>EBITDA % of plan</t>
  </si>
  <si>
    <t>Implied TV exit EBITDA multiple</t>
  </si>
  <si>
    <t>Implied TV perpetual growth rate</t>
  </si>
  <si>
    <t>High</t>
  </si>
  <si>
    <t>Low</t>
  </si>
  <si>
    <t>Diff.</t>
  </si>
  <si>
    <t>52 Week Market High/Low</t>
  </si>
  <si>
    <t>Football field</t>
  </si>
  <si>
    <t>Options / warrants data</t>
  </si>
  <si>
    <t>LTM EBITDA multiple</t>
  </si>
  <si>
    <t>WACC:</t>
  </si>
  <si>
    <t>LTM calculations</t>
  </si>
  <si>
    <t>D&amp;A</t>
  </si>
  <si>
    <t>LTM EBITDA</t>
  </si>
  <si>
    <t>Long term growth rate (g):</t>
  </si>
  <si>
    <t xml:space="preserve">After tax cost of debt </t>
  </si>
  <si>
    <t>Cost of equity</t>
  </si>
  <si>
    <t>Capital weights</t>
  </si>
  <si>
    <t>Amount</t>
  </si>
  <si>
    <t>% of total</t>
  </si>
  <si>
    <t>Market value of equity</t>
  </si>
  <si>
    <r>
      <t>Normalized FCF</t>
    </r>
    <r>
      <rPr>
        <vertAlign val="superscript"/>
        <sz val="11"/>
        <color theme="1"/>
        <rFont val="Calibri"/>
        <family val="2"/>
        <scheme val="minor"/>
      </rPr>
      <t xml:space="preserve">t+1 </t>
    </r>
  </si>
  <si>
    <t>Normalized FCF in last forecast period (t)</t>
  </si>
  <si>
    <t>Beta calculation</t>
  </si>
  <si>
    <r>
      <t xml:space="preserve">Observed </t>
    </r>
    <r>
      <rPr>
        <sz val="11"/>
        <color theme="1"/>
        <rFont val="Symbol"/>
        <family val="1"/>
        <charset val="2"/>
      </rPr>
      <t>b</t>
    </r>
  </si>
  <si>
    <t>Share price</t>
  </si>
  <si>
    <t>Dil. shares</t>
  </si>
  <si>
    <t>Debt</t>
  </si>
  <si>
    <r>
      <t xml:space="preserve">Delev. </t>
    </r>
    <r>
      <rPr>
        <sz val="11"/>
        <color theme="1"/>
        <rFont val="Symbol"/>
        <family val="1"/>
        <charset val="2"/>
      </rPr>
      <t>b</t>
    </r>
  </si>
  <si>
    <t>MSFT</t>
  </si>
  <si>
    <t>GOOG</t>
  </si>
  <si>
    <t>AMZN</t>
  </si>
  <si>
    <t>Industry average delevered beta</t>
  </si>
  <si>
    <r>
      <t xml:space="preserve">Observed </t>
    </r>
    <r>
      <rPr>
        <u val="singleAccounting"/>
        <sz val="9"/>
        <color theme="1"/>
        <rFont val="Symbol"/>
        <family val="1"/>
        <charset val="2"/>
      </rPr>
      <t>b</t>
    </r>
  </si>
  <si>
    <r>
      <t xml:space="preserve">Select </t>
    </r>
    <r>
      <rPr>
        <u val="singleAccounting"/>
        <sz val="9"/>
        <color theme="1"/>
        <rFont val="Symbol"/>
        <family val="1"/>
        <charset val="2"/>
      </rPr>
      <t>b:</t>
    </r>
  </si>
  <si>
    <t>Observed</t>
  </si>
  <si>
    <t>Procter &amp; Gamble</t>
  </si>
  <si>
    <t>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</si>
</sst>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5">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quot; &quot;"/>
    <numFmt numFmtId="165" formatCode="&quot;$&quot;#,##0.00_);\(&quot;$&quot;#,##0.00\);@_)"/>
    <numFmt numFmtId="166" formatCode="#,##0.0_);\(#,##0.0\);@_)"/>
    <numFmt numFmtId="167" formatCode="0\A;[Red]0\A"/>
    <numFmt numFmtId="168" formatCode="0\P_);\(0\P\)"/>
    <numFmt numFmtId="169" formatCode="m/d/yy;@"/>
    <numFmt numFmtId="170" formatCode="#,##0_);\(#,##0\);@_)"/>
    <numFmt numFmtId="171" formatCode="0.0%_);\(0.0%\);@_)"/>
    <numFmt numFmtId="172" formatCode="0.0%"/>
    <numFmt numFmtId="173" formatCode="&quot;$&quot;#,##0.0_);\(&quot;$&quot;#,##0.0\)"/>
    <numFmt numFmtId="174" formatCode="0.00\x_);\(0.00\x\);@_)"/>
    <numFmt numFmtId="175" formatCode="0\ &quot;days&quot;"/>
    <numFmt numFmtId="176" formatCode="0.0\x"/>
    <numFmt numFmtId="177" formatCode="#,##0.000_);\(#,##0.000\)"/>
    <numFmt numFmtId="178" formatCode="0.00%_);\(0.00%\);@_)"/>
    <numFmt numFmtId="179" formatCode="0.0%;\(0.0%\)"/>
    <numFmt numFmtId="180" formatCode="0.0%;\ \(0.0%\)"/>
    <numFmt numFmtId="181" formatCode="#,##0.00_);\(#,##0.00\);@_)"/>
    <numFmt numFmtId="182" formatCode="0%_);\(0%\);@_)"/>
    <numFmt numFmtId="183" formatCode="#,##0.00_);\(#,##0\)"/>
    <numFmt numFmtId="184" formatCode="#,##0.0%_);\(#,##0.0%\)"/>
    <numFmt numFmtId="185" formatCode="0.0\ \x"/>
    <numFmt numFmtId="186" formatCode="#,##0.00\ ;\(#,##0.00\)"/>
    <numFmt numFmtId="187" formatCode="&quot;$&quot;#,##0.00\ ;\(&quot;$&quot;#,##0.00\)"/>
    <numFmt numFmtId="188" formatCode="0.0%_);\(0.0%\)"/>
    <numFmt numFmtId="189" formatCode="0.000\ \x&quot;rate&quot;"/>
    <numFmt numFmtId="190" formatCode="#,##0.000_);[Red]\(#,##0.000\)"/>
    <numFmt numFmtId="191" formatCode="0.00_);\(0.00\);0.00"/>
    <numFmt numFmtId="192" formatCode="\C&quot;$&quot;#,##0.00_);[Red]\(&quot;$&quot;#,##0.00\)"/>
    <numFmt numFmtId="193" formatCode="#,##0%_);\(#,##0.0%\)"/>
    <numFmt numFmtId="194" formatCode="_(* #,##0.00000000_);_(* \(#,##0.00000000\);_(* &quot;-&quot;?_);_(@_)"/>
    <numFmt numFmtId="195" formatCode="mmm\-d\-yyyy"/>
    <numFmt numFmtId="196" formatCode="mmm\-yyyy"/>
    <numFmt numFmtId="197" formatCode="yyyy"/>
    <numFmt numFmtId="198" formatCode="0.00\x&quot;rate&quot;"/>
    <numFmt numFmtId="199" formatCode="0.0&quot;  &quot;"/>
    <numFmt numFmtId="200" formatCode="&quot;$&quot;#,##0.0\ ;[Red]\(&quot;$&quot;#,##0\)"/>
    <numFmt numFmtId="201" formatCode="_(&quot;$&quot;* #,##0.00_);_(&quot;$&quot;* \(#,##0.00\);_(&quot;$&quot;* &quot;-&quot;?_);_(@_)"/>
    <numFmt numFmtId="202" formatCode="&quot;$&quot;#,##0.000_);[Red]\(&quot;$&quot;#,##0.000\)"/>
    <numFmt numFmtId="203" formatCode="&quot;$&quot;#,##0.00&quot;A&quot;;[Red]\(&quot;$&quot;#,##0.00\)&quot;A&quot;"/>
    <numFmt numFmtId="204" formatCode="#,##0.0\ ;[Red]\(&quot;$&quot;#,##0\)"/>
    <numFmt numFmtId="205" formatCode="&quot;$&quot;#,##0.00&quot;E&quot;;[Red]\(&quot;$&quot;#,##0.00\)&quot;E&quot;"/>
    <numFmt numFmtId="206" formatCode="_([$€-2]* #,##0.00_);_([$€-2]* \(#,##0.00\);_([$€-2]* &quot;-&quot;??_)"/>
    <numFmt numFmtId="207" formatCode="#,##0.00;\(#,##0.00\)"/>
    <numFmt numFmtId="208" formatCode=".%\,\(0.0%%;\t"/>
    <numFmt numFmtId="209" formatCode="#,##0.0_);[Red]\(#,##0.0\)"/>
    <numFmt numFmtId="210" formatCode="0.0%_);[Red]\(0.0%\)"/>
    <numFmt numFmtId="211" formatCode="0.00_);\(0.00\);0.00_)"/>
    <numFmt numFmtId="212" formatCode="#,##0\x"/>
    <numFmt numFmtId="213" formatCode="&quot;TKR&quot;\ 0"/>
    <numFmt numFmtId="214" formatCode=".%\,\(0.%%;\t"/>
    <numFmt numFmtId="215" formatCode="&quot;$&quot;#,###.0\ \ "/>
    <numFmt numFmtId="216" formatCode="#,##0.00\x_);[Red]\(#,##0.00\x\)"/>
    <numFmt numFmtId="217" formatCode="#,##0.0_);\(#,##0.0\)"/>
    <numFmt numFmtId="218" formatCode="#,##0.00\x_);[Red]\(#,##0.00\x\);&quot;--  &quot;"/>
    <numFmt numFmtId="219" formatCode="_(* #,##0.0_);_(* \(#,##0.0\);_(* &quot;-&quot;??_);_(@_)"/>
    <numFmt numFmtId="220" formatCode="0.0\x_);[Red]\(0.0\x\)"/>
    <numFmt numFmtId="221" formatCode="0.0\ "/>
    <numFmt numFmtId="222" formatCode="&quot;$&quot;#,##0.0;\(&quot;$&quot;#,##0.00\)"/>
    <numFmt numFmtId="223" formatCode="#,##0.00%_);\(#,##0.00%\)"/>
    <numFmt numFmtId="224" formatCode="0.00\%;\-0.00\%;0.00\%"/>
    <numFmt numFmtId="225" formatCode="0.0%\ ;\(0.0%\)"/>
    <numFmt numFmtId="226" formatCode="_(&quot;$&quot;* #,##0_);_(&quot;$&quot;* \(#,##0\);_(&quot;$&quot;* &quot;-&quot;??_);_(@_)"/>
    <numFmt numFmtId="227" formatCode="&quot;$&quot;0.00\ "/>
    <numFmt numFmtId="228" formatCode="0.0\ \ \ \ \ "/>
    <numFmt numFmtId="229" formatCode="0.00\x;\-0.00\x;0.00\x"/>
    <numFmt numFmtId="230" formatCode="&quot;$&quot;#,##0.000_);\(&quot;$&quot;#,##0.000\)"/>
    <numFmt numFmtId="231" formatCode="#,##0.0_);\(#,##0.0\);_(* &quot;-&quot;_)"/>
    <numFmt numFmtId="232" formatCode="_(&quot;$&quot;* #,##0.00_);_(&quot;$&quot;* \(#,##0.00\);_(* &quot;-&quot;_);_(@_)"/>
    <numFmt numFmtId="233" formatCode="0.00%_);[Red]\(0.00%\)"/>
    <numFmt numFmtId="234" formatCode="#,##0.0\x_);\(#,##0.0\x\)"/>
    <numFmt numFmtId="235" formatCode="#,##0.00\x_);\(#,##0.00\x\)"/>
    <numFmt numFmtId="236" formatCode="###0&quot;E&quot;_)"/>
    <numFmt numFmtId="237" formatCode="0.0\x_);\(0.0\x\);@_)"/>
    <numFmt numFmtId="238" formatCode="#,##0.0_);\(#,##0.0\);\-_);@_)"/>
    <numFmt numFmtId="239" formatCode="#,##0.000"/>
    <numFmt numFmtId="240" formatCode="0.000%_);\(0.000%\);@_)"/>
    <numFmt numFmtId="241" formatCode="0.000%"/>
    <numFmt numFmtId="242" formatCode="0.000\x_);\(0.000\x\);@_)"/>
    <numFmt numFmtId="243" formatCode="#,##0.00_);\(#,##0.00\);\-_);@_)"/>
  </numFmts>
  <fonts count="84">
    <font>
      <sz val="11"/>
      <color theme="1"/>
      <name val="Calibri"/>
      <family val="2"/>
      <scheme val="minor"/>
    </font>
    <font>
      <b/>
      <sz val="11"/>
      <color theme="1"/>
      <name val="Calibri"/>
      <family val="2"/>
      <scheme val="minor"/>
    </font>
    <font>
      <b/>
      <sz val="20"/>
      <color theme="1"/>
      <name val="Calibri"/>
      <family val="2"/>
      <scheme val="minor"/>
    </font>
    <font>
      <i/>
      <sz val="11"/>
      <color rgb="FF000000"/>
      <name val="Calibri"/>
      <family val="2"/>
      <scheme val="minor"/>
    </font>
    <font>
      <sz val="11"/>
      <color rgb="FF000000"/>
      <name val="Calibri"/>
      <family val="2"/>
      <scheme val="minor"/>
    </font>
    <font>
      <sz val="11"/>
      <color rgb="FF0000FF"/>
      <name val="Calibri"/>
      <family val="2"/>
      <scheme val="minor"/>
    </font>
    <font>
      <b/>
      <sz val="11"/>
      <color rgb="FF000000"/>
      <name val="Calibri"/>
      <family val="2"/>
      <scheme val="minor"/>
    </font>
    <font>
      <b/>
      <sz val="11"/>
      <color rgb="FF0000FF"/>
      <name val="Calibri"/>
      <family val="2"/>
      <scheme val="minor"/>
    </font>
    <font>
      <b/>
      <sz val="9"/>
      <color indexed="81"/>
      <name val="Tahoma"/>
      <family val="2"/>
    </font>
    <font>
      <sz val="9"/>
      <color indexed="81"/>
      <name val="Tahoma"/>
      <family val="2"/>
    </font>
    <font>
      <sz val="10"/>
      <name val="GillSans"/>
    </font>
    <font>
      <sz val="8"/>
      <color indexed="49"/>
      <name val="Times New Roman"/>
      <family val="1"/>
    </font>
    <font>
      <sz val="10"/>
      <name val="Arial"/>
      <family val="2"/>
    </font>
    <font>
      <sz val="10"/>
      <name val="Trebuchet MS"/>
      <family val="2"/>
    </font>
    <font>
      <sz val="11"/>
      <color indexed="8"/>
      <name val="Calibri"/>
      <family val="2"/>
    </font>
    <font>
      <sz val="11"/>
      <color indexed="9"/>
      <name val="Calibri"/>
      <family val="2"/>
    </font>
    <font>
      <sz val="11"/>
      <color indexed="20"/>
      <name val="Calibri"/>
      <family val="2"/>
    </font>
    <font>
      <sz val="8"/>
      <name val="Times New Roman"/>
      <family val="1"/>
    </font>
    <font>
      <sz val="10"/>
      <name val="Times New Roman"/>
      <family val="1"/>
    </font>
    <font>
      <b/>
      <sz val="18"/>
      <name val="Tms Rmn"/>
    </font>
    <font>
      <b/>
      <sz val="11"/>
      <color indexed="52"/>
      <name val="Calibri"/>
      <family val="2"/>
    </font>
    <font>
      <b/>
      <sz val="11"/>
      <color indexed="9"/>
      <name val="Calibri"/>
      <family val="2"/>
    </font>
    <font>
      <b/>
      <sz val="7"/>
      <name val="GillSans"/>
    </font>
    <font>
      <sz val="10"/>
      <name val="Geneva"/>
    </font>
    <font>
      <sz val="24"/>
      <name val="Arial"/>
      <family val="2"/>
    </font>
    <font>
      <sz val="8"/>
      <name val="Arial"/>
      <family val="2"/>
    </font>
    <font>
      <sz val="10"/>
      <name val="Helvetica"/>
      <family val="2"/>
    </font>
    <font>
      <b/>
      <sz val="8"/>
      <name val="Arial"/>
      <family val="2"/>
    </font>
    <font>
      <b/>
      <sz val="8"/>
      <name val="Times New Roman"/>
      <family val="1"/>
    </font>
    <font>
      <i/>
      <sz val="11"/>
      <color indexed="23"/>
      <name val="Calibri"/>
      <family val="2"/>
    </font>
    <font>
      <sz val="11"/>
      <color indexed="17"/>
      <name val="Calibri"/>
      <family val="2"/>
    </font>
    <font>
      <i/>
      <sz val="8"/>
      <color indexed="17"/>
      <name val="Times New Roman"/>
      <family val="1"/>
    </font>
    <font>
      <sz val="8"/>
      <color indexed="21"/>
      <name val="Arial"/>
      <family val="2"/>
    </font>
    <font>
      <b/>
      <sz val="15"/>
      <color indexed="56"/>
      <name val="Calibri"/>
      <family val="2"/>
    </font>
    <font>
      <b/>
      <sz val="13"/>
      <color indexed="56"/>
      <name val="Calibri"/>
      <family val="2"/>
    </font>
    <font>
      <b/>
      <sz val="11"/>
      <color indexed="56"/>
      <name val="Calibri"/>
      <family val="2"/>
    </font>
    <font>
      <sz val="10"/>
      <color indexed="12"/>
      <name val="Trebuchet MS"/>
      <family val="2"/>
    </font>
    <font>
      <sz val="10"/>
      <name val="MS Sans Serif"/>
      <family val="2"/>
    </font>
    <font>
      <sz val="11"/>
      <color indexed="62"/>
      <name val="Calibri"/>
      <family val="2"/>
    </font>
    <font>
      <b/>
      <sz val="10"/>
      <color indexed="9"/>
      <name val="Tms Rmn"/>
    </font>
    <font>
      <b/>
      <sz val="10"/>
      <name val="Arial"/>
      <family val="2"/>
    </font>
    <font>
      <sz val="11"/>
      <color indexed="52"/>
      <name val="Calibri"/>
      <family val="2"/>
    </font>
    <font>
      <sz val="8"/>
      <color indexed="18"/>
      <name val="Times New Roman"/>
      <family val="1"/>
    </font>
    <font>
      <sz val="11"/>
      <color indexed="60"/>
      <name val="Calibri"/>
      <family val="2"/>
    </font>
    <font>
      <b/>
      <sz val="11"/>
      <color indexed="63"/>
      <name val="Calibri"/>
      <family val="2"/>
    </font>
    <font>
      <sz val="10"/>
      <name val="Palatino"/>
    </font>
    <font>
      <sz val="12"/>
      <name val="Baskerville MT"/>
    </font>
    <font>
      <u/>
      <sz val="10"/>
      <name val="GillSans"/>
      <family val="2"/>
    </font>
    <font>
      <sz val="10"/>
      <name val="GillSans Light"/>
    </font>
    <font>
      <b/>
      <sz val="12"/>
      <name val="Arial"/>
      <family val="2"/>
    </font>
    <font>
      <b/>
      <sz val="16"/>
      <name val="Arial"/>
      <family val="2"/>
    </font>
    <font>
      <sz val="8"/>
      <name val="MS Sans Serif"/>
      <family val="2"/>
    </font>
    <font>
      <sz val="8.25"/>
      <color indexed="8"/>
      <name val="Arial"/>
      <family val="2"/>
    </font>
    <font>
      <b/>
      <u val="singleAccounting"/>
      <sz val="8"/>
      <color indexed="8"/>
      <name val="Arial"/>
      <family val="2"/>
    </font>
    <font>
      <sz val="8"/>
      <color indexed="8"/>
      <name val="Arial"/>
      <family val="2"/>
    </font>
    <font>
      <sz val="8"/>
      <color indexed="39"/>
      <name val="Arial"/>
      <family val="2"/>
    </font>
    <font>
      <sz val="7"/>
      <name val="Times New Roman"/>
      <family val="1"/>
    </font>
    <font>
      <sz val="7"/>
      <color indexed="17"/>
      <name val="Times New Roman"/>
      <family val="1"/>
    </font>
    <font>
      <sz val="7"/>
      <color indexed="18"/>
      <name val="Times New Roman"/>
      <family val="1"/>
    </font>
    <font>
      <b/>
      <sz val="12"/>
      <name val="GillSans"/>
      <family val="2"/>
    </font>
    <font>
      <b/>
      <sz val="18"/>
      <color indexed="56"/>
      <name val="Cambria"/>
      <family val="2"/>
    </font>
    <font>
      <b/>
      <sz val="11"/>
      <name val="GillSans"/>
    </font>
    <font>
      <b/>
      <sz val="8"/>
      <color indexed="18"/>
      <name val="Times New Roman"/>
      <family val="1"/>
    </font>
    <font>
      <i/>
      <sz val="8"/>
      <name val="Times New Roman"/>
      <family val="1"/>
    </font>
    <font>
      <u/>
      <sz val="11"/>
      <name val="GillSans"/>
      <family val="2"/>
    </font>
    <font>
      <b/>
      <sz val="11"/>
      <color indexed="8"/>
      <name val="Calibri"/>
      <family val="2"/>
    </font>
    <font>
      <sz val="11"/>
      <color indexed="10"/>
      <name val="Calibri"/>
      <family val="2"/>
    </font>
    <font>
      <b/>
      <sz val="11"/>
      <color rgb="FF008000"/>
      <name val="Calibri"/>
      <family val="2"/>
      <scheme val="minor"/>
    </font>
    <font>
      <i/>
      <sz val="11"/>
      <color theme="1"/>
      <name val="Calibri"/>
      <family val="2"/>
      <scheme val="minor"/>
    </font>
    <font>
      <i/>
      <sz val="11"/>
      <color rgb="FF0000FF"/>
      <name val="Calibri"/>
      <family val="2"/>
      <scheme val="minor"/>
    </font>
    <font>
      <u/>
      <sz val="11"/>
      <color theme="1"/>
      <name val="Calibri"/>
      <family val="2"/>
      <scheme val="minor"/>
    </font>
    <font>
      <sz val="11"/>
      <name val="Calibri"/>
      <family val="2"/>
      <scheme val="minor"/>
    </font>
    <font>
      <sz val="11"/>
      <color rgb="FF008000"/>
      <name val="Calibri"/>
      <family val="2"/>
      <scheme val="minor"/>
    </font>
    <font>
      <b/>
      <sz val="11"/>
      <color indexed="8"/>
      <name val="Calibri"/>
      <family val="2"/>
      <scheme val="minor"/>
    </font>
    <font>
      <vertAlign val="superscript"/>
      <sz val="11"/>
      <color theme="1"/>
      <name val="Calibri"/>
      <family val="2"/>
      <scheme val="minor"/>
    </font>
    <font>
      <i/>
      <sz val="11"/>
      <color rgb="FF008000"/>
      <name val="Calibri"/>
      <family val="2"/>
      <scheme val="minor"/>
    </font>
    <font>
      <u val="singleAccounting"/>
      <sz val="11"/>
      <color theme="1"/>
      <name val="Calibri"/>
      <family val="2"/>
      <scheme val="minor"/>
    </font>
    <font>
      <sz val="8"/>
      <color theme="1"/>
      <name val="Calibri"/>
      <family val="2"/>
      <scheme val="minor"/>
    </font>
    <font>
      <b/>
      <sz val="8"/>
      <color rgb="FF0000FF"/>
      <name val="Calibri"/>
      <family val="2"/>
      <scheme val="minor"/>
    </font>
    <font>
      <i/>
      <sz val="10"/>
      <color rgb="FF0000FF"/>
      <name val="Calibri"/>
      <family val="2"/>
      <scheme val="minor"/>
    </font>
    <font>
      <u val="singleAccounting"/>
      <sz val="11"/>
      <color rgb="FF000000"/>
      <name val="Calibri"/>
      <family val="2"/>
      <scheme val="minor"/>
    </font>
    <font>
      <sz val="11"/>
      <color theme="1"/>
      <name val="Symbol"/>
      <family val="1"/>
      <charset val="2"/>
    </font>
    <font>
      <u val="singleAccounting"/>
      <sz val="9"/>
      <color theme="1"/>
      <name val="Calibri"/>
      <family val="2"/>
      <scheme val="minor"/>
    </font>
    <font>
      <u val="singleAccounting"/>
      <sz val="9"/>
      <color theme="1"/>
      <name val="Symbol"/>
      <family val="1"/>
      <charset val="2"/>
    </font>
  </fonts>
  <fills count="33">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indexed="15"/>
        <bgColor indexed="64"/>
      </patternFill>
    </fill>
    <fill>
      <patternFill patternType="solid">
        <fgColor indexed="43"/>
      </patternFill>
    </fill>
    <fill>
      <patternFill patternType="solid">
        <fgColor indexed="8"/>
        <bgColor indexed="64"/>
      </patternFill>
    </fill>
    <fill>
      <patternFill patternType="solid">
        <fgColor indexed="13"/>
        <bgColor indexed="64"/>
      </patternFill>
    </fill>
    <fill>
      <patternFill patternType="solid">
        <fgColor indexed="26"/>
      </patternFill>
    </fill>
    <fill>
      <patternFill patternType="solid">
        <fgColor indexed="61"/>
        <bgColor indexed="64"/>
      </patternFill>
    </fill>
    <fill>
      <patternFill patternType="solid">
        <fgColor rgb="FFFFFF99"/>
        <bgColor indexed="64"/>
      </patternFill>
    </fill>
    <fill>
      <patternFill patternType="solid">
        <fgColor rgb="FFCCFFFF"/>
        <bgColor indexed="64"/>
      </patternFill>
    </fill>
  </fills>
  <borders count="37">
    <border>
      <left/>
      <right/>
      <top/>
      <bottom/>
      <diagonal/>
    </border>
    <border>
      <left/>
      <right/>
      <top style="medium">
        <color rgb="FF000000"/>
      </top>
      <bottom style="medium">
        <color rgb="FF000000"/>
      </bottom>
      <diagonal/>
    </border>
    <border>
      <left/>
      <right/>
      <top/>
      <bottom style="thin">
        <color rgb="FF000000"/>
      </bottom>
      <diagonal/>
    </border>
    <border>
      <left/>
      <right/>
      <top/>
      <bottom style="medium">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23"/>
      </left>
      <right style="thin">
        <color indexed="23"/>
      </right>
      <top style="thin">
        <color indexed="23"/>
      </top>
      <bottom style="thin">
        <color indexed="23"/>
      </bottom>
      <diagonal/>
    </border>
    <border>
      <left/>
      <right/>
      <top/>
      <bottom style="double">
        <color indexed="64"/>
      </bottom>
      <diagonal/>
    </border>
    <border>
      <left style="double">
        <color indexed="63"/>
      </left>
      <right style="double">
        <color indexed="63"/>
      </right>
      <top style="double">
        <color indexed="63"/>
      </top>
      <bottom style="double">
        <color indexed="63"/>
      </bottom>
      <diagonal/>
    </border>
    <border>
      <left/>
      <right/>
      <top/>
      <bottom style="thin">
        <color indexed="64"/>
      </bottom>
      <diagonal/>
    </border>
    <border>
      <left/>
      <right style="thin">
        <color indexed="64"/>
      </right>
      <top/>
      <bottom/>
      <diagonal/>
    </border>
    <border>
      <left style="thin">
        <color indexed="9"/>
      </left>
      <right style="thin">
        <color indexed="9"/>
      </right>
      <top/>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right/>
      <top/>
      <bottom style="thick">
        <color indexed="64"/>
      </bottom>
      <diagonal/>
    </border>
    <border>
      <left/>
      <right/>
      <top style="thin">
        <color indexed="62"/>
      </top>
      <bottom style="double">
        <color indexed="62"/>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186">
    <xf numFmtId="0" fontId="0" fillId="0" borderId="0"/>
    <xf numFmtId="0" fontId="10" fillId="0" borderId="0"/>
    <xf numFmtId="183" fontId="10" fillId="0" borderId="0">
      <alignment horizontal="right"/>
    </xf>
    <xf numFmtId="184" fontId="10" fillId="2" borderId="0"/>
    <xf numFmtId="185" fontId="10" fillId="2" borderId="0"/>
    <xf numFmtId="184" fontId="10" fillId="2" borderId="0"/>
    <xf numFmtId="186" fontId="10" fillId="2" borderId="0"/>
    <xf numFmtId="187" fontId="10" fillId="2" borderId="0">
      <alignment horizontal="right"/>
    </xf>
    <xf numFmtId="188" fontId="11" fillId="0" borderId="0" applyFont="0" applyFill="0" applyBorder="0" applyAlignment="0" applyProtection="0"/>
    <xf numFmtId="0" fontId="12" fillId="0" borderId="0" applyNumberFormat="0" applyFont="0" applyFill="0" applyBorder="0" applyAlignment="0" applyProtection="0"/>
    <xf numFmtId="189" fontId="13" fillId="0" borderId="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6" borderId="0" applyNumberFormat="0" applyBorder="0" applyAlignment="0" applyProtection="0"/>
    <xf numFmtId="0" fontId="14" fillId="9" borderId="0" applyNumberFormat="0" applyBorder="0" applyAlignment="0" applyProtection="0"/>
    <xf numFmtId="0" fontId="14" fillId="12" borderId="0" applyNumberFormat="0" applyBorder="0" applyAlignment="0" applyProtection="0"/>
    <xf numFmtId="0" fontId="15" fillId="13"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20" borderId="0" applyNumberFormat="0" applyBorder="0" applyAlignment="0" applyProtection="0"/>
    <xf numFmtId="0" fontId="13" fillId="0" borderId="0"/>
    <xf numFmtId="0" fontId="16" fillId="4" borderId="0" applyNumberFormat="0" applyBorder="0" applyAlignment="0" applyProtection="0"/>
    <xf numFmtId="190" fontId="17" fillId="0" borderId="0" applyFont="0" applyFill="0" applyBorder="0" applyAlignment="0" applyProtection="0"/>
    <xf numFmtId="38" fontId="17" fillId="0" borderId="0" applyFill="0" applyBorder="0" applyAlignment="0" applyProtection="0">
      <protection locked="0"/>
    </xf>
    <xf numFmtId="0" fontId="18" fillId="0" borderId="0"/>
    <xf numFmtId="37" fontId="19" fillId="0" borderId="0">
      <alignment horizontal="centerContinuous"/>
    </xf>
    <xf numFmtId="0" fontId="20" fillId="21" borderId="9" applyNumberFormat="0" applyAlignment="0" applyProtection="0"/>
    <xf numFmtId="190" fontId="17" fillId="0" borderId="0" applyFont="0" applyFill="0" applyBorder="0" applyAlignment="0" applyProtection="0">
      <protection locked="0"/>
    </xf>
    <xf numFmtId="190" fontId="17" fillId="0" borderId="10" applyFont="0" applyFill="0" applyAlignment="0" applyProtection="0"/>
    <xf numFmtId="0" fontId="21" fillId="22" borderId="11" applyNumberFormat="0" applyAlignment="0" applyProtection="0"/>
    <xf numFmtId="0" fontId="12" fillId="0" borderId="0">
      <alignment horizontal="center" wrapText="1"/>
      <protection hidden="1"/>
    </xf>
    <xf numFmtId="0" fontId="22" fillId="0" borderId="12" applyNumberFormat="0" applyFill="0" applyBorder="0" applyProtection="0">
      <alignment horizontal="left" vertical="center"/>
    </xf>
    <xf numFmtId="0" fontId="22" fillId="0" borderId="12" applyNumberFormat="0" applyFill="0" applyBorder="0" applyProtection="0">
      <alignment horizontal="right" vertical="center"/>
    </xf>
    <xf numFmtId="43" fontId="12" fillId="0" borderId="0" applyFont="0" applyFill="0" applyBorder="0" applyAlignment="0" applyProtection="0"/>
    <xf numFmtId="37" fontId="23" fillId="0" borderId="0" applyFont="0" applyFill="0" applyBorder="0" applyAlignment="0" applyProtection="0"/>
    <xf numFmtId="39" fontId="23" fillId="0" borderId="0" applyFont="0" applyFill="0" applyBorder="0" applyAlignment="0" applyProtection="0"/>
    <xf numFmtId="0" fontId="24" fillId="23" borderId="0">
      <alignment horizontal="center" vertical="center" wrapText="1"/>
    </xf>
    <xf numFmtId="191" fontId="12" fillId="0" borderId="0" applyFill="0" applyBorder="0">
      <alignment horizontal="right"/>
      <protection locked="0"/>
    </xf>
    <xf numFmtId="0" fontId="25" fillId="0" borderId="0" applyFont="0" applyFill="0" applyBorder="0" applyAlignment="0"/>
    <xf numFmtId="7" fontId="26" fillId="0" borderId="0" applyFont="0" applyFill="0" applyBorder="0" applyAlignment="0" applyProtection="0"/>
    <xf numFmtId="5" fontId="23" fillId="0" borderId="0" applyFont="0" applyFill="0" applyBorder="0" applyAlignment="0" applyProtection="0"/>
    <xf numFmtId="192" fontId="13" fillId="0" borderId="0" applyFill="0" applyBorder="0" applyProtection="0">
      <alignment horizontal="right"/>
    </xf>
    <xf numFmtId="193" fontId="10" fillId="2" borderId="13">
      <alignment horizontal="right"/>
    </xf>
    <xf numFmtId="194" fontId="10" fillId="2" borderId="13">
      <alignment horizontal="right"/>
    </xf>
    <xf numFmtId="193" fontId="10" fillId="2" borderId="13">
      <alignment horizontal="right"/>
    </xf>
    <xf numFmtId="15" fontId="27" fillId="0" borderId="0" applyFill="0" applyBorder="0" applyAlignment="0"/>
    <xf numFmtId="195" fontId="25" fillId="24" borderId="0" applyFont="0" applyFill="0" applyBorder="0" applyAlignment="0" applyProtection="0"/>
    <xf numFmtId="196" fontId="27" fillId="0" borderId="12"/>
    <xf numFmtId="14" fontId="28" fillId="0" borderId="0" applyFont="0" applyFill="0" applyBorder="0" applyAlignment="0" applyProtection="0">
      <alignment horizontal="center"/>
    </xf>
    <xf numFmtId="197" fontId="28" fillId="0" borderId="0" applyFont="0" applyFill="0" applyBorder="0" applyAlignment="0" applyProtection="0">
      <alignment horizontal="center"/>
    </xf>
    <xf numFmtId="198" fontId="13" fillId="0" borderId="0" applyFont="0" applyFill="0" applyBorder="0" applyAlignment="0" applyProtection="0"/>
    <xf numFmtId="8" fontId="17" fillId="0" borderId="0" applyFont="0" applyFill="0" applyBorder="0" applyAlignment="0" applyProtection="0"/>
    <xf numFmtId="6" fontId="17" fillId="0" borderId="0" applyFont="0" applyFill="0" applyBorder="0" applyAlignment="0" applyProtection="0">
      <alignment horizontal="right"/>
    </xf>
    <xf numFmtId="6" fontId="17" fillId="0" borderId="0" applyFont="0" applyFill="0" applyBorder="0" applyAlignment="0" applyProtection="0"/>
    <xf numFmtId="39" fontId="10" fillId="25" borderId="0"/>
    <xf numFmtId="7" fontId="10" fillId="25" borderId="0" applyBorder="0"/>
    <xf numFmtId="199" fontId="10" fillId="25" borderId="0"/>
    <xf numFmtId="200" fontId="10" fillId="0" borderId="0"/>
    <xf numFmtId="201" fontId="10" fillId="25" borderId="0"/>
    <xf numFmtId="202" fontId="10" fillId="25" borderId="0"/>
    <xf numFmtId="203" fontId="18" fillId="0" borderId="0" applyFont="0" applyFill="0" applyBorder="0" applyProtection="0">
      <alignment horizontal="left"/>
      <protection locked="0"/>
    </xf>
    <xf numFmtId="204" fontId="10" fillId="0" borderId="0"/>
    <xf numFmtId="205" fontId="18" fillId="0" borderId="0" applyFont="0" applyFill="0" applyBorder="0" applyProtection="0">
      <alignment horizontal="left"/>
      <protection locked="0"/>
    </xf>
    <xf numFmtId="206" fontId="12" fillId="0" borderId="0" applyFont="0" applyFill="0" applyBorder="0" applyAlignment="0" applyProtection="0"/>
    <xf numFmtId="0" fontId="29" fillId="0" borderId="0" applyNumberFormat="0" applyFill="0" applyBorder="0" applyAlignment="0" applyProtection="0"/>
    <xf numFmtId="188" fontId="10" fillId="0" borderId="14"/>
    <xf numFmtId="207" fontId="10" fillId="2" borderId="13">
      <alignment horizontal="right"/>
    </xf>
    <xf numFmtId="208" fontId="10" fillId="2" borderId="13">
      <alignment horizontal="right"/>
    </xf>
    <xf numFmtId="207" fontId="10" fillId="2" borderId="13">
      <alignment horizontal="right"/>
    </xf>
    <xf numFmtId="209" fontId="17" fillId="0" borderId="0" applyFill="0" applyBorder="0" applyAlignment="0" applyProtection="0">
      <protection locked="0"/>
    </xf>
    <xf numFmtId="0" fontId="30" fillId="5" borderId="0" applyNumberFormat="0" applyBorder="0" applyAlignment="0" applyProtection="0"/>
    <xf numFmtId="210" fontId="31" fillId="0" borderId="0" applyFill="0" applyBorder="0" applyAlignment="0" applyProtection="0"/>
    <xf numFmtId="188" fontId="32" fillId="0" borderId="0" applyAlignment="0">
      <alignment horizontal="left"/>
      <protection locked="0"/>
    </xf>
    <xf numFmtId="209" fontId="13" fillId="26" borderId="15" applyNumberFormat="0" applyFont="0" applyAlignment="0" applyProtection="0"/>
    <xf numFmtId="0" fontId="33" fillId="0" borderId="16" applyNumberFormat="0" applyFill="0" applyAlignment="0" applyProtection="0"/>
    <xf numFmtId="0" fontId="34" fillId="0" borderId="17" applyNumberFormat="0" applyFill="0" applyAlignment="0" applyProtection="0"/>
    <xf numFmtId="0" fontId="35" fillId="0" borderId="18" applyNumberFormat="0" applyFill="0" applyAlignment="0" applyProtection="0"/>
    <xf numFmtId="0" fontId="35" fillId="0" borderId="0" applyNumberFormat="0" applyFill="0" applyBorder="0" applyAlignment="0" applyProtection="0"/>
    <xf numFmtId="209" fontId="36" fillId="0" borderId="0" applyNumberFormat="0" applyFill="0" applyBorder="0" applyAlignment="0" applyProtection="0"/>
    <xf numFmtId="0" fontId="37" fillId="0" borderId="0"/>
    <xf numFmtId="190" fontId="17" fillId="0" borderId="0" applyFont="0" applyFill="0" applyBorder="0" applyAlignment="0" applyProtection="0"/>
    <xf numFmtId="38" fontId="17" fillId="0" borderId="0" applyFill="0" applyBorder="0" applyAlignment="0" applyProtection="0">
      <alignment horizontal="right"/>
      <protection locked="0"/>
    </xf>
    <xf numFmtId="0" fontId="38" fillId="8" borderId="9" applyNumberFormat="0" applyAlignment="0" applyProtection="0"/>
    <xf numFmtId="0" fontId="25" fillId="24" borderId="0" applyFont="0" applyBorder="0" applyAlignment="0">
      <protection locked="0"/>
    </xf>
    <xf numFmtId="0" fontId="12" fillId="0" borderId="0" applyFill="0" applyBorder="0">
      <alignment horizontal="right"/>
      <protection locked="0"/>
    </xf>
    <xf numFmtId="17" fontId="39" fillId="27" borderId="0"/>
    <xf numFmtId="211" fontId="12" fillId="0" borderId="0" applyFill="0" applyBorder="0">
      <alignment horizontal="right"/>
      <protection locked="0"/>
    </xf>
    <xf numFmtId="0" fontId="40" fillId="28" borderId="19">
      <alignment horizontal="left" vertical="center" wrapText="1"/>
    </xf>
    <xf numFmtId="0" fontId="41" fillId="0" borderId="20" applyNumberFormat="0" applyFill="0" applyAlignment="0" applyProtection="0"/>
    <xf numFmtId="172" fontId="17" fillId="0" borderId="0" applyFont="0" applyFill="0" applyBorder="0" applyAlignment="0" applyProtection="0">
      <alignment horizontal="right"/>
    </xf>
    <xf numFmtId="212" fontId="10" fillId="0" borderId="0">
      <alignment horizontal="right"/>
    </xf>
    <xf numFmtId="213" fontId="10" fillId="25" borderId="0">
      <alignment horizontal="right"/>
    </xf>
    <xf numFmtId="214" fontId="10" fillId="0" borderId="0">
      <alignment horizontal="right"/>
    </xf>
    <xf numFmtId="212" fontId="10" fillId="0" borderId="0">
      <alignment horizontal="right"/>
    </xf>
    <xf numFmtId="188" fontId="42" fillId="0" borderId="0" applyFill="0" applyBorder="0" applyAlignment="0" applyProtection="0">
      <alignment horizontal="right"/>
    </xf>
    <xf numFmtId="188" fontId="42" fillId="0" borderId="0" applyFill="0" applyBorder="0" applyAlignment="0" applyProtection="0"/>
    <xf numFmtId="215" fontId="10" fillId="2" borderId="13">
      <alignment horizontal="right"/>
    </xf>
    <xf numFmtId="216" fontId="17" fillId="0" borderId="0" applyFont="0" applyFill="0" applyBorder="0" applyAlignment="0" applyProtection="0"/>
    <xf numFmtId="0" fontId="23" fillId="2" borderId="0" applyFont="0" applyBorder="0" applyAlignment="0" applyProtection="0">
      <alignment horizontal="right"/>
      <protection hidden="1"/>
    </xf>
    <xf numFmtId="0" fontId="43" fillId="26" borderId="0" applyNumberFormat="0" applyBorder="0" applyAlignment="0" applyProtection="0"/>
    <xf numFmtId="37" fontId="26" fillId="0" borderId="0" applyFont="0" applyFill="0" applyBorder="0" applyAlignment="0" applyProtection="0"/>
    <xf numFmtId="217" fontId="12" fillId="0" borderId="0" applyFont="0" applyFill="0" applyBorder="0" applyAlignment="0" applyProtection="0"/>
    <xf numFmtId="39" fontId="12" fillId="0" borderId="0" applyFont="0" applyFill="0" applyBorder="0" applyAlignment="0" applyProtection="0"/>
    <xf numFmtId="177" fontId="12" fillId="0" borderId="0" applyFont="0" applyFill="0" applyBorder="0" applyAlignment="0" applyProtection="0"/>
    <xf numFmtId="0" fontId="12" fillId="0" borderId="0"/>
    <xf numFmtId="0" fontId="27" fillId="0" borderId="0" applyNumberFormat="0" applyFill="0" applyBorder="0" applyAlignment="0" applyProtection="0"/>
    <xf numFmtId="0" fontId="25" fillId="0" borderId="0" applyFont="0" applyFill="0" applyBorder="0" applyAlignment="0" applyProtection="0"/>
    <xf numFmtId="218" fontId="25" fillId="0" borderId="0" applyFont="0" applyFill="0" applyBorder="0" applyAlignment="0" applyProtection="0"/>
    <xf numFmtId="0" fontId="14" fillId="29" borderId="21" applyNumberFormat="0" applyFont="0" applyAlignment="0" applyProtection="0"/>
    <xf numFmtId="0" fontId="23" fillId="0" borderId="0" applyFont="0" applyFill="0" applyBorder="0" applyAlignment="0" applyProtection="0"/>
    <xf numFmtId="219" fontId="12" fillId="0" borderId="0" applyFont="0" applyFill="0" applyBorder="0" applyAlignment="0" applyProtection="0"/>
    <xf numFmtId="0" fontId="23" fillId="0" borderId="0" applyFont="0" applyFill="0" applyBorder="0" applyAlignment="0" applyProtection="0"/>
    <xf numFmtId="0" fontId="44" fillId="21" borderId="22" applyNumberFormat="0" applyAlignment="0" applyProtection="0"/>
    <xf numFmtId="220" fontId="17" fillId="0" borderId="0" applyFont="0" applyFill="0" applyBorder="0" applyAlignment="0" applyProtection="0">
      <alignment horizontal="right"/>
    </xf>
    <xf numFmtId="0" fontId="45" fillId="0" borderId="0" applyNumberFormat="0" applyFill="0" applyBorder="0" applyAlignment="0" applyProtection="0"/>
    <xf numFmtId="0" fontId="25" fillId="0" borderId="0"/>
    <xf numFmtId="221" fontId="10" fillId="25" borderId="0"/>
    <xf numFmtId="9" fontId="17" fillId="0" borderId="0" applyFont="0" applyFill="0" applyBorder="0" applyAlignment="0" applyProtection="0">
      <alignment horizontal="right"/>
    </xf>
    <xf numFmtId="222" fontId="10" fillId="0" borderId="0"/>
    <xf numFmtId="0" fontId="12" fillId="0" borderId="0" applyFont="0" applyFill="0" applyBorder="0" applyAlignment="0"/>
    <xf numFmtId="184" fontId="12" fillId="0" borderId="0" applyFont="0" applyFill="0" applyBorder="0" applyAlignment="0" applyProtection="0"/>
    <xf numFmtId="223" fontId="12" fillId="0" borderId="0" applyFont="0" applyFill="0" applyBorder="0" applyAlignment="0" applyProtection="0"/>
    <xf numFmtId="224" fontId="12" fillId="0" borderId="0" applyFill="0" applyBorder="0">
      <alignment horizontal="right"/>
      <protection locked="0"/>
    </xf>
    <xf numFmtId="210" fontId="17" fillId="0" borderId="0" applyFont="0" applyFill="0" applyBorder="0" applyAlignment="0" applyProtection="0"/>
    <xf numFmtId="8" fontId="17" fillId="0" borderId="0" applyFont="0" applyFill="0" applyBorder="0" applyAlignment="0" applyProtection="0"/>
    <xf numFmtId="190" fontId="17" fillId="0" borderId="0" applyFont="0" applyFill="0" applyBorder="0" applyAlignment="0" applyProtection="0">
      <protection locked="0"/>
    </xf>
    <xf numFmtId="209" fontId="17" fillId="0" borderId="0" applyFill="0" applyBorder="0" applyAlignment="0" applyProtection="0"/>
    <xf numFmtId="38" fontId="17" fillId="0" borderId="0" applyFont="0" applyFill="0" applyBorder="0" applyAlignment="0" applyProtection="0"/>
    <xf numFmtId="186" fontId="10" fillId="2" borderId="23">
      <alignment horizontal="right"/>
    </xf>
    <xf numFmtId="225" fontId="46" fillId="2" borderId="0"/>
    <xf numFmtId="226" fontId="10" fillId="2" borderId="0"/>
    <xf numFmtId="0" fontId="47" fillId="0" borderId="0">
      <alignment horizontal="center"/>
    </xf>
    <xf numFmtId="0" fontId="10" fillId="0" borderId="12">
      <alignment horizontal="centerContinuous"/>
    </xf>
    <xf numFmtId="227" fontId="10" fillId="2" borderId="0">
      <alignment horizontal="right"/>
    </xf>
    <xf numFmtId="228" fontId="10" fillId="2" borderId="13">
      <alignment horizontal="right"/>
    </xf>
    <xf numFmtId="229" fontId="12" fillId="0" borderId="0">
      <alignment horizontal="right"/>
      <protection locked="0"/>
    </xf>
    <xf numFmtId="209" fontId="28" fillId="0" borderId="0" applyFont="0" applyFill="0" applyBorder="0" applyAlignment="0" applyProtection="0"/>
    <xf numFmtId="0" fontId="48" fillId="0" borderId="0" applyNumberFormat="0" applyFill="0" applyBorder="0" applyProtection="0">
      <alignment horizontal="right" vertical="center"/>
    </xf>
    <xf numFmtId="0" fontId="49" fillId="23" borderId="15">
      <alignment horizontal="center" vertical="center" wrapText="1"/>
      <protection hidden="1"/>
    </xf>
    <xf numFmtId="190" fontId="17" fillId="0" borderId="0" applyFill="0" applyBorder="0" applyAlignment="0" applyProtection="0">
      <protection locked="0"/>
    </xf>
    <xf numFmtId="230" fontId="28" fillId="0" borderId="0" applyFont="0" applyFill="0" applyBorder="0" applyAlignment="0" applyProtection="0">
      <alignment horizontal="right"/>
    </xf>
    <xf numFmtId="38" fontId="12" fillId="0" borderId="0" applyFont="0" applyFill="0" applyBorder="0" applyAlignment="0" applyProtection="0"/>
    <xf numFmtId="0" fontId="50" fillId="0" borderId="24" applyNumberFormat="0" applyFill="0" applyProtection="0">
      <alignment horizontal="left" vertical="top" wrapText="1"/>
    </xf>
    <xf numFmtId="0" fontId="37" fillId="0" borderId="0" applyNumberFormat="0" applyFill="0" applyBorder="0" applyProtection="0">
      <alignment horizontal="left" vertical="top" wrapText="1"/>
    </xf>
    <xf numFmtId="0" fontId="51" fillId="0" borderId="0" applyNumberFormat="0" applyFill="0" applyProtection="0">
      <alignment horizontal="left" vertical="top" wrapText="1"/>
    </xf>
    <xf numFmtId="0" fontId="52" fillId="0" borderId="0" applyNumberFormat="0" applyFill="0" applyBorder="0" applyProtection="0"/>
    <xf numFmtId="0" fontId="53" fillId="30" borderId="0" applyNumberFormat="0" applyBorder="0" applyProtection="0"/>
    <xf numFmtId="0" fontId="54" fillId="0" borderId="0" applyNumberFormat="0" applyFill="0" applyBorder="0" applyProtection="0">
      <alignment vertical="top"/>
    </xf>
    <xf numFmtId="231" fontId="55" fillId="0" borderId="0" applyFill="0" applyBorder="0" applyProtection="0">
      <alignment horizontal="right" wrapText="1"/>
    </xf>
    <xf numFmtId="232" fontId="55" fillId="0" borderId="0" applyFill="0" applyBorder="0" applyProtection="0">
      <alignment horizontal="right"/>
    </xf>
    <xf numFmtId="4" fontId="25" fillId="0" borderId="0" applyFill="0" applyBorder="0" applyProtection="0">
      <alignment horizontal="right"/>
    </xf>
    <xf numFmtId="202" fontId="56" fillId="0" borderId="0" applyFill="0" applyBorder="0" applyAlignment="0" applyProtection="0"/>
    <xf numFmtId="233" fontId="57" fillId="0" borderId="0" applyFill="0" applyBorder="0" applyAlignment="0" applyProtection="0">
      <alignment horizontal="left"/>
      <protection locked="0"/>
    </xf>
    <xf numFmtId="233" fontId="57" fillId="0" borderId="0" applyFill="0" applyBorder="0" applyAlignment="0" applyProtection="0"/>
    <xf numFmtId="233" fontId="58" fillId="0" borderId="0" applyFill="0" applyBorder="0" applyAlignment="0" applyProtection="0">
      <alignment horizontal="left"/>
      <protection locked="0"/>
    </xf>
    <xf numFmtId="233" fontId="58" fillId="0" borderId="0" applyFill="0" applyBorder="0" applyAlignment="0" applyProtection="0">
      <protection locked="0"/>
    </xf>
    <xf numFmtId="209" fontId="17" fillId="0" borderId="0" applyFill="0" applyBorder="0" applyAlignment="0" applyProtection="0">
      <protection locked="0"/>
    </xf>
    <xf numFmtId="209" fontId="56" fillId="0" borderId="0" applyFill="0" applyBorder="0" applyAlignment="0" applyProtection="0"/>
    <xf numFmtId="49" fontId="59" fillId="0" borderId="0"/>
    <xf numFmtId="234" fontId="12" fillId="0" borderId="0" applyFont="0" applyFill="0" applyBorder="0" applyAlignment="0" applyProtection="0"/>
    <xf numFmtId="235" fontId="12" fillId="0" borderId="0" applyFont="0" applyFill="0" applyBorder="0" applyAlignment="0" applyProtection="0"/>
    <xf numFmtId="0" fontId="60" fillId="0" borderId="0" applyNumberFormat="0" applyFill="0" applyBorder="0" applyAlignment="0" applyProtection="0"/>
    <xf numFmtId="0" fontId="61" fillId="1" borderId="0" applyNumberFormat="0" applyBorder="0" applyProtection="0">
      <alignment horizontal="left" vertical="center"/>
    </xf>
    <xf numFmtId="209" fontId="62" fillId="0" borderId="0" applyNumberFormat="0" applyFill="0" applyBorder="0" applyAlignment="0" applyProtection="0"/>
    <xf numFmtId="0" fontId="12" fillId="0" borderId="0" applyBorder="0"/>
    <xf numFmtId="38" fontId="63" fillId="0" borderId="0" applyFill="0" applyBorder="0" applyAlignment="0" applyProtection="0">
      <alignment horizontal="left"/>
    </xf>
    <xf numFmtId="0" fontId="64" fillId="0" borderId="0"/>
    <xf numFmtId="0" fontId="65" fillId="0" borderId="25" applyNumberFormat="0" applyFill="0" applyAlignment="0" applyProtection="0"/>
    <xf numFmtId="0" fontId="66" fillId="0" borderId="0" applyNumberFormat="0" applyFill="0" applyBorder="0" applyAlignment="0" applyProtection="0"/>
    <xf numFmtId="1" fontId="17" fillId="0" borderId="0" applyFont="0" applyFill="0" applyBorder="0" applyAlignment="0" applyProtection="0"/>
    <xf numFmtId="236" fontId="26" fillId="0" borderId="0" applyFont="0" applyFill="0" applyBorder="0" applyAlignment="0" applyProtection="0"/>
  </cellStyleXfs>
  <cellXfs count="232">
    <xf numFmtId="0" fontId="0" fillId="0" borderId="0" xfId="0"/>
    <xf numFmtId="0" fontId="2" fillId="0" borderId="1" xfId="0" applyFont="1" applyBorder="1"/>
    <xf numFmtId="14" fontId="3" fillId="0" borderId="0" xfId="0" applyNumberFormat="1" applyFont="1" applyFill="1" applyBorder="1" applyAlignment="1">
      <alignment horizontal="left"/>
    </xf>
    <xf numFmtId="0" fontId="4" fillId="0" borderId="0" xfId="0" applyFont="1" applyBorder="1"/>
    <xf numFmtId="0" fontId="5" fillId="0" borderId="0" xfId="0" applyFont="1" applyFill="1" applyBorder="1" applyAlignment="1">
      <alignment horizontal="right"/>
    </xf>
    <xf numFmtId="164" fontId="0" fillId="0" borderId="0" xfId="0" applyNumberFormat="1" applyFont="1" applyBorder="1"/>
    <xf numFmtId="165" fontId="5" fillId="0" borderId="0" xfId="0" applyNumberFormat="1" applyFont="1" applyFill="1" applyBorder="1" applyAlignment="1">
      <alignment horizontal="right"/>
    </xf>
    <xf numFmtId="0" fontId="6" fillId="0" borderId="0" xfId="0" applyFont="1" applyFill="1" applyBorder="1"/>
    <xf numFmtId="166" fontId="7" fillId="0" borderId="0" xfId="0" applyNumberFormat="1" applyFont="1" applyFill="1" applyBorder="1" applyAlignment="1">
      <alignment horizontal="right"/>
    </xf>
    <xf numFmtId="14" fontId="5" fillId="0" borderId="0" xfId="0" applyNumberFormat="1" applyFont="1" applyFill="1" applyBorder="1" applyAlignment="1">
      <alignment horizontal="right"/>
    </xf>
    <xf numFmtId="0" fontId="4" fillId="0" borderId="0" xfId="0" applyFont="1" applyFill="1" applyBorder="1"/>
    <xf numFmtId="166" fontId="5" fillId="0" borderId="0" xfId="0" applyNumberFormat="1" applyFont="1" applyFill="1" applyBorder="1" applyAlignment="1">
      <alignment horizontal="right"/>
    </xf>
    <xf numFmtId="176" fontId="0" fillId="0" borderId="0" xfId="0" applyNumberFormat="1" applyFont="1"/>
    <xf numFmtId="176" fontId="4" fillId="0" borderId="0" xfId="0" applyNumberFormat="1" applyFont="1"/>
    <xf numFmtId="171" fontId="0" fillId="0" borderId="0" xfId="0" applyNumberFormat="1" applyFont="1"/>
    <xf numFmtId="175" fontId="4" fillId="0" borderId="0" xfId="0" applyNumberFormat="1" applyFont="1"/>
    <xf numFmtId="171" fontId="4" fillId="0" borderId="0" xfId="0" applyNumberFormat="1" applyFont="1"/>
    <xf numFmtId="0" fontId="0" fillId="0" borderId="0" xfId="0" applyFont="1"/>
    <xf numFmtId="0" fontId="0" fillId="0" borderId="1" xfId="0" applyFont="1" applyBorder="1"/>
    <xf numFmtId="0" fontId="67" fillId="0" borderId="0" xfId="0" applyFont="1" applyBorder="1"/>
    <xf numFmtId="0" fontId="0" fillId="0" borderId="0" xfId="0" applyFont="1" applyBorder="1"/>
    <xf numFmtId="14" fontId="68" fillId="0" borderId="0" xfId="0" applyNumberFormat="1" applyFont="1" applyBorder="1"/>
    <xf numFmtId="0" fontId="1" fillId="0" borderId="2" xfId="0" applyFont="1" applyBorder="1"/>
    <xf numFmtId="0" fontId="67" fillId="0" borderId="2" xfId="0" applyFont="1" applyBorder="1"/>
    <xf numFmtId="0" fontId="0" fillId="0" borderId="2" xfId="0" applyFont="1" applyBorder="1"/>
    <xf numFmtId="167" fontId="1" fillId="0" borderId="0" xfId="0" applyNumberFormat="1" applyFont="1" applyBorder="1"/>
    <xf numFmtId="168" fontId="1" fillId="0" borderId="0" xfId="0" applyNumberFormat="1" applyFont="1" applyBorder="1"/>
    <xf numFmtId="0" fontId="68" fillId="0" borderId="2" xfId="0" applyFont="1" applyBorder="1"/>
    <xf numFmtId="169" fontId="69" fillId="0" borderId="2" xfId="0" applyNumberFormat="1" applyFont="1" applyBorder="1"/>
    <xf numFmtId="169" fontId="68" fillId="0" borderId="2" xfId="0" applyNumberFormat="1" applyFont="1" applyBorder="1"/>
    <xf numFmtId="0" fontId="68" fillId="0" borderId="0" xfId="0" applyFont="1" applyBorder="1"/>
    <xf numFmtId="169" fontId="69" fillId="0" borderId="0" xfId="0" applyNumberFormat="1" applyFont="1" applyBorder="1"/>
    <xf numFmtId="169" fontId="68" fillId="0" borderId="0" xfId="0" applyNumberFormat="1" applyFont="1" applyBorder="1"/>
    <xf numFmtId="37" fontId="5" fillId="0" borderId="0" xfId="0" applyNumberFormat="1" applyFont="1" applyFill="1" applyBorder="1"/>
    <xf numFmtId="37" fontId="4" fillId="0" borderId="0" xfId="0" applyNumberFormat="1" applyFont="1" applyBorder="1"/>
    <xf numFmtId="0" fontId="1" fillId="0" borderId="0" xfId="0" applyFont="1" applyBorder="1"/>
    <xf numFmtId="37" fontId="6" fillId="0" borderId="0" xfId="0" applyNumberFormat="1" applyFont="1" applyFill="1" applyBorder="1"/>
    <xf numFmtId="0" fontId="0" fillId="0" borderId="0" xfId="0" applyFont="1" applyFill="1" applyBorder="1"/>
    <xf numFmtId="37" fontId="0" fillId="0" borderId="0" xfId="0" applyNumberFormat="1" applyFont="1" applyBorder="1"/>
    <xf numFmtId="37" fontId="6" fillId="0" borderId="0" xfId="0" applyNumberFormat="1" applyFont="1" applyBorder="1"/>
    <xf numFmtId="3" fontId="5" fillId="0" borderId="0" xfId="0" applyNumberFormat="1" applyFont="1"/>
    <xf numFmtId="170" fontId="0" fillId="0" borderId="0" xfId="0" applyNumberFormat="1" applyFont="1"/>
    <xf numFmtId="3" fontId="4" fillId="0" borderId="0" xfId="0" applyNumberFormat="1" applyFont="1"/>
    <xf numFmtId="7" fontId="0" fillId="0" borderId="0" xfId="0" applyNumberFormat="1" applyFont="1"/>
    <xf numFmtId="0" fontId="1" fillId="0" borderId="0" xfId="0" applyFont="1"/>
    <xf numFmtId="7" fontId="1" fillId="0" borderId="0" xfId="0" applyNumberFormat="1" applyFont="1"/>
    <xf numFmtId="0" fontId="70" fillId="0" borderId="0" xfId="0" applyFont="1"/>
    <xf numFmtId="0" fontId="0" fillId="0" borderId="0" xfId="0" applyFont="1" applyBorder="1" applyAlignment="1">
      <alignment horizontal="left" indent="1"/>
    </xf>
    <xf numFmtId="171" fontId="0" fillId="0" borderId="0" xfId="0" applyNumberFormat="1" applyFont="1" applyBorder="1" applyAlignment="1">
      <alignment horizontal="right"/>
    </xf>
    <xf numFmtId="171" fontId="4" fillId="0" borderId="0" xfId="0" applyNumberFormat="1" applyFont="1" applyBorder="1"/>
    <xf numFmtId="171" fontId="4" fillId="0" borderId="0" xfId="0" applyNumberFormat="1" applyFont="1" applyFill="1" applyBorder="1"/>
    <xf numFmtId="0" fontId="0" fillId="0" borderId="0" xfId="0" applyFont="1" applyFill="1" applyBorder="1" applyAlignment="1">
      <alignment horizontal="left" indent="1"/>
    </xf>
    <xf numFmtId="171" fontId="5" fillId="0" borderId="0" xfId="0" applyNumberFormat="1" applyFont="1" applyBorder="1" applyAlignment="1"/>
    <xf numFmtId="0" fontId="70" fillId="0" borderId="0" xfId="0" applyFont="1" applyFill="1" applyBorder="1"/>
    <xf numFmtId="0" fontId="0" fillId="0" borderId="0" xfId="0" applyFont="1" applyAlignment="1">
      <alignment horizontal="left" indent="1"/>
    </xf>
    <xf numFmtId="0" fontId="1" fillId="0" borderId="0" xfId="0" applyFont="1" applyAlignment="1">
      <alignment horizontal="left" indent="1"/>
    </xf>
    <xf numFmtId="3" fontId="6" fillId="0" borderId="0" xfId="0" applyNumberFormat="1" applyFont="1"/>
    <xf numFmtId="3" fontId="0" fillId="0" borderId="0" xfId="0" applyNumberFormat="1" applyFont="1"/>
    <xf numFmtId="167" fontId="6" fillId="0" borderId="0" xfId="0" applyNumberFormat="1" applyFont="1" applyBorder="1"/>
    <xf numFmtId="168" fontId="6" fillId="0" borderId="0" xfId="0" applyNumberFormat="1" applyFont="1" applyBorder="1"/>
    <xf numFmtId="169" fontId="3" fillId="0" borderId="2" xfId="0" applyNumberFormat="1" applyFont="1" applyBorder="1"/>
    <xf numFmtId="37" fontId="4" fillId="0" borderId="0" xfId="0" applyNumberFormat="1" applyFont="1"/>
    <xf numFmtId="37" fontId="0" fillId="0" borderId="0" xfId="0" applyNumberFormat="1" applyFont="1"/>
    <xf numFmtId="171" fontId="5" fillId="0" borderId="0" xfId="0" applyNumberFormat="1" applyFont="1"/>
    <xf numFmtId="166" fontId="0" fillId="0" borderId="0" xfId="0" applyNumberFormat="1" applyFont="1"/>
    <xf numFmtId="14" fontId="68" fillId="0" borderId="0" xfId="0" applyNumberFormat="1" applyFont="1"/>
    <xf numFmtId="173" fontId="5" fillId="0" borderId="0" xfId="0" applyNumberFormat="1" applyFont="1" applyFill="1"/>
    <xf numFmtId="37" fontId="5" fillId="0" borderId="0" xfId="0" applyNumberFormat="1" applyFont="1" applyFill="1" applyAlignment="1"/>
    <xf numFmtId="166" fontId="5" fillId="0" borderId="0" xfId="0" applyNumberFormat="1" applyFont="1" applyFill="1" applyBorder="1"/>
    <xf numFmtId="37" fontId="5" fillId="0" borderId="0" xfId="0" applyNumberFormat="1" applyFont="1" applyFill="1" applyBorder="1" applyAlignment="1"/>
    <xf numFmtId="37" fontId="4" fillId="0" borderId="0" xfId="0" applyNumberFormat="1" applyFont="1" applyFill="1" applyBorder="1" applyAlignment="1"/>
    <xf numFmtId="0" fontId="0" fillId="0" borderId="0" xfId="0" applyFont="1" applyFill="1" applyBorder="1" applyAlignment="1">
      <alignment horizontal="left"/>
    </xf>
    <xf numFmtId="166" fontId="5" fillId="0" borderId="0" xfId="0" applyNumberFormat="1" applyFont="1" applyFill="1" applyBorder="1" applyAlignment="1">
      <alignment horizontal="left" indent="3"/>
    </xf>
    <xf numFmtId="0" fontId="1" fillId="0" borderId="0" xfId="0" applyFont="1" applyBorder="1" applyAlignment="1">
      <alignment horizontal="left"/>
    </xf>
    <xf numFmtId="173" fontId="6" fillId="0" borderId="0" xfId="0" applyNumberFormat="1" applyFont="1" applyFill="1" applyBorder="1" applyAlignment="1">
      <alignment horizontal="left" indent="3"/>
    </xf>
    <xf numFmtId="37" fontId="6" fillId="0" borderId="0" xfId="0" applyNumberFormat="1" applyFont="1" applyBorder="1" applyAlignment="1"/>
    <xf numFmtId="0" fontId="0" fillId="0" borderId="0" xfId="0" applyFont="1" applyBorder="1" applyAlignment="1">
      <alignment horizontal="left"/>
    </xf>
    <xf numFmtId="166" fontId="0" fillId="0" borderId="0" xfId="0" applyNumberFormat="1" applyFont="1" applyFill="1" applyBorder="1" applyAlignment="1">
      <alignment horizontal="left" indent="3"/>
    </xf>
    <xf numFmtId="37" fontId="0" fillId="0" borderId="0" xfId="0" applyNumberFormat="1" applyFont="1" applyFill="1" applyBorder="1" applyAlignment="1"/>
    <xf numFmtId="173" fontId="5" fillId="0" borderId="0" xfId="0" applyNumberFormat="1" applyFont="1" applyFill="1" applyBorder="1" applyAlignment="1">
      <alignment horizontal="left" indent="3"/>
    </xf>
    <xf numFmtId="170" fontId="0" fillId="0" borderId="0" xfId="0" applyNumberFormat="1" applyFont="1" applyBorder="1"/>
    <xf numFmtId="37" fontId="6" fillId="0" borderId="0" xfId="0" applyNumberFormat="1" applyFont="1" applyFill="1" applyBorder="1" applyAlignment="1"/>
    <xf numFmtId="173" fontId="1" fillId="0" borderId="0" xfId="0" applyNumberFormat="1" applyFont="1" applyFill="1" applyBorder="1" applyAlignment="1">
      <alignment horizontal="left" indent="3"/>
    </xf>
    <xf numFmtId="37" fontId="1" fillId="0" borderId="0" xfId="0" applyNumberFormat="1" applyFont="1" applyFill="1" applyBorder="1" applyAlignment="1"/>
    <xf numFmtId="166" fontId="0" fillId="0" borderId="0" xfId="0" applyNumberFormat="1" applyFont="1" applyFill="1" applyBorder="1"/>
    <xf numFmtId="37" fontId="0" fillId="0" borderId="0" xfId="0" applyNumberFormat="1" applyFont="1" applyBorder="1" applyAlignment="1"/>
    <xf numFmtId="166" fontId="68" fillId="0" borderId="0" xfId="0" applyNumberFormat="1" applyFont="1" applyFill="1" applyBorder="1"/>
    <xf numFmtId="37" fontId="68" fillId="0" borderId="0" xfId="0" applyNumberFormat="1" applyFont="1" applyBorder="1" applyAlignment="1"/>
    <xf numFmtId="174" fontId="0" fillId="0" borderId="0" xfId="0" applyNumberFormat="1" applyFont="1"/>
    <xf numFmtId="173" fontId="5" fillId="0" borderId="0" xfId="0" applyNumberFormat="1" applyFont="1" applyFill="1" applyBorder="1"/>
    <xf numFmtId="169" fontId="3" fillId="0" borderId="0" xfId="0" applyNumberFormat="1" applyFont="1" applyBorder="1"/>
    <xf numFmtId="0" fontId="0" fillId="0" borderId="0" xfId="0" quotePrefix="1" applyFont="1" applyBorder="1" applyAlignment="1">
      <alignment horizontal="left" indent="1"/>
    </xf>
    <xf numFmtId="173" fontId="1" fillId="0" borderId="0" xfId="0" applyNumberFormat="1" applyFont="1" applyBorder="1"/>
    <xf numFmtId="166" fontId="0" fillId="0" borderId="0" xfId="0" applyNumberFormat="1" applyFont="1" applyBorder="1"/>
    <xf numFmtId="171" fontId="0" fillId="0" borderId="0" xfId="0" applyNumberFormat="1" applyFont="1" applyBorder="1"/>
    <xf numFmtId="175" fontId="0" fillId="0" borderId="0" xfId="0" applyNumberFormat="1" applyFont="1"/>
    <xf numFmtId="175" fontId="71" fillId="0" borderId="0" xfId="0" applyNumberFormat="1" applyFont="1"/>
    <xf numFmtId="37" fontId="5" fillId="0" borderId="0" xfId="0" applyNumberFormat="1" applyFont="1"/>
    <xf numFmtId="0" fontId="1" fillId="0" borderId="0" xfId="0" applyFont="1" applyFill="1" applyBorder="1"/>
    <xf numFmtId="171" fontId="0" fillId="0" borderId="2" xfId="0" applyNumberFormat="1" applyFont="1" applyBorder="1"/>
    <xf numFmtId="9" fontId="5" fillId="0" borderId="2" xfId="0" applyNumberFormat="1" applyFont="1" applyBorder="1"/>
    <xf numFmtId="9" fontId="5" fillId="0" borderId="0" xfId="0" applyNumberFormat="1" applyFont="1"/>
    <xf numFmtId="9" fontId="0" fillId="0" borderId="0" xfId="0" applyNumberFormat="1" applyFont="1"/>
    <xf numFmtId="0" fontId="5" fillId="0" borderId="0" xfId="0" applyFont="1"/>
    <xf numFmtId="177" fontId="5" fillId="0" borderId="0" xfId="0" applyNumberFormat="1" applyFont="1"/>
    <xf numFmtId="0" fontId="1" fillId="0" borderId="0" xfId="0" applyFont="1" applyFill="1" applyBorder="1" applyAlignment="1">
      <alignment horizontal="left"/>
    </xf>
    <xf numFmtId="3" fontId="0" fillId="0" borderId="0" xfId="0" applyNumberFormat="1" applyFont="1" applyBorder="1"/>
    <xf numFmtId="37" fontId="1" fillId="0" borderId="0" xfId="0" applyNumberFormat="1" applyFont="1" applyBorder="1"/>
    <xf numFmtId="37" fontId="1" fillId="0" borderId="0" xfId="0" applyNumberFormat="1" applyFont="1"/>
    <xf numFmtId="0" fontId="70" fillId="0" borderId="0" xfId="0" applyFont="1" applyBorder="1"/>
    <xf numFmtId="0" fontId="1" fillId="0" borderId="0" xfId="0" applyFont="1" applyBorder="1" applyAlignment="1">
      <alignment horizontal="left" indent="1"/>
    </xf>
    <xf numFmtId="0" fontId="0" fillId="0" borderId="0" xfId="0" quotePrefix="1" applyFont="1" applyBorder="1"/>
    <xf numFmtId="10" fontId="5" fillId="0" borderId="0" xfId="0" applyNumberFormat="1" applyFont="1"/>
    <xf numFmtId="178" fontId="5" fillId="0" borderId="0" xfId="0" applyNumberFormat="1" applyFont="1"/>
    <xf numFmtId="10" fontId="4" fillId="0" borderId="0" xfId="0" applyNumberFormat="1" applyFont="1"/>
    <xf numFmtId="37" fontId="0" fillId="0" borderId="0" xfId="0" applyNumberFormat="1" applyFont="1" applyFill="1"/>
    <xf numFmtId="0" fontId="4" fillId="0" borderId="0" xfId="0" applyFont="1"/>
    <xf numFmtId="39" fontId="0" fillId="0" borderId="0" xfId="0" applyNumberFormat="1" applyFont="1"/>
    <xf numFmtId="172" fontId="0" fillId="0" borderId="0" xfId="0" applyNumberFormat="1" applyFont="1"/>
    <xf numFmtId="165" fontId="0" fillId="0" borderId="0" xfId="0" applyNumberFormat="1" applyFont="1"/>
    <xf numFmtId="168" fontId="1" fillId="0" borderId="3" xfId="0" applyNumberFormat="1" applyFont="1" applyBorder="1"/>
    <xf numFmtId="0" fontId="0" fillId="0" borderId="3" xfId="0" applyFont="1" applyBorder="1"/>
    <xf numFmtId="0" fontId="0" fillId="0" borderId="0" xfId="0" applyFont="1" applyBorder="1" applyAlignment="1">
      <alignment horizontal="centerContinuous"/>
    </xf>
    <xf numFmtId="7" fontId="0" fillId="0" borderId="4" xfId="0" applyNumberFormat="1" applyFont="1" applyFill="1" applyBorder="1"/>
    <xf numFmtId="179" fontId="5" fillId="0" borderId="5" xfId="0" applyNumberFormat="1" applyFont="1" applyFill="1" applyBorder="1"/>
    <xf numFmtId="0" fontId="0" fillId="0" borderId="0" xfId="0" applyFont="1" applyAlignment="1">
      <alignment horizontal="right"/>
    </xf>
    <xf numFmtId="180" fontId="5" fillId="0" borderId="6" xfId="0" applyNumberFormat="1" applyFont="1" applyFill="1" applyBorder="1"/>
    <xf numFmtId="181" fontId="0" fillId="0" borderId="0" xfId="0" applyNumberFormat="1" applyFont="1" applyFill="1"/>
    <xf numFmtId="0" fontId="1" fillId="0" borderId="3" xfId="0" applyFont="1" applyBorder="1"/>
    <xf numFmtId="165" fontId="0" fillId="0" borderId="4" xfId="0" applyNumberFormat="1" applyFont="1" applyFill="1" applyBorder="1"/>
    <xf numFmtId="172" fontId="5" fillId="0" borderId="5" xfId="0" applyNumberFormat="1" applyFont="1" applyFill="1" applyBorder="1"/>
    <xf numFmtId="0" fontId="1" fillId="0" borderId="7" xfId="0" applyFont="1" applyFill="1" applyBorder="1"/>
    <xf numFmtId="14" fontId="7" fillId="0" borderId="8" xfId="0" applyNumberFormat="1" applyFont="1" applyFill="1" applyBorder="1" applyAlignment="1">
      <alignment horizontal="right"/>
    </xf>
    <xf numFmtId="0" fontId="0" fillId="0" borderId="0" xfId="0" applyFont="1" applyBorder="1" applyAlignment="1">
      <alignment horizontal="left" indent="2"/>
    </xf>
    <xf numFmtId="171" fontId="72" fillId="0" borderId="0" xfId="0" applyNumberFormat="1" applyFont="1"/>
    <xf numFmtId="182" fontId="0" fillId="0" borderId="0" xfId="0" applyNumberFormat="1" applyFont="1"/>
    <xf numFmtId="171" fontId="5" fillId="0" borderId="0" xfId="0" applyNumberFormat="1" applyFont="1" applyBorder="1"/>
    <xf numFmtId="0" fontId="1" fillId="0" borderId="0" xfId="0" applyFont="1" applyFill="1" applyBorder="1" applyAlignment="1">
      <alignment horizontal="left" indent="1"/>
    </xf>
    <xf numFmtId="0" fontId="73" fillId="0" borderId="3" xfId="0" applyNumberFormat="1" applyFont="1" applyFill="1" applyBorder="1" applyAlignment="1"/>
    <xf numFmtId="37" fontId="72" fillId="0" borderId="0" xfId="0" applyNumberFormat="1" applyFont="1"/>
    <xf numFmtId="14" fontId="0" fillId="0" borderId="0" xfId="0" applyNumberFormat="1" applyFont="1"/>
    <xf numFmtId="14" fontId="1" fillId="0" borderId="3" xfId="0" applyNumberFormat="1" applyFont="1" applyBorder="1"/>
    <xf numFmtId="0" fontId="68" fillId="0" borderId="0" xfId="0" applyFont="1" applyAlignment="1">
      <alignment horizontal="left"/>
    </xf>
    <xf numFmtId="37" fontId="6" fillId="0" borderId="0" xfId="0" applyNumberFormat="1" applyFont="1"/>
    <xf numFmtId="0" fontId="68" fillId="0" borderId="0" xfId="0" applyFont="1"/>
    <xf numFmtId="0" fontId="0" fillId="0" borderId="0" xfId="0" applyFont="1" applyAlignment="1">
      <alignment horizontal="left"/>
    </xf>
    <xf numFmtId="165" fontId="1" fillId="0" borderId="0" xfId="0" applyNumberFormat="1" applyFont="1"/>
    <xf numFmtId="0" fontId="71" fillId="0" borderId="0" xfId="0" applyNumberFormat="1" applyFont="1" applyFill="1" applyBorder="1" applyAlignment="1"/>
    <xf numFmtId="172" fontId="5" fillId="0" borderId="0" xfId="0" applyNumberFormat="1" applyFont="1" applyFill="1"/>
    <xf numFmtId="39" fontId="5" fillId="0" borderId="0" xfId="0" applyNumberFormat="1" applyFont="1" applyFill="1"/>
    <xf numFmtId="172" fontId="5" fillId="0" borderId="0" xfId="0" applyNumberFormat="1" applyFont="1" applyFill="1" applyBorder="1"/>
    <xf numFmtId="172" fontId="4" fillId="0" borderId="0" xfId="0" applyNumberFormat="1" applyFont="1"/>
    <xf numFmtId="165" fontId="72" fillId="0" borderId="0" xfId="0" applyNumberFormat="1" applyFont="1"/>
    <xf numFmtId="0" fontId="0" fillId="0" borderId="0" xfId="0" applyFont="1" applyFill="1" applyBorder="1" applyAlignment="1">
      <alignment horizontal="left" indent="2"/>
    </xf>
    <xf numFmtId="0" fontId="68" fillId="0" borderId="0" xfId="0" applyFont="1" applyAlignment="1">
      <alignment horizontal="left" indent="1"/>
    </xf>
    <xf numFmtId="14" fontId="0" fillId="0" borderId="0" xfId="0" applyNumberFormat="1"/>
    <xf numFmtId="37" fontId="0" fillId="0" borderId="0" xfId="0" applyNumberFormat="1"/>
    <xf numFmtId="171" fontId="75" fillId="0" borderId="0" xfId="0" applyNumberFormat="1" applyFont="1"/>
    <xf numFmtId="182" fontId="0" fillId="0" borderId="0" xfId="0" applyNumberFormat="1"/>
    <xf numFmtId="171" fontId="0" fillId="0" borderId="0" xfId="0" applyNumberFormat="1"/>
    <xf numFmtId="238" fontId="0" fillId="0" borderId="0" xfId="0" applyNumberFormat="1" applyFont="1"/>
    <xf numFmtId="237" fontId="68" fillId="0" borderId="0" xfId="0" applyNumberFormat="1" applyFont="1"/>
    <xf numFmtId="237" fontId="0" fillId="0" borderId="0" xfId="0" applyNumberFormat="1" applyFont="1"/>
    <xf numFmtId="0" fontId="0" fillId="0" borderId="3" xfId="0" applyBorder="1"/>
    <xf numFmtId="0" fontId="76" fillId="0" borderId="0" xfId="0" applyFont="1" applyBorder="1"/>
    <xf numFmtId="177" fontId="0" fillId="0" borderId="0" xfId="0" applyNumberFormat="1" applyFont="1"/>
    <xf numFmtId="239" fontId="5" fillId="0" borderId="0" xfId="0" applyNumberFormat="1" applyFont="1"/>
    <xf numFmtId="239" fontId="0" fillId="0" borderId="0" xfId="0" applyNumberFormat="1"/>
    <xf numFmtId="177" fontId="0" fillId="0" borderId="0" xfId="0" applyNumberFormat="1"/>
    <xf numFmtId="239" fontId="1" fillId="0" borderId="0" xfId="0" applyNumberFormat="1" applyFont="1"/>
    <xf numFmtId="165" fontId="0" fillId="0" borderId="29" xfId="0" applyNumberFormat="1" applyFont="1" applyBorder="1"/>
    <xf numFmtId="237" fontId="6" fillId="0" borderId="0" xfId="0" applyNumberFormat="1" applyFont="1"/>
    <xf numFmtId="0" fontId="78" fillId="31" borderId="34" xfId="0" applyFont="1" applyFill="1" applyBorder="1" applyAlignment="1">
      <alignment horizontal="center"/>
    </xf>
    <xf numFmtId="172" fontId="77" fillId="0" borderId="33" xfId="0" applyNumberFormat="1" applyFont="1" applyBorder="1" applyAlignment="1">
      <alignment horizontal="center"/>
    </xf>
    <xf numFmtId="165" fontId="0" fillId="0" borderId="0" xfId="0" applyNumberFormat="1" applyFont="1" applyBorder="1"/>
    <xf numFmtId="0" fontId="68" fillId="0" borderId="0" xfId="0" applyFont="1" applyFill="1" applyBorder="1"/>
    <xf numFmtId="0" fontId="1" fillId="0" borderId="3" xfId="0" applyFont="1" applyFill="1" applyBorder="1" applyAlignment="1">
      <alignment horizontal="left"/>
    </xf>
    <xf numFmtId="0" fontId="0" fillId="0" borderId="35" xfId="0" applyFont="1" applyBorder="1"/>
    <xf numFmtId="0" fontId="0" fillId="0" borderId="0" xfId="0" applyFont="1" applyBorder="1" applyAlignment="1">
      <alignment horizontal="right"/>
    </xf>
    <xf numFmtId="0" fontId="0" fillId="0" borderId="35" xfId="0" quotePrefix="1" applyFont="1" applyBorder="1"/>
    <xf numFmtId="0" fontId="0" fillId="0" borderId="36" xfId="0" applyFont="1" applyBorder="1"/>
    <xf numFmtId="0" fontId="0" fillId="0" borderId="32" xfId="0" applyFont="1" applyBorder="1"/>
    <xf numFmtId="0" fontId="0" fillId="0" borderId="26" xfId="0" applyFont="1" applyBorder="1"/>
    <xf numFmtId="0" fontId="0" fillId="0" borderId="31" xfId="0" applyFont="1" applyBorder="1"/>
    <xf numFmtId="37" fontId="5" fillId="0" borderId="2" xfId="0" applyNumberFormat="1" applyFont="1" applyBorder="1"/>
    <xf numFmtId="165" fontId="0" fillId="0" borderId="2" xfId="0" applyNumberFormat="1" applyFont="1" applyBorder="1" applyAlignment="1">
      <alignment horizontal="right"/>
    </xf>
    <xf numFmtId="0" fontId="76" fillId="0" borderId="0" xfId="0" applyFont="1" applyBorder="1" applyAlignment="1">
      <alignment horizontal="centerContinuous"/>
    </xf>
    <xf numFmtId="172" fontId="4" fillId="32" borderId="32" xfId="0" applyNumberFormat="1" applyFont="1" applyFill="1" applyBorder="1"/>
    <xf numFmtId="172" fontId="4" fillId="32" borderId="26" xfId="0" applyNumberFormat="1" applyFont="1" applyFill="1" applyBorder="1"/>
    <xf numFmtId="172" fontId="5" fillId="32" borderId="26" xfId="0" applyNumberFormat="1" applyFont="1" applyFill="1" applyBorder="1"/>
    <xf numFmtId="172" fontId="4" fillId="32" borderId="31" xfId="0" applyNumberFormat="1" applyFont="1" applyFill="1" applyBorder="1"/>
    <xf numFmtId="237" fontId="4" fillId="32" borderId="26" xfId="0" applyNumberFormat="1" applyFont="1" applyFill="1" applyBorder="1"/>
    <xf numFmtId="237" fontId="5" fillId="32" borderId="26" xfId="0" applyNumberFormat="1" applyFont="1" applyFill="1" applyBorder="1"/>
    <xf numFmtId="237" fontId="4" fillId="32" borderId="31" xfId="0" applyNumberFormat="1" applyFont="1" applyFill="1" applyBorder="1"/>
    <xf numFmtId="237" fontId="4" fillId="32" borderId="32" xfId="0" applyNumberFormat="1" applyFont="1" applyFill="1" applyBorder="1"/>
    <xf numFmtId="37" fontId="4" fillId="32" borderId="34" xfId="0" applyNumberFormat="1" applyFont="1" applyFill="1" applyBorder="1"/>
    <xf numFmtId="37" fontId="4" fillId="32" borderId="28" xfId="0" applyNumberFormat="1" applyFont="1" applyFill="1" applyBorder="1"/>
    <xf numFmtId="37" fontId="5" fillId="32" borderId="28" xfId="0" applyNumberFormat="1" applyFont="1" applyFill="1" applyBorder="1"/>
    <xf numFmtId="37" fontId="4" fillId="32" borderId="30" xfId="0" applyNumberFormat="1" applyFont="1" applyFill="1" applyBorder="1"/>
    <xf numFmtId="0" fontId="70" fillId="0" borderId="0" xfId="0" applyFont="1" applyAlignment="1">
      <alignment horizontal="right"/>
    </xf>
    <xf numFmtId="9" fontId="79" fillId="0" borderId="0" xfId="0" applyNumberFormat="1" applyFont="1" applyBorder="1" applyAlignment="1">
      <alignment horizontal="right"/>
    </xf>
    <xf numFmtId="37" fontId="1" fillId="0" borderId="0" xfId="0" applyNumberFormat="1" applyFont="1" applyFill="1" applyBorder="1" applyAlignment="1">
      <alignment vertical="center"/>
    </xf>
    <xf numFmtId="172" fontId="4" fillId="0" borderId="0" xfId="0" applyNumberFormat="1" applyFont="1" applyFill="1" applyBorder="1"/>
    <xf numFmtId="0" fontId="76" fillId="0" borderId="0" xfId="0" applyFont="1" applyAlignment="1">
      <alignment horizontal="right"/>
    </xf>
    <xf numFmtId="172" fontId="80" fillId="0" borderId="0" xfId="0" applyNumberFormat="1" applyFont="1" applyFill="1" applyBorder="1" applyAlignment="1">
      <alignment horizontal="right"/>
    </xf>
    <xf numFmtId="0" fontId="1" fillId="0" borderId="32" xfId="0" applyFont="1" applyBorder="1"/>
    <xf numFmtId="0" fontId="1" fillId="0" borderId="26" xfId="0" applyFont="1" applyBorder="1"/>
    <xf numFmtId="171" fontId="1" fillId="0" borderId="31" xfId="0" applyNumberFormat="1" applyFont="1" applyBorder="1"/>
    <xf numFmtId="240" fontId="68" fillId="0" borderId="0" xfId="0" applyNumberFormat="1" applyFont="1"/>
    <xf numFmtId="241" fontId="5" fillId="0" borderId="0" xfId="0" applyNumberFormat="1" applyFont="1"/>
    <xf numFmtId="242" fontId="68" fillId="0" borderId="0" xfId="0" applyNumberFormat="1" applyFont="1"/>
    <xf numFmtId="242" fontId="5" fillId="0" borderId="0" xfId="0" applyNumberFormat="1" applyFont="1"/>
    <xf numFmtId="181" fontId="0" fillId="0" borderId="0" xfId="0" applyNumberFormat="1" applyFont="1"/>
    <xf numFmtId="0" fontId="0" fillId="0" borderId="0" xfId="0" applyFont="1" applyAlignment="1">
      <alignment wrapText="1"/>
    </xf>
    <xf numFmtId="0" fontId="0" fillId="0" borderId="5" xfId="0" applyFont="1" applyBorder="1"/>
    <xf numFmtId="0" fontId="0" fillId="0" borderId="5" xfId="0" applyFont="1" applyBorder="1" applyAlignment="1">
      <alignment wrapText="1"/>
    </xf>
    <xf numFmtId="39" fontId="5" fillId="0" borderId="0" xfId="0" applyNumberFormat="1" applyFont="1"/>
    <xf numFmtId="166" fontId="5" fillId="0" borderId="0" xfId="0" applyNumberFormat="1" applyFont="1"/>
    <xf numFmtId="39" fontId="4" fillId="0" borderId="0" xfId="0" applyNumberFormat="1" applyFont="1" applyBorder="1"/>
    <xf numFmtId="39" fontId="0" fillId="0" borderId="0" xfId="0" applyNumberFormat="1" applyFont="1" applyBorder="1"/>
    <xf numFmtId="239" fontId="0" fillId="0" borderId="0" xfId="0" applyNumberFormat="1" applyFont="1" applyBorder="1"/>
    <xf numFmtId="0" fontId="82" fillId="0" borderId="0" xfId="0" applyFont="1" applyBorder="1" applyAlignment="1">
      <alignment horizontal="center" vertical="center"/>
    </xf>
    <xf numFmtId="0" fontId="78" fillId="31" borderId="33" xfId="0" applyFont="1" applyFill="1" applyBorder="1" applyAlignment="1">
      <alignment horizontal="center"/>
    </xf>
    <xf numFmtId="39" fontId="4" fillId="0" borderId="0" xfId="0" applyNumberFormat="1" applyFont="1" applyFill="1"/>
    <xf numFmtId="172" fontId="4" fillId="32" borderId="28" xfId="0" applyNumberFormat="1" applyFont="1" applyFill="1" applyBorder="1" applyAlignment="1">
      <alignment horizontal="right"/>
    </xf>
    <xf numFmtId="172" fontId="5" fillId="32" borderId="28" xfId="0" applyNumberFormat="1" applyFont="1" applyFill="1" applyBorder="1" applyAlignment="1">
      <alignment horizontal="right"/>
    </xf>
    <xf numFmtId="172" fontId="4" fillId="32" borderId="30" xfId="0" applyNumberFormat="1" applyFont="1" applyFill="1" applyBorder="1" applyAlignment="1">
      <alignment horizontal="right"/>
    </xf>
    <xf numFmtId="243" fontId="0" fillId="0" borderId="0" xfId="0" applyNumberFormat="1" applyFont="1"/>
    <xf numFmtId="243" fontId="0" fillId="0" borderId="0" xfId="0" applyNumberFormat="1" applyFont="1" applyBorder="1"/>
    <xf numFmtId="39" fontId="0" fillId="0" borderId="27" xfId="0" applyNumberFormat="1" applyFont="1" applyBorder="1"/>
    <xf numFmtId="39" fontId="0" fillId="0" borderId="2" xfId="0" applyNumberFormat="1" applyFont="1" applyBorder="1"/>
    <xf numFmtId="39" fontId="0" fillId="0" borderId="29" xfId="0" applyNumberFormat="1" applyFont="1" applyBorder="1"/>
  </cellXfs>
  <cellStyles count="186">
    <cellStyle name="$" xfId="1"/>
    <cellStyle name="$m" xfId="2"/>
    <cellStyle name="$q" xfId="3"/>
    <cellStyle name="$q*" xfId="4"/>
    <cellStyle name="$q_valuation" xfId="5"/>
    <cellStyle name="$qA" xfId="6"/>
    <cellStyle name="$qRange" xfId="7"/>
    <cellStyle name="%" xfId="8"/>
    <cellStyle name="******************************************" xfId="9"/>
    <cellStyle name="2 Decimal Places_MA Software Comps - List_AccretionDilution OTGS v16.xls Chart 1" xfId="10"/>
    <cellStyle name="20% - Accent1 2" xfId="11"/>
    <cellStyle name="20% - Accent2 2" xfId="12"/>
    <cellStyle name="20% - Accent3 2" xfId="13"/>
    <cellStyle name="20% - Accent4 2" xfId="14"/>
    <cellStyle name="20% - Accent5 2" xfId="15"/>
    <cellStyle name="20% - Accent6 2" xfId="16"/>
    <cellStyle name="40% - Accent1 2" xfId="17"/>
    <cellStyle name="40% - Accent2 2" xfId="18"/>
    <cellStyle name="40% - Accent3 2" xfId="19"/>
    <cellStyle name="40% - Accent4 2" xfId="20"/>
    <cellStyle name="40% - Accent5 2" xfId="21"/>
    <cellStyle name="40% - Accent6 2" xfId="22"/>
    <cellStyle name="60% - Accent1 2" xfId="23"/>
    <cellStyle name="60% - Accent2 2" xfId="24"/>
    <cellStyle name="60% - Accent3 2" xfId="25"/>
    <cellStyle name="60% - Accent4 2" xfId="26"/>
    <cellStyle name="60% - Accent5 2" xfId="27"/>
    <cellStyle name="60% - Accent6 2" xfId="28"/>
    <cellStyle name="Accent1 2" xfId="29"/>
    <cellStyle name="Accent2 2" xfId="30"/>
    <cellStyle name="Accent3 2" xfId="31"/>
    <cellStyle name="Accent4 2" xfId="32"/>
    <cellStyle name="Accent5 2" xfId="33"/>
    <cellStyle name="Accent6 2" xfId="34"/>
    <cellStyle name="AFE" xfId="35"/>
    <cellStyle name="Bad 2" xfId="36"/>
    <cellStyle name="Balance" xfId="37"/>
    <cellStyle name="BalanceSheet" xfId="38"/>
    <cellStyle name="Body_$Numeric" xfId="39"/>
    <cellStyle name="Bold Header" xfId="40"/>
    <cellStyle name="Calculation 2" xfId="41"/>
    <cellStyle name="CashFlow" xfId="42"/>
    <cellStyle name="Check" xfId="43"/>
    <cellStyle name="Check Cell 2" xfId="44"/>
    <cellStyle name="ColHeading" xfId="45"/>
    <cellStyle name="colheadleft" xfId="46"/>
    <cellStyle name="colheadright" xfId="47"/>
    <cellStyle name="Comma 2" xfId="48"/>
    <cellStyle name="Comma0" xfId="49"/>
    <cellStyle name="Comma2" xfId="50"/>
    <cellStyle name="Company" xfId="51"/>
    <cellStyle name="CurRatio" xfId="52"/>
    <cellStyle name="Currency [1]" xfId="53"/>
    <cellStyle name="Currency [2]" xfId="54"/>
    <cellStyle name="Currency0" xfId="55"/>
    <cellStyle name="Currency2" xfId="56"/>
    <cellStyle name="d_yield" xfId="57"/>
    <cellStyle name="d_yield_CW's MAKER MODEL" xfId="58"/>
    <cellStyle name="d_yield_valuation" xfId="59"/>
    <cellStyle name="Date [d-mmm-yy]" xfId="60"/>
    <cellStyle name="Date [mmm-d-yyyy]" xfId="61"/>
    <cellStyle name="Date [mmm-yyyy]" xfId="62"/>
    <cellStyle name="Dates" xfId="63"/>
    <cellStyle name="DateYear" xfId="64"/>
    <cellStyle name="Dezimal_Capital expenditure planning FY 2000" xfId="65"/>
    <cellStyle name="Dollar" xfId="66"/>
    <cellStyle name="Dollars" xfId="67"/>
    <cellStyle name="DollarWhole" xfId="68"/>
    <cellStyle name="eps" xfId="69"/>
    <cellStyle name="eps$" xfId="70"/>
    <cellStyle name="eps$A" xfId="71"/>
    <cellStyle name="eps$E" xfId="72"/>
    <cellStyle name="eps_CW's MAKER MODEL" xfId="73"/>
    <cellStyle name="epsA" xfId="74"/>
    <cellStyle name="EPSActual" xfId="75"/>
    <cellStyle name="epsE" xfId="76"/>
    <cellStyle name="EPSEstimate" xfId="77"/>
    <cellStyle name="Euro" xfId="78"/>
    <cellStyle name="Explanatory Text 2" xfId="79"/>
    <cellStyle name="fy_eps$" xfId="80"/>
    <cellStyle name="g_rate" xfId="81"/>
    <cellStyle name="g_rate_CW's MAKER MODEL" xfId="82"/>
    <cellStyle name="g_rate_valuation" xfId="83"/>
    <cellStyle name="General" xfId="84"/>
    <cellStyle name="Good 2" xfId="85"/>
    <cellStyle name="GrowthRate" xfId="86"/>
    <cellStyle name="GrowthSeq" xfId="87"/>
    <cellStyle name="Hard Number Input" xfId="88"/>
    <cellStyle name="Heading 1 2" xfId="89"/>
    <cellStyle name="Heading 2 2" xfId="90"/>
    <cellStyle name="Heading 3 2" xfId="91"/>
    <cellStyle name="Heading 4 2" xfId="92"/>
    <cellStyle name="Historical Number" xfId="93"/>
    <cellStyle name="iemens" xfId="94"/>
    <cellStyle name="Income" xfId="95"/>
    <cellStyle name="IncomeStatement" xfId="96"/>
    <cellStyle name="Input 2" xfId="97"/>
    <cellStyle name="Input Fixed [0]" xfId="98"/>
    <cellStyle name="Integer" xfId="99"/>
    <cellStyle name="Inverse Header" xfId="100"/>
    <cellStyle name="Item" xfId="101"/>
    <cellStyle name="ItemTypeClass" xfId="102"/>
    <cellStyle name="Linked Cell 2" xfId="103"/>
    <cellStyle name="LTGR" xfId="104"/>
    <cellStyle name="m" xfId="105"/>
    <cellStyle name="m$" xfId="106"/>
    <cellStyle name="m_CW's MAKER MODEL" xfId="107"/>
    <cellStyle name="m_valuation" xfId="108"/>
    <cellStyle name="Margin" xfId="109"/>
    <cellStyle name="Margins" xfId="110"/>
    <cellStyle name="mm" xfId="111"/>
    <cellStyle name="Multiple" xfId="112"/>
    <cellStyle name="NA is zero" xfId="113"/>
    <cellStyle name="Neutral 2" xfId="114"/>
    <cellStyle name="Normal" xfId="0" builtinId="0"/>
    <cellStyle name="Normal [0]" xfId="115"/>
    <cellStyle name="Normal [1]" xfId="116"/>
    <cellStyle name="Normal [2]" xfId="117"/>
    <cellStyle name="Normal [3]" xfId="118"/>
    <cellStyle name="Normal 2" xfId="119"/>
    <cellStyle name="Normal Bold" xfId="120"/>
    <cellStyle name="Normal Pct" xfId="121"/>
    <cellStyle name="NormalX" xfId="122"/>
    <cellStyle name="Note 2" xfId="123"/>
    <cellStyle name="NPPESalesPct" xfId="124"/>
    <cellStyle name="Number" xfId="125"/>
    <cellStyle name="NWI%S" xfId="126"/>
    <cellStyle name="Output 2" xfId="127"/>
    <cellStyle name="P/E" xfId="128"/>
    <cellStyle name="Palatino" xfId="129"/>
    <cellStyle name="pc1" xfId="130"/>
    <cellStyle name="pe" xfId="131"/>
    <cellStyle name="PE/LTGR" xfId="132"/>
    <cellStyle name="PEG" xfId="133"/>
    <cellStyle name="Percent [0]" xfId="134"/>
    <cellStyle name="Percent [1]" xfId="135"/>
    <cellStyle name="Percent [2]" xfId="136"/>
    <cellStyle name="PercentChange" xfId="137"/>
    <cellStyle name="PercentPresentation" xfId="138"/>
    <cellStyle name="PerShare" xfId="139"/>
    <cellStyle name="POPS" xfId="140"/>
    <cellStyle name="Presentation" xfId="141"/>
    <cellStyle name="PresentationZero" xfId="142"/>
    <cellStyle name="price" xfId="143"/>
    <cellStyle name="q" xfId="144"/>
    <cellStyle name="q_CW's MAKER MODEL" xfId="145"/>
    <cellStyle name="QEPS-h" xfId="146"/>
    <cellStyle name="QEPS-H1" xfId="147"/>
    <cellStyle name="qRange" xfId="148"/>
    <cellStyle name="range" xfId="149"/>
    <cellStyle name="RatioX" xfId="150"/>
    <cellStyle name="Report" xfId="151"/>
    <cellStyle name="Right" xfId="152"/>
    <cellStyle name="SectionHeading" xfId="153"/>
    <cellStyle name="Shares" xfId="154"/>
    <cellStyle name="StockPrice" xfId="155"/>
    <cellStyle name="Style 1" xfId="156"/>
    <cellStyle name="Style 21" xfId="157"/>
    <cellStyle name="Style 22" xfId="158"/>
    <cellStyle name="Style 23" xfId="159"/>
    <cellStyle name="Style 24" xfId="160"/>
    <cellStyle name="Style 26" xfId="161"/>
    <cellStyle name="Style 27" xfId="162"/>
    <cellStyle name="Style 34" xfId="163"/>
    <cellStyle name="Style 37" xfId="164"/>
    <cellStyle name="Style 63" xfId="165"/>
    <cellStyle name="SubDollar" xfId="166"/>
    <cellStyle name="SubGrowth" xfId="167"/>
    <cellStyle name="SubGrowthRate" xfId="168"/>
    <cellStyle name="SubMargins" xfId="169"/>
    <cellStyle name="SubPenetration" xfId="170"/>
    <cellStyle name="Subscribers" xfId="171"/>
    <cellStyle name="SubVariable" xfId="172"/>
    <cellStyle name="tcn" xfId="173"/>
    <cellStyle name="Times [1]" xfId="174"/>
    <cellStyle name="Times [2]" xfId="175"/>
    <cellStyle name="Title 2" xfId="176"/>
    <cellStyle name="title2" xfId="177"/>
    <cellStyle name="TitleII" xfId="178"/>
    <cellStyle name="Titles" xfId="179"/>
    <cellStyle name="TitleSub" xfId="180"/>
    <cellStyle name="tn" xfId="181"/>
    <cellStyle name="Total 2" xfId="182"/>
    <cellStyle name="Warning Text 2" xfId="183"/>
    <cellStyle name="WholeNumber" xfId="184"/>
    <cellStyle name="Year&quot;E&quot;" xfId="185"/>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Valuation Summary</a:t>
            </a:r>
          </a:p>
        </c:rich>
      </c:tx>
      <c:layout>
        <c:manualLayout>
          <c:xMode val="edge"/>
          <c:yMode val="edge"/>
          <c:x val="0.31291626892699836"/>
          <c:y val="0"/>
        </c:manualLayout>
      </c:layout>
      <c:overlay val="0"/>
    </c:title>
    <c:autoTitleDeleted val="0"/>
    <c:plotArea>
      <c:layout/>
      <c:barChart>
        <c:barDir val="col"/>
        <c:grouping val="stacked"/>
        <c:varyColors val="0"/>
        <c:ser>
          <c:idx val="0"/>
          <c:order val="0"/>
          <c:tx>
            <c:strRef>
              <c:f>DCF!$C$138</c:f>
              <c:strCache>
                <c:ptCount val="1"/>
                <c:pt idx="0">
                  <c:v>Low</c:v>
                </c:pt>
              </c:strCache>
            </c:strRef>
          </c:tx>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DCF!$B$139:$B$141</c:f>
              <c:strCache>
                <c:ptCount val="3"/>
                <c:pt idx="0">
                  <c:v>DCF Value at 7.3x-11.3x Exit EBITDA Range</c:v>
                </c:pt>
                <c:pt idx="1">
                  <c:v>DCF Value at 2.0%-4.0% Perpetuity Range</c:v>
                </c:pt>
                <c:pt idx="2">
                  <c:v>52 Week Market High/Low</c:v>
                </c:pt>
              </c:strCache>
            </c:strRef>
          </c:cat>
          <c:val>
            <c:numRef>
              <c:f>DCF!$C$139:$C$141</c:f>
              <c:numCache>
                <c:formatCode>#,##0.00_);\(#,##0.00\)</c:formatCode>
                <c:ptCount val="3"/>
                <c:pt idx="0">
                  <c:v>0</c:v>
                </c:pt>
                <c:pt idx="1">
                  <c:v>0</c:v>
                </c:pt>
                <c:pt idx="2">
                  <c:v>0</c:v>
                </c:pt>
              </c:numCache>
            </c:numRef>
          </c:val>
          <c:extLst>
            <c:ext xmlns:c16="http://schemas.microsoft.com/office/drawing/2014/chart" uri="{C3380CC4-5D6E-409C-BE32-E72D297353CC}">
              <c16:uniqueId val="{00000000-20D6-4B68-A76D-CCACCE14B853}"/>
            </c:ext>
          </c:extLst>
        </c:ser>
        <c:ser>
          <c:idx val="1"/>
          <c:order val="1"/>
          <c:tx>
            <c:strRef>
              <c:f>DCF!$D$138</c:f>
              <c:strCache>
                <c:ptCount val="1"/>
                <c:pt idx="0">
                  <c:v>Diff.</c:v>
                </c:pt>
              </c:strCache>
            </c:strRef>
          </c:tx>
          <c:invertIfNegative val="0"/>
          <c:cat>
            <c:strRef>
              <c:f>DCF!$B$139:$B$141</c:f>
              <c:strCache>
                <c:ptCount val="3"/>
                <c:pt idx="0">
                  <c:v>DCF Value at 7.3x-11.3x Exit EBITDA Range</c:v>
                </c:pt>
                <c:pt idx="1">
                  <c:v>DCF Value at 2.0%-4.0% Perpetuity Range</c:v>
                </c:pt>
                <c:pt idx="2">
                  <c:v>52 Week Market High/Low</c:v>
                </c:pt>
              </c:strCache>
            </c:strRef>
          </c:cat>
          <c:val>
            <c:numRef>
              <c:f>DCF!$D$139:$D$141</c:f>
              <c:numCache>
                <c:formatCode>#,##0.00_);\(#,##0.00\)</c:formatCode>
                <c:ptCount val="3"/>
                <c:pt idx="0">
                  <c:v>0</c:v>
                </c:pt>
                <c:pt idx="1">
                  <c:v>0</c:v>
                </c:pt>
                <c:pt idx="2">
                  <c:v>0</c:v>
                </c:pt>
              </c:numCache>
            </c:numRef>
          </c:val>
          <c:extLst>
            <c:ext xmlns:c16="http://schemas.microsoft.com/office/drawing/2014/chart" uri="{C3380CC4-5D6E-409C-BE32-E72D297353CC}">
              <c16:uniqueId val="{00000001-20D6-4B68-A76D-CCACCE14B853}"/>
            </c:ext>
          </c:extLst>
        </c:ser>
        <c:ser>
          <c:idx val="2"/>
          <c:order val="2"/>
          <c:tx>
            <c:strRef>
              <c:f>DCF!$E$138</c:f>
              <c:strCache>
                <c:ptCount val="1"/>
                <c:pt idx="0">
                  <c:v>High</c:v>
                </c:pt>
              </c:strCache>
            </c:strRef>
          </c:tx>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DCF!$B$139:$B$141</c:f>
              <c:strCache>
                <c:ptCount val="3"/>
                <c:pt idx="0">
                  <c:v>DCF Value at 7.3x-11.3x Exit EBITDA Range</c:v>
                </c:pt>
                <c:pt idx="1">
                  <c:v>DCF Value at 2.0%-4.0% Perpetuity Range</c:v>
                </c:pt>
                <c:pt idx="2">
                  <c:v>52 Week Market High/Low</c:v>
                </c:pt>
              </c:strCache>
            </c:strRef>
          </c:cat>
          <c:val>
            <c:numRef>
              <c:f>DCF!$E$139:$E$141</c:f>
              <c:numCache>
                <c:formatCode>#,##0.00_);\(#,##0.00\)</c:formatCode>
                <c:ptCount val="3"/>
                <c:pt idx="0">
                  <c:v>0</c:v>
                </c:pt>
                <c:pt idx="1">
                  <c:v>0</c:v>
                </c:pt>
                <c:pt idx="2">
                  <c:v>0</c:v>
                </c:pt>
              </c:numCache>
            </c:numRef>
          </c:val>
          <c:extLst>
            <c:ext xmlns:c16="http://schemas.microsoft.com/office/drawing/2014/chart" uri="{C3380CC4-5D6E-409C-BE32-E72D297353CC}">
              <c16:uniqueId val="{00000002-20D6-4B68-A76D-CCACCE14B853}"/>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1000"/>
          <c:min val="3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53578</xdr:colOff>
      <xdr:row>117</xdr:row>
      <xdr:rowOff>149424</xdr:rowOff>
    </xdr:from>
    <xdr:to>
      <xdr:col>4</xdr:col>
      <xdr:colOff>654844</xdr:colOff>
      <xdr:row>136</xdr:row>
      <xdr:rowOff>53578</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1/Owner/LOCALS~1/Temp/Rar$DI00.921/Valuation_2010_Mod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nkumar.WSP/Downloads/DataSet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cal Data"/>
      <sheetName val="Forecast Drivers"/>
      <sheetName val="Results"/>
      <sheetName val="Valuation Summary"/>
    </sheetNames>
    <sheetDataSet>
      <sheetData sheetId="0" refreshError="1"/>
      <sheetData sheetId="1">
        <row r="25">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row>
        <row r="330">
          <cell r="D330">
            <v>1</v>
          </cell>
        </row>
      </sheetData>
      <sheetData sheetId="2">
        <row r="142">
          <cell r="F142">
            <v>0</v>
          </cell>
        </row>
        <row r="145">
          <cell r="F145">
            <v>0</v>
          </cell>
          <cell r="G145">
            <v>0</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v>
          </cell>
          <cell r="AA145">
            <v>0</v>
          </cell>
          <cell r="AB145">
            <v>0</v>
          </cell>
          <cell r="AC145">
            <v>0</v>
          </cell>
          <cell r="AD145">
            <v>0</v>
          </cell>
        </row>
        <row r="182">
          <cell r="E182">
            <v>0</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rc_ans"/>
      <sheetName val="Circ"/>
      <sheetName val="Reg 0"/>
      <sheetName val="Reg_ans"/>
      <sheetName val="CF"/>
      <sheetName val="CF_ans"/>
      <sheetName val="BoostToolkitClipBoard2010"/>
      <sheetName val="DS0"/>
      <sheetName val="DS0_ans"/>
      <sheetName val="Data Set1"/>
      <sheetName val="DataSet2"/>
      <sheetName val="DataSet3"/>
      <sheetName val="Other"/>
      <sheetName val="DataSet4"/>
      <sheetName val="Array0"/>
      <sheetName val="Array1"/>
      <sheetName val="Array2"/>
      <sheetName val="Array3"/>
      <sheetName val="Array4"/>
      <sheetName val="Array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5">
          <cell r="B5" t="str">
            <v>iPad</v>
          </cell>
          <cell r="C5">
            <v>500</v>
          </cell>
        </row>
        <row r="6">
          <cell r="B6" t="str">
            <v>iPod</v>
          </cell>
          <cell r="C6">
            <v>200</v>
          </cell>
        </row>
        <row r="7">
          <cell r="B7" t="str">
            <v>iPhone</v>
          </cell>
          <cell r="C7">
            <v>400</v>
          </cell>
        </row>
      </sheetData>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51"/>
  <sheetViews>
    <sheetView tabSelected="1" zoomScaleNormal="100" workbookViewId="0">
      <selection activeCell="C7" sqref="C7"/>
    </sheetView>
  </sheetViews>
  <sheetFormatPr defaultColWidth="9.109375" defaultRowHeight="14.4"/>
  <cols>
    <col min="1" max="1" width="1.6640625" style="17" customWidth="1"/>
    <col min="2" max="2" width="50.88671875" style="17" customWidth="1"/>
    <col min="3" max="3" width="15.77734375" style="17" customWidth="1"/>
    <col min="4" max="10" width="12.33203125" style="17" customWidth="1"/>
    <col min="11" max="11" width="9.109375" style="17"/>
    <col min="12" max="12" width="10.88671875" style="17" bestFit="1" customWidth="1"/>
    <col min="13" max="16384" width="9.109375" style="17"/>
  </cols>
  <sheetData>
    <row r="1" spans="1:10" ht="15" thickBot="1"/>
    <row r="2" spans="1:10" ht="26.4" thickBot="1">
      <c r="B2" s="1" t="str">
        <f>"Financial Statement Model for "&amp;'Financial Statement Model'!C5</f>
        <v>Financial Statement Model for Procter &amp; Gamble</v>
      </c>
      <c r="C2" s="18"/>
      <c r="D2" s="18"/>
      <c r="E2" s="18"/>
      <c r="F2" s="18"/>
      <c r="G2" s="18"/>
      <c r="H2" s="18"/>
      <c r="I2" s="18"/>
      <c r="J2" s="18"/>
    </row>
    <row r="3" spans="1:10">
      <c r="B3" s="2" t="s">
        <v>0</v>
      </c>
      <c r="C3" s="19"/>
      <c r="F3" s="20"/>
      <c r="G3" s="20"/>
      <c r="H3" s="20"/>
      <c r="I3" s="20"/>
      <c r="J3" s="20"/>
    </row>
    <row r="4" spans="1:10">
      <c r="B4" s="21"/>
      <c r="C4" s="19"/>
      <c r="F4" s="20"/>
    </row>
    <row r="5" spans="1:10">
      <c r="B5" s="3" t="s">
        <v>1</v>
      </c>
      <c r="C5" s="4" t="s">
        <v>256</v>
      </c>
      <c r="F5" s="20"/>
    </row>
    <row r="6" spans="1:10">
      <c r="B6" s="3" t="s">
        <v>2</v>
      </c>
      <c r="C6" s="4" t="s">
        <v>257</v>
      </c>
      <c r="F6" s="20"/>
    </row>
    <row r="7" spans="1:10">
      <c r="B7" s="5" t="s">
        <v>3</v>
      </c>
      <c r="C7" s="6"/>
      <c r="E7" s="64"/>
      <c r="F7" s="20"/>
      <c r="G7" s="7"/>
      <c r="H7" s="20"/>
      <c r="I7" s="8"/>
      <c r="J7" s="20"/>
    </row>
    <row r="8" spans="1:10">
      <c r="B8" s="3" t="s">
        <v>4</v>
      </c>
      <c r="C8" s="9"/>
      <c r="F8" s="20"/>
      <c r="G8" s="20"/>
      <c r="H8" s="20"/>
      <c r="I8" s="20"/>
      <c r="J8" s="20"/>
    </row>
    <row r="9" spans="1:10">
      <c r="B9" s="3" t="s">
        <v>5</v>
      </c>
      <c r="C9" s="9"/>
      <c r="F9" s="20"/>
      <c r="G9" s="20"/>
      <c r="H9" s="20"/>
      <c r="I9" s="20"/>
      <c r="J9" s="20"/>
    </row>
    <row r="10" spans="1:10">
      <c r="B10" s="10" t="s">
        <v>6</v>
      </c>
      <c r="C10" s="11" t="s">
        <v>7</v>
      </c>
      <c r="E10" s="20"/>
      <c r="F10" s="20"/>
      <c r="G10" s="20"/>
      <c r="H10" s="20"/>
      <c r="I10" s="20"/>
      <c r="J10" s="20"/>
    </row>
    <row r="11" spans="1:10">
      <c r="D11" s="20"/>
      <c r="E11" s="20"/>
      <c r="F11" s="20"/>
      <c r="G11" s="20"/>
      <c r="H11" s="20"/>
      <c r="I11" s="20"/>
      <c r="J11" s="20"/>
    </row>
    <row r="12" spans="1:10">
      <c r="A12" s="17" t="s">
        <v>200</v>
      </c>
      <c r="B12" s="22" t="s">
        <v>8</v>
      </c>
      <c r="C12" s="23"/>
      <c r="D12" s="24"/>
      <c r="E12" s="24"/>
      <c r="F12" s="24"/>
      <c r="G12" s="24"/>
      <c r="H12" s="24"/>
      <c r="I12" s="24"/>
      <c r="J12" s="24"/>
    </row>
    <row r="13" spans="1:10">
      <c r="B13" s="20" t="s">
        <v>9</v>
      </c>
      <c r="C13" s="25">
        <f>D13-1</f>
        <v>1898</v>
      </c>
      <c r="D13" s="25">
        <f>E13-1</f>
        <v>1899</v>
      </c>
      <c r="E13" s="25">
        <f>YEAR('Financial Statement Model'!C9)</f>
        <v>1900</v>
      </c>
      <c r="F13" s="26">
        <f>E13+1</f>
        <v>1901</v>
      </c>
      <c r="G13" s="26">
        <f>F13+1</f>
        <v>1902</v>
      </c>
      <c r="H13" s="26">
        <f>G13+1</f>
        <v>1903</v>
      </c>
      <c r="I13" s="26">
        <f>H13+1</f>
        <v>1904</v>
      </c>
      <c r="J13" s="26">
        <f>I13+1</f>
        <v>1905</v>
      </c>
    </row>
    <row r="14" spans="1:10">
      <c r="B14" s="27" t="s">
        <v>10</v>
      </c>
      <c r="C14" s="28"/>
      <c r="D14" s="28"/>
      <c r="E14" s="29">
        <f>'Financial Statement Model'!C9</f>
        <v>0</v>
      </c>
      <c r="F14" s="29">
        <f>EOMONTH(E14,12)</f>
        <v>397</v>
      </c>
      <c r="G14" s="29">
        <f>EOMONTH(F14,12)</f>
        <v>762</v>
      </c>
      <c r="H14" s="29">
        <f>EOMONTH(G14,12)</f>
        <v>1127</v>
      </c>
      <c r="I14" s="29">
        <f>EOMONTH(H14,12)</f>
        <v>1492</v>
      </c>
      <c r="J14" s="29">
        <f>EOMONTH(I14,12)</f>
        <v>1858</v>
      </c>
    </row>
    <row r="15" spans="1:10">
      <c r="B15" s="30"/>
      <c r="C15" s="31"/>
      <c r="D15" s="31"/>
      <c r="E15" s="32"/>
      <c r="F15" s="32"/>
      <c r="G15" s="32"/>
      <c r="H15" s="32"/>
      <c r="I15" s="32"/>
      <c r="J15" s="32"/>
    </row>
    <row r="16" spans="1:10">
      <c r="B16" s="20" t="s">
        <v>11</v>
      </c>
      <c r="C16" s="33"/>
      <c r="D16" s="33"/>
      <c r="E16" s="33"/>
      <c r="F16" s="34">
        <f>E16*(1+F37)</f>
        <v>0</v>
      </c>
      <c r="G16" s="34">
        <f>F16*(1+G37)</f>
        <v>0</v>
      </c>
      <c r="H16" s="34">
        <f>G16*(1+H37)</f>
        <v>0</v>
      </c>
      <c r="I16" s="34">
        <f>H16*(1+I37)</f>
        <v>0</v>
      </c>
      <c r="J16" s="34">
        <f>I16*(1+J37)</f>
        <v>0</v>
      </c>
    </row>
    <row r="17" spans="2:10">
      <c r="B17" s="20" t="s">
        <v>12</v>
      </c>
      <c r="C17" s="33"/>
      <c r="D17" s="33"/>
      <c r="E17" s="33"/>
      <c r="F17" s="34">
        <f>F18-F16</f>
        <v>0</v>
      </c>
      <c r="G17" s="34">
        <f>G18-G16</f>
        <v>0</v>
      </c>
      <c r="H17" s="34">
        <f>H18-H16</f>
        <v>0</v>
      </c>
      <c r="I17" s="34">
        <f>I18-I16</f>
        <v>0</v>
      </c>
      <c r="J17" s="34">
        <f>J18-J16</f>
        <v>0</v>
      </c>
    </row>
    <row r="18" spans="2:10">
      <c r="B18" s="35" t="s">
        <v>13</v>
      </c>
      <c r="C18" s="36"/>
      <c r="D18" s="36"/>
      <c r="E18" s="36"/>
      <c r="F18" s="36">
        <f>F16*F38</f>
        <v>0</v>
      </c>
      <c r="G18" s="36">
        <f>G16*G38</f>
        <v>0</v>
      </c>
      <c r="H18" s="36">
        <f>H16*H38</f>
        <v>0</v>
      </c>
      <c r="I18" s="36">
        <f>I16*I38</f>
        <v>0</v>
      </c>
      <c r="J18" s="36">
        <f>J16*J38</f>
        <v>0</v>
      </c>
    </row>
    <row r="19" spans="2:10">
      <c r="B19" s="37" t="s">
        <v>14</v>
      </c>
      <c r="C19" s="33"/>
      <c r="D19" s="33"/>
      <c r="E19" s="33"/>
      <c r="F19" s="34">
        <f>-(F39*F16)</f>
        <v>0</v>
      </c>
      <c r="G19" s="34">
        <f>-(G39*G16)</f>
        <v>0</v>
      </c>
      <c r="H19" s="34">
        <f>-(H39*H16)</f>
        <v>0</v>
      </c>
      <c r="I19" s="34">
        <f>-(I39*I16)</f>
        <v>0</v>
      </c>
      <c r="J19" s="34">
        <f>-(J39*J16)</f>
        <v>0</v>
      </c>
    </row>
    <row r="20" spans="2:10">
      <c r="B20" s="37" t="s">
        <v>15</v>
      </c>
      <c r="C20" s="33"/>
      <c r="D20" s="33"/>
      <c r="E20" s="33"/>
      <c r="F20" s="34">
        <f>-F40*F16</f>
        <v>0</v>
      </c>
      <c r="G20" s="34">
        <f>-G40*G16</f>
        <v>0</v>
      </c>
      <c r="H20" s="34">
        <f>-H40*H16</f>
        <v>0</v>
      </c>
      <c r="I20" s="34">
        <f>-I40*I16</f>
        <v>0</v>
      </c>
      <c r="J20" s="34">
        <f>-J40*J16</f>
        <v>0</v>
      </c>
    </row>
    <row r="21" spans="2:10">
      <c r="B21" s="35" t="s">
        <v>16</v>
      </c>
      <c r="C21" s="36"/>
      <c r="D21" s="36"/>
      <c r="E21" s="36"/>
      <c r="F21" s="36">
        <f>F18+F19+F20</f>
        <v>0</v>
      </c>
      <c r="G21" s="36">
        <f t="shared" ref="G21:J21" si="0">G18+G19+G20</f>
        <v>0</v>
      </c>
      <c r="H21" s="36">
        <f t="shared" si="0"/>
        <v>0</v>
      </c>
      <c r="I21" s="36">
        <f t="shared" si="0"/>
        <v>0</v>
      </c>
      <c r="J21" s="36">
        <f t="shared" si="0"/>
        <v>0</v>
      </c>
    </row>
    <row r="22" spans="2:10">
      <c r="B22" s="20" t="s">
        <v>17</v>
      </c>
      <c r="C22" s="33"/>
      <c r="D22" s="33"/>
      <c r="E22" s="33"/>
      <c r="F22" s="38" t="e">
        <f ca="1">F284</f>
        <v>#DIV/0!</v>
      </c>
      <c r="G22" s="38" t="e">
        <f ca="1">G284</f>
        <v>#DIV/0!</v>
      </c>
      <c r="H22" s="38" t="e">
        <f ca="1">H284</f>
        <v>#DIV/0!</v>
      </c>
      <c r="I22" s="38" t="e">
        <f ca="1">I284</f>
        <v>#DIV/0!</v>
      </c>
      <c r="J22" s="38" t="e">
        <f ca="1">J284</f>
        <v>#DIV/0!</v>
      </c>
    </row>
    <row r="23" spans="2:10">
      <c r="B23" s="20" t="s">
        <v>18</v>
      </c>
      <c r="C23" s="33"/>
      <c r="D23" s="33"/>
      <c r="E23" s="33"/>
      <c r="F23" s="38" t="e">
        <f ca="1">-(F276+F178)</f>
        <v>#DIV/0!</v>
      </c>
      <c r="G23" s="38" t="e">
        <f ca="1">-(G276+G178)</f>
        <v>#DIV/0!</v>
      </c>
      <c r="H23" s="38" t="e">
        <f ca="1">-(H276+H178)</f>
        <v>#DIV/0!</v>
      </c>
      <c r="I23" s="38" t="e">
        <f ca="1">-(I276+I178)</f>
        <v>#DIV/0!</v>
      </c>
      <c r="J23" s="38" t="e">
        <f ca="1">-(J276+J178)</f>
        <v>#DIV/0!</v>
      </c>
    </row>
    <row r="24" spans="2:10">
      <c r="B24" s="37" t="s">
        <v>19</v>
      </c>
      <c r="C24" s="33"/>
      <c r="D24" s="33"/>
      <c r="E24" s="33"/>
      <c r="F24" s="38">
        <f>E24</f>
        <v>0</v>
      </c>
      <c r="G24" s="38">
        <f>F24</f>
        <v>0</v>
      </c>
      <c r="H24" s="38">
        <f>G24</f>
        <v>0</v>
      </c>
      <c r="I24" s="38">
        <f>H24</f>
        <v>0</v>
      </c>
      <c r="J24" s="38">
        <f>I24</f>
        <v>0</v>
      </c>
    </row>
    <row r="25" spans="2:10">
      <c r="B25" s="35" t="s">
        <v>20</v>
      </c>
      <c r="C25" s="36"/>
      <c r="D25" s="36"/>
      <c r="E25" s="36"/>
      <c r="F25" s="36" t="e">
        <f ca="1">SUM(F21:F24)</f>
        <v>#DIV/0!</v>
      </c>
      <c r="G25" s="36" t="e">
        <f t="shared" ref="G25:J25" ca="1" si="1">SUM(G21:G24)</f>
        <v>#DIV/0!</v>
      </c>
      <c r="H25" s="36" t="e">
        <f t="shared" ca="1" si="1"/>
        <v>#DIV/0!</v>
      </c>
      <c r="I25" s="36" t="e">
        <f t="shared" ca="1" si="1"/>
        <v>#DIV/0!</v>
      </c>
      <c r="J25" s="36" t="e">
        <f t="shared" ca="1" si="1"/>
        <v>#DIV/0!</v>
      </c>
    </row>
    <row r="26" spans="2:10">
      <c r="B26" s="20" t="s">
        <v>21</v>
      </c>
      <c r="C26" s="33"/>
      <c r="D26" s="33"/>
      <c r="E26" s="33"/>
      <c r="F26" s="34" t="e">
        <f ca="1">-F41*F25</f>
        <v>#DIV/0!</v>
      </c>
      <c r="G26" s="34" t="e">
        <f ca="1">-G41*G25</f>
        <v>#DIV/0!</v>
      </c>
      <c r="H26" s="34" t="e">
        <f ca="1">-H41*H25</f>
        <v>#DIV/0!</v>
      </c>
      <c r="I26" s="34" t="e">
        <f ca="1">-I41*I25</f>
        <v>#DIV/0!</v>
      </c>
      <c r="J26" s="34" t="e">
        <f ca="1">-J41*J25</f>
        <v>#DIV/0!</v>
      </c>
    </row>
    <row r="27" spans="2:10">
      <c r="B27" s="35" t="s">
        <v>22</v>
      </c>
      <c r="C27" s="39"/>
      <c r="D27" s="39"/>
      <c r="E27" s="39"/>
      <c r="F27" s="39" t="e">
        <f ca="1">SUM(F25:F26)</f>
        <v>#DIV/0!</v>
      </c>
      <c r="G27" s="39" t="e">
        <f t="shared" ref="G27:J27" ca="1" si="2">SUM(G25:G26)</f>
        <v>#DIV/0!</v>
      </c>
      <c r="H27" s="39" t="e">
        <f t="shared" ca="1" si="2"/>
        <v>#DIV/0!</v>
      </c>
      <c r="I27" s="39" t="e">
        <f t="shared" ca="1" si="2"/>
        <v>#DIV/0!</v>
      </c>
      <c r="J27" s="39" t="e">
        <f t="shared" ca="1" si="2"/>
        <v>#DIV/0!</v>
      </c>
    </row>
    <row r="29" spans="2:10">
      <c r="B29" s="37" t="s">
        <v>23</v>
      </c>
      <c r="C29" s="40"/>
      <c r="D29" s="40"/>
      <c r="E29" s="40"/>
      <c r="F29" s="41" t="e">
        <f>AVERAGE(F291,F294)</f>
        <v>#DIV/0!</v>
      </c>
      <c r="G29" s="41" t="e">
        <f>AVERAGE(G291,G294)</f>
        <v>#DIV/0!</v>
      </c>
      <c r="H29" s="41" t="e">
        <f>AVERAGE(H291,H294)</f>
        <v>#DIV/0!</v>
      </c>
      <c r="I29" s="41" t="e">
        <f>AVERAGE(I291,I294)</f>
        <v>#DIV/0!</v>
      </c>
      <c r="J29" s="41" t="e">
        <f>AVERAGE(J291,J294)</f>
        <v>#DIV/0!</v>
      </c>
    </row>
    <row r="30" spans="2:10">
      <c r="B30" s="37" t="s">
        <v>24</v>
      </c>
      <c r="C30" s="42"/>
      <c r="D30" s="42"/>
      <c r="E30" s="42"/>
      <c r="F30" s="41">
        <f>E30</f>
        <v>0</v>
      </c>
      <c r="G30" s="41">
        <f>F30</f>
        <v>0</v>
      </c>
      <c r="H30" s="41">
        <f>G30</f>
        <v>0</v>
      </c>
      <c r="I30" s="41">
        <f>H30</f>
        <v>0</v>
      </c>
      <c r="J30" s="41">
        <f>I30</f>
        <v>0</v>
      </c>
    </row>
    <row r="31" spans="2:10">
      <c r="B31" s="17" t="s">
        <v>25</v>
      </c>
      <c r="C31" s="40"/>
      <c r="D31" s="40"/>
      <c r="E31" s="40"/>
      <c r="F31" s="41" t="e">
        <f>SUM(F29:F30)</f>
        <v>#DIV/0!</v>
      </c>
      <c r="G31" s="41" t="e">
        <f>SUM(G29:G30)</f>
        <v>#DIV/0!</v>
      </c>
      <c r="H31" s="41" t="e">
        <f>SUM(H29:H30)</f>
        <v>#DIV/0!</v>
      </c>
      <c r="I31" s="41" t="e">
        <f>SUM(I29:I30)</f>
        <v>#DIV/0!</v>
      </c>
      <c r="J31" s="41" t="e">
        <f>SUM(J29:J30)</f>
        <v>#DIV/0!</v>
      </c>
    </row>
    <row r="33" spans="1:10">
      <c r="B33" s="17" t="s">
        <v>26</v>
      </c>
      <c r="C33" s="43" t="e">
        <f t="shared" ref="C33:J33" si="3">C27/C29</f>
        <v>#DIV/0!</v>
      </c>
      <c r="D33" s="43" t="e">
        <f t="shared" si="3"/>
        <v>#DIV/0!</v>
      </c>
      <c r="E33" s="43" t="e">
        <f t="shared" si="3"/>
        <v>#DIV/0!</v>
      </c>
      <c r="F33" s="43" t="e">
        <f t="shared" ca="1" si="3"/>
        <v>#DIV/0!</v>
      </c>
      <c r="G33" s="43" t="e">
        <f t="shared" ca="1" si="3"/>
        <v>#DIV/0!</v>
      </c>
      <c r="H33" s="43" t="e">
        <f t="shared" ca="1" si="3"/>
        <v>#DIV/0!</v>
      </c>
      <c r="I33" s="43" t="e">
        <f t="shared" ca="1" si="3"/>
        <v>#DIV/0!</v>
      </c>
      <c r="J33" s="43" t="e">
        <f t="shared" ca="1" si="3"/>
        <v>#DIV/0!</v>
      </c>
    </row>
    <row r="34" spans="1:10">
      <c r="B34" s="44" t="s">
        <v>27</v>
      </c>
      <c r="C34" s="45" t="e">
        <f t="shared" ref="C34:J34" si="4">C27/C31</f>
        <v>#DIV/0!</v>
      </c>
      <c r="D34" s="45" t="e">
        <f t="shared" si="4"/>
        <v>#DIV/0!</v>
      </c>
      <c r="E34" s="45" t="e">
        <f t="shared" si="4"/>
        <v>#DIV/0!</v>
      </c>
      <c r="F34" s="45" t="e">
        <f t="shared" ca="1" si="4"/>
        <v>#DIV/0!</v>
      </c>
      <c r="G34" s="45" t="e">
        <f t="shared" ca="1" si="4"/>
        <v>#DIV/0!</v>
      </c>
      <c r="H34" s="45" t="e">
        <f t="shared" ca="1" si="4"/>
        <v>#DIV/0!</v>
      </c>
      <c r="I34" s="45" t="e">
        <f t="shared" ca="1" si="4"/>
        <v>#DIV/0!</v>
      </c>
      <c r="J34" s="45" t="e">
        <f t="shared" ca="1" si="4"/>
        <v>#DIV/0!</v>
      </c>
    </row>
    <row r="36" spans="1:10">
      <c r="B36" s="46" t="s">
        <v>28</v>
      </c>
    </row>
    <row r="37" spans="1:10">
      <c r="B37" s="47" t="s">
        <v>29</v>
      </c>
      <c r="C37" s="48" t="s">
        <v>30</v>
      </c>
      <c r="D37" s="49" t="e">
        <f>D16/C16-1</f>
        <v>#DIV/0!</v>
      </c>
      <c r="E37" s="49" t="e">
        <f>E16/D16-1</f>
        <v>#DIV/0!</v>
      </c>
      <c r="F37" s="50"/>
      <c r="G37" s="50"/>
      <c r="H37" s="50"/>
      <c r="I37" s="50"/>
      <c r="J37" s="50"/>
    </row>
    <row r="38" spans="1:10">
      <c r="B38" s="47" t="s">
        <v>31</v>
      </c>
      <c r="C38" s="49" t="e">
        <f>C18/C16</f>
        <v>#DIV/0!</v>
      </c>
      <c r="D38" s="49" t="e">
        <f>D18/D16</f>
        <v>#DIV/0!</v>
      </c>
      <c r="E38" s="49" t="e">
        <f>E18/E16</f>
        <v>#DIV/0!</v>
      </c>
      <c r="F38" s="50"/>
      <c r="G38" s="50"/>
      <c r="H38" s="50"/>
      <c r="I38" s="50"/>
      <c r="J38" s="50"/>
    </row>
    <row r="39" spans="1:10">
      <c r="B39" s="51" t="s">
        <v>32</v>
      </c>
      <c r="C39" s="49" t="e">
        <f t="shared" ref="C39:E40" si="5">-C19/C$16</f>
        <v>#DIV/0!</v>
      </c>
      <c r="D39" s="49" t="e">
        <f t="shared" si="5"/>
        <v>#DIV/0!</v>
      </c>
      <c r="E39" s="49" t="e">
        <f t="shared" si="5"/>
        <v>#DIV/0!</v>
      </c>
      <c r="F39" s="50"/>
      <c r="G39" s="50"/>
      <c r="H39" s="50"/>
      <c r="I39" s="50"/>
      <c r="J39" s="50"/>
    </row>
    <row r="40" spans="1:10">
      <c r="B40" s="47" t="s">
        <v>33</v>
      </c>
      <c r="C40" s="49" t="e">
        <f t="shared" si="5"/>
        <v>#DIV/0!</v>
      </c>
      <c r="D40" s="49" t="e">
        <f t="shared" si="5"/>
        <v>#DIV/0!</v>
      </c>
      <c r="E40" s="49" t="e">
        <f t="shared" si="5"/>
        <v>#DIV/0!</v>
      </c>
      <c r="F40" s="50"/>
      <c r="G40" s="50"/>
      <c r="H40" s="50"/>
      <c r="I40" s="50"/>
      <c r="J40" s="50"/>
    </row>
    <row r="41" spans="1:10">
      <c r="B41" s="47" t="s">
        <v>34</v>
      </c>
      <c r="C41" s="49" t="e">
        <f>-C26/C25</f>
        <v>#DIV/0!</v>
      </c>
      <c r="D41" s="49" t="e">
        <f>-D26/D25</f>
        <v>#DIV/0!</v>
      </c>
      <c r="E41" s="49" t="e">
        <f>-E26/E25</f>
        <v>#DIV/0!</v>
      </c>
      <c r="F41" s="52"/>
      <c r="G41" s="52"/>
      <c r="H41" s="52"/>
      <c r="I41" s="52"/>
      <c r="J41" s="52"/>
    </row>
    <row r="43" spans="1:10">
      <c r="B43" s="53" t="s">
        <v>35</v>
      </c>
    </row>
    <row r="44" spans="1:10">
      <c r="B44" s="54" t="s">
        <v>36</v>
      </c>
      <c r="C44" s="40"/>
      <c r="D44" s="40"/>
      <c r="E44" s="40"/>
      <c r="F44" s="41">
        <f>-(F128+F141)</f>
        <v>0</v>
      </c>
      <c r="G44" s="41">
        <f>-(G128+G141)</f>
        <v>0</v>
      </c>
      <c r="H44" s="41">
        <f>-(H128+H141)</f>
        <v>0</v>
      </c>
      <c r="I44" s="41">
        <f>-(I128+I141)</f>
        <v>0</v>
      </c>
      <c r="J44" s="41">
        <f>-(J128+J141)</f>
        <v>0</v>
      </c>
    </row>
    <row r="45" spans="1:10">
      <c r="B45" s="54" t="s">
        <v>37</v>
      </c>
      <c r="C45" s="40"/>
      <c r="D45" s="40"/>
      <c r="E45" s="40"/>
      <c r="F45" s="41">
        <f>F191</f>
        <v>0</v>
      </c>
      <c r="G45" s="41">
        <f>G191</f>
        <v>0</v>
      </c>
      <c r="H45" s="41">
        <f>H191</f>
        <v>0</v>
      </c>
      <c r="I45" s="41">
        <f>I191</f>
        <v>0</v>
      </c>
      <c r="J45" s="41">
        <f>J191</f>
        <v>0</v>
      </c>
    </row>
    <row r="46" spans="1:10">
      <c r="B46" s="55" t="s">
        <v>38</v>
      </c>
      <c r="C46" s="56">
        <f t="shared" ref="C46:J46" si="6">C21+C44+C45</f>
        <v>0</v>
      </c>
      <c r="D46" s="56">
        <f t="shared" si="6"/>
        <v>0</v>
      </c>
      <c r="E46" s="56">
        <f t="shared" si="6"/>
        <v>0</v>
      </c>
      <c r="F46" s="56">
        <f t="shared" si="6"/>
        <v>0</v>
      </c>
      <c r="G46" s="56">
        <f t="shared" si="6"/>
        <v>0</v>
      </c>
      <c r="H46" s="56">
        <f t="shared" si="6"/>
        <v>0</v>
      </c>
      <c r="I46" s="56">
        <f t="shared" si="6"/>
        <v>0</v>
      </c>
      <c r="J46" s="56">
        <f t="shared" si="6"/>
        <v>0</v>
      </c>
    </row>
    <row r="47" spans="1:10">
      <c r="C47" s="57"/>
      <c r="D47" s="57"/>
      <c r="E47" s="57"/>
    </row>
    <row r="48" spans="1:10">
      <c r="A48" s="17" t="s">
        <v>200</v>
      </c>
      <c r="B48" s="22" t="s">
        <v>41</v>
      </c>
      <c r="C48" s="29"/>
      <c r="D48" s="29"/>
      <c r="E48" s="29"/>
      <c r="F48" s="24"/>
      <c r="G48" s="24"/>
      <c r="H48" s="24"/>
      <c r="I48" s="24"/>
      <c r="J48" s="24"/>
    </row>
    <row r="49" spans="2:10">
      <c r="B49" s="65" t="str">
        <f>B13</f>
        <v xml:space="preserve">Fiscal year  </v>
      </c>
      <c r="C49" s="58"/>
      <c r="D49" s="58">
        <f t="shared" ref="D49:J50" si="7">D13</f>
        <v>1899</v>
      </c>
      <c r="E49" s="58">
        <f t="shared" si="7"/>
        <v>1900</v>
      </c>
      <c r="F49" s="58">
        <f t="shared" si="7"/>
        <v>1901</v>
      </c>
      <c r="G49" s="58">
        <f t="shared" si="7"/>
        <v>1902</v>
      </c>
      <c r="H49" s="58">
        <f t="shared" si="7"/>
        <v>1903</v>
      </c>
      <c r="I49" s="58">
        <f t="shared" si="7"/>
        <v>1904</v>
      </c>
      <c r="J49" s="58">
        <f t="shared" si="7"/>
        <v>1905</v>
      </c>
    </row>
    <row r="50" spans="2:10">
      <c r="B50" s="24" t="str">
        <f>B14</f>
        <v>Fiscal year end date</v>
      </c>
      <c r="C50" s="60"/>
      <c r="D50" s="60">
        <f t="shared" si="7"/>
        <v>0</v>
      </c>
      <c r="E50" s="60">
        <f t="shared" si="7"/>
        <v>0</v>
      </c>
      <c r="F50" s="60">
        <f t="shared" si="7"/>
        <v>397</v>
      </c>
      <c r="G50" s="60">
        <f t="shared" si="7"/>
        <v>762</v>
      </c>
      <c r="H50" s="60">
        <f t="shared" si="7"/>
        <v>1127</v>
      </c>
      <c r="I50" s="60">
        <f t="shared" si="7"/>
        <v>1492</v>
      </c>
      <c r="J50" s="60">
        <f t="shared" si="7"/>
        <v>1858</v>
      </c>
    </row>
    <row r="51" spans="2:10">
      <c r="B51" s="17" t="s">
        <v>42</v>
      </c>
      <c r="C51" s="66"/>
      <c r="D51" s="67"/>
      <c r="E51" s="67"/>
      <c r="F51" s="38" t="e">
        <f ca="1">E51+F254</f>
        <v>#DIV/0!</v>
      </c>
      <c r="G51" s="38" t="e">
        <f ca="1">F51+G254</f>
        <v>#DIV/0!</v>
      </c>
      <c r="H51" s="38" t="e">
        <f ca="1">G51+H254</f>
        <v>#DIV/0!</v>
      </c>
      <c r="I51" s="38" t="e">
        <f ca="1">H51+I254</f>
        <v>#DIV/0!</v>
      </c>
      <c r="J51" s="38" t="e">
        <f ca="1">I51+J254</f>
        <v>#DIV/0!</v>
      </c>
    </row>
    <row r="52" spans="2:10">
      <c r="B52" s="20" t="s">
        <v>43</v>
      </c>
      <c r="C52" s="68"/>
      <c r="D52" s="69"/>
      <c r="E52" s="69"/>
      <c r="F52" s="70">
        <f>F90</f>
        <v>0</v>
      </c>
      <c r="G52" s="70">
        <f>G90</f>
        <v>0</v>
      </c>
      <c r="H52" s="70">
        <f>H90</f>
        <v>0</v>
      </c>
      <c r="I52" s="70">
        <f>I90</f>
        <v>0</v>
      </c>
      <c r="J52" s="70">
        <f>J90</f>
        <v>0</v>
      </c>
    </row>
    <row r="53" spans="2:10">
      <c r="B53" s="20" t="s">
        <v>44</v>
      </c>
      <c r="C53" s="68"/>
      <c r="D53" s="69"/>
      <c r="E53" s="69"/>
      <c r="F53" s="70" t="e">
        <f>F98</f>
        <v>#DIV/0!</v>
      </c>
      <c r="G53" s="70" t="e">
        <f>G98</f>
        <v>#DIV/0!</v>
      </c>
      <c r="H53" s="70" t="e">
        <f>H98</f>
        <v>#DIV/0!</v>
      </c>
      <c r="I53" s="70" t="e">
        <f>I98</f>
        <v>#DIV/0!</v>
      </c>
      <c r="J53" s="70" t="e">
        <f>J98</f>
        <v>#DIV/0!</v>
      </c>
    </row>
    <row r="54" spans="2:10">
      <c r="B54" s="37" t="s">
        <v>45</v>
      </c>
      <c r="C54" s="68"/>
      <c r="D54" s="69"/>
      <c r="E54" s="69"/>
      <c r="F54" s="70">
        <f>F156</f>
        <v>0</v>
      </c>
      <c r="G54" s="70">
        <f>G156</f>
        <v>0</v>
      </c>
      <c r="H54" s="70">
        <f>H156</f>
        <v>0</v>
      </c>
      <c r="I54" s="70">
        <f>I156</f>
        <v>0</v>
      </c>
      <c r="J54" s="70">
        <f>J156</f>
        <v>0</v>
      </c>
    </row>
    <row r="55" spans="2:10">
      <c r="B55" s="20" t="s">
        <v>46</v>
      </c>
      <c r="C55" s="68"/>
      <c r="D55" s="69"/>
      <c r="E55" s="69"/>
      <c r="F55" s="70">
        <f>F151</f>
        <v>0</v>
      </c>
      <c r="G55" s="70">
        <f>G151</f>
        <v>0</v>
      </c>
      <c r="H55" s="70">
        <f>H151</f>
        <v>0</v>
      </c>
      <c r="I55" s="70">
        <f>I151</f>
        <v>0</v>
      </c>
      <c r="J55" s="70">
        <f>J151</f>
        <v>0</v>
      </c>
    </row>
    <row r="56" spans="2:10">
      <c r="B56" s="37" t="s">
        <v>47</v>
      </c>
      <c r="C56" s="68"/>
      <c r="D56" s="69"/>
      <c r="E56" s="69"/>
      <c r="F56" s="70">
        <f>F137</f>
        <v>0</v>
      </c>
      <c r="G56" s="70">
        <f>G137</f>
        <v>0</v>
      </c>
      <c r="H56" s="70">
        <f>H137</f>
        <v>0</v>
      </c>
      <c r="I56" s="70">
        <f>I137</f>
        <v>0</v>
      </c>
      <c r="J56" s="70">
        <f>J137</f>
        <v>0</v>
      </c>
    </row>
    <row r="57" spans="2:10">
      <c r="B57" s="37" t="s">
        <v>48</v>
      </c>
      <c r="C57" s="68"/>
      <c r="D57" s="69"/>
      <c r="E57" s="69"/>
      <c r="F57" s="70">
        <f>F125</f>
        <v>0</v>
      </c>
      <c r="G57" s="70">
        <f>G125</f>
        <v>0</v>
      </c>
      <c r="H57" s="70">
        <f>H125</f>
        <v>0</v>
      </c>
      <c r="I57" s="70">
        <f>I125</f>
        <v>0</v>
      </c>
      <c r="J57" s="70">
        <f>J125</f>
        <v>0</v>
      </c>
    </row>
    <row r="58" spans="2:10">
      <c r="B58" s="71" t="s">
        <v>49</v>
      </c>
      <c r="C58" s="72"/>
      <c r="D58" s="69"/>
      <c r="E58" s="69"/>
      <c r="F58" s="70">
        <f>F161</f>
        <v>0</v>
      </c>
      <c r="G58" s="70">
        <f>G161</f>
        <v>0</v>
      </c>
      <c r="H58" s="70">
        <f>H161</f>
        <v>0</v>
      </c>
      <c r="I58" s="70">
        <f>I161</f>
        <v>0</v>
      </c>
      <c r="J58" s="70">
        <f>J161</f>
        <v>0</v>
      </c>
    </row>
    <row r="59" spans="2:10">
      <c r="B59" s="73" t="s">
        <v>50</v>
      </c>
      <c r="C59" s="74"/>
      <c r="D59" s="75">
        <f t="shared" ref="D59:J59" si="8">SUM(D51:D58)</f>
        <v>0</v>
      </c>
      <c r="E59" s="75">
        <f t="shared" si="8"/>
        <v>0</v>
      </c>
      <c r="F59" s="75" t="e">
        <f t="shared" ca="1" si="8"/>
        <v>#DIV/0!</v>
      </c>
      <c r="G59" s="75" t="e">
        <f t="shared" ca="1" si="8"/>
        <v>#DIV/0!</v>
      </c>
      <c r="H59" s="75" t="e">
        <f t="shared" ca="1" si="8"/>
        <v>#DIV/0!</v>
      </c>
      <c r="I59" s="75" t="e">
        <f t="shared" ca="1" si="8"/>
        <v>#DIV/0!</v>
      </c>
      <c r="J59" s="75" t="e">
        <f t="shared" ca="1" si="8"/>
        <v>#DIV/0!</v>
      </c>
    </row>
    <row r="60" spans="2:10">
      <c r="B60" s="76"/>
      <c r="C60" s="77"/>
      <c r="D60" s="78"/>
      <c r="E60" s="78"/>
    </row>
    <row r="61" spans="2:10">
      <c r="B61" s="76" t="s">
        <v>51</v>
      </c>
      <c r="C61" s="79"/>
      <c r="D61" s="69"/>
      <c r="E61" s="69"/>
      <c r="F61" s="62" t="e">
        <f>F106</f>
        <v>#DIV/0!</v>
      </c>
      <c r="G61" s="62" t="e">
        <f>G106</f>
        <v>#DIV/0!</v>
      </c>
      <c r="H61" s="62" t="e">
        <f>H106</f>
        <v>#DIV/0!</v>
      </c>
      <c r="I61" s="62" t="e">
        <f>I106</f>
        <v>#DIV/0!</v>
      </c>
      <c r="J61" s="62" t="e">
        <f>J106</f>
        <v>#DIV/0!</v>
      </c>
    </row>
    <row r="62" spans="2:10">
      <c r="B62" s="76" t="s">
        <v>52</v>
      </c>
      <c r="C62" s="79"/>
      <c r="D62" s="69"/>
      <c r="E62" s="69"/>
      <c r="F62" s="62">
        <f>F114</f>
        <v>0</v>
      </c>
      <c r="G62" s="62">
        <f>G114</f>
        <v>0</v>
      </c>
      <c r="H62" s="62">
        <f>H114</f>
        <v>0</v>
      </c>
      <c r="I62" s="62">
        <f>I114</f>
        <v>0</v>
      </c>
      <c r="J62" s="62">
        <f>J114</f>
        <v>0</v>
      </c>
    </row>
    <row r="63" spans="2:10">
      <c r="B63" s="76" t="s">
        <v>53</v>
      </c>
      <c r="C63" s="79"/>
      <c r="D63" s="69"/>
      <c r="E63" s="69"/>
      <c r="F63" s="80" t="e">
        <f ca="1">F263</f>
        <v>#DIV/0!</v>
      </c>
      <c r="G63" s="80" t="e">
        <f ca="1">G263</f>
        <v>#DIV/0!</v>
      </c>
      <c r="H63" s="80" t="e">
        <f ca="1">H263</f>
        <v>#DIV/0!</v>
      </c>
      <c r="I63" s="80" t="e">
        <f ca="1">I263</f>
        <v>#DIV/0!</v>
      </c>
      <c r="J63" s="80" t="e">
        <f ca="1">J263</f>
        <v>#DIV/0!</v>
      </c>
    </row>
    <row r="64" spans="2:10">
      <c r="B64" s="76" t="s">
        <v>54</v>
      </c>
      <c r="C64" s="74"/>
      <c r="D64" s="69"/>
      <c r="E64" s="69"/>
      <c r="F64" s="62">
        <f>F176</f>
        <v>0</v>
      </c>
      <c r="G64" s="62">
        <f>G176</f>
        <v>0</v>
      </c>
      <c r="H64" s="62">
        <f>H176</f>
        <v>0</v>
      </c>
      <c r="I64" s="62">
        <f>I176</f>
        <v>0</v>
      </c>
      <c r="J64" s="62">
        <f>J176</f>
        <v>0</v>
      </c>
    </row>
    <row r="65" spans="2:10">
      <c r="B65" s="71" t="s">
        <v>55</v>
      </c>
      <c r="C65" s="74"/>
      <c r="D65" s="69"/>
      <c r="E65" s="69"/>
      <c r="F65" s="62">
        <f>F166</f>
        <v>0</v>
      </c>
      <c r="G65" s="62">
        <f>G166</f>
        <v>0</v>
      </c>
      <c r="H65" s="62">
        <f>H166</f>
        <v>0</v>
      </c>
      <c r="I65" s="62">
        <f>I166</f>
        <v>0</v>
      </c>
      <c r="J65" s="62">
        <f>J166</f>
        <v>0</v>
      </c>
    </row>
    <row r="66" spans="2:10">
      <c r="B66" s="73" t="s">
        <v>56</v>
      </c>
      <c r="C66" s="74"/>
      <c r="D66" s="81">
        <f t="shared" ref="D66:J66" si="9">SUM(D61:D65)</f>
        <v>0</v>
      </c>
      <c r="E66" s="81">
        <f t="shared" si="9"/>
        <v>0</v>
      </c>
      <c r="F66" s="81" t="e">
        <f t="shared" si="9"/>
        <v>#DIV/0!</v>
      </c>
      <c r="G66" s="81" t="e">
        <f>SUM(G61:G65)</f>
        <v>#DIV/0!</v>
      </c>
      <c r="H66" s="81" t="e">
        <f t="shared" si="9"/>
        <v>#DIV/0!</v>
      </c>
      <c r="I66" s="81" t="e">
        <f t="shared" si="9"/>
        <v>#DIV/0!</v>
      </c>
      <c r="J66" s="81" t="e">
        <f t="shared" si="9"/>
        <v>#DIV/0!</v>
      </c>
    </row>
    <row r="67" spans="2:10">
      <c r="B67" s="73"/>
      <c r="C67" s="74"/>
      <c r="D67" s="81"/>
      <c r="E67" s="81"/>
    </row>
    <row r="68" spans="2:10">
      <c r="B68" s="76" t="s">
        <v>57</v>
      </c>
      <c r="C68" s="79"/>
      <c r="D68" s="69"/>
      <c r="E68" s="69"/>
      <c r="F68" s="62">
        <f>F192</f>
        <v>0</v>
      </c>
      <c r="G68" s="62">
        <f>G192</f>
        <v>0</v>
      </c>
      <c r="H68" s="62">
        <f>H192</f>
        <v>0</v>
      </c>
      <c r="I68" s="62">
        <f>I192</f>
        <v>0</v>
      </c>
      <c r="J68" s="62">
        <f>J192</f>
        <v>0</v>
      </c>
    </row>
    <row r="69" spans="2:10">
      <c r="B69" s="76" t="s">
        <v>58</v>
      </c>
      <c r="C69" s="79"/>
      <c r="D69" s="69"/>
      <c r="E69" s="69"/>
      <c r="F69" s="41">
        <f>F201</f>
        <v>0</v>
      </c>
      <c r="G69" s="41">
        <f>G201</f>
        <v>0</v>
      </c>
      <c r="H69" s="41">
        <f>H201</f>
        <v>0</v>
      </c>
      <c r="I69" s="41">
        <f>I201</f>
        <v>0</v>
      </c>
      <c r="J69" s="41">
        <f>J201</f>
        <v>0</v>
      </c>
    </row>
    <row r="70" spans="2:10">
      <c r="B70" s="76" t="s">
        <v>59</v>
      </c>
      <c r="C70" s="72"/>
      <c r="D70" s="69"/>
      <c r="E70" s="69"/>
      <c r="F70" s="62" t="e">
        <f ca="1">F213</f>
        <v>#DIV/0!</v>
      </c>
      <c r="G70" s="62" t="e">
        <f ca="1">G213</f>
        <v>#DIV/0!</v>
      </c>
      <c r="H70" s="62" t="e">
        <f ca="1">H213</f>
        <v>#DIV/0!</v>
      </c>
      <c r="I70" s="62" t="e">
        <f ca="1">I213</f>
        <v>#DIV/0!</v>
      </c>
      <c r="J70" s="62" t="e">
        <f ca="1">J213</f>
        <v>#DIV/0!</v>
      </c>
    </row>
    <row r="71" spans="2:10">
      <c r="B71" s="76" t="s">
        <v>60</v>
      </c>
      <c r="C71" s="72"/>
      <c r="D71" s="69"/>
      <c r="E71" s="69"/>
      <c r="F71" s="62">
        <f>F222</f>
        <v>0</v>
      </c>
      <c r="G71" s="62">
        <f>G222</f>
        <v>0</v>
      </c>
      <c r="H71" s="62">
        <f>H222</f>
        <v>0</v>
      </c>
      <c r="I71" s="62">
        <f>I222</f>
        <v>0</v>
      </c>
      <c r="J71" s="62">
        <f>J222</f>
        <v>0</v>
      </c>
    </row>
    <row r="72" spans="2:10">
      <c r="B72" s="73" t="s">
        <v>61</v>
      </c>
      <c r="C72" s="82"/>
      <c r="D72" s="83">
        <f t="shared" ref="D72:J72" si="10">SUM(D68:D71)</f>
        <v>0</v>
      </c>
      <c r="E72" s="83">
        <f t="shared" si="10"/>
        <v>0</v>
      </c>
      <c r="F72" s="83" t="e">
        <f t="shared" ca="1" si="10"/>
        <v>#DIV/0!</v>
      </c>
      <c r="G72" s="83" t="e">
        <f t="shared" ca="1" si="10"/>
        <v>#DIV/0!</v>
      </c>
      <c r="H72" s="83" t="e">
        <f t="shared" ca="1" si="10"/>
        <v>#DIV/0!</v>
      </c>
      <c r="I72" s="83" t="e">
        <f t="shared" ca="1" si="10"/>
        <v>#DIV/0!</v>
      </c>
      <c r="J72" s="83" t="e">
        <f t="shared" ca="1" si="10"/>
        <v>#DIV/0!</v>
      </c>
    </row>
    <row r="73" spans="2:10">
      <c r="B73" s="20"/>
      <c r="C73" s="84"/>
      <c r="D73" s="85"/>
      <c r="E73" s="85"/>
    </row>
    <row r="74" spans="2:10">
      <c r="B74" s="30" t="s">
        <v>62</v>
      </c>
      <c r="C74" s="86"/>
      <c r="D74" s="87">
        <f>ROUND(D59-D66-D72,3)</f>
        <v>0</v>
      </c>
      <c r="E74" s="87">
        <f t="shared" ref="E74:J74" si="11">ROUND(E59-E66-E72,3)</f>
        <v>0</v>
      </c>
      <c r="F74" s="87" t="e">
        <f t="shared" ca="1" si="11"/>
        <v>#DIV/0!</v>
      </c>
      <c r="G74" s="87" t="e">
        <f t="shared" ca="1" si="11"/>
        <v>#DIV/0!</v>
      </c>
      <c r="H74" s="87" t="e">
        <f t="shared" ca="1" si="11"/>
        <v>#DIV/0!</v>
      </c>
      <c r="I74" s="87" t="e">
        <f t="shared" ca="1" si="11"/>
        <v>#DIV/0!</v>
      </c>
      <c r="J74" s="87" t="e">
        <f t="shared" ca="1" si="11"/>
        <v>#DIV/0!</v>
      </c>
    </row>
    <row r="75" spans="2:10">
      <c r="C75" s="14"/>
      <c r="D75" s="14"/>
      <c r="E75" s="14"/>
    </row>
    <row r="76" spans="2:10">
      <c r="B76" s="44" t="s">
        <v>63</v>
      </c>
      <c r="C76" s="14"/>
      <c r="D76" s="14"/>
      <c r="E76" s="14"/>
    </row>
    <row r="77" spans="2:10">
      <c r="B77" s="17" t="s">
        <v>64</v>
      </c>
      <c r="C77" s="14"/>
      <c r="D77" s="62">
        <f>D64+D63-D51</f>
        <v>0</v>
      </c>
      <c r="E77" s="62">
        <f t="shared" ref="E77:J77" si="12">E64+E63-E51</f>
        <v>0</v>
      </c>
      <c r="F77" s="62" t="e">
        <f t="shared" ca="1" si="12"/>
        <v>#DIV/0!</v>
      </c>
      <c r="G77" s="62" t="e">
        <f t="shared" ca="1" si="12"/>
        <v>#DIV/0!</v>
      </c>
      <c r="H77" s="62" t="e">
        <f t="shared" ca="1" si="12"/>
        <v>#DIV/0!</v>
      </c>
      <c r="I77" s="62" t="e">
        <f t="shared" ca="1" si="12"/>
        <v>#DIV/0!</v>
      </c>
      <c r="J77" s="62" t="e">
        <f t="shared" ca="1" si="12"/>
        <v>#DIV/0!</v>
      </c>
    </row>
    <row r="78" spans="2:10">
      <c r="B78" s="17" t="s">
        <v>65</v>
      </c>
      <c r="C78" s="14"/>
      <c r="D78" s="88" t="e">
        <f t="shared" ref="D78:J78" si="13">D16/D59</f>
        <v>#DIV/0!</v>
      </c>
      <c r="E78" s="88" t="e">
        <f t="shared" si="13"/>
        <v>#DIV/0!</v>
      </c>
      <c r="F78" s="88" t="e">
        <f t="shared" ca="1" si="13"/>
        <v>#DIV/0!</v>
      </c>
      <c r="G78" s="88" t="e">
        <f t="shared" ca="1" si="13"/>
        <v>#DIV/0!</v>
      </c>
      <c r="H78" s="88" t="e">
        <f t="shared" ca="1" si="13"/>
        <v>#DIV/0!</v>
      </c>
      <c r="I78" s="88" t="e">
        <f t="shared" ca="1" si="13"/>
        <v>#DIV/0!</v>
      </c>
      <c r="J78" s="88" t="e">
        <f t="shared" ca="1" si="13"/>
        <v>#DIV/0!</v>
      </c>
    </row>
    <row r="79" spans="2:10">
      <c r="B79" s="17" t="s">
        <v>66</v>
      </c>
      <c r="C79" s="14"/>
      <c r="D79" s="14" t="e">
        <f t="shared" ref="D79:J79" si="14">D27/D16</f>
        <v>#DIV/0!</v>
      </c>
      <c r="E79" s="14" t="e">
        <f t="shared" si="14"/>
        <v>#DIV/0!</v>
      </c>
      <c r="F79" s="14" t="e">
        <f t="shared" ca="1" si="14"/>
        <v>#DIV/0!</v>
      </c>
      <c r="G79" s="14" t="e">
        <f t="shared" ca="1" si="14"/>
        <v>#DIV/0!</v>
      </c>
      <c r="H79" s="14" t="e">
        <f t="shared" ca="1" si="14"/>
        <v>#DIV/0!</v>
      </c>
      <c r="I79" s="14" t="e">
        <f t="shared" ca="1" si="14"/>
        <v>#DIV/0!</v>
      </c>
      <c r="J79" s="14" t="e">
        <f t="shared" ca="1" si="14"/>
        <v>#DIV/0!</v>
      </c>
    </row>
    <row r="80" spans="2:10">
      <c r="B80" s="17" t="s">
        <v>67</v>
      </c>
      <c r="C80" s="14"/>
      <c r="D80" s="14" t="e">
        <f t="shared" ref="D80:J80" si="15">D27/D59</f>
        <v>#DIV/0!</v>
      </c>
      <c r="E80" s="14" t="e">
        <f t="shared" si="15"/>
        <v>#DIV/0!</v>
      </c>
      <c r="F80" s="14" t="e">
        <f t="shared" ca="1" si="15"/>
        <v>#DIV/0!</v>
      </c>
      <c r="G80" s="14" t="e">
        <f t="shared" ca="1" si="15"/>
        <v>#DIV/0!</v>
      </c>
      <c r="H80" s="14" t="e">
        <f t="shared" ca="1" si="15"/>
        <v>#DIV/0!</v>
      </c>
      <c r="I80" s="14" t="e">
        <f t="shared" ca="1" si="15"/>
        <v>#DIV/0!</v>
      </c>
      <c r="J80" s="14" t="e">
        <f t="shared" ca="1" si="15"/>
        <v>#DIV/0!</v>
      </c>
    </row>
    <row r="81" spans="1:10">
      <c r="B81" s="17" t="s">
        <v>68</v>
      </c>
      <c r="C81" s="14"/>
      <c r="D81" s="14" t="e">
        <f t="shared" ref="D81:J81" si="16">D27/D72</f>
        <v>#DIV/0!</v>
      </c>
      <c r="E81" s="14" t="e">
        <f t="shared" si="16"/>
        <v>#DIV/0!</v>
      </c>
      <c r="F81" s="14" t="e">
        <f t="shared" ca="1" si="16"/>
        <v>#DIV/0!</v>
      </c>
      <c r="G81" s="14" t="e">
        <f t="shared" ca="1" si="16"/>
        <v>#DIV/0!</v>
      </c>
      <c r="H81" s="14" t="e">
        <f t="shared" ca="1" si="16"/>
        <v>#DIV/0!</v>
      </c>
      <c r="I81" s="14" t="e">
        <f t="shared" ca="1" si="16"/>
        <v>#DIV/0!</v>
      </c>
      <c r="J81" s="14" t="e">
        <f t="shared" ca="1" si="16"/>
        <v>#DIV/0!</v>
      </c>
    </row>
    <row r="83" spans="1:10">
      <c r="A83" s="17" t="s">
        <v>200</v>
      </c>
      <c r="B83" s="22" t="s">
        <v>69</v>
      </c>
      <c r="C83" s="29"/>
      <c r="D83" s="29"/>
      <c r="E83" s="29"/>
      <c r="F83" s="24"/>
      <c r="G83" s="24"/>
      <c r="H83" s="24"/>
      <c r="I83" s="24"/>
      <c r="J83" s="24"/>
    </row>
    <row r="84" spans="1:10">
      <c r="B84" s="65" t="str">
        <f>B13</f>
        <v xml:space="preserve">Fiscal year  </v>
      </c>
      <c r="C84" s="58"/>
      <c r="D84" s="58">
        <f t="shared" ref="D84:J85" si="17">D13</f>
        <v>1899</v>
      </c>
      <c r="E84" s="58">
        <f t="shared" si="17"/>
        <v>1900</v>
      </c>
      <c r="F84" s="59">
        <f t="shared" si="17"/>
        <v>1901</v>
      </c>
      <c r="G84" s="59">
        <f t="shared" si="17"/>
        <v>1902</v>
      </c>
      <c r="H84" s="59">
        <f t="shared" si="17"/>
        <v>1903</v>
      </c>
      <c r="I84" s="59">
        <f t="shared" si="17"/>
        <v>1904</v>
      </c>
      <c r="J84" s="59">
        <f t="shared" si="17"/>
        <v>1905</v>
      </c>
    </row>
    <row r="85" spans="1:10">
      <c r="B85" s="24" t="str">
        <f>B14</f>
        <v>Fiscal year end date</v>
      </c>
      <c r="C85" s="60"/>
      <c r="D85" s="60">
        <f t="shared" si="17"/>
        <v>0</v>
      </c>
      <c r="E85" s="60">
        <f t="shared" si="17"/>
        <v>0</v>
      </c>
      <c r="F85" s="60">
        <f t="shared" si="17"/>
        <v>397</v>
      </c>
      <c r="G85" s="60">
        <f t="shared" si="17"/>
        <v>762</v>
      </c>
      <c r="H85" s="60">
        <f t="shared" si="17"/>
        <v>1127</v>
      </c>
      <c r="I85" s="60">
        <f t="shared" si="17"/>
        <v>1492</v>
      </c>
      <c r="J85" s="60">
        <f t="shared" si="17"/>
        <v>1858</v>
      </c>
    </row>
    <row r="86" spans="1:10">
      <c r="B86" s="20"/>
      <c r="C86" s="89"/>
      <c r="D86" s="90"/>
      <c r="E86" s="90"/>
    </row>
    <row r="87" spans="1:10">
      <c r="B87" s="35" t="s">
        <v>43</v>
      </c>
      <c r="C87" s="35"/>
      <c r="D87" s="35"/>
      <c r="E87" s="35"/>
    </row>
    <row r="88" spans="1:10">
      <c r="B88" s="47" t="s">
        <v>70</v>
      </c>
      <c r="C88" s="20"/>
      <c r="D88" s="20"/>
      <c r="E88" s="20"/>
      <c r="F88" s="62">
        <f>E90</f>
        <v>0</v>
      </c>
      <c r="G88" s="62">
        <f>F90</f>
        <v>0</v>
      </c>
      <c r="H88" s="62">
        <f>G90</f>
        <v>0</v>
      </c>
      <c r="I88" s="62">
        <f>H90</f>
        <v>0</v>
      </c>
      <c r="J88" s="62">
        <f>I90</f>
        <v>0</v>
      </c>
    </row>
    <row r="89" spans="1:10">
      <c r="B89" s="91" t="s">
        <v>71</v>
      </c>
      <c r="C89" s="20"/>
      <c r="D89" s="20"/>
      <c r="E89" s="20"/>
      <c r="F89" s="62">
        <f>F90-F88</f>
        <v>0</v>
      </c>
      <c r="G89" s="62">
        <f>G90-G88</f>
        <v>0</v>
      </c>
      <c r="H89" s="62">
        <f>H90-H88</f>
        <v>0</v>
      </c>
      <c r="I89" s="62">
        <f>I90-I88</f>
        <v>0</v>
      </c>
      <c r="J89" s="62">
        <f>J90-J88</f>
        <v>0</v>
      </c>
    </row>
    <row r="90" spans="1:10">
      <c r="B90" s="47" t="s">
        <v>72</v>
      </c>
      <c r="C90" s="92"/>
      <c r="D90" s="62">
        <f>D52</f>
        <v>0</v>
      </c>
      <c r="E90" s="62">
        <f>E52</f>
        <v>0</v>
      </c>
      <c r="F90" s="62">
        <f>IF(F92,F92*F16,E90*(1+F37))</f>
        <v>0</v>
      </c>
      <c r="G90" s="62">
        <f>IF(G92,G92*G16,F90*(1+G37))</f>
        <v>0</v>
      </c>
      <c r="H90" s="62">
        <f>IF(H92,H92*H16,G90*(1+H37))</f>
        <v>0</v>
      </c>
      <c r="I90" s="62">
        <f>IF(I92,I92*I16,H90*(1+I37))</f>
        <v>0</v>
      </c>
      <c r="J90" s="62">
        <f>IF(J92,J92*J16,I90*(1+J37))</f>
        <v>0</v>
      </c>
    </row>
    <row r="91" spans="1:10">
      <c r="B91" s="20"/>
      <c r="C91" s="93"/>
    </row>
    <row r="92" spans="1:10">
      <c r="B92" s="47" t="s">
        <v>73</v>
      </c>
      <c r="C92" s="94"/>
      <c r="D92" s="14" t="e">
        <f>D90/D16</f>
        <v>#DIV/0!</v>
      </c>
      <c r="E92" s="14" t="e">
        <f>E90/E16</f>
        <v>#DIV/0!</v>
      </c>
      <c r="F92" s="63"/>
      <c r="G92" s="63"/>
      <c r="H92" s="63"/>
      <c r="I92" s="63"/>
      <c r="J92" s="63"/>
    </row>
    <row r="93" spans="1:10">
      <c r="B93" s="51" t="s">
        <v>74</v>
      </c>
      <c r="C93" s="94"/>
      <c r="D93" s="95" t="e">
        <f t="shared" ref="D93:J93" si="18">D92*365</f>
        <v>#DIV/0!</v>
      </c>
      <c r="E93" s="95" t="e">
        <f t="shared" si="18"/>
        <v>#DIV/0!</v>
      </c>
      <c r="F93" s="96">
        <f t="shared" si="18"/>
        <v>0</v>
      </c>
      <c r="G93" s="96">
        <f t="shared" si="18"/>
        <v>0</v>
      </c>
      <c r="H93" s="96">
        <f t="shared" si="18"/>
        <v>0</v>
      </c>
      <c r="I93" s="96">
        <f t="shared" si="18"/>
        <v>0</v>
      </c>
      <c r="J93" s="96">
        <f t="shared" si="18"/>
        <v>0</v>
      </c>
    </row>
    <row r="94" spans="1:10">
      <c r="B94" s="20"/>
      <c r="C94" s="94"/>
    </row>
    <row r="95" spans="1:10">
      <c r="B95" s="35" t="s">
        <v>75</v>
      </c>
      <c r="C95" s="35"/>
    </row>
    <row r="96" spans="1:10">
      <c r="B96" s="47" t="s">
        <v>70</v>
      </c>
      <c r="C96" s="20"/>
      <c r="F96" s="62">
        <f>E98</f>
        <v>0</v>
      </c>
      <c r="G96" s="62" t="e">
        <f>F98</f>
        <v>#DIV/0!</v>
      </c>
      <c r="H96" s="62" t="e">
        <f>G98</f>
        <v>#DIV/0!</v>
      </c>
      <c r="I96" s="62" t="e">
        <f>H98</f>
        <v>#DIV/0!</v>
      </c>
      <c r="J96" s="62" t="e">
        <f>I98</f>
        <v>#DIV/0!</v>
      </c>
    </row>
    <row r="97" spans="2:10">
      <c r="B97" s="91" t="s">
        <v>71</v>
      </c>
      <c r="C97" s="20"/>
      <c r="F97" s="62" t="e">
        <f>F98-F96</f>
        <v>#DIV/0!</v>
      </c>
      <c r="G97" s="62" t="e">
        <f>G98-G96</f>
        <v>#DIV/0!</v>
      </c>
      <c r="H97" s="62" t="e">
        <f>H98-H96</f>
        <v>#DIV/0!</v>
      </c>
      <c r="I97" s="62" t="e">
        <f>I98-I96</f>
        <v>#DIV/0!</v>
      </c>
      <c r="J97" s="62" t="e">
        <f>J98-J96</f>
        <v>#DIV/0!</v>
      </c>
    </row>
    <row r="98" spans="2:10">
      <c r="B98" s="47" t="s">
        <v>72</v>
      </c>
      <c r="C98" s="92"/>
      <c r="D98" s="62">
        <f>D53</f>
        <v>0</v>
      </c>
      <c r="E98" s="62">
        <f>E53</f>
        <v>0</v>
      </c>
      <c r="F98" s="62" t="e">
        <f>IF(F100,-(F100*F17),E98*F17/E17)</f>
        <v>#DIV/0!</v>
      </c>
      <c r="G98" s="62" t="e">
        <f>IF(G100,-(G100*G17),F98*G17/F17)</f>
        <v>#DIV/0!</v>
      </c>
      <c r="H98" s="62" t="e">
        <f>IF(H100,-(H100*H17),G98*H17/G17)</f>
        <v>#DIV/0!</v>
      </c>
      <c r="I98" s="62" t="e">
        <f>IF(I100,-(I100*I17),H98*I17/H17)</f>
        <v>#DIV/0!</v>
      </c>
      <c r="J98" s="62" t="e">
        <f>IF(J100,-(J100*J17),I98*J17/I17)</f>
        <v>#DIV/0!</v>
      </c>
    </row>
    <row r="99" spans="2:10">
      <c r="B99" s="20"/>
      <c r="C99" s="93"/>
    </row>
    <row r="100" spans="2:10">
      <c r="B100" s="47" t="s">
        <v>76</v>
      </c>
      <c r="C100" s="94"/>
      <c r="D100" s="14" t="e">
        <f>-(D98/D17)</f>
        <v>#DIV/0!</v>
      </c>
      <c r="E100" s="14" t="e">
        <f>-(E98/E17)</f>
        <v>#DIV/0!</v>
      </c>
      <c r="F100" s="63"/>
      <c r="G100" s="63"/>
      <c r="H100" s="63"/>
      <c r="I100" s="63"/>
      <c r="J100" s="63"/>
    </row>
    <row r="101" spans="2:10">
      <c r="B101" s="47" t="s">
        <v>77</v>
      </c>
      <c r="C101" s="94"/>
      <c r="D101" s="12" t="e">
        <f t="shared" ref="D101:J101" si="19">-(D17/D98)</f>
        <v>#DIV/0!</v>
      </c>
      <c r="E101" s="12" t="e">
        <f t="shared" si="19"/>
        <v>#DIV/0!</v>
      </c>
      <c r="F101" s="13" t="e">
        <f t="shared" si="19"/>
        <v>#DIV/0!</v>
      </c>
      <c r="G101" s="13" t="e">
        <f t="shared" si="19"/>
        <v>#DIV/0!</v>
      </c>
      <c r="H101" s="13" t="e">
        <f t="shared" si="19"/>
        <v>#DIV/0!</v>
      </c>
      <c r="I101" s="13" t="e">
        <f t="shared" si="19"/>
        <v>#DIV/0!</v>
      </c>
      <c r="J101" s="13" t="e">
        <f t="shared" si="19"/>
        <v>#DIV/0!</v>
      </c>
    </row>
    <row r="102" spans="2:10">
      <c r="B102" s="20"/>
      <c r="C102" s="94"/>
    </row>
    <row r="103" spans="2:10">
      <c r="B103" s="35" t="s">
        <v>51</v>
      </c>
      <c r="C103" s="35"/>
    </row>
    <row r="104" spans="2:10">
      <c r="B104" s="47" t="s">
        <v>70</v>
      </c>
      <c r="C104" s="20"/>
      <c r="F104" s="62">
        <f>E106</f>
        <v>0</v>
      </c>
      <c r="G104" s="62" t="e">
        <f>F106</f>
        <v>#DIV/0!</v>
      </c>
      <c r="H104" s="62" t="e">
        <f>G106</f>
        <v>#DIV/0!</v>
      </c>
      <c r="I104" s="62" t="e">
        <f>H106</f>
        <v>#DIV/0!</v>
      </c>
      <c r="J104" s="62" t="e">
        <f>I106</f>
        <v>#DIV/0!</v>
      </c>
    </row>
    <row r="105" spans="2:10">
      <c r="B105" s="91" t="s">
        <v>71</v>
      </c>
      <c r="C105" s="20"/>
      <c r="F105" s="62" t="e">
        <f>F106-F104</f>
        <v>#DIV/0!</v>
      </c>
      <c r="G105" s="62" t="e">
        <f>G106-G104</f>
        <v>#DIV/0!</v>
      </c>
      <c r="H105" s="62" t="e">
        <f>H106-H104</f>
        <v>#DIV/0!</v>
      </c>
      <c r="I105" s="62" t="e">
        <f>I106-I104</f>
        <v>#DIV/0!</v>
      </c>
      <c r="J105" s="62" t="e">
        <f>J106-J104</f>
        <v>#DIV/0!</v>
      </c>
    </row>
    <row r="106" spans="2:10">
      <c r="B106" s="47" t="s">
        <v>72</v>
      </c>
      <c r="C106" s="92"/>
      <c r="D106" s="62">
        <f>D61</f>
        <v>0</v>
      </c>
      <c r="E106" s="62">
        <f>E61</f>
        <v>0</v>
      </c>
      <c r="F106" s="62" t="e">
        <f>IF(F108,-(F108*F17),E106*F17/E17)</f>
        <v>#DIV/0!</v>
      </c>
      <c r="G106" s="62" t="e">
        <f>IF(G108,-(G108*G17),F106*G17/F17)</f>
        <v>#DIV/0!</v>
      </c>
      <c r="H106" s="62" t="e">
        <f>IF(H108,-(H108*H17),G106*H17/G17)</f>
        <v>#DIV/0!</v>
      </c>
      <c r="I106" s="62" t="e">
        <f>IF(I108,-(I108*I17),H106*I17/H17)</f>
        <v>#DIV/0!</v>
      </c>
      <c r="J106" s="62" t="e">
        <f>IF(J108,-(J108*J17),I106*J17/I17)</f>
        <v>#DIV/0!</v>
      </c>
    </row>
    <row r="107" spans="2:10">
      <c r="B107" s="20"/>
      <c r="C107" s="94"/>
    </row>
    <row r="108" spans="2:10">
      <c r="B108" s="47" t="s">
        <v>78</v>
      </c>
      <c r="C108" s="94"/>
      <c r="D108" s="14" t="e">
        <f>-(D106/D17)</f>
        <v>#DIV/0!</v>
      </c>
      <c r="E108" s="14" t="e">
        <f>-(E106/E17)</f>
        <v>#DIV/0!</v>
      </c>
      <c r="F108" s="63"/>
      <c r="G108" s="63"/>
      <c r="H108" s="63"/>
      <c r="I108" s="63"/>
      <c r="J108" s="63"/>
    </row>
    <row r="109" spans="2:10">
      <c r="B109" s="47" t="s">
        <v>79</v>
      </c>
      <c r="C109" s="94"/>
      <c r="D109" s="95" t="e">
        <f t="shared" ref="D109:J109" si="20">D108*365</f>
        <v>#DIV/0!</v>
      </c>
      <c r="E109" s="95" t="e">
        <f t="shared" si="20"/>
        <v>#DIV/0!</v>
      </c>
      <c r="F109" s="15">
        <f t="shared" si="20"/>
        <v>0</v>
      </c>
      <c r="G109" s="15">
        <f t="shared" si="20"/>
        <v>0</v>
      </c>
      <c r="H109" s="15">
        <f t="shared" si="20"/>
        <v>0</v>
      </c>
      <c r="I109" s="15">
        <f t="shared" si="20"/>
        <v>0</v>
      </c>
      <c r="J109" s="15">
        <f t="shared" si="20"/>
        <v>0</v>
      </c>
    </row>
    <row r="110" spans="2:10">
      <c r="B110" s="20"/>
      <c r="C110" s="94"/>
    </row>
    <row r="111" spans="2:10">
      <c r="B111" s="35" t="s">
        <v>80</v>
      </c>
      <c r="C111" s="94"/>
    </row>
    <row r="112" spans="2:10">
      <c r="B112" s="47" t="s">
        <v>70</v>
      </c>
      <c r="C112" s="94"/>
      <c r="F112" s="62">
        <f>E114</f>
        <v>0</v>
      </c>
      <c r="G112" s="62">
        <f>F114</f>
        <v>0</v>
      </c>
      <c r="H112" s="62">
        <f>G114</f>
        <v>0</v>
      </c>
      <c r="I112" s="62">
        <f>H114</f>
        <v>0</v>
      </c>
      <c r="J112" s="62">
        <f>I114</f>
        <v>0</v>
      </c>
    </row>
    <row r="113" spans="1:10">
      <c r="B113" s="91" t="s">
        <v>71</v>
      </c>
      <c r="C113" s="94"/>
      <c r="F113" s="62">
        <f>F114-F112</f>
        <v>0</v>
      </c>
      <c r="G113" s="62">
        <f>G114-G112</f>
        <v>0</v>
      </c>
      <c r="H113" s="62">
        <f>H114-H112</f>
        <v>0</v>
      </c>
      <c r="I113" s="62">
        <f>I114-I112</f>
        <v>0</v>
      </c>
      <c r="J113" s="62">
        <f>J114-J112</f>
        <v>0</v>
      </c>
    </row>
    <row r="114" spans="1:10">
      <c r="B114" s="47" t="s">
        <v>72</v>
      </c>
      <c r="C114" s="94"/>
      <c r="D114" s="62">
        <f>D62</f>
        <v>0</v>
      </c>
      <c r="E114" s="62">
        <f>E62</f>
        <v>0</v>
      </c>
      <c r="F114" s="62">
        <f>IF(F116,F116*F16,E114*(1+F37))</f>
        <v>0</v>
      </c>
      <c r="G114" s="62">
        <f>IF(G116,G116*G16,F114*(1+G37))</f>
        <v>0</v>
      </c>
      <c r="H114" s="62">
        <f>IF(H116,H116*H16,G114*(1+H37))</f>
        <v>0</v>
      </c>
      <c r="I114" s="62">
        <f>IF(I116,I116*I16,H114*(1+I37))</f>
        <v>0</v>
      </c>
      <c r="J114" s="62">
        <f>IF(J116,J116*J16,I114*(1+J37))</f>
        <v>0</v>
      </c>
    </row>
    <row r="115" spans="1:10">
      <c r="B115" s="20"/>
      <c r="C115" s="94"/>
    </row>
    <row r="116" spans="1:10">
      <c r="B116" s="47" t="s">
        <v>81</v>
      </c>
      <c r="C116" s="94"/>
      <c r="D116" s="14" t="e">
        <f>D114/D16</f>
        <v>#DIV/0!</v>
      </c>
      <c r="E116" s="16" t="e">
        <f>E114/E16</f>
        <v>#DIV/0!</v>
      </c>
      <c r="F116" s="63"/>
      <c r="G116" s="63"/>
      <c r="H116" s="63"/>
      <c r="I116" s="63"/>
      <c r="J116" s="63"/>
    </row>
    <row r="118" spans="1:10">
      <c r="A118" s="17" t="s">
        <v>200</v>
      </c>
      <c r="B118" s="22" t="s">
        <v>82</v>
      </c>
      <c r="C118" s="24"/>
      <c r="D118" s="24"/>
      <c r="E118" s="24"/>
      <c r="F118" s="24"/>
      <c r="G118" s="24"/>
      <c r="H118" s="24"/>
      <c r="I118" s="24"/>
      <c r="J118" s="24"/>
    </row>
    <row r="119" spans="1:10">
      <c r="B119" s="65" t="str">
        <f t="shared" ref="B119:J119" si="21">B13</f>
        <v xml:space="preserve">Fiscal year  </v>
      </c>
      <c r="C119" s="58">
        <f t="shared" si="21"/>
        <v>1898</v>
      </c>
      <c r="D119" s="58">
        <f t="shared" si="21"/>
        <v>1899</v>
      </c>
      <c r="E119" s="58">
        <f t="shared" si="21"/>
        <v>1900</v>
      </c>
      <c r="F119" s="59">
        <f t="shared" si="21"/>
        <v>1901</v>
      </c>
      <c r="G119" s="59">
        <f t="shared" si="21"/>
        <v>1902</v>
      </c>
      <c r="H119" s="59">
        <f t="shared" si="21"/>
        <v>1903</v>
      </c>
      <c r="I119" s="59">
        <f t="shared" si="21"/>
        <v>1904</v>
      </c>
      <c r="J119" s="59">
        <f t="shared" si="21"/>
        <v>1905</v>
      </c>
    </row>
    <row r="120" spans="1:10">
      <c r="B120" s="24" t="str">
        <f t="shared" ref="B120:J120" si="22">B14</f>
        <v>Fiscal year end date</v>
      </c>
      <c r="C120" s="60">
        <f t="shared" si="22"/>
        <v>0</v>
      </c>
      <c r="D120" s="60">
        <f t="shared" si="22"/>
        <v>0</v>
      </c>
      <c r="E120" s="60">
        <f t="shared" si="22"/>
        <v>0</v>
      </c>
      <c r="F120" s="60">
        <f t="shared" si="22"/>
        <v>397</v>
      </c>
      <c r="G120" s="60">
        <f t="shared" si="22"/>
        <v>762</v>
      </c>
      <c r="H120" s="60">
        <f t="shared" si="22"/>
        <v>1127</v>
      </c>
      <c r="I120" s="60">
        <f t="shared" si="22"/>
        <v>1492</v>
      </c>
      <c r="J120" s="60">
        <f t="shared" si="22"/>
        <v>1858</v>
      </c>
    </row>
    <row r="121" spans="1:10">
      <c r="B121" s="20"/>
    </row>
    <row r="122" spans="1:10">
      <c r="B122" s="47" t="s">
        <v>70</v>
      </c>
      <c r="F122" s="62">
        <f>E125</f>
        <v>0</v>
      </c>
      <c r="G122" s="62">
        <f>F125</f>
        <v>0</v>
      </c>
      <c r="H122" s="62">
        <f>G125</f>
        <v>0</v>
      </c>
      <c r="I122" s="62">
        <f>H125</f>
        <v>0</v>
      </c>
      <c r="J122" s="62">
        <f>I125</f>
        <v>0</v>
      </c>
    </row>
    <row r="123" spans="1:10">
      <c r="B123" s="91" t="s">
        <v>83</v>
      </c>
      <c r="F123" s="62">
        <f>F127</f>
        <v>0</v>
      </c>
      <c r="G123" s="62">
        <f t="shared" ref="G123:J124" si="23">G127</f>
        <v>0</v>
      </c>
      <c r="H123" s="62">
        <f t="shared" si="23"/>
        <v>0</v>
      </c>
      <c r="I123" s="62">
        <f t="shared" si="23"/>
        <v>0</v>
      </c>
      <c r="J123" s="62">
        <f t="shared" si="23"/>
        <v>0</v>
      </c>
    </row>
    <row r="124" spans="1:10">
      <c r="B124" s="91" t="s">
        <v>84</v>
      </c>
      <c r="D124" s="62"/>
      <c r="E124" s="62"/>
      <c r="F124" s="62">
        <f>F128</f>
        <v>0</v>
      </c>
      <c r="G124" s="62">
        <f t="shared" si="23"/>
        <v>0</v>
      </c>
      <c r="H124" s="62">
        <f t="shared" si="23"/>
        <v>0</v>
      </c>
      <c r="I124" s="62">
        <f t="shared" si="23"/>
        <v>0</v>
      </c>
      <c r="J124" s="62">
        <f t="shared" si="23"/>
        <v>0</v>
      </c>
    </row>
    <row r="125" spans="1:10">
      <c r="B125" s="47" t="s">
        <v>72</v>
      </c>
      <c r="D125" s="62">
        <f>D57</f>
        <v>0</v>
      </c>
      <c r="E125" s="62">
        <f>E57</f>
        <v>0</v>
      </c>
      <c r="F125" s="62">
        <f>SUM(F122:F124)</f>
        <v>0</v>
      </c>
      <c r="G125" s="62">
        <f>SUM(G122:G124)</f>
        <v>0</v>
      </c>
      <c r="H125" s="62">
        <f>SUM(H122:H124)</f>
        <v>0</v>
      </c>
      <c r="I125" s="62">
        <f>SUM(I122:I124)</f>
        <v>0</v>
      </c>
      <c r="J125" s="62">
        <f>SUM(J122:J124)</f>
        <v>0</v>
      </c>
    </row>
    <row r="126" spans="1:10">
      <c r="B126" s="20"/>
      <c r="E126" s="62"/>
    </row>
    <row r="127" spans="1:10">
      <c r="B127" s="51" t="s">
        <v>85</v>
      </c>
      <c r="C127" s="97"/>
      <c r="D127" s="97"/>
      <c r="E127" s="97"/>
      <c r="F127" s="97"/>
      <c r="G127" s="97"/>
      <c r="H127" s="97"/>
      <c r="I127" s="97"/>
      <c r="J127" s="97"/>
    </row>
    <row r="128" spans="1:10">
      <c r="B128" s="51" t="s">
        <v>86</v>
      </c>
      <c r="C128" s="97"/>
      <c r="D128" s="97"/>
      <c r="E128" s="97"/>
      <c r="F128" s="97"/>
      <c r="G128" s="97"/>
      <c r="H128" s="97"/>
      <c r="I128" s="97"/>
      <c r="J128" s="97"/>
    </row>
    <row r="129" spans="1:10">
      <c r="B129" s="20"/>
    </row>
    <row r="130" spans="1:10">
      <c r="B130" s="22" t="s">
        <v>87</v>
      </c>
      <c r="C130" s="24"/>
      <c r="D130" s="24"/>
      <c r="E130" s="24"/>
      <c r="F130" s="24"/>
      <c r="G130" s="24"/>
      <c r="H130" s="24"/>
      <c r="I130" s="24"/>
      <c r="J130" s="24"/>
    </row>
    <row r="131" spans="1:10">
      <c r="B131" s="65" t="str">
        <f t="shared" ref="B131:J131" si="24">B13</f>
        <v xml:space="preserve">Fiscal year  </v>
      </c>
      <c r="C131" s="58">
        <f t="shared" si="24"/>
        <v>1898</v>
      </c>
      <c r="D131" s="58">
        <f t="shared" si="24"/>
        <v>1899</v>
      </c>
      <c r="E131" s="58">
        <f t="shared" si="24"/>
        <v>1900</v>
      </c>
      <c r="F131" s="59">
        <f t="shared" si="24"/>
        <v>1901</v>
      </c>
      <c r="G131" s="59">
        <f t="shared" si="24"/>
        <v>1902</v>
      </c>
      <c r="H131" s="59">
        <f t="shared" si="24"/>
        <v>1903</v>
      </c>
      <c r="I131" s="59">
        <f t="shared" si="24"/>
        <v>1904</v>
      </c>
      <c r="J131" s="59">
        <f t="shared" si="24"/>
        <v>1905</v>
      </c>
    </row>
    <row r="132" spans="1:10">
      <c r="B132" s="24" t="str">
        <f t="shared" ref="B132:J132" si="25">B14</f>
        <v>Fiscal year end date</v>
      </c>
      <c r="C132" s="60">
        <f t="shared" si="25"/>
        <v>0</v>
      </c>
      <c r="D132" s="60">
        <f t="shared" si="25"/>
        <v>0</v>
      </c>
      <c r="E132" s="60">
        <f t="shared" si="25"/>
        <v>0</v>
      </c>
      <c r="F132" s="60">
        <f t="shared" si="25"/>
        <v>397</v>
      </c>
      <c r="G132" s="60">
        <f t="shared" si="25"/>
        <v>762</v>
      </c>
      <c r="H132" s="60">
        <f t="shared" si="25"/>
        <v>1127</v>
      </c>
      <c r="I132" s="60">
        <f t="shared" si="25"/>
        <v>1492</v>
      </c>
      <c r="J132" s="60">
        <f t="shared" si="25"/>
        <v>1858</v>
      </c>
    </row>
    <row r="133" spans="1:10">
      <c r="B133" s="35"/>
    </row>
    <row r="134" spans="1:10">
      <c r="B134" s="47" t="s">
        <v>70</v>
      </c>
      <c r="F134" s="62">
        <f>E137</f>
        <v>0</v>
      </c>
      <c r="G134" s="62">
        <f>F137</f>
        <v>0</v>
      </c>
      <c r="H134" s="62">
        <f>G137</f>
        <v>0</v>
      </c>
      <c r="I134" s="62">
        <f>H137</f>
        <v>0</v>
      </c>
      <c r="J134" s="62">
        <f>I137</f>
        <v>0</v>
      </c>
    </row>
    <row r="135" spans="1:10">
      <c r="B135" s="91" t="s">
        <v>88</v>
      </c>
      <c r="F135" s="62">
        <f>F139</f>
        <v>0</v>
      </c>
      <c r="G135" s="62">
        <f>G139</f>
        <v>0</v>
      </c>
      <c r="H135" s="62">
        <f>H139</f>
        <v>0</v>
      </c>
      <c r="I135" s="62">
        <f>I139</f>
        <v>0</v>
      </c>
      <c r="J135" s="62">
        <f>J139</f>
        <v>0</v>
      </c>
    </row>
    <row r="136" spans="1:10">
      <c r="B136" s="91" t="s">
        <v>89</v>
      </c>
      <c r="F136" s="62">
        <f>F141</f>
        <v>0</v>
      </c>
      <c r="G136" s="62">
        <f>G141</f>
        <v>0</v>
      </c>
      <c r="H136" s="62">
        <f>H141</f>
        <v>0</v>
      </c>
      <c r="I136" s="62">
        <f>I141</f>
        <v>0</v>
      </c>
      <c r="J136" s="62">
        <f>J141</f>
        <v>0</v>
      </c>
    </row>
    <row r="137" spans="1:10">
      <c r="B137" s="47" t="s">
        <v>72</v>
      </c>
      <c r="D137" s="62">
        <f>D56</f>
        <v>0</v>
      </c>
      <c r="E137" s="62">
        <f>E56</f>
        <v>0</v>
      </c>
      <c r="F137" s="62">
        <f>SUM(F134:F136)</f>
        <v>0</v>
      </c>
      <c r="G137" s="62">
        <f>SUM(G134:G136)</f>
        <v>0</v>
      </c>
      <c r="H137" s="62">
        <f>SUM(H134:H136)</f>
        <v>0</v>
      </c>
      <c r="I137" s="62">
        <f>SUM(I134:I136)</f>
        <v>0</v>
      </c>
      <c r="J137" s="62">
        <f>SUM(J134:J136)</f>
        <v>0</v>
      </c>
    </row>
    <row r="138" spans="1:10">
      <c r="B138" s="47"/>
    </row>
    <row r="139" spans="1:10">
      <c r="B139" s="51" t="s">
        <v>90</v>
      </c>
      <c r="C139" s="97"/>
      <c r="D139" s="97"/>
      <c r="E139" s="97"/>
      <c r="F139" s="62">
        <f>F140*F16</f>
        <v>0</v>
      </c>
      <c r="G139" s="62">
        <f>G140*G16</f>
        <v>0</v>
      </c>
      <c r="H139" s="62">
        <f>H140*H16</f>
        <v>0</v>
      </c>
      <c r="I139" s="62">
        <f>I140*I16</f>
        <v>0</v>
      </c>
      <c r="J139" s="62">
        <f>J140*J16</f>
        <v>0</v>
      </c>
    </row>
    <row r="140" spans="1:10">
      <c r="B140" s="47" t="s">
        <v>91</v>
      </c>
      <c r="C140" s="14" t="e">
        <f>C139/C16</f>
        <v>#DIV/0!</v>
      </c>
      <c r="D140" s="14" t="e">
        <f>D139/D16</f>
        <v>#DIV/0!</v>
      </c>
      <c r="E140" s="14" t="e">
        <f>E139/E16</f>
        <v>#DIV/0!</v>
      </c>
      <c r="F140" s="63"/>
      <c r="G140" s="63"/>
      <c r="H140" s="63"/>
      <c r="I140" s="63"/>
      <c r="J140" s="63"/>
    </row>
    <row r="141" spans="1:10">
      <c r="B141" s="51" t="s">
        <v>92</v>
      </c>
      <c r="C141" s="97"/>
      <c r="D141" s="97"/>
      <c r="E141" s="97"/>
      <c r="F141" s="62">
        <f>-(F142*F139)</f>
        <v>0</v>
      </c>
      <c r="G141" s="62">
        <f>-(G142*G139)</f>
        <v>0</v>
      </c>
      <c r="H141" s="62">
        <f>-(H142*H139)</f>
        <v>0</v>
      </c>
      <c r="I141" s="62">
        <f>-(I142*I139)</f>
        <v>0</v>
      </c>
      <c r="J141" s="62">
        <f>-(J142*J139)</f>
        <v>0</v>
      </c>
    </row>
    <row r="142" spans="1:10">
      <c r="B142" s="47" t="s">
        <v>93</v>
      </c>
      <c r="C142" s="14" t="e">
        <f>-(C141/C139)</f>
        <v>#DIV/0!</v>
      </c>
      <c r="D142" s="14" t="e">
        <f>-(D141/D139)</f>
        <v>#DIV/0!</v>
      </c>
      <c r="E142" s="14" t="e">
        <f>-(E141/E139)</f>
        <v>#DIV/0!</v>
      </c>
      <c r="F142" s="63"/>
      <c r="G142" s="63"/>
      <c r="H142" s="63"/>
      <c r="I142" s="63"/>
      <c r="J142" s="63"/>
    </row>
    <row r="144" spans="1:10">
      <c r="A144" s="17" t="s">
        <v>200</v>
      </c>
      <c r="B144" s="22" t="s">
        <v>94</v>
      </c>
      <c r="C144" s="24"/>
      <c r="D144" s="24"/>
      <c r="E144" s="24"/>
      <c r="F144" s="24"/>
      <c r="G144" s="24"/>
      <c r="H144" s="24"/>
      <c r="I144" s="24"/>
      <c r="J144" s="24"/>
    </row>
    <row r="145" spans="2:11">
      <c r="B145" s="65" t="str">
        <f t="shared" ref="B145:J145" si="26">B13</f>
        <v xml:space="preserve">Fiscal year  </v>
      </c>
      <c r="C145" s="58">
        <f t="shared" si="26"/>
        <v>1898</v>
      </c>
      <c r="D145" s="58">
        <f t="shared" si="26"/>
        <v>1899</v>
      </c>
      <c r="E145" s="58">
        <f t="shared" si="26"/>
        <v>1900</v>
      </c>
      <c r="F145" s="59">
        <f t="shared" si="26"/>
        <v>1901</v>
      </c>
      <c r="G145" s="59">
        <f t="shared" si="26"/>
        <v>1902</v>
      </c>
      <c r="H145" s="59">
        <f t="shared" si="26"/>
        <v>1903</v>
      </c>
      <c r="I145" s="59">
        <f t="shared" si="26"/>
        <v>1904</v>
      </c>
      <c r="J145" s="59">
        <f t="shared" si="26"/>
        <v>1905</v>
      </c>
    </row>
    <row r="146" spans="2:11">
      <c r="B146" s="24" t="str">
        <f t="shared" ref="B146:J146" si="27">B14</f>
        <v>Fiscal year end date</v>
      </c>
      <c r="C146" s="60">
        <f t="shared" si="27"/>
        <v>0</v>
      </c>
      <c r="D146" s="60">
        <f t="shared" si="27"/>
        <v>0</v>
      </c>
      <c r="E146" s="60">
        <f t="shared" si="27"/>
        <v>0</v>
      </c>
      <c r="F146" s="60">
        <f t="shared" si="27"/>
        <v>397</v>
      </c>
      <c r="G146" s="60">
        <f t="shared" si="27"/>
        <v>762</v>
      </c>
      <c r="H146" s="60">
        <f t="shared" si="27"/>
        <v>1127</v>
      </c>
      <c r="I146" s="60">
        <f t="shared" si="27"/>
        <v>1492</v>
      </c>
      <c r="J146" s="60">
        <f t="shared" si="27"/>
        <v>1858</v>
      </c>
    </row>
    <row r="147" spans="2:11">
      <c r="B147" s="35"/>
    </row>
    <row r="148" spans="2:11">
      <c r="B148" s="35" t="s">
        <v>46</v>
      </c>
    </row>
    <row r="149" spans="2:11">
      <c r="B149" s="47" t="s">
        <v>70</v>
      </c>
      <c r="F149" s="62">
        <f>E151</f>
        <v>0</v>
      </c>
      <c r="G149" s="62">
        <f>F151</f>
        <v>0</v>
      </c>
      <c r="H149" s="62">
        <f>G151</f>
        <v>0</v>
      </c>
      <c r="I149" s="62">
        <f>H151</f>
        <v>0</v>
      </c>
      <c r="J149" s="62">
        <f>I151</f>
        <v>0</v>
      </c>
    </row>
    <row r="150" spans="2:11">
      <c r="B150" s="91" t="s">
        <v>71</v>
      </c>
      <c r="F150" s="97"/>
      <c r="G150" s="97"/>
      <c r="H150" s="97"/>
      <c r="I150" s="97"/>
      <c r="J150" s="97"/>
    </row>
    <row r="151" spans="2:11">
      <c r="B151" s="47" t="s">
        <v>72</v>
      </c>
      <c r="D151" s="62">
        <f>D55</f>
        <v>0</v>
      </c>
      <c r="E151" s="62">
        <f>E55</f>
        <v>0</v>
      </c>
      <c r="F151" s="62">
        <f>SUM(F149:F150)</f>
        <v>0</v>
      </c>
      <c r="G151" s="62">
        <f>SUM(G149:G150)</f>
        <v>0</v>
      </c>
      <c r="H151" s="62">
        <f>SUM(H149:H150)</f>
        <v>0</v>
      </c>
      <c r="I151" s="62">
        <f>SUM(I149:I150)</f>
        <v>0</v>
      </c>
      <c r="J151" s="62">
        <f>SUM(J149:J150)</f>
        <v>0</v>
      </c>
    </row>
    <row r="152" spans="2:11">
      <c r="B152" s="20"/>
    </row>
    <row r="153" spans="2:11">
      <c r="B153" s="98" t="s">
        <v>95</v>
      </c>
    </row>
    <row r="154" spans="2:11">
      <c r="B154" s="47" t="s">
        <v>70</v>
      </c>
      <c r="F154" s="62">
        <f>E156</f>
        <v>0</v>
      </c>
      <c r="G154" s="62">
        <f>F156</f>
        <v>0</v>
      </c>
      <c r="H154" s="62">
        <f>G156</f>
        <v>0</v>
      </c>
      <c r="I154" s="62">
        <f>H156</f>
        <v>0</v>
      </c>
      <c r="J154" s="62">
        <f>I156</f>
        <v>0</v>
      </c>
    </row>
    <row r="155" spans="2:11">
      <c r="B155" s="91" t="s">
        <v>71</v>
      </c>
      <c r="F155" s="97"/>
      <c r="G155" s="97"/>
      <c r="H155" s="97"/>
      <c r="I155" s="97"/>
      <c r="J155" s="97"/>
    </row>
    <row r="156" spans="2:11">
      <c r="B156" s="47" t="s">
        <v>72</v>
      </c>
      <c r="D156" s="62">
        <f>D54</f>
        <v>0</v>
      </c>
      <c r="E156" s="62">
        <f>E54</f>
        <v>0</v>
      </c>
      <c r="F156" s="62">
        <f>SUM(F154:F155)</f>
        <v>0</v>
      </c>
      <c r="G156" s="62">
        <f>SUM(G154:G155)</f>
        <v>0</v>
      </c>
      <c r="H156" s="62">
        <f>SUM(H154:H155)</f>
        <v>0</v>
      </c>
      <c r="I156" s="62">
        <f>SUM(I154:I155)</f>
        <v>0</v>
      </c>
      <c r="J156" s="62">
        <f>SUM(J154:J155)</f>
        <v>0</v>
      </c>
    </row>
    <row r="157" spans="2:11">
      <c r="B157" s="20"/>
    </row>
    <row r="158" spans="2:11">
      <c r="B158" s="98" t="s">
        <v>49</v>
      </c>
    </row>
    <row r="159" spans="2:11">
      <c r="B159" s="47" t="s">
        <v>70</v>
      </c>
      <c r="F159" s="62">
        <f>E161</f>
        <v>0</v>
      </c>
      <c r="G159" s="62">
        <f>F161</f>
        <v>0</v>
      </c>
      <c r="H159" s="62">
        <f>G161</f>
        <v>0</v>
      </c>
      <c r="I159" s="62">
        <f>H161</f>
        <v>0</v>
      </c>
      <c r="J159" s="62">
        <f>I161</f>
        <v>0</v>
      </c>
    </row>
    <row r="160" spans="2:11">
      <c r="B160" s="91" t="s">
        <v>71</v>
      </c>
      <c r="G160" s="97"/>
      <c r="H160" s="97"/>
      <c r="I160" s="97"/>
      <c r="J160" s="97"/>
      <c r="K160" s="97"/>
    </row>
    <row r="161" spans="1:10">
      <c r="B161" s="47" t="s">
        <v>72</v>
      </c>
      <c r="D161" s="62">
        <f>D58</f>
        <v>0</v>
      </c>
      <c r="E161" s="62">
        <f>E58</f>
        <v>0</v>
      </c>
      <c r="F161" s="62">
        <f>SUM(F159:F160)</f>
        <v>0</v>
      </c>
      <c r="G161" s="62">
        <f>SUM(G159:G160)</f>
        <v>0</v>
      </c>
      <c r="H161" s="62">
        <f>SUM(H159:H160)</f>
        <v>0</v>
      </c>
      <c r="I161" s="62">
        <f>SUM(I159:I160)</f>
        <v>0</v>
      </c>
      <c r="J161" s="62">
        <f>SUM(J159:J160)</f>
        <v>0</v>
      </c>
    </row>
    <row r="162" spans="1:10">
      <c r="B162" s="20"/>
    </row>
    <row r="163" spans="1:10">
      <c r="B163" s="35" t="s">
        <v>96</v>
      </c>
    </row>
    <row r="164" spans="1:10">
      <c r="B164" s="47" t="s">
        <v>70</v>
      </c>
      <c r="F164" s="62">
        <f>E166</f>
        <v>0</v>
      </c>
      <c r="G164" s="62">
        <f>F166</f>
        <v>0</v>
      </c>
      <c r="H164" s="62">
        <f>G166</f>
        <v>0</v>
      </c>
      <c r="I164" s="62">
        <f>H166</f>
        <v>0</v>
      </c>
      <c r="J164" s="62">
        <f>I166</f>
        <v>0</v>
      </c>
    </row>
    <row r="165" spans="1:10">
      <c r="B165" s="91" t="s">
        <v>71</v>
      </c>
      <c r="F165" s="97"/>
      <c r="G165" s="97"/>
      <c r="H165" s="97"/>
      <c r="I165" s="97"/>
      <c r="J165" s="97"/>
    </row>
    <row r="166" spans="1:10">
      <c r="B166" s="47" t="s">
        <v>72</v>
      </c>
      <c r="D166" s="62">
        <f>D65</f>
        <v>0</v>
      </c>
      <c r="E166" s="62">
        <f>E65</f>
        <v>0</v>
      </c>
      <c r="F166" s="62">
        <f>SUM(F164:F165)</f>
        <v>0</v>
      </c>
      <c r="G166" s="62">
        <f>SUM(G164:G165)</f>
        <v>0</v>
      </c>
      <c r="H166" s="62">
        <f>SUM(H164:H165)</f>
        <v>0</v>
      </c>
      <c r="I166" s="62">
        <f>SUM(I164:I165)</f>
        <v>0</v>
      </c>
      <c r="J166" s="62">
        <f>SUM(J164:J165)</f>
        <v>0</v>
      </c>
    </row>
    <row r="168" spans="1:10">
      <c r="A168" s="17" t="s">
        <v>200</v>
      </c>
      <c r="B168" s="22" t="s">
        <v>97</v>
      </c>
      <c r="C168" s="99"/>
      <c r="D168" s="99"/>
      <c r="E168" s="99"/>
      <c r="F168" s="100"/>
      <c r="G168" s="100"/>
      <c r="H168" s="100"/>
      <c r="I168" s="100"/>
      <c r="J168" s="100"/>
    </row>
    <row r="169" spans="1:10">
      <c r="B169" s="65" t="str">
        <f>B13</f>
        <v xml:space="preserve">Fiscal year  </v>
      </c>
      <c r="C169" s="58"/>
      <c r="D169" s="58">
        <f t="shared" ref="D169:J170" si="28">D13</f>
        <v>1899</v>
      </c>
      <c r="E169" s="58">
        <f t="shared" si="28"/>
        <v>1900</v>
      </c>
      <c r="F169" s="59">
        <f t="shared" si="28"/>
        <v>1901</v>
      </c>
      <c r="G169" s="59">
        <f t="shared" si="28"/>
        <v>1902</v>
      </c>
      <c r="H169" s="59">
        <f t="shared" si="28"/>
        <v>1903</v>
      </c>
      <c r="I169" s="59">
        <f t="shared" si="28"/>
        <v>1904</v>
      </c>
      <c r="J169" s="59">
        <f t="shared" si="28"/>
        <v>1905</v>
      </c>
    </row>
    <row r="170" spans="1:10">
      <c r="B170" s="24" t="str">
        <f>B14</f>
        <v>Fiscal year end date</v>
      </c>
      <c r="C170" s="60"/>
      <c r="D170" s="60">
        <f t="shared" si="28"/>
        <v>0</v>
      </c>
      <c r="E170" s="60">
        <f t="shared" si="28"/>
        <v>0</v>
      </c>
      <c r="F170" s="60">
        <f t="shared" si="28"/>
        <v>397</v>
      </c>
      <c r="G170" s="60">
        <f t="shared" si="28"/>
        <v>762</v>
      </c>
      <c r="H170" s="60">
        <f t="shared" si="28"/>
        <v>1127</v>
      </c>
      <c r="I170" s="60">
        <f t="shared" si="28"/>
        <v>1492</v>
      </c>
      <c r="J170" s="60">
        <f t="shared" si="28"/>
        <v>1858</v>
      </c>
    </row>
    <row r="171" spans="1:10">
      <c r="B171" s="20"/>
    </row>
    <row r="172" spans="1:10">
      <c r="B172" s="73" t="s">
        <v>98</v>
      </c>
    </row>
    <row r="173" spans="1:10">
      <c r="B173" s="47" t="s">
        <v>70</v>
      </c>
      <c r="F173" s="62">
        <f>E176</f>
        <v>0</v>
      </c>
      <c r="G173" s="62">
        <f>F176</f>
        <v>0</v>
      </c>
      <c r="H173" s="62">
        <f>G176</f>
        <v>0</v>
      </c>
      <c r="I173" s="62">
        <f>H176</f>
        <v>0</v>
      </c>
      <c r="J173" s="62">
        <f>I176</f>
        <v>0</v>
      </c>
    </row>
    <row r="174" spans="1:10">
      <c r="B174" s="47" t="s">
        <v>99</v>
      </c>
      <c r="F174" s="97"/>
      <c r="G174" s="97"/>
      <c r="H174" s="97"/>
      <c r="I174" s="97"/>
      <c r="J174" s="97"/>
    </row>
    <row r="175" spans="1:10">
      <c r="B175" s="47" t="s">
        <v>100</v>
      </c>
      <c r="F175" s="62">
        <f>F182*F178</f>
        <v>0</v>
      </c>
      <c r="G175" s="62">
        <f>G182*G178</f>
        <v>0</v>
      </c>
      <c r="H175" s="62">
        <f>H182*H178</f>
        <v>0</v>
      </c>
      <c r="I175" s="62">
        <f>I182*I178</f>
        <v>0</v>
      </c>
      <c r="J175" s="62">
        <f>J182*J178</f>
        <v>0</v>
      </c>
    </row>
    <row r="176" spans="1:10">
      <c r="B176" s="47" t="s">
        <v>72</v>
      </c>
      <c r="D176" s="62">
        <f>D64</f>
        <v>0</v>
      </c>
      <c r="E176" s="62">
        <f>E64</f>
        <v>0</v>
      </c>
      <c r="F176" s="62">
        <f>SUM(F173:F175)</f>
        <v>0</v>
      </c>
      <c r="G176" s="62">
        <f>SUM(G173:G175)</f>
        <v>0</v>
      </c>
      <c r="H176" s="62">
        <f>SUM(H173:H175)</f>
        <v>0</v>
      </c>
      <c r="I176" s="62">
        <f>SUM(I173:I175)</f>
        <v>0</v>
      </c>
      <c r="J176" s="62">
        <f>SUM(J173:J175)</f>
        <v>0</v>
      </c>
    </row>
    <row r="177" spans="1:10">
      <c r="B177" s="20"/>
    </row>
    <row r="178" spans="1:10">
      <c r="B178" s="47" t="s">
        <v>101</v>
      </c>
      <c r="F178" s="97"/>
      <c r="G178" s="97"/>
      <c r="H178" s="97"/>
      <c r="I178" s="97"/>
      <c r="J178" s="97"/>
    </row>
    <row r="179" spans="1:10">
      <c r="B179" s="47" t="s">
        <v>102</v>
      </c>
      <c r="F179" s="14" t="e">
        <f>F178/AVERAGE(E176:F176)</f>
        <v>#DIV/0!</v>
      </c>
      <c r="G179" s="14" t="e">
        <f>G178/AVERAGE(F176:G176)</f>
        <v>#DIV/0!</v>
      </c>
      <c r="H179" s="14" t="e">
        <f>H178/AVERAGE(G176:H176)</f>
        <v>#DIV/0!</v>
      </c>
      <c r="I179" s="14" t="e">
        <f>I178/AVERAGE(H176:I176)</f>
        <v>#DIV/0!</v>
      </c>
      <c r="J179" s="14" t="e">
        <f>J178/AVERAGE(I176:J176)</f>
        <v>#DIV/0!</v>
      </c>
    </row>
    <row r="180" spans="1:10">
      <c r="B180" s="47"/>
    </row>
    <row r="181" spans="1:10">
      <c r="B181" s="47" t="s">
        <v>103</v>
      </c>
      <c r="F181" s="101"/>
      <c r="G181" s="101"/>
      <c r="H181" s="101"/>
      <c r="I181" s="101"/>
      <c r="J181" s="101"/>
    </row>
    <row r="182" spans="1:10">
      <c r="B182" s="47" t="s">
        <v>104</v>
      </c>
      <c r="F182" s="102">
        <f>1-F181</f>
        <v>1</v>
      </c>
      <c r="G182" s="102">
        <f>1-G181</f>
        <v>1</v>
      </c>
      <c r="H182" s="102">
        <f>1-H181</f>
        <v>1</v>
      </c>
      <c r="I182" s="102">
        <f>1-I181</f>
        <v>1</v>
      </c>
      <c r="J182" s="102">
        <f>1-J181</f>
        <v>1</v>
      </c>
    </row>
    <row r="184" spans="1:10">
      <c r="A184" s="17" t="s">
        <v>200</v>
      </c>
      <c r="B184" s="22" t="s">
        <v>105</v>
      </c>
      <c r="C184" s="24"/>
      <c r="D184" s="24"/>
      <c r="E184" s="24"/>
      <c r="F184" s="24"/>
      <c r="G184" s="24"/>
      <c r="H184" s="24"/>
      <c r="I184" s="24"/>
      <c r="J184" s="24"/>
    </row>
    <row r="185" spans="1:10">
      <c r="B185" s="65" t="str">
        <f>B13</f>
        <v xml:space="preserve">Fiscal year  </v>
      </c>
      <c r="C185" s="58"/>
      <c r="D185" s="58">
        <f t="shared" ref="D185:J186" si="29">D13</f>
        <v>1899</v>
      </c>
      <c r="E185" s="58">
        <f t="shared" si="29"/>
        <v>1900</v>
      </c>
      <c r="F185" s="59">
        <f t="shared" si="29"/>
        <v>1901</v>
      </c>
      <c r="G185" s="59">
        <f t="shared" si="29"/>
        <v>1902</v>
      </c>
      <c r="H185" s="59">
        <f t="shared" si="29"/>
        <v>1903</v>
      </c>
      <c r="I185" s="59">
        <f t="shared" si="29"/>
        <v>1904</v>
      </c>
      <c r="J185" s="59">
        <f t="shared" si="29"/>
        <v>1905</v>
      </c>
    </row>
    <row r="186" spans="1:10">
      <c r="B186" s="24" t="str">
        <f>B14</f>
        <v>Fiscal year end date</v>
      </c>
      <c r="C186" s="60"/>
      <c r="D186" s="60">
        <f t="shared" si="29"/>
        <v>0</v>
      </c>
      <c r="E186" s="60">
        <f t="shared" si="29"/>
        <v>0</v>
      </c>
      <c r="F186" s="60">
        <f t="shared" si="29"/>
        <v>397</v>
      </c>
      <c r="G186" s="60">
        <f t="shared" si="29"/>
        <v>762</v>
      </c>
      <c r="H186" s="60">
        <f t="shared" si="29"/>
        <v>1127</v>
      </c>
      <c r="I186" s="60">
        <f t="shared" si="29"/>
        <v>1492</v>
      </c>
      <c r="J186" s="60">
        <f t="shared" si="29"/>
        <v>1858</v>
      </c>
    </row>
    <row r="187" spans="1:10">
      <c r="B187" s="20"/>
    </row>
    <row r="188" spans="1:10">
      <c r="B188" s="35" t="s">
        <v>106</v>
      </c>
    </row>
    <row r="189" spans="1:10">
      <c r="B189" s="47" t="s">
        <v>70</v>
      </c>
      <c r="F189" s="62">
        <f>E192</f>
        <v>0</v>
      </c>
      <c r="G189" s="62">
        <f>F192</f>
        <v>0</v>
      </c>
      <c r="H189" s="62">
        <f>G192</f>
        <v>0</v>
      </c>
      <c r="I189" s="62">
        <f>H192</f>
        <v>0</v>
      </c>
      <c r="J189" s="62">
        <f>I192</f>
        <v>0</v>
      </c>
    </row>
    <row r="190" spans="1:10">
      <c r="B190" s="91" t="s">
        <v>107</v>
      </c>
      <c r="F190" s="62">
        <f>F194</f>
        <v>0</v>
      </c>
      <c r="G190" s="62">
        <f t="shared" ref="G190:J191" si="30">G194</f>
        <v>0</v>
      </c>
      <c r="H190" s="62">
        <f t="shared" si="30"/>
        <v>0</v>
      </c>
      <c r="I190" s="62">
        <f t="shared" si="30"/>
        <v>0</v>
      </c>
      <c r="J190" s="62">
        <f t="shared" si="30"/>
        <v>0</v>
      </c>
    </row>
    <row r="191" spans="1:10">
      <c r="B191" s="91" t="s">
        <v>108</v>
      </c>
      <c r="F191" s="62">
        <f>F195</f>
        <v>0</v>
      </c>
      <c r="G191" s="62">
        <f t="shared" si="30"/>
        <v>0</v>
      </c>
      <c r="H191" s="62">
        <f t="shared" si="30"/>
        <v>0</v>
      </c>
      <c r="I191" s="62">
        <f t="shared" si="30"/>
        <v>0</v>
      </c>
      <c r="J191" s="62">
        <f t="shared" si="30"/>
        <v>0</v>
      </c>
    </row>
    <row r="192" spans="1:10">
      <c r="B192" s="47" t="s">
        <v>72</v>
      </c>
      <c r="D192" s="62">
        <f>D68</f>
        <v>0</v>
      </c>
      <c r="E192" s="62">
        <f>E68</f>
        <v>0</v>
      </c>
      <c r="F192" s="62">
        <f>SUM(F189:F191)</f>
        <v>0</v>
      </c>
      <c r="G192" s="62">
        <f>SUM(G189:G191)</f>
        <v>0</v>
      </c>
      <c r="H192" s="62">
        <f>SUM(H189:H191)</f>
        <v>0</v>
      </c>
      <c r="I192" s="62">
        <f>SUM(I189:I191)</f>
        <v>0</v>
      </c>
      <c r="J192" s="62">
        <f>SUM(J189:J191)</f>
        <v>0</v>
      </c>
    </row>
    <row r="193" spans="2:10">
      <c r="B193" s="47"/>
    </row>
    <row r="194" spans="2:10">
      <c r="B194" s="47" t="s">
        <v>109</v>
      </c>
      <c r="C194" s="103"/>
      <c r="D194" s="103"/>
      <c r="E194" s="103"/>
      <c r="F194" s="103"/>
      <c r="G194" s="103"/>
      <c r="H194" s="103"/>
      <c r="I194" s="103"/>
      <c r="J194" s="103"/>
    </row>
    <row r="195" spans="2:10">
      <c r="B195" s="47" t="s">
        <v>37</v>
      </c>
      <c r="C195" s="57">
        <f>C45</f>
        <v>0</v>
      </c>
      <c r="D195" s="57">
        <f>D45</f>
        <v>0</v>
      </c>
      <c r="E195" s="57">
        <f>E45</f>
        <v>0</v>
      </c>
      <c r="F195" s="62">
        <f>-(F196*SUM(F17,F19,F20))</f>
        <v>0</v>
      </c>
      <c r="G195" s="62">
        <f>-(G196*SUM(G17,G19,G20))</f>
        <v>0</v>
      </c>
      <c r="H195" s="62">
        <f>-(H196*SUM(H17,H19,H20))</f>
        <v>0</v>
      </c>
      <c r="I195" s="62">
        <f>-(I196*SUM(I17,I19,I20))</f>
        <v>0</v>
      </c>
      <c r="J195" s="62">
        <f>-(J196*SUM(J17,J19,J20))</f>
        <v>0</v>
      </c>
    </row>
    <row r="196" spans="2:10">
      <c r="B196" s="47" t="s">
        <v>110</v>
      </c>
      <c r="C196" s="14" t="e">
        <f>-(C195/SUM(C17,C19,C20))</f>
        <v>#DIV/0!</v>
      </c>
      <c r="D196" s="14" t="e">
        <f>-(D195/SUM(D17,D19,D20))</f>
        <v>#DIV/0!</v>
      </c>
      <c r="E196" s="14" t="e">
        <f>-(E195/SUM(E17,E19,E20))</f>
        <v>#DIV/0!</v>
      </c>
      <c r="F196" s="63"/>
      <c r="G196" s="63"/>
      <c r="H196" s="63"/>
      <c r="I196" s="63"/>
      <c r="J196" s="63"/>
    </row>
    <row r="197" spans="2:10">
      <c r="B197" s="47"/>
    </row>
    <row r="198" spans="2:10">
      <c r="B198" s="35" t="s">
        <v>58</v>
      </c>
    </row>
    <row r="199" spans="2:10">
      <c r="B199" s="47" t="s">
        <v>70</v>
      </c>
      <c r="F199" s="41">
        <f>E201</f>
        <v>0</v>
      </c>
      <c r="G199" s="41">
        <f>F201</f>
        <v>0</v>
      </c>
      <c r="H199" s="41">
        <f>G201</f>
        <v>0</v>
      </c>
      <c r="I199" s="41">
        <f>H201</f>
        <v>0</v>
      </c>
      <c r="J199" s="41">
        <f>I201</f>
        <v>0</v>
      </c>
    </row>
    <row r="200" spans="2:10">
      <c r="B200" s="91" t="s">
        <v>111</v>
      </c>
      <c r="F200" s="41">
        <f>F203</f>
        <v>0</v>
      </c>
      <c r="G200" s="41">
        <f>G203</f>
        <v>0</v>
      </c>
      <c r="H200" s="41">
        <f>H203</f>
        <v>0</v>
      </c>
      <c r="I200" s="41">
        <f>I203</f>
        <v>0</v>
      </c>
      <c r="J200" s="41">
        <f>J203</f>
        <v>0</v>
      </c>
    </row>
    <row r="201" spans="2:10">
      <c r="B201" s="47" t="s">
        <v>72</v>
      </c>
      <c r="D201" s="62">
        <f>D69</f>
        <v>0</v>
      </c>
      <c r="E201" s="62">
        <f>E69</f>
        <v>0</v>
      </c>
      <c r="F201" s="41">
        <f>SUM(F199:F200)</f>
        <v>0</v>
      </c>
      <c r="G201" s="41">
        <f>SUM(G199:G200)</f>
        <v>0</v>
      </c>
      <c r="H201" s="41">
        <f>SUM(H199:H200)</f>
        <v>0</v>
      </c>
      <c r="I201" s="41">
        <f>SUM(I199:I200)</f>
        <v>0</v>
      </c>
      <c r="J201" s="41">
        <f>SUM(J199:J200)</f>
        <v>0</v>
      </c>
    </row>
    <row r="202" spans="2:10">
      <c r="B202" s="20"/>
    </row>
    <row r="203" spans="2:10">
      <c r="B203" s="91" t="s">
        <v>112</v>
      </c>
      <c r="C203" s="97"/>
      <c r="D203" s="97"/>
      <c r="E203" s="104"/>
      <c r="F203" s="97"/>
      <c r="G203" s="97"/>
      <c r="H203" s="97"/>
      <c r="I203" s="97"/>
      <c r="J203" s="97"/>
    </row>
    <row r="205" spans="2:10">
      <c r="B205" s="22" t="s">
        <v>113</v>
      </c>
      <c r="C205" s="24"/>
      <c r="D205" s="24"/>
      <c r="E205" s="24"/>
      <c r="F205" s="24"/>
      <c r="G205" s="24"/>
      <c r="H205" s="24"/>
      <c r="I205" s="24"/>
      <c r="J205" s="24"/>
    </row>
    <row r="206" spans="2:10">
      <c r="B206" s="65" t="str">
        <f t="shared" ref="B206:J206" si="31">B13</f>
        <v xml:space="preserve">Fiscal year  </v>
      </c>
      <c r="C206" s="58">
        <f t="shared" si="31"/>
        <v>1898</v>
      </c>
      <c r="D206" s="58">
        <f t="shared" si="31"/>
        <v>1899</v>
      </c>
      <c r="E206" s="58">
        <f t="shared" si="31"/>
        <v>1900</v>
      </c>
      <c r="F206" s="59">
        <f t="shared" si="31"/>
        <v>1901</v>
      </c>
      <c r="G206" s="59">
        <f t="shared" si="31"/>
        <v>1902</v>
      </c>
      <c r="H206" s="59">
        <f t="shared" si="31"/>
        <v>1903</v>
      </c>
      <c r="I206" s="59">
        <f t="shared" si="31"/>
        <v>1904</v>
      </c>
      <c r="J206" s="59">
        <f t="shared" si="31"/>
        <v>1905</v>
      </c>
    </row>
    <row r="207" spans="2:10">
      <c r="B207" s="24" t="str">
        <f t="shared" ref="B207:J207" si="32">B14</f>
        <v>Fiscal year end date</v>
      </c>
      <c r="C207" s="60">
        <f t="shared" si="32"/>
        <v>0</v>
      </c>
      <c r="D207" s="60">
        <f t="shared" si="32"/>
        <v>0</v>
      </c>
      <c r="E207" s="60">
        <f t="shared" si="32"/>
        <v>0</v>
      </c>
      <c r="F207" s="60">
        <f t="shared" si="32"/>
        <v>397</v>
      </c>
      <c r="G207" s="60">
        <f t="shared" si="32"/>
        <v>762</v>
      </c>
      <c r="H207" s="60">
        <f t="shared" si="32"/>
        <v>1127</v>
      </c>
      <c r="I207" s="60">
        <f t="shared" si="32"/>
        <v>1492</v>
      </c>
      <c r="J207" s="60">
        <f t="shared" si="32"/>
        <v>1858</v>
      </c>
    </row>
    <row r="208" spans="2:10">
      <c r="B208" s="20"/>
    </row>
    <row r="209" spans="2:10">
      <c r="B209" s="35" t="s">
        <v>114</v>
      </c>
    </row>
    <row r="210" spans="2:10">
      <c r="B210" s="47" t="s">
        <v>70</v>
      </c>
      <c r="F210" s="62">
        <f>E213</f>
        <v>0</v>
      </c>
      <c r="G210" s="62" t="e">
        <f ca="1">F213</f>
        <v>#DIV/0!</v>
      </c>
      <c r="H210" s="62" t="e">
        <f ca="1">G213</f>
        <v>#DIV/0!</v>
      </c>
      <c r="I210" s="62" t="e">
        <f ca="1">H213</f>
        <v>#DIV/0!</v>
      </c>
      <c r="J210" s="62" t="e">
        <f ca="1">I213</f>
        <v>#DIV/0!</v>
      </c>
    </row>
    <row r="211" spans="2:10">
      <c r="B211" s="91" t="s">
        <v>115</v>
      </c>
      <c r="F211" s="62" t="e">
        <f ca="1">F215</f>
        <v>#DIV/0!</v>
      </c>
      <c r="G211" s="62" t="e">
        <f ca="1">G215</f>
        <v>#DIV/0!</v>
      </c>
      <c r="H211" s="62" t="e">
        <f ca="1">H215</f>
        <v>#DIV/0!</v>
      </c>
      <c r="I211" s="62" t="e">
        <f ca="1">I215</f>
        <v>#DIV/0!</v>
      </c>
      <c r="J211" s="62" t="e">
        <f ca="1">J215</f>
        <v>#DIV/0!</v>
      </c>
    </row>
    <row r="212" spans="2:10">
      <c r="B212" s="91" t="s">
        <v>116</v>
      </c>
      <c r="F212" s="62" t="e">
        <f ca="1">F217</f>
        <v>#DIV/0!</v>
      </c>
      <c r="G212" s="62" t="e">
        <f ca="1">G217</f>
        <v>#DIV/0!</v>
      </c>
      <c r="H212" s="62" t="e">
        <f ca="1">H217</f>
        <v>#DIV/0!</v>
      </c>
      <c r="I212" s="62" t="e">
        <f ca="1">I217</f>
        <v>#DIV/0!</v>
      </c>
      <c r="J212" s="62" t="e">
        <f ca="1">J217</f>
        <v>#DIV/0!</v>
      </c>
    </row>
    <row r="213" spans="2:10">
      <c r="B213" s="47" t="s">
        <v>72</v>
      </c>
      <c r="D213" s="62">
        <f>D70</f>
        <v>0</v>
      </c>
      <c r="E213" s="62">
        <f>E70</f>
        <v>0</v>
      </c>
      <c r="F213" s="62" t="e">
        <f ca="1">SUM(F210:F212)</f>
        <v>#DIV/0!</v>
      </c>
      <c r="G213" s="62" t="e">
        <f ca="1">SUM(G210:G212)</f>
        <v>#DIV/0!</v>
      </c>
      <c r="H213" s="62" t="e">
        <f ca="1">SUM(H210:H212)</f>
        <v>#DIV/0!</v>
      </c>
      <c r="I213" s="62" t="e">
        <f ca="1">SUM(I210:I212)</f>
        <v>#DIV/0!</v>
      </c>
      <c r="J213" s="62" t="e">
        <f ca="1">SUM(J210:J212)</f>
        <v>#DIV/0!</v>
      </c>
    </row>
    <row r="214" spans="2:10">
      <c r="B214" s="20"/>
    </row>
    <row r="215" spans="2:10">
      <c r="B215" s="51" t="s">
        <v>22</v>
      </c>
      <c r="C215" s="62">
        <f t="shared" ref="C215:J215" si="33">C27</f>
        <v>0</v>
      </c>
      <c r="D215" s="62">
        <f t="shared" si="33"/>
        <v>0</v>
      </c>
      <c r="E215" s="62">
        <f t="shared" si="33"/>
        <v>0</v>
      </c>
      <c r="F215" s="62" t="e">
        <f t="shared" ca="1" si="33"/>
        <v>#DIV/0!</v>
      </c>
      <c r="G215" s="62" t="e">
        <f t="shared" ca="1" si="33"/>
        <v>#DIV/0!</v>
      </c>
      <c r="H215" s="62" t="e">
        <f t="shared" ca="1" si="33"/>
        <v>#DIV/0!</v>
      </c>
      <c r="I215" s="62" t="e">
        <f t="shared" ca="1" si="33"/>
        <v>#DIV/0!</v>
      </c>
      <c r="J215" s="62" t="e">
        <f t="shared" ca="1" si="33"/>
        <v>#DIV/0!</v>
      </c>
    </row>
    <row r="216" spans="2:10">
      <c r="B216" s="47" t="s">
        <v>117</v>
      </c>
      <c r="C216" s="14" t="e">
        <f>-(C217/C215)</f>
        <v>#DIV/0!</v>
      </c>
      <c r="D216" s="14" t="e">
        <f>-(D217/D215)</f>
        <v>#DIV/0!</v>
      </c>
      <c r="E216" s="14" t="e">
        <f>-(E217/E215)</f>
        <v>#DIV/0!</v>
      </c>
      <c r="F216" s="63"/>
      <c r="G216" s="63"/>
      <c r="H216" s="63"/>
      <c r="I216" s="63"/>
      <c r="J216" s="63"/>
    </row>
    <row r="217" spans="2:10">
      <c r="B217" s="51" t="s">
        <v>118</v>
      </c>
      <c r="C217" s="97"/>
      <c r="D217" s="97"/>
      <c r="E217" s="97"/>
      <c r="F217" s="62" t="e">
        <f ca="1">-(F216*F215)</f>
        <v>#DIV/0!</v>
      </c>
      <c r="G217" s="62" t="e">
        <f ca="1">-(G216*G215)</f>
        <v>#DIV/0!</v>
      </c>
      <c r="H217" s="62" t="e">
        <f ca="1">-(H216*H215)</f>
        <v>#DIV/0!</v>
      </c>
      <c r="I217" s="62" t="e">
        <f ca="1">-(I216*I215)</f>
        <v>#DIV/0!</v>
      </c>
      <c r="J217" s="62" t="e">
        <f ca="1">-(J216*J215)</f>
        <v>#DIV/0!</v>
      </c>
    </row>
    <row r="218" spans="2:10">
      <c r="B218" s="20"/>
    </row>
    <row r="219" spans="2:10">
      <c r="B219" s="105" t="s">
        <v>60</v>
      </c>
    </row>
    <row r="220" spans="2:10">
      <c r="B220" s="47" t="s">
        <v>70</v>
      </c>
      <c r="F220" s="62">
        <f>E222</f>
        <v>0</v>
      </c>
      <c r="G220" s="62">
        <f>F222</f>
        <v>0</v>
      </c>
      <c r="H220" s="62">
        <f>G222</f>
        <v>0</v>
      </c>
      <c r="I220" s="62">
        <f>H222</f>
        <v>0</v>
      </c>
      <c r="J220" s="62">
        <f>I222</f>
        <v>0</v>
      </c>
    </row>
    <row r="221" spans="2:10">
      <c r="B221" s="91" t="s">
        <v>119</v>
      </c>
      <c r="F221" s="97"/>
      <c r="G221" s="97"/>
      <c r="H221" s="97"/>
      <c r="I221" s="97"/>
      <c r="J221" s="97"/>
    </row>
    <row r="222" spans="2:10">
      <c r="B222" s="47" t="s">
        <v>72</v>
      </c>
      <c r="D222" s="62">
        <f>D71</f>
        <v>0</v>
      </c>
      <c r="E222" s="62">
        <f>E71</f>
        <v>0</v>
      </c>
      <c r="F222" s="62">
        <f>SUM(F220:F221)</f>
        <v>0</v>
      </c>
      <c r="G222" s="62">
        <f>SUM(G220:G221)</f>
        <v>0</v>
      </c>
      <c r="H222" s="62">
        <f>SUM(H220:H221)</f>
        <v>0</v>
      </c>
      <c r="I222" s="62">
        <f>SUM(I220:I221)</f>
        <v>0</v>
      </c>
      <c r="J222" s="62">
        <f>SUM(J220:J221)</f>
        <v>0</v>
      </c>
    </row>
    <row r="223" spans="2:10">
      <c r="E223" s="62"/>
    </row>
    <row r="224" spans="2:10">
      <c r="B224" s="22" t="s">
        <v>120</v>
      </c>
      <c r="C224" s="29"/>
      <c r="D224" s="29"/>
      <c r="E224" s="29"/>
      <c r="F224" s="29"/>
      <c r="G224" s="29"/>
      <c r="H224" s="29"/>
      <c r="I224" s="29"/>
      <c r="J224" s="29"/>
    </row>
    <row r="225" spans="2:10">
      <c r="B225" s="65" t="str">
        <f>B13</f>
        <v xml:space="preserve">Fiscal year  </v>
      </c>
      <c r="C225" s="58"/>
      <c r="D225" s="58">
        <f t="shared" ref="D225:J226" si="34">D13</f>
        <v>1899</v>
      </c>
      <c r="E225" s="58">
        <f t="shared" si="34"/>
        <v>1900</v>
      </c>
      <c r="F225" s="59">
        <f t="shared" si="34"/>
        <v>1901</v>
      </c>
      <c r="G225" s="59">
        <f t="shared" si="34"/>
        <v>1902</v>
      </c>
      <c r="H225" s="59">
        <f t="shared" si="34"/>
        <v>1903</v>
      </c>
      <c r="I225" s="59">
        <f t="shared" si="34"/>
        <v>1904</v>
      </c>
      <c r="J225" s="59">
        <f t="shared" si="34"/>
        <v>1905</v>
      </c>
    </row>
    <row r="226" spans="2:10">
      <c r="B226" s="24" t="str">
        <f>B14</f>
        <v>Fiscal year end date</v>
      </c>
      <c r="C226" s="60"/>
      <c r="D226" s="60">
        <f t="shared" si="34"/>
        <v>0</v>
      </c>
      <c r="E226" s="60">
        <f t="shared" si="34"/>
        <v>0</v>
      </c>
      <c r="F226" s="60">
        <f t="shared" si="34"/>
        <v>397</v>
      </c>
      <c r="G226" s="60">
        <f t="shared" si="34"/>
        <v>762</v>
      </c>
      <c r="H226" s="60">
        <f t="shared" si="34"/>
        <v>1127</v>
      </c>
      <c r="I226" s="60">
        <f t="shared" si="34"/>
        <v>1492</v>
      </c>
      <c r="J226" s="60">
        <f t="shared" si="34"/>
        <v>1858</v>
      </c>
    </row>
    <row r="228" spans="2:10">
      <c r="B228" s="20" t="s">
        <v>22</v>
      </c>
      <c r="C228" s="106"/>
      <c r="D228" s="106"/>
      <c r="E228" s="106"/>
      <c r="F228" s="38" t="e">
        <f ca="1">F27</f>
        <v>#DIV/0!</v>
      </c>
      <c r="G228" s="38" t="e">
        <f ca="1">G27</f>
        <v>#DIV/0!</v>
      </c>
      <c r="H228" s="38" t="e">
        <f ca="1">H27</f>
        <v>#DIV/0!</v>
      </c>
      <c r="I228" s="38" t="e">
        <f ca="1">I27</f>
        <v>#DIV/0!</v>
      </c>
      <c r="J228" s="38" t="e">
        <f ca="1">J27</f>
        <v>#DIV/0!</v>
      </c>
    </row>
    <row r="229" spans="2:10">
      <c r="B229" s="20" t="s">
        <v>121</v>
      </c>
      <c r="C229" s="106"/>
      <c r="D229" s="106"/>
      <c r="E229" s="106"/>
      <c r="F229" s="80">
        <f>F44</f>
        <v>0</v>
      </c>
      <c r="G229" s="80">
        <f>G44</f>
        <v>0</v>
      </c>
      <c r="H229" s="80">
        <f>H44</f>
        <v>0</v>
      </c>
      <c r="I229" s="80">
        <f>I44</f>
        <v>0</v>
      </c>
      <c r="J229" s="80">
        <f>J44</f>
        <v>0</v>
      </c>
    </row>
    <row r="230" spans="2:10">
      <c r="B230" s="20" t="s">
        <v>37</v>
      </c>
      <c r="C230" s="106"/>
      <c r="D230" s="106"/>
      <c r="E230" s="106"/>
      <c r="F230" s="38">
        <f>F191</f>
        <v>0</v>
      </c>
      <c r="G230" s="38">
        <f>G191</f>
        <v>0</v>
      </c>
      <c r="H230" s="38">
        <f>H191</f>
        <v>0</v>
      </c>
      <c r="I230" s="38">
        <f>I191</f>
        <v>0</v>
      </c>
      <c r="J230" s="38">
        <f>J191</f>
        <v>0</v>
      </c>
    </row>
    <row r="231" spans="2:10">
      <c r="B231" s="20" t="s">
        <v>43</v>
      </c>
      <c r="C231" s="38"/>
      <c r="D231" s="38"/>
      <c r="E231" s="38"/>
      <c r="F231" s="38">
        <f>-(F89)</f>
        <v>0</v>
      </c>
      <c r="G231" s="38">
        <f>-(G89)</f>
        <v>0</v>
      </c>
      <c r="H231" s="38">
        <f>-(H89)</f>
        <v>0</v>
      </c>
      <c r="I231" s="38">
        <f>-(I89)</f>
        <v>0</v>
      </c>
      <c r="J231" s="38">
        <f>-(J89)</f>
        <v>0</v>
      </c>
    </row>
    <row r="232" spans="2:10">
      <c r="B232" s="20" t="s">
        <v>44</v>
      </c>
      <c r="E232" s="62"/>
      <c r="F232" s="38" t="e">
        <f>-(F97)</f>
        <v>#DIV/0!</v>
      </c>
      <c r="G232" s="38" t="e">
        <f>-(G97)</f>
        <v>#DIV/0!</v>
      </c>
      <c r="H232" s="38" t="e">
        <f>-(H97)</f>
        <v>#DIV/0!</v>
      </c>
      <c r="I232" s="38" t="e">
        <f>-(I97)</f>
        <v>#DIV/0!</v>
      </c>
      <c r="J232" s="38" t="e">
        <f>-(J97)</f>
        <v>#DIV/0!</v>
      </c>
    </row>
    <row r="233" spans="2:10">
      <c r="B233" s="20" t="s">
        <v>51</v>
      </c>
      <c r="F233" s="38" t="e">
        <f>F105</f>
        <v>#DIV/0!</v>
      </c>
      <c r="G233" s="38" t="e">
        <f>G105</f>
        <v>#DIV/0!</v>
      </c>
      <c r="H233" s="38" t="e">
        <f>H105</f>
        <v>#DIV/0!</v>
      </c>
      <c r="I233" s="38" t="e">
        <f>I105</f>
        <v>#DIV/0!</v>
      </c>
      <c r="J233" s="38" t="e">
        <f>J105</f>
        <v>#DIV/0!</v>
      </c>
    </row>
    <row r="234" spans="2:10">
      <c r="B234" s="20" t="s">
        <v>80</v>
      </c>
      <c r="F234" s="38">
        <f>F113</f>
        <v>0</v>
      </c>
      <c r="G234" s="38">
        <f>G113</f>
        <v>0</v>
      </c>
      <c r="H234" s="38">
        <f>H113</f>
        <v>0</v>
      </c>
      <c r="I234" s="38">
        <f>I113</f>
        <v>0</v>
      </c>
      <c r="J234" s="38">
        <f>J113</f>
        <v>0</v>
      </c>
    </row>
    <row r="235" spans="2:10">
      <c r="B235" s="20" t="s">
        <v>46</v>
      </c>
      <c r="F235" s="38">
        <f>-(F150)</f>
        <v>0</v>
      </c>
      <c r="G235" s="38">
        <f>-(G150)</f>
        <v>0</v>
      </c>
      <c r="H235" s="38">
        <f>-(H150)</f>
        <v>0</v>
      </c>
      <c r="I235" s="38">
        <f>-(I150)</f>
        <v>0</v>
      </c>
      <c r="J235" s="38">
        <f>-(J150)</f>
        <v>0</v>
      </c>
    </row>
    <row r="236" spans="2:10">
      <c r="B236" s="37" t="s">
        <v>95</v>
      </c>
      <c r="F236" s="38">
        <f>-(F155)</f>
        <v>0</v>
      </c>
      <c r="G236" s="38">
        <f>-(G155)</f>
        <v>0</v>
      </c>
      <c r="H236" s="38">
        <f>-(H155)</f>
        <v>0</v>
      </c>
      <c r="I236" s="38">
        <f>-(I155)</f>
        <v>0</v>
      </c>
      <c r="J236" s="38">
        <f>-(J155)</f>
        <v>0</v>
      </c>
    </row>
    <row r="237" spans="2:10">
      <c r="B237" s="37" t="s">
        <v>49</v>
      </c>
      <c r="F237" s="38">
        <f>-(G160)</f>
        <v>0</v>
      </c>
      <c r="G237" s="38">
        <f>-(H160)</f>
        <v>0</v>
      </c>
      <c r="H237" s="38">
        <f>-(I160)</f>
        <v>0</v>
      </c>
      <c r="I237" s="38">
        <f>-(J160)</f>
        <v>0</v>
      </c>
      <c r="J237" s="38">
        <f>-(K160)</f>
        <v>0</v>
      </c>
    </row>
    <row r="238" spans="2:10">
      <c r="B238" s="20" t="s">
        <v>96</v>
      </c>
      <c r="F238" s="38">
        <f>F165</f>
        <v>0</v>
      </c>
      <c r="G238" s="38">
        <f>G165</f>
        <v>0</v>
      </c>
      <c r="H238" s="38">
        <f>H165</f>
        <v>0</v>
      </c>
      <c r="I238" s="38">
        <f>I165</f>
        <v>0</v>
      </c>
      <c r="J238" s="38">
        <f>J165</f>
        <v>0</v>
      </c>
    </row>
    <row r="239" spans="2:10">
      <c r="B239" s="20" t="s">
        <v>122</v>
      </c>
      <c r="F239" s="38">
        <f>F175</f>
        <v>0</v>
      </c>
      <c r="G239" s="38">
        <f>G175</f>
        <v>0</v>
      </c>
      <c r="H239" s="38">
        <f>H175</f>
        <v>0</v>
      </c>
      <c r="I239" s="38">
        <f>I175</f>
        <v>0</v>
      </c>
      <c r="J239" s="38">
        <f>J175</f>
        <v>0</v>
      </c>
    </row>
    <row r="240" spans="2:10">
      <c r="B240" s="35" t="s">
        <v>123</v>
      </c>
      <c r="F240" s="107" t="e">
        <f ca="1">SUM(F228:F239)</f>
        <v>#DIV/0!</v>
      </c>
      <c r="G240" s="107" t="e">
        <f ca="1">SUM(G228:G239)</f>
        <v>#DIV/0!</v>
      </c>
      <c r="H240" s="107" t="e">
        <f ca="1">SUM(H228:H239)</f>
        <v>#DIV/0!</v>
      </c>
      <c r="I240" s="107" t="e">
        <f ca="1">SUM(I228:I239)</f>
        <v>#DIV/0!</v>
      </c>
      <c r="J240" s="107" t="e">
        <f ca="1">SUM(J228:J239)</f>
        <v>#DIV/0!</v>
      </c>
    </row>
    <row r="241" spans="2:10">
      <c r="B241" s="20"/>
    </row>
    <row r="242" spans="2:10">
      <c r="B242" s="20" t="s">
        <v>124</v>
      </c>
      <c r="F242" s="62">
        <f>-(F135)</f>
        <v>0</v>
      </c>
      <c r="G242" s="62">
        <f>-(G135)</f>
        <v>0</v>
      </c>
      <c r="H242" s="62">
        <f>-(H135)</f>
        <v>0</v>
      </c>
      <c r="I242" s="62">
        <f>-(I135)</f>
        <v>0</v>
      </c>
      <c r="J242" s="62">
        <f>-(J135)</f>
        <v>0</v>
      </c>
    </row>
    <row r="243" spans="2:10">
      <c r="B243" s="20" t="s">
        <v>125</v>
      </c>
      <c r="F243" s="62">
        <f>-(F123)</f>
        <v>0</v>
      </c>
      <c r="G243" s="62">
        <f>-(G123)</f>
        <v>0</v>
      </c>
      <c r="H243" s="62">
        <f>-(H123)</f>
        <v>0</v>
      </c>
      <c r="I243" s="62">
        <f>-(I123)</f>
        <v>0</v>
      </c>
      <c r="J243" s="62">
        <f>-(J123)</f>
        <v>0</v>
      </c>
    </row>
    <row r="244" spans="2:10">
      <c r="B244" s="35" t="s">
        <v>126</v>
      </c>
      <c r="F244" s="108">
        <f>SUM(F242:F243)</f>
        <v>0</v>
      </c>
      <c r="G244" s="108">
        <f>SUM(G242:G243)</f>
        <v>0</v>
      </c>
      <c r="H244" s="108">
        <f>SUM(H242:H243)</f>
        <v>0</v>
      </c>
      <c r="I244" s="108">
        <f>SUM(I242:I243)</f>
        <v>0</v>
      </c>
      <c r="J244" s="108">
        <f>SUM(J242:J243)</f>
        <v>0</v>
      </c>
    </row>
    <row r="245" spans="2:10">
      <c r="B245" s="20"/>
    </row>
    <row r="246" spans="2:10">
      <c r="B246" s="20" t="s">
        <v>54</v>
      </c>
      <c r="F246" s="62">
        <f>F174</f>
        <v>0</v>
      </c>
      <c r="G246" s="62">
        <f>G174</f>
        <v>0</v>
      </c>
      <c r="H246" s="62">
        <f>H174</f>
        <v>0</v>
      </c>
      <c r="I246" s="62">
        <f>I174</f>
        <v>0</v>
      </c>
      <c r="J246" s="62">
        <f>J174</f>
        <v>0</v>
      </c>
    </row>
    <row r="247" spans="2:10">
      <c r="B247" s="20" t="s">
        <v>118</v>
      </c>
      <c r="F247" s="62" t="e">
        <f ca="1">F212</f>
        <v>#DIV/0!</v>
      </c>
      <c r="G247" s="62" t="e">
        <f ca="1">G212</f>
        <v>#DIV/0!</v>
      </c>
      <c r="H247" s="62" t="e">
        <f ca="1">H212</f>
        <v>#DIV/0!</v>
      </c>
      <c r="I247" s="62" t="e">
        <f ca="1">I212</f>
        <v>#DIV/0!</v>
      </c>
      <c r="J247" s="62" t="e">
        <f ca="1">J212</f>
        <v>#DIV/0!</v>
      </c>
    </row>
    <row r="248" spans="2:10">
      <c r="B248" s="37" t="s">
        <v>127</v>
      </c>
      <c r="F248" s="62">
        <f>F190</f>
        <v>0</v>
      </c>
      <c r="G248" s="62">
        <f>G190</f>
        <v>0</v>
      </c>
      <c r="H248" s="62">
        <f>H190</f>
        <v>0</v>
      </c>
      <c r="I248" s="62">
        <f>I190</f>
        <v>0</v>
      </c>
      <c r="J248" s="62">
        <f>J190</f>
        <v>0</v>
      </c>
    </row>
    <row r="249" spans="2:10">
      <c r="B249" s="37" t="s">
        <v>128</v>
      </c>
      <c r="F249" s="41">
        <f>F200</f>
        <v>0</v>
      </c>
      <c r="G249" s="41">
        <f>G200</f>
        <v>0</v>
      </c>
      <c r="H249" s="41">
        <f>H200</f>
        <v>0</v>
      </c>
      <c r="I249" s="41">
        <f>I200</f>
        <v>0</v>
      </c>
      <c r="J249" s="41">
        <f>J200</f>
        <v>0</v>
      </c>
    </row>
    <row r="250" spans="2:10">
      <c r="B250" s="37" t="s">
        <v>60</v>
      </c>
      <c r="F250" s="62">
        <f>F221</f>
        <v>0</v>
      </c>
      <c r="G250" s="62">
        <f>G221</f>
        <v>0</v>
      </c>
      <c r="H250" s="62">
        <f>H221</f>
        <v>0</v>
      </c>
      <c r="I250" s="62">
        <f>I221</f>
        <v>0</v>
      </c>
      <c r="J250" s="62">
        <f>J221</f>
        <v>0</v>
      </c>
    </row>
    <row r="251" spans="2:10">
      <c r="B251" s="20" t="s">
        <v>53</v>
      </c>
      <c r="F251" s="38" t="e">
        <f ca="1">F262</f>
        <v>#DIV/0!</v>
      </c>
      <c r="G251" s="38" t="e">
        <f ca="1">G262</f>
        <v>#DIV/0!</v>
      </c>
      <c r="H251" s="38" t="e">
        <f ca="1">H262</f>
        <v>#DIV/0!</v>
      </c>
      <c r="I251" s="38" t="e">
        <f ca="1">I262</f>
        <v>#DIV/0!</v>
      </c>
      <c r="J251" s="38" t="e">
        <f ca="1">J262</f>
        <v>#DIV/0!</v>
      </c>
    </row>
    <row r="252" spans="2:10">
      <c r="B252" s="35" t="s">
        <v>129</v>
      </c>
      <c r="F252" s="108" t="e">
        <f ca="1">SUM(F246:F251)</f>
        <v>#DIV/0!</v>
      </c>
      <c r="G252" s="108" t="e">
        <f ca="1">SUM(G246:G251)</f>
        <v>#DIV/0!</v>
      </c>
      <c r="H252" s="108" t="e">
        <f ca="1">SUM(H246:H251)</f>
        <v>#DIV/0!</v>
      </c>
      <c r="I252" s="108" t="e">
        <f ca="1">SUM(I246:I251)</f>
        <v>#DIV/0!</v>
      </c>
      <c r="J252" s="108" t="e">
        <f ca="1">SUM(J246:J251)</f>
        <v>#DIV/0!</v>
      </c>
    </row>
    <row r="254" spans="2:10">
      <c r="B254" s="44" t="s">
        <v>130</v>
      </c>
      <c r="F254" s="108" t="e">
        <f ca="1">F240+F244+F252</f>
        <v>#DIV/0!</v>
      </c>
      <c r="G254" s="108" t="e">
        <f ca="1">G240+G244+G252</f>
        <v>#DIV/0!</v>
      </c>
      <c r="H254" s="108" t="e">
        <f ca="1">H240+H244+H252</f>
        <v>#DIV/0!</v>
      </c>
      <c r="I254" s="108" t="e">
        <f ca="1">I240+I244+I252</f>
        <v>#DIV/0!</v>
      </c>
      <c r="J254" s="108" t="e">
        <f ca="1">J240+J244+J252</f>
        <v>#DIV/0!</v>
      </c>
    </row>
    <row r="256" spans="2:10">
      <c r="B256" s="22" t="s">
        <v>131</v>
      </c>
      <c r="C256" s="24"/>
      <c r="D256" s="24"/>
      <c r="E256" s="24"/>
      <c r="F256" s="24"/>
      <c r="G256" s="24"/>
      <c r="H256" s="24"/>
      <c r="I256" s="24"/>
      <c r="J256" s="24"/>
    </row>
    <row r="257" spans="2:10">
      <c r="B257" s="65" t="str">
        <f>B13</f>
        <v xml:space="preserve">Fiscal year  </v>
      </c>
      <c r="C257" s="58"/>
      <c r="D257" s="58">
        <f t="shared" ref="D257:J258" si="35">D13</f>
        <v>1899</v>
      </c>
      <c r="E257" s="58">
        <f t="shared" si="35"/>
        <v>1900</v>
      </c>
      <c r="F257" s="59">
        <f t="shared" si="35"/>
        <v>1901</v>
      </c>
      <c r="G257" s="59">
        <f t="shared" si="35"/>
        <v>1902</v>
      </c>
      <c r="H257" s="59">
        <f t="shared" si="35"/>
        <v>1903</v>
      </c>
      <c r="I257" s="59">
        <f t="shared" si="35"/>
        <v>1904</v>
      </c>
      <c r="J257" s="59">
        <f t="shared" si="35"/>
        <v>1905</v>
      </c>
    </row>
    <row r="258" spans="2:10">
      <c r="B258" s="24" t="str">
        <f>B14</f>
        <v>Fiscal year end date</v>
      </c>
      <c r="C258" s="60"/>
      <c r="D258" s="60">
        <f t="shared" si="35"/>
        <v>0</v>
      </c>
      <c r="E258" s="60">
        <f t="shared" si="35"/>
        <v>0</v>
      </c>
      <c r="F258" s="60">
        <f t="shared" si="35"/>
        <v>397</v>
      </c>
      <c r="G258" s="60">
        <f t="shared" si="35"/>
        <v>762</v>
      </c>
      <c r="H258" s="60">
        <f t="shared" si="35"/>
        <v>1127</v>
      </c>
      <c r="I258" s="60">
        <f t="shared" si="35"/>
        <v>1492</v>
      </c>
      <c r="J258" s="60">
        <f t="shared" si="35"/>
        <v>1858</v>
      </c>
    </row>
    <row r="259" spans="2:10">
      <c r="B259" s="35"/>
    </row>
    <row r="260" spans="2:10">
      <c r="B260" s="35" t="s">
        <v>53</v>
      </c>
    </row>
    <row r="261" spans="2:10">
      <c r="B261" s="47" t="s">
        <v>70</v>
      </c>
      <c r="F261" s="62">
        <f>E263</f>
        <v>0</v>
      </c>
      <c r="G261" s="62" t="e">
        <f ca="1">F263</f>
        <v>#DIV/0!</v>
      </c>
      <c r="H261" s="62" t="e">
        <f ca="1">G263</f>
        <v>#DIV/0!</v>
      </c>
      <c r="I261" s="62" t="e">
        <f ca="1">H263</f>
        <v>#DIV/0!</v>
      </c>
      <c r="J261" s="62" t="e">
        <f ca="1">I263</f>
        <v>#DIV/0!</v>
      </c>
    </row>
    <row r="262" spans="2:10">
      <c r="B262" s="91" t="s">
        <v>71</v>
      </c>
      <c r="F262" s="62" t="e">
        <f ca="1">-MIN(F273,F261)</f>
        <v>#DIV/0!</v>
      </c>
      <c r="G262" s="62" t="e">
        <f ca="1">-MIN(G273,G261)</f>
        <v>#DIV/0!</v>
      </c>
      <c r="H262" s="62" t="e">
        <f ca="1">-MIN(H273,H261)</f>
        <v>#DIV/0!</v>
      </c>
      <c r="I262" s="62" t="e">
        <f ca="1">-MIN(I273,I261)</f>
        <v>#DIV/0!</v>
      </c>
      <c r="J262" s="62" t="e">
        <f ca="1">-MIN(J273,J261)</f>
        <v>#DIV/0!</v>
      </c>
    </row>
    <row r="263" spans="2:10">
      <c r="B263" s="47" t="s">
        <v>72</v>
      </c>
      <c r="D263" s="62">
        <f>D63</f>
        <v>0</v>
      </c>
      <c r="E263" s="62">
        <f>E63</f>
        <v>0</v>
      </c>
      <c r="F263" s="62" t="e">
        <f ca="1">SUM(F261:F262)</f>
        <v>#DIV/0!</v>
      </c>
      <c r="G263" s="62" t="e">
        <f ca="1">SUM(G261:G262)</f>
        <v>#DIV/0!</v>
      </c>
      <c r="H263" s="62" t="e">
        <f ca="1">SUM(H261:H262)</f>
        <v>#DIV/0!</v>
      </c>
      <c r="I263" s="62" t="e">
        <f ca="1">SUM(I261:I262)</f>
        <v>#DIV/0!</v>
      </c>
      <c r="J263" s="62" t="e">
        <f ca="1">SUM(J261:J262)</f>
        <v>#DIV/0!</v>
      </c>
    </row>
    <row r="264" spans="2:10">
      <c r="B264" s="47"/>
    </row>
    <row r="265" spans="2:10">
      <c r="B265" s="47" t="s">
        <v>132</v>
      </c>
      <c r="F265" s="62" t="e">
        <f>F52+F53</f>
        <v>#DIV/0!</v>
      </c>
      <c r="G265" s="62" t="e">
        <f>G52+G53</f>
        <v>#DIV/0!</v>
      </c>
      <c r="H265" s="62" t="e">
        <f>H52+H53</f>
        <v>#DIV/0!</v>
      </c>
      <c r="I265" s="62" t="e">
        <f>I52+I53</f>
        <v>#DIV/0!</v>
      </c>
      <c r="J265" s="62" t="e">
        <f>J52+J53</f>
        <v>#DIV/0!</v>
      </c>
    </row>
    <row r="266" spans="2:10">
      <c r="B266" s="47" t="s">
        <v>133</v>
      </c>
      <c r="F266" s="17" t="e">
        <f ca="1">IF(F263&gt;F265,"OVERDRAWN","OK")</f>
        <v>#DIV/0!</v>
      </c>
      <c r="G266" s="17" t="e">
        <f ca="1">IF(G263&gt;G265,"OVERDRAWN","OK")</f>
        <v>#DIV/0!</v>
      </c>
      <c r="H266" s="17" t="e">
        <f ca="1">IF(H263&gt;H265,"OVERDRAWN","OK")</f>
        <v>#DIV/0!</v>
      </c>
      <c r="I266" s="17" t="e">
        <f ca="1">IF(I263&gt;I265,"OVERDRAWN","OK")</f>
        <v>#DIV/0!</v>
      </c>
      <c r="J266" s="17" t="e">
        <f ca="1">IF(J263&gt;J265,"OVERDRAWN","OK")</f>
        <v>#DIV/0!</v>
      </c>
    </row>
    <row r="267" spans="2:10">
      <c r="B267" s="20"/>
    </row>
    <row r="268" spans="2:10">
      <c r="B268" s="109" t="s">
        <v>134</v>
      </c>
    </row>
    <row r="269" spans="2:10">
      <c r="B269" s="47" t="s">
        <v>70</v>
      </c>
      <c r="F269" s="62">
        <f>E51</f>
        <v>0</v>
      </c>
      <c r="G269" s="62" t="e">
        <f ca="1">F51</f>
        <v>#DIV/0!</v>
      </c>
      <c r="H269" s="62" t="e">
        <f ca="1">G51</f>
        <v>#DIV/0!</v>
      </c>
      <c r="I269" s="62" t="e">
        <f ca="1">H51</f>
        <v>#DIV/0!</v>
      </c>
      <c r="J269" s="62" t="e">
        <f ca="1">I51</f>
        <v>#DIV/0!</v>
      </c>
    </row>
    <row r="270" spans="2:10">
      <c r="B270" s="47" t="s">
        <v>135</v>
      </c>
      <c r="F270" s="97"/>
      <c r="G270" s="97"/>
      <c r="H270" s="97"/>
      <c r="I270" s="97"/>
      <c r="J270" s="97"/>
    </row>
    <row r="271" spans="2:10">
      <c r="B271" s="47" t="s">
        <v>136</v>
      </c>
      <c r="F271" s="62">
        <f>F269-F270</f>
        <v>0</v>
      </c>
      <c r="G271" s="62" t="e">
        <f ca="1">G269-G270</f>
        <v>#DIV/0!</v>
      </c>
      <c r="H271" s="62" t="e">
        <f ca="1">H269-H270</f>
        <v>#DIV/0!</v>
      </c>
      <c r="I271" s="62" t="e">
        <f ca="1">I269-I270</f>
        <v>#DIV/0!</v>
      </c>
      <c r="J271" s="62" t="e">
        <f ca="1">J269-J270</f>
        <v>#DIV/0!</v>
      </c>
    </row>
    <row r="272" spans="2:10">
      <c r="B272" s="47" t="s">
        <v>137</v>
      </c>
      <c r="F272" s="62" t="e">
        <f ca="1">SUM(F240,F244,F246:F250)</f>
        <v>#DIV/0!</v>
      </c>
      <c r="G272" s="62" t="e">
        <f ca="1">SUM(G240,G244,G246:G250)</f>
        <v>#DIV/0!</v>
      </c>
      <c r="H272" s="62" t="e">
        <f ca="1">SUM(H240,H244,H246:H250)</f>
        <v>#DIV/0!</v>
      </c>
      <c r="I272" s="62" t="e">
        <f ca="1">SUM(I240,I244,I246:I250)</f>
        <v>#DIV/0!</v>
      </c>
      <c r="J272" s="62" t="e">
        <f ca="1">SUM(J240,J244,J246:J250)</f>
        <v>#DIV/0!</v>
      </c>
    </row>
    <row r="273" spans="2:10">
      <c r="B273" s="110" t="s">
        <v>138</v>
      </c>
      <c r="F273" s="62" t="e">
        <f ca="1">SUM(F271:F272)</f>
        <v>#DIV/0!</v>
      </c>
      <c r="G273" s="62" t="e">
        <f ca="1">SUM(G271:G272)</f>
        <v>#DIV/0!</v>
      </c>
      <c r="H273" s="62" t="e">
        <f ca="1">SUM(H271:H272)</f>
        <v>#DIV/0!</v>
      </c>
      <c r="I273" s="62" t="e">
        <f ca="1">SUM(I271:I272)</f>
        <v>#DIV/0!</v>
      </c>
      <c r="J273" s="62" t="e">
        <f ca="1">SUM(J271:J272)</f>
        <v>#DIV/0!</v>
      </c>
    </row>
    <row r="274" spans="2:10">
      <c r="B274" s="20"/>
    </row>
    <row r="275" spans="2:10">
      <c r="B275" s="47" t="s">
        <v>139</v>
      </c>
      <c r="F275" s="101"/>
      <c r="G275" s="101"/>
      <c r="H275" s="101"/>
      <c r="I275" s="101"/>
      <c r="J275" s="101"/>
    </row>
    <row r="276" spans="2:10">
      <c r="B276" s="47" t="s">
        <v>140</v>
      </c>
      <c r="F276" s="41" t="e">
        <f ca="1">IF($C$10="OFF",F275*AVERAGE(F261,F263),0)</f>
        <v>#DIV/0!</v>
      </c>
      <c r="G276" s="41" t="e">
        <f ca="1">IF($C$10="OFF",G275*AVERAGE(G261,G263),0)</f>
        <v>#DIV/0!</v>
      </c>
      <c r="H276" s="41" t="e">
        <f ca="1">IF($C$10="OFF",H275*AVERAGE(H261,H263),0)</f>
        <v>#DIV/0!</v>
      </c>
      <c r="I276" s="41" t="e">
        <f ca="1">IF($C$10="OFF",I275*AVERAGE(I261,I263),0)</f>
        <v>#DIV/0!</v>
      </c>
      <c r="J276" s="41" t="e">
        <f ca="1">IF($C$10="OFF",J275*AVERAGE(J261,J263),0)</f>
        <v>#DIV/0!</v>
      </c>
    </row>
    <row r="278" spans="2:10">
      <c r="B278" s="73" t="s">
        <v>141</v>
      </c>
    </row>
    <row r="279" spans="2:10">
      <c r="B279" s="47" t="s">
        <v>70</v>
      </c>
      <c r="F279" s="62">
        <f>E281</f>
        <v>0</v>
      </c>
      <c r="G279" s="62" t="e">
        <f ca="1">F281</f>
        <v>#DIV/0!</v>
      </c>
      <c r="H279" s="62" t="e">
        <f ca="1">G281</f>
        <v>#DIV/0!</v>
      </c>
      <c r="I279" s="62" t="e">
        <f ca="1">H281</f>
        <v>#DIV/0!</v>
      </c>
      <c r="J279" s="62" t="e">
        <f ca="1">I281</f>
        <v>#DIV/0!</v>
      </c>
    </row>
    <row r="280" spans="2:10">
      <c r="B280" s="111" t="s">
        <v>142</v>
      </c>
      <c r="F280" s="62" t="e">
        <f ca="1">F281-F279</f>
        <v>#DIV/0!</v>
      </c>
      <c r="G280" s="62" t="e">
        <f ca="1">G281-G279</f>
        <v>#DIV/0!</v>
      </c>
      <c r="H280" s="62" t="e">
        <f ca="1">H281-H279</f>
        <v>#DIV/0!</v>
      </c>
      <c r="I280" s="62" t="e">
        <f ca="1">I281-I279</f>
        <v>#DIV/0!</v>
      </c>
      <c r="J280" s="62" t="e">
        <f ca="1">J281-J279</f>
        <v>#DIV/0!</v>
      </c>
    </row>
    <row r="281" spans="2:10">
      <c r="B281" s="47" t="s">
        <v>72</v>
      </c>
      <c r="D281" s="62">
        <f t="shared" ref="D281:J281" si="36">D51</f>
        <v>0</v>
      </c>
      <c r="E281" s="62">
        <f t="shared" si="36"/>
        <v>0</v>
      </c>
      <c r="F281" s="62" t="e">
        <f t="shared" ca="1" si="36"/>
        <v>#DIV/0!</v>
      </c>
      <c r="G281" s="62" t="e">
        <f t="shared" ca="1" si="36"/>
        <v>#DIV/0!</v>
      </c>
      <c r="H281" s="62" t="e">
        <f t="shared" ca="1" si="36"/>
        <v>#DIV/0!</v>
      </c>
      <c r="I281" s="62" t="e">
        <f t="shared" ca="1" si="36"/>
        <v>#DIV/0!</v>
      </c>
      <c r="J281" s="62" t="e">
        <f t="shared" ca="1" si="36"/>
        <v>#DIV/0!</v>
      </c>
    </row>
    <row r="282" spans="2:10">
      <c r="B282" s="47"/>
    </row>
    <row r="283" spans="2:10">
      <c r="B283" s="47" t="s">
        <v>143</v>
      </c>
      <c r="D283" s="112"/>
      <c r="E283" s="113"/>
      <c r="F283" s="114">
        <f>E283</f>
        <v>0</v>
      </c>
      <c r="G283" s="114">
        <f>F283</f>
        <v>0</v>
      </c>
      <c r="H283" s="114">
        <f>G283</f>
        <v>0</v>
      </c>
      <c r="I283" s="114">
        <f>H283</f>
        <v>0</v>
      </c>
      <c r="J283" s="114">
        <f>I283</f>
        <v>0</v>
      </c>
    </row>
    <row r="284" spans="2:10">
      <c r="B284" s="47" t="s">
        <v>17</v>
      </c>
      <c r="C284" s="62">
        <f>C22</f>
        <v>0</v>
      </c>
      <c r="D284" s="62">
        <f>D22</f>
        <v>0</v>
      </c>
      <c r="E284" s="62">
        <f>E22</f>
        <v>0</v>
      </c>
      <c r="F284" s="115" t="e">
        <f ca="1">IF($C$10="OFF",AVERAGE(F279,F281)*F283,0)</f>
        <v>#DIV/0!</v>
      </c>
      <c r="G284" s="115" t="e">
        <f ca="1">IF($C$10="OFF",AVERAGE(G279,G281)*G283,0)</f>
        <v>#DIV/0!</v>
      </c>
      <c r="H284" s="115" t="e">
        <f ca="1">IF($C$10="OFF",AVERAGE(H279,H281)*H283,0)</f>
        <v>#DIV/0!</v>
      </c>
      <c r="I284" s="115" t="e">
        <f ca="1">IF($C$10="OFF",AVERAGE(I279,I281)*I283,0)</f>
        <v>#DIV/0!</v>
      </c>
      <c r="J284" s="115" t="e">
        <f ca="1">IF($C$10="OFF",AVERAGE(J279,J281)*J283,0)</f>
        <v>#DIV/0!</v>
      </c>
    </row>
    <row r="286" spans="2:10">
      <c r="B286" s="22" t="s">
        <v>144</v>
      </c>
      <c r="C286" s="22"/>
      <c r="D286" s="22"/>
      <c r="E286" s="22"/>
      <c r="F286" s="22"/>
      <c r="G286" s="22"/>
      <c r="H286" s="22"/>
      <c r="I286" s="22"/>
      <c r="J286" s="22"/>
    </row>
    <row r="287" spans="2:10">
      <c r="B287" s="65" t="str">
        <f>B13</f>
        <v xml:space="preserve">Fiscal year  </v>
      </c>
      <c r="C287" s="58"/>
      <c r="D287" s="58">
        <f t="shared" ref="D287:J288" si="37">D13</f>
        <v>1899</v>
      </c>
      <c r="E287" s="58">
        <f t="shared" si="37"/>
        <v>1900</v>
      </c>
      <c r="F287" s="59">
        <f t="shared" si="37"/>
        <v>1901</v>
      </c>
      <c r="G287" s="59">
        <f t="shared" si="37"/>
        <v>1902</v>
      </c>
      <c r="H287" s="59">
        <f t="shared" si="37"/>
        <v>1903</v>
      </c>
      <c r="I287" s="59">
        <f t="shared" si="37"/>
        <v>1904</v>
      </c>
      <c r="J287" s="59">
        <f t="shared" si="37"/>
        <v>1905</v>
      </c>
    </row>
    <row r="288" spans="2:10">
      <c r="B288" s="24" t="str">
        <f>B14</f>
        <v>Fiscal year end date</v>
      </c>
      <c r="C288" s="60"/>
      <c r="D288" s="60">
        <f t="shared" si="37"/>
        <v>0</v>
      </c>
      <c r="E288" s="60">
        <f t="shared" si="37"/>
        <v>0</v>
      </c>
      <c r="F288" s="60">
        <f t="shared" si="37"/>
        <v>397</v>
      </c>
      <c r="G288" s="60">
        <f t="shared" si="37"/>
        <v>762</v>
      </c>
      <c r="H288" s="60">
        <f t="shared" si="37"/>
        <v>1127</v>
      </c>
      <c r="I288" s="60">
        <f t="shared" si="37"/>
        <v>1492</v>
      </c>
      <c r="J288" s="60">
        <f t="shared" si="37"/>
        <v>1858</v>
      </c>
    </row>
    <row r="290" spans="2:10">
      <c r="B290" s="35" t="s">
        <v>23</v>
      </c>
    </row>
    <row r="291" spans="2:10">
      <c r="B291" s="20" t="s">
        <v>70</v>
      </c>
      <c r="F291" s="57">
        <f>E294</f>
        <v>0</v>
      </c>
      <c r="G291" s="57" t="e">
        <f>F294</f>
        <v>#DIV/0!</v>
      </c>
      <c r="H291" s="57" t="e">
        <f>G294</f>
        <v>#DIV/0!</v>
      </c>
      <c r="I291" s="57" t="e">
        <f>H294</f>
        <v>#DIV/0!</v>
      </c>
      <c r="J291" s="57" t="e">
        <f>I294</f>
        <v>#DIV/0!</v>
      </c>
    </row>
    <row r="292" spans="2:10">
      <c r="B292" s="111" t="s">
        <v>145</v>
      </c>
      <c r="F292" s="116" t="e">
        <f>F194/F298</f>
        <v>#DIV/0!</v>
      </c>
      <c r="G292" s="116" t="e">
        <f>G194/G298</f>
        <v>#DIV/0!</v>
      </c>
      <c r="H292" s="116" t="e">
        <f>H194/H298</f>
        <v>#DIV/0!</v>
      </c>
      <c r="I292" s="116" t="e">
        <f>I194/I298</f>
        <v>#DIV/0!</v>
      </c>
      <c r="J292" s="116" t="e">
        <f>J194/J298</f>
        <v>#DIV/0!</v>
      </c>
    </row>
    <row r="293" spans="2:10">
      <c r="B293" s="111" t="s">
        <v>146</v>
      </c>
      <c r="F293" s="62" t="e">
        <f>F203/F298</f>
        <v>#DIV/0!</v>
      </c>
      <c r="G293" s="62" t="e">
        <f>G203/G298</f>
        <v>#DIV/0!</v>
      </c>
      <c r="H293" s="62" t="e">
        <f>H203/H298</f>
        <v>#DIV/0!</v>
      </c>
      <c r="I293" s="62" t="e">
        <f>I203/I298</f>
        <v>#DIV/0!</v>
      </c>
      <c r="J293" s="62" t="e">
        <f>J203/J298</f>
        <v>#DIV/0!</v>
      </c>
    </row>
    <row r="294" spans="2:10">
      <c r="B294" s="20" t="s">
        <v>72</v>
      </c>
      <c r="E294" s="40"/>
      <c r="F294" s="57" t="e">
        <f>SUM(F291:F293)</f>
        <v>#DIV/0!</v>
      </c>
      <c r="G294" s="57" t="e">
        <f>SUM(G291:G293)</f>
        <v>#DIV/0!</v>
      </c>
      <c r="H294" s="57" t="e">
        <f>SUM(H291:H293)</f>
        <v>#DIV/0!</v>
      </c>
      <c r="I294" s="57" t="e">
        <f>SUM(I291:I293)</f>
        <v>#DIV/0!</v>
      </c>
      <c r="J294" s="57" t="e">
        <f>SUM(J291:J293)</f>
        <v>#DIV/0!</v>
      </c>
    </row>
    <row r="295" spans="2:10">
      <c r="B295" s="35"/>
    </row>
    <row r="296" spans="2:10">
      <c r="B296" s="47" t="s">
        <v>147</v>
      </c>
      <c r="C296" s="43" t="e">
        <f>C34</f>
        <v>#DIV/0!</v>
      </c>
      <c r="D296" s="43" t="e">
        <f>D34</f>
        <v>#DIV/0!</v>
      </c>
      <c r="E296" s="43" t="e">
        <f>E34</f>
        <v>#DIV/0!</v>
      </c>
      <c r="F296" s="17">
        <v>43.98</v>
      </c>
      <c r="G296" s="17">
        <v>47.57</v>
      </c>
      <c r="H296" s="117">
        <f>G296*(1+H297)</f>
        <v>53.754099999999994</v>
      </c>
      <c r="I296" s="117">
        <f>H296*(1+I297)</f>
        <v>60.742132999999988</v>
      </c>
      <c r="J296" s="117">
        <f>I296*(1+J297)</f>
        <v>68.638610289999974</v>
      </c>
    </row>
    <row r="297" spans="2:10">
      <c r="B297" s="47" t="s">
        <v>148</v>
      </c>
      <c r="D297" s="14" t="e">
        <f>D296/C296-1</f>
        <v>#DIV/0!</v>
      </c>
      <c r="E297" s="14" t="e">
        <f>E296/D296-1</f>
        <v>#DIV/0!</v>
      </c>
      <c r="F297" s="14" t="e">
        <f>F296/E296-1</f>
        <v>#DIV/0!</v>
      </c>
      <c r="G297" s="14">
        <f>G296/F296-1</f>
        <v>8.162801273306064E-2</v>
      </c>
      <c r="H297" s="118">
        <v>0.13</v>
      </c>
      <c r="I297" s="118">
        <v>0.13</v>
      </c>
      <c r="J297" s="118">
        <v>0.13</v>
      </c>
    </row>
    <row r="298" spans="2:10">
      <c r="B298" s="47" t="s">
        <v>149</v>
      </c>
      <c r="E298" s="6"/>
      <c r="F298" s="119" t="e">
        <f>E298*(1+F297)</f>
        <v>#DIV/0!</v>
      </c>
      <c r="G298" s="119" t="e">
        <f>F298*(1+G297)</f>
        <v>#DIV/0!</v>
      </c>
      <c r="H298" s="119" t="e">
        <f>G298*(1+H297)</f>
        <v>#DIV/0!</v>
      </c>
      <c r="I298" s="119" t="e">
        <f>H298*(1+I297)</f>
        <v>#DIV/0!</v>
      </c>
      <c r="J298" s="119" t="e">
        <f>I298*(1+J297)</f>
        <v>#DIV/0!</v>
      </c>
    </row>
    <row r="300" spans="2:10">
      <c r="B300" s="22" t="s">
        <v>150</v>
      </c>
      <c r="C300" s="22"/>
      <c r="D300" s="22"/>
      <c r="E300" s="22"/>
      <c r="F300" s="22"/>
      <c r="G300" s="22"/>
      <c r="H300" s="22"/>
      <c r="I300" s="22"/>
      <c r="J300" s="22"/>
    </row>
    <row r="301" spans="2:10">
      <c r="B301" s="44"/>
    </row>
    <row r="302" spans="2:10" ht="15" thickBot="1">
      <c r="B302" s="120" t="s">
        <v>201</v>
      </c>
      <c r="C302" s="120"/>
      <c r="D302" s="121"/>
      <c r="E302" s="121"/>
      <c r="F302" s="121"/>
      <c r="G302" s="121"/>
      <c r="H302" s="121"/>
    </row>
    <row r="303" spans="2:10">
      <c r="D303" s="122" t="s">
        <v>151</v>
      </c>
      <c r="E303" s="122"/>
      <c r="F303" s="122"/>
      <c r="G303" s="122"/>
      <c r="H303" s="122"/>
    </row>
    <row r="304" spans="2:10" ht="15" thickBot="1">
      <c r="C304" s="123" t="e">
        <f ca="1">F34</f>
        <v>#DIV/0!</v>
      </c>
      <c r="D304" s="124">
        <v>0</v>
      </c>
      <c r="E304" s="124">
        <v>2.5000000000000001E-2</v>
      </c>
      <c r="F304" s="124">
        <v>0.05</v>
      </c>
      <c r="G304" s="124">
        <v>7.4999999999999997E-2</v>
      </c>
      <c r="H304" s="124">
        <v>0.1</v>
      </c>
    </row>
    <row r="305" spans="2:8">
      <c r="B305" s="125" t="s">
        <v>152</v>
      </c>
      <c r="C305" s="126">
        <v>0.38</v>
      </c>
      <c r="D305" s="127" t="e">
        <f t="dataTable" ref="D305:H310" dt2D="1" dtr="1" r1="F37" r2="F38" ca="1"/>
        <v>#DIV/0!</v>
      </c>
      <c r="E305" s="127" t="e">
        <v>#DIV/0!</v>
      </c>
      <c r="F305" s="127" t="e">
        <v>#DIV/0!</v>
      </c>
      <c r="G305" s="127" t="e">
        <v>#DIV/0!</v>
      </c>
      <c r="H305" s="127" t="e">
        <v>#DIV/0!</v>
      </c>
    </row>
    <row r="306" spans="2:8">
      <c r="B306" s="125" t="s">
        <v>153</v>
      </c>
      <c r="C306" s="126">
        <v>0.375</v>
      </c>
      <c r="D306" s="127" t="e">
        <v>#DIV/0!</v>
      </c>
      <c r="E306" s="127" t="e">
        <v>#DIV/0!</v>
      </c>
      <c r="F306" s="127" t="e">
        <v>#DIV/0!</v>
      </c>
      <c r="G306" s="127" t="e">
        <v>#DIV/0!</v>
      </c>
      <c r="H306" s="127" t="e">
        <v>#DIV/0!</v>
      </c>
    </row>
    <row r="307" spans="2:8">
      <c r="B307" s="125" t="s">
        <v>154</v>
      </c>
      <c r="C307" s="126">
        <v>0.37</v>
      </c>
      <c r="D307" s="127" t="e">
        <v>#DIV/0!</v>
      </c>
      <c r="E307" s="127" t="e">
        <v>#DIV/0!</v>
      </c>
      <c r="F307" s="127" t="e">
        <v>#DIV/0!</v>
      </c>
      <c r="G307" s="127" t="e">
        <v>#DIV/0!</v>
      </c>
      <c r="H307" s="127" t="e">
        <v>#DIV/0!</v>
      </c>
    </row>
    <row r="308" spans="2:8">
      <c r="B308" s="125"/>
      <c r="C308" s="126">
        <v>0.36499999999999999</v>
      </c>
      <c r="D308" s="127" t="e">
        <v>#DIV/0!</v>
      </c>
      <c r="E308" s="127" t="e">
        <v>#DIV/0!</v>
      </c>
      <c r="F308" s="127" t="e">
        <v>#DIV/0!</v>
      </c>
      <c r="G308" s="127" t="e">
        <v>#DIV/0!</v>
      </c>
      <c r="H308" s="127" t="e">
        <v>#DIV/0!</v>
      </c>
    </row>
    <row r="309" spans="2:8">
      <c r="C309" s="126">
        <v>0.36</v>
      </c>
      <c r="D309" s="127" t="e">
        <v>#DIV/0!</v>
      </c>
      <c r="E309" s="127" t="e">
        <v>#DIV/0!</v>
      </c>
      <c r="F309" s="127" t="e">
        <v>#DIV/0!</v>
      </c>
      <c r="G309" s="127" t="e">
        <v>#DIV/0!</v>
      </c>
      <c r="H309" s="127" t="e">
        <v>#DIV/0!</v>
      </c>
    </row>
    <row r="310" spans="2:8">
      <c r="C310" s="126">
        <v>0.36499999999999999</v>
      </c>
      <c r="D310" s="127" t="e">
        <v>#DIV/0!</v>
      </c>
      <c r="E310" s="127" t="e">
        <v>#DIV/0!</v>
      </c>
      <c r="F310" s="127" t="e">
        <v>#DIV/0!</v>
      </c>
      <c r="G310" s="127" t="e">
        <v>#DIV/0!</v>
      </c>
      <c r="H310" s="127" t="e">
        <v>#DIV/0!</v>
      </c>
    </row>
    <row r="312" spans="2:8" ht="15" thickBot="1">
      <c r="B312" s="128"/>
      <c r="C312" s="120"/>
      <c r="D312" s="121"/>
      <c r="E312" s="121"/>
      <c r="F312" s="121"/>
      <c r="G312" s="121"/>
      <c r="H312" s="121"/>
    </row>
    <row r="313" spans="2:8">
      <c r="D313" s="122" t="s">
        <v>155</v>
      </c>
      <c r="E313" s="122"/>
      <c r="F313" s="122"/>
      <c r="G313" s="122"/>
      <c r="H313" s="122"/>
    </row>
    <row r="314" spans="2:8" ht="15" thickBot="1">
      <c r="C314" s="129" t="e">
        <f ca="1">F34</f>
        <v>#DIV/0!</v>
      </c>
      <c r="D314" s="130">
        <v>0</v>
      </c>
      <c r="E314" s="130">
        <v>0.05</v>
      </c>
      <c r="F314" s="130">
        <v>0.1</v>
      </c>
      <c r="G314" s="130">
        <v>0.15</v>
      </c>
      <c r="H314" s="130">
        <v>0.2</v>
      </c>
    </row>
    <row r="315" spans="2:8">
      <c r="C315" s="126">
        <v>0.25</v>
      </c>
      <c r="D315" s="127" t="e">
        <f t="dataTable" ref="D315:H320" dt2D="1" dtr="1" del1="1" del2="1" r1="F65" r2="F63"/>
        <v>#REF!</v>
      </c>
      <c r="E315" s="127" t="e">
        <v>#REF!</v>
      </c>
      <c r="F315" s="127" t="e">
        <v>#REF!</v>
      </c>
      <c r="G315" s="127" t="e">
        <v>#REF!</v>
      </c>
      <c r="H315" s="127" t="e">
        <v>#REF!</v>
      </c>
    </row>
    <row r="316" spans="2:8">
      <c r="C316" s="126">
        <v>0.2</v>
      </c>
      <c r="D316" s="127" t="e">
        <v>#REF!</v>
      </c>
      <c r="E316" s="127" t="e">
        <v>#REF!</v>
      </c>
      <c r="F316" s="127" t="e">
        <v>#REF!</v>
      </c>
      <c r="G316" s="127" t="e">
        <v>#REF!</v>
      </c>
      <c r="H316" s="127" t="e">
        <v>#REF!</v>
      </c>
    </row>
    <row r="317" spans="2:8">
      <c r="B317" s="125" t="s">
        <v>39</v>
      </c>
      <c r="C317" s="126">
        <v>0.15</v>
      </c>
      <c r="D317" s="127" t="e">
        <v>#REF!</v>
      </c>
      <c r="E317" s="127" t="e">
        <v>#REF!</v>
      </c>
      <c r="F317" s="127" t="e">
        <v>#REF!</v>
      </c>
      <c r="G317" s="127" t="e">
        <v>#REF!</v>
      </c>
      <c r="H317" s="127" t="e">
        <v>#REF!</v>
      </c>
    </row>
    <row r="318" spans="2:8">
      <c r="B318" s="125" t="s">
        <v>156</v>
      </c>
      <c r="C318" s="126">
        <v>0.1</v>
      </c>
      <c r="D318" s="127" t="e">
        <v>#REF!</v>
      </c>
      <c r="E318" s="127" t="e">
        <v>#REF!</v>
      </c>
      <c r="F318" s="127" t="e">
        <v>#REF!</v>
      </c>
      <c r="G318" s="127" t="e">
        <v>#REF!</v>
      </c>
      <c r="H318" s="127" t="e">
        <v>#REF!</v>
      </c>
    </row>
    <row r="319" spans="2:8">
      <c r="B319" s="125" t="s">
        <v>157</v>
      </c>
      <c r="C319" s="126">
        <v>0.05</v>
      </c>
      <c r="D319" s="127" t="e">
        <v>#REF!</v>
      </c>
      <c r="E319" s="127" t="e">
        <v>#REF!</v>
      </c>
      <c r="F319" s="127" t="e">
        <v>#REF!</v>
      </c>
      <c r="G319" s="127" t="e">
        <v>#REF!</v>
      </c>
      <c r="H319" s="127" t="e">
        <v>#REF!</v>
      </c>
    </row>
    <row r="320" spans="2:8">
      <c r="C320" s="126">
        <v>0</v>
      </c>
      <c r="D320" s="127" t="e">
        <v>#REF!</v>
      </c>
      <c r="E320" s="127" t="e">
        <v>#REF!</v>
      </c>
      <c r="F320" s="127" t="e">
        <v>#REF!</v>
      </c>
      <c r="G320" s="127" t="e">
        <v>#REF!</v>
      </c>
      <c r="H320" s="127" t="e">
        <v>#REF!</v>
      </c>
    </row>
    <row r="322" spans="2:10">
      <c r="B322" s="22" t="s">
        <v>158</v>
      </c>
      <c r="C322" s="22"/>
      <c r="D322" s="22"/>
      <c r="E322" s="22"/>
      <c r="F322" s="22"/>
      <c r="G322" s="22"/>
      <c r="H322" s="22"/>
      <c r="I322" s="22"/>
      <c r="J322" s="22"/>
    </row>
    <row r="323" spans="2:10">
      <c r="B323" s="65" t="s">
        <v>9</v>
      </c>
      <c r="C323" s="58"/>
      <c r="D323" s="58">
        <v>2012</v>
      </c>
      <c r="E323" s="58">
        <v>2013</v>
      </c>
      <c r="F323" s="59">
        <v>2014</v>
      </c>
      <c r="G323" s="59">
        <v>2015</v>
      </c>
      <c r="H323" s="59">
        <v>2016</v>
      </c>
      <c r="I323" s="59">
        <v>2017</v>
      </c>
      <c r="J323" s="59">
        <v>2018</v>
      </c>
    </row>
    <row r="324" spans="2:10">
      <c r="B324" s="24" t="s">
        <v>10</v>
      </c>
      <c r="C324" s="60"/>
      <c r="D324" s="60">
        <v>41181</v>
      </c>
      <c r="E324" s="60">
        <v>41545</v>
      </c>
      <c r="F324" s="60">
        <v>41912</v>
      </c>
      <c r="G324" s="60">
        <v>42277</v>
      </c>
      <c r="H324" s="60">
        <v>42643</v>
      </c>
      <c r="I324" s="60">
        <v>43008</v>
      </c>
      <c r="J324" s="60">
        <v>43373</v>
      </c>
    </row>
    <row r="325" spans="2:10" ht="15" thickBot="1"/>
    <row r="326" spans="2:10" ht="15" thickBot="1">
      <c r="B326" s="131" t="s">
        <v>159</v>
      </c>
      <c r="C326" s="18"/>
      <c r="D326" s="18"/>
      <c r="E326" s="132" t="s">
        <v>160</v>
      </c>
    </row>
    <row r="327" spans="2:10">
      <c r="F327" s="20"/>
      <c r="G327" s="20"/>
      <c r="H327" s="20"/>
      <c r="I327" s="20"/>
      <c r="J327" s="20"/>
    </row>
    <row r="328" spans="2:10">
      <c r="B328" s="47" t="s">
        <v>29</v>
      </c>
      <c r="F328" s="94" t="e">
        <f t="shared" ref="F328:J331" ca="1" si="38">OFFSET(F$333,MATCH($E$326,$B$334:$B$336,0)+MATCH($B328,$B$333:$B$348,0)-1,0)</f>
        <v>#REF!</v>
      </c>
      <c r="G328" s="94" t="e">
        <f t="shared" ca="1" si="38"/>
        <v>#REF!</v>
      </c>
      <c r="H328" s="94" t="e">
        <f t="shared" ca="1" si="38"/>
        <v>#REF!</v>
      </c>
      <c r="I328" s="94" t="e">
        <f t="shared" ca="1" si="38"/>
        <v>#REF!</v>
      </c>
      <c r="J328" s="94" t="e">
        <f t="shared" ca="1" si="38"/>
        <v>#REF!</v>
      </c>
    </row>
    <row r="329" spans="2:10">
      <c r="B329" s="47" t="s">
        <v>31</v>
      </c>
      <c r="F329" s="94">
        <f t="shared" ca="1" si="38"/>
        <v>0.371</v>
      </c>
      <c r="G329" s="94">
        <f ca="1">OFFSET(G$333,MATCH($E$326,$B$334:$B$336,0)+MATCH($B329,$B$333:$B$348,0)-1,0)</f>
        <v>0.374</v>
      </c>
      <c r="H329" s="94">
        <f t="shared" ca="1" si="38"/>
        <v>0.374</v>
      </c>
      <c r="I329" s="94">
        <f t="shared" ca="1" si="38"/>
        <v>0.374</v>
      </c>
      <c r="J329" s="94">
        <f t="shared" ca="1" si="38"/>
        <v>0.374</v>
      </c>
    </row>
    <row r="330" spans="2:10">
      <c r="B330" s="51" t="s">
        <v>32</v>
      </c>
      <c r="F330" s="94">
        <f t="shared" ca="1" si="38"/>
        <v>2.9000000000000001E-2</v>
      </c>
      <c r="G330" s="94">
        <f t="shared" ca="1" si="38"/>
        <v>3.1E-2</v>
      </c>
      <c r="H330" s="94">
        <f t="shared" ca="1" si="38"/>
        <v>3.1E-2</v>
      </c>
      <c r="I330" s="94">
        <f t="shared" ca="1" si="38"/>
        <v>3.1E-2</v>
      </c>
      <c r="J330" s="94">
        <f t="shared" ca="1" si="38"/>
        <v>3.1E-2</v>
      </c>
    </row>
    <row r="331" spans="2:10">
      <c r="B331" s="47" t="s">
        <v>33</v>
      </c>
      <c r="F331" s="94">
        <f t="shared" ca="1" si="38"/>
        <v>6.8000000000000005E-2</v>
      </c>
      <c r="G331" s="94">
        <f t="shared" ca="1" si="38"/>
        <v>6.8000000000000005E-2</v>
      </c>
      <c r="H331" s="94">
        <f t="shared" ca="1" si="38"/>
        <v>6.8000000000000005E-2</v>
      </c>
      <c r="I331" s="94">
        <f t="shared" ca="1" si="38"/>
        <v>6.8000000000000005E-2</v>
      </c>
      <c r="J331" s="94">
        <f t="shared" ca="1" si="38"/>
        <v>6.8000000000000005E-2</v>
      </c>
    </row>
    <row r="333" spans="2:10">
      <c r="B333" s="110" t="s">
        <v>29</v>
      </c>
    </row>
    <row r="334" spans="2:10">
      <c r="B334" s="133" t="s">
        <v>161</v>
      </c>
      <c r="F334" s="63">
        <v>0.1</v>
      </c>
      <c r="G334" s="63">
        <v>0.1</v>
      </c>
      <c r="H334" s="63">
        <v>0.1</v>
      </c>
      <c r="I334" s="63">
        <v>0.1</v>
      </c>
      <c r="J334" s="63">
        <v>0.1</v>
      </c>
    </row>
    <row r="335" spans="2:10">
      <c r="B335" s="133" t="s">
        <v>160</v>
      </c>
      <c r="F335" s="134" t="e">
        <f>#REF!</f>
        <v>#REF!</v>
      </c>
      <c r="G335" s="134" t="e">
        <f>#REF!</f>
        <v>#REF!</v>
      </c>
      <c r="H335" s="134" t="e">
        <f>#REF!</f>
        <v>#REF!</v>
      </c>
      <c r="I335" s="134" t="e">
        <f>#REF!</f>
        <v>#REF!</v>
      </c>
      <c r="J335" s="134" t="e">
        <f>#REF!</f>
        <v>#REF!</v>
      </c>
    </row>
    <row r="336" spans="2:10">
      <c r="B336" s="133" t="s">
        <v>162</v>
      </c>
      <c r="F336" s="63">
        <v>0</v>
      </c>
      <c r="G336" s="63">
        <v>0</v>
      </c>
      <c r="H336" s="63">
        <v>0</v>
      </c>
      <c r="I336" s="63">
        <v>0</v>
      </c>
      <c r="J336" s="63">
        <v>0</v>
      </c>
    </row>
    <row r="337" spans="2:10">
      <c r="B337" s="110" t="s">
        <v>31</v>
      </c>
      <c r="F337" s="135"/>
      <c r="G337" s="135"/>
      <c r="H337" s="135"/>
      <c r="I337" s="135"/>
      <c r="J337" s="135"/>
    </row>
    <row r="338" spans="2:10">
      <c r="B338" s="133" t="s">
        <v>161</v>
      </c>
      <c r="F338" s="63">
        <v>0.375</v>
      </c>
      <c r="G338" s="63">
        <v>0.375</v>
      </c>
      <c r="H338" s="63">
        <v>0.375</v>
      </c>
      <c r="I338" s="63">
        <v>0.375</v>
      </c>
      <c r="J338" s="63">
        <v>0.375</v>
      </c>
    </row>
    <row r="339" spans="2:10">
      <c r="B339" s="133" t="s">
        <v>160</v>
      </c>
      <c r="F339" s="136">
        <v>0.371</v>
      </c>
      <c r="G339" s="63">
        <v>0.374</v>
      </c>
      <c r="H339" s="63">
        <v>0.374</v>
      </c>
      <c r="I339" s="63">
        <v>0.374</v>
      </c>
      <c r="J339" s="63">
        <v>0.374</v>
      </c>
    </row>
    <row r="340" spans="2:10">
      <c r="B340" s="133" t="s">
        <v>162</v>
      </c>
      <c r="F340" s="63">
        <v>0.36499999999999999</v>
      </c>
      <c r="G340" s="63">
        <v>0.36499999999999999</v>
      </c>
      <c r="H340" s="63">
        <v>0.36499999999999999</v>
      </c>
      <c r="I340" s="63">
        <v>0.36499999999999999</v>
      </c>
      <c r="J340" s="63">
        <v>0.36499999999999999</v>
      </c>
    </row>
    <row r="341" spans="2:10">
      <c r="B341" s="137" t="s">
        <v>32</v>
      </c>
      <c r="F341" s="135"/>
      <c r="G341" s="135"/>
      <c r="H341" s="135"/>
      <c r="I341" s="135"/>
      <c r="J341" s="135"/>
    </row>
    <row r="342" spans="2:10">
      <c r="B342" s="133" t="s">
        <v>161</v>
      </c>
      <c r="F342" s="63">
        <v>2.5000000000000001E-2</v>
      </c>
      <c r="G342" s="63">
        <v>2.5000000000000001E-2</v>
      </c>
      <c r="H342" s="63">
        <v>2.5000000000000001E-2</v>
      </c>
      <c r="I342" s="63">
        <v>2.5000000000000001E-2</v>
      </c>
      <c r="J342" s="63">
        <v>2.5000000000000001E-2</v>
      </c>
    </row>
    <row r="343" spans="2:10">
      <c r="B343" s="133" t="s">
        <v>160</v>
      </c>
      <c r="F343" s="136">
        <v>2.9000000000000001E-2</v>
      </c>
      <c r="G343" s="63">
        <v>3.1E-2</v>
      </c>
      <c r="H343" s="63">
        <v>3.1E-2</v>
      </c>
      <c r="I343" s="63">
        <v>3.1E-2</v>
      </c>
      <c r="J343" s="63">
        <v>3.1E-2</v>
      </c>
    </row>
    <row r="344" spans="2:10">
      <c r="B344" s="133" t="s">
        <v>162</v>
      </c>
      <c r="F344" s="63">
        <v>3.3000000000000002E-2</v>
      </c>
      <c r="G344" s="63">
        <v>3.3000000000000002E-2</v>
      </c>
      <c r="H344" s="63">
        <v>3.3000000000000002E-2</v>
      </c>
      <c r="I344" s="63">
        <v>3.3000000000000002E-2</v>
      </c>
      <c r="J344" s="63">
        <v>3.3000000000000002E-2</v>
      </c>
    </row>
    <row r="345" spans="2:10">
      <c r="B345" s="110" t="s">
        <v>33</v>
      </c>
      <c r="F345" s="135"/>
      <c r="G345" s="135"/>
      <c r="H345" s="135"/>
      <c r="I345" s="135"/>
      <c r="J345" s="135"/>
    </row>
    <row r="346" spans="2:10">
      <c r="B346" s="133" t="s">
        <v>161</v>
      </c>
      <c r="F346" s="63">
        <v>6.4000000000000001E-2</v>
      </c>
      <c r="G346" s="63">
        <v>6.4000000000000001E-2</v>
      </c>
      <c r="H346" s="63">
        <v>6.4000000000000001E-2</v>
      </c>
      <c r="I346" s="63">
        <v>6.4000000000000001E-2</v>
      </c>
      <c r="J346" s="63">
        <v>6.4000000000000001E-2</v>
      </c>
    </row>
    <row r="347" spans="2:10">
      <c r="B347" s="133" t="s">
        <v>160</v>
      </c>
      <c r="F347" s="136">
        <v>6.8000000000000005E-2</v>
      </c>
      <c r="G347" s="136">
        <v>6.8000000000000005E-2</v>
      </c>
      <c r="H347" s="136">
        <v>6.8000000000000005E-2</v>
      </c>
      <c r="I347" s="136">
        <v>6.8000000000000005E-2</v>
      </c>
      <c r="J347" s="136">
        <v>6.8000000000000005E-2</v>
      </c>
    </row>
    <row r="348" spans="2:10">
      <c r="B348" s="133" t="s">
        <v>162</v>
      </c>
      <c r="F348" s="136">
        <v>7.0000000000000007E-2</v>
      </c>
      <c r="G348" s="136">
        <v>7.0000000000000007E-2</v>
      </c>
      <c r="H348" s="136">
        <v>7.0000000000000007E-2</v>
      </c>
      <c r="I348" s="136">
        <v>7.0000000000000007E-2</v>
      </c>
      <c r="J348" s="136">
        <v>7.0000000000000007E-2</v>
      </c>
    </row>
    <row r="351" spans="2:10">
      <c r="B351" s="153"/>
    </row>
  </sheetData>
  <dataValidations count="3">
    <dataValidation type="list" allowBlank="1" showInputMessage="1" showErrorMessage="1" sqref="E326">
      <formula1>$B$334:$B$336</formula1>
    </dataValidation>
    <dataValidation type="list" allowBlank="1" showInputMessage="1" showErrorMessage="1" sqref="B3">
      <formula1>"$ bns except per share, $ mm except per share,$ in thousands except per share"</formula1>
    </dataValidation>
    <dataValidation type="list" allowBlank="1" showInputMessage="1" showErrorMessage="1" sqref="I7 C10">
      <formula1>"ON,OFF"</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L141"/>
  <sheetViews>
    <sheetView zoomScaleNormal="100" workbookViewId="0">
      <selection activeCell="J132" sqref="J132"/>
    </sheetView>
  </sheetViews>
  <sheetFormatPr defaultColWidth="9.109375" defaultRowHeight="14.4"/>
  <cols>
    <col min="1" max="1" width="1.6640625" style="17" customWidth="1"/>
    <col min="2" max="2" width="40.33203125" style="17" customWidth="1"/>
    <col min="3" max="10" width="12.33203125" style="17" customWidth="1"/>
    <col min="11" max="11" width="12.109375" style="17" bestFit="1" customWidth="1"/>
    <col min="12" max="12" width="9.109375" style="17"/>
    <col min="13" max="13" width="9.109375" style="17" customWidth="1"/>
    <col min="14" max="16384" width="9.109375" style="17"/>
  </cols>
  <sheetData>
    <row r="1" spans="2:10" ht="15" thickBot="1"/>
    <row r="2" spans="2:10" ht="26.4" thickBot="1">
      <c r="B2" s="1" t="str">
        <f>"Discounted Cash Flow Model for "&amp;'Financial Statement Model'!C5</f>
        <v>Discounted Cash Flow Model for Procter &amp; Gamble</v>
      </c>
      <c r="C2" s="18"/>
      <c r="D2" s="18"/>
      <c r="E2" s="18"/>
      <c r="F2" s="18"/>
      <c r="G2" s="18"/>
      <c r="H2" s="18"/>
      <c r="I2" s="18"/>
      <c r="J2" s="18"/>
    </row>
    <row r="4" spans="2:10" ht="15" thickBot="1">
      <c r="B4" s="138" t="s">
        <v>163</v>
      </c>
      <c r="C4" s="121"/>
    </row>
    <row r="5" spans="2:10">
      <c r="B5" s="20" t="s">
        <v>3</v>
      </c>
      <c r="C5" s="152">
        <f>'Financial Statement Model'!C7</f>
        <v>0</v>
      </c>
    </row>
    <row r="6" spans="2:10">
      <c r="B6" s="140" t="s">
        <v>4</v>
      </c>
      <c r="C6" s="155"/>
    </row>
    <row r="7" spans="2:10">
      <c r="B7" s="140" t="s">
        <v>164</v>
      </c>
      <c r="C7" s="166"/>
    </row>
    <row r="8" spans="2:10">
      <c r="B8" s="140" t="s">
        <v>165</v>
      </c>
      <c r="C8" s="151" t="e">
        <f>J75</f>
        <v>#DIV/0!</v>
      </c>
    </row>
    <row r="10" spans="2:10" ht="15" thickBot="1">
      <c r="B10" s="141" t="s">
        <v>166</v>
      </c>
      <c r="C10" s="121"/>
      <c r="D10" s="121"/>
      <c r="E10" s="121"/>
      <c r="F10" s="121"/>
      <c r="G10" s="121"/>
      <c r="H10" s="121"/>
      <c r="I10" s="121"/>
      <c r="J10" s="121"/>
    </row>
    <row r="11" spans="2:10">
      <c r="B11" s="20" t="s">
        <v>9</v>
      </c>
      <c r="C11" s="25">
        <f>D11-1</f>
        <v>1898</v>
      </c>
      <c r="D11" s="25">
        <f>E11-1</f>
        <v>1899</v>
      </c>
      <c r="E11" s="25">
        <f>YEAR(E12)</f>
        <v>1900</v>
      </c>
      <c r="F11" s="26">
        <f>E11+1</f>
        <v>1901</v>
      </c>
      <c r="G11" s="26">
        <f>F11+1</f>
        <v>1902</v>
      </c>
      <c r="H11" s="26">
        <f>G11+1</f>
        <v>1903</v>
      </c>
      <c r="I11" s="26">
        <f>H11+1</f>
        <v>1904</v>
      </c>
      <c r="J11" s="26">
        <f>I11+1</f>
        <v>1905</v>
      </c>
    </row>
    <row r="12" spans="2:10">
      <c r="B12" s="27" t="s">
        <v>10</v>
      </c>
      <c r="C12" s="60">
        <f>'Financial Statement Model'!C14</f>
        <v>0</v>
      </c>
      <c r="D12" s="60">
        <f>'Financial Statement Model'!D14</f>
        <v>0</v>
      </c>
      <c r="E12" s="60">
        <f>'Financial Statement Model'!E14</f>
        <v>0</v>
      </c>
      <c r="F12" s="60">
        <f>'Financial Statement Model'!F14</f>
        <v>397</v>
      </c>
      <c r="G12" s="60">
        <f>'Financial Statement Model'!G14</f>
        <v>762</v>
      </c>
      <c r="H12" s="60">
        <f>'Financial Statement Model'!H14</f>
        <v>1127</v>
      </c>
      <c r="I12" s="60">
        <f>'Financial Statement Model'!I14</f>
        <v>1492</v>
      </c>
      <c r="J12" s="60">
        <f>'Financial Statement Model'!J14</f>
        <v>1858</v>
      </c>
    </row>
    <row r="13" spans="2:10">
      <c r="B13" s="142"/>
      <c r="F13" s="14"/>
      <c r="G13" s="14"/>
      <c r="H13" s="14"/>
      <c r="I13" s="14"/>
      <c r="J13" s="14"/>
    </row>
    <row r="14" spans="2:10">
      <c r="B14" s="20" t="s">
        <v>38</v>
      </c>
      <c r="C14" s="139">
        <f>'Financial Statement Model'!C46</f>
        <v>0</v>
      </c>
      <c r="D14" s="139">
        <f>'Financial Statement Model'!D46</f>
        <v>0</v>
      </c>
      <c r="E14" s="139">
        <f>'Financial Statement Model'!E46</f>
        <v>0</v>
      </c>
      <c r="F14" s="139">
        <f>'Financial Statement Model'!F46</f>
        <v>0</v>
      </c>
      <c r="G14" s="139">
        <f>'Financial Statement Model'!G46</f>
        <v>0</v>
      </c>
      <c r="H14" s="139">
        <f>'Financial Statement Model'!H46</f>
        <v>0</v>
      </c>
      <c r="I14" s="139">
        <f>'Financial Statement Model'!I46</f>
        <v>0</v>
      </c>
      <c r="J14" s="139">
        <f>'Financial Statement Model'!J46</f>
        <v>0</v>
      </c>
    </row>
    <row r="15" spans="2:10">
      <c r="B15" s="20" t="s">
        <v>167</v>
      </c>
      <c r="C15" s="139">
        <f>'Financial Statement Model'!C21</f>
        <v>0</v>
      </c>
      <c r="D15" s="139">
        <f>'Financial Statement Model'!D21</f>
        <v>0</v>
      </c>
      <c r="E15" s="139">
        <f>'Financial Statement Model'!E21</f>
        <v>0</v>
      </c>
      <c r="F15" s="139">
        <f>'Financial Statement Model'!F21</f>
        <v>0</v>
      </c>
      <c r="G15" s="139">
        <f>'Financial Statement Model'!G21</f>
        <v>0</v>
      </c>
      <c r="H15" s="139">
        <f>'Financial Statement Model'!H21</f>
        <v>0</v>
      </c>
      <c r="I15" s="139">
        <f>'Financial Statement Model'!I21</f>
        <v>0</v>
      </c>
      <c r="J15" s="139">
        <f>'Financial Statement Model'!J21</f>
        <v>0</v>
      </c>
    </row>
    <row r="16" spans="2:10">
      <c r="B16" s="20" t="s">
        <v>168</v>
      </c>
      <c r="C16" s="157" t="e">
        <f>'Financial Statement Model'!C41</f>
        <v>#DIV/0!</v>
      </c>
      <c r="D16" s="157" t="e">
        <f>'Financial Statement Model'!D41</f>
        <v>#DIV/0!</v>
      </c>
      <c r="E16" s="157" t="e">
        <f>'Financial Statement Model'!E41</f>
        <v>#DIV/0!</v>
      </c>
      <c r="F16" s="157">
        <f>'Financial Statement Model'!F41</f>
        <v>0</v>
      </c>
      <c r="G16" s="157">
        <f>'Financial Statement Model'!G41</f>
        <v>0</v>
      </c>
      <c r="H16" s="157">
        <f>'Financial Statement Model'!H41</f>
        <v>0</v>
      </c>
      <c r="I16" s="157">
        <f>'Financial Statement Model'!I41</f>
        <v>0</v>
      </c>
      <c r="J16" s="157">
        <f>'Financial Statement Model'!J41</f>
        <v>0</v>
      </c>
    </row>
    <row r="17" spans="2:10">
      <c r="B17" s="35" t="s">
        <v>169</v>
      </c>
      <c r="C17" s="143" t="e">
        <f>C15*(1-C16)</f>
        <v>#DIV/0!</v>
      </c>
      <c r="D17" s="143" t="e">
        <f t="shared" ref="D17:J17" si="0">D15*(1-D16)</f>
        <v>#DIV/0!</v>
      </c>
      <c r="E17" s="143" t="e">
        <f t="shared" si="0"/>
        <v>#DIV/0!</v>
      </c>
      <c r="F17" s="143">
        <f t="shared" si="0"/>
        <v>0</v>
      </c>
      <c r="G17" s="143">
        <f t="shared" si="0"/>
        <v>0</v>
      </c>
      <c r="H17" s="143">
        <f t="shared" si="0"/>
        <v>0</v>
      </c>
      <c r="I17" s="143">
        <f t="shared" si="0"/>
        <v>0</v>
      </c>
      <c r="J17" s="143">
        <f t="shared" si="0"/>
        <v>0</v>
      </c>
    </row>
    <row r="18" spans="2:10">
      <c r="B18" s="35"/>
      <c r="C18"/>
      <c r="D18"/>
      <c r="E18"/>
      <c r="F18"/>
      <c r="G18"/>
      <c r="H18"/>
      <c r="I18"/>
      <c r="J18"/>
    </row>
    <row r="19" spans="2:10">
      <c r="B19" s="47" t="s">
        <v>121</v>
      </c>
      <c r="F19" s="139">
        <f>'Financial Statement Model'!F229</f>
        <v>0</v>
      </c>
      <c r="G19" s="139">
        <f>'Financial Statement Model'!G229</f>
        <v>0</v>
      </c>
      <c r="H19" s="139">
        <f>'Financial Statement Model'!H229</f>
        <v>0</v>
      </c>
      <c r="I19" s="139">
        <f>'Financial Statement Model'!I229</f>
        <v>0</v>
      </c>
      <c r="J19" s="139">
        <f>'Financial Statement Model'!J229</f>
        <v>0</v>
      </c>
    </row>
    <row r="20" spans="2:10">
      <c r="B20" s="47" t="s">
        <v>37</v>
      </c>
      <c r="F20" s="139">
        <f>'Financial Statement Model'!F230</f>
        <v>0</v>
      </c>
      <c r="G20" s="139">
        <f>'Financial Statement Model'!G230</f>
        <v>0</v>
      </c>
      <c r="H20" s="139">
        <f>'Financial Statement Model'!H230</f>
        <v>0</v>
      </c>
      <c r="I20" s="139">
        <f>'Financial Statement Model'!I230</f>
        <v>0</v>
      </c>
      <c r="J20" s="139">
        <f>'Financial Statement Model'!J230</f>
        <v>0</v>
      </c>
    </row>
    <row r="21" spans="2:10">
      <c r="B21" s="47" t="s">
        <v>43</v>
      </c>
      <c r="F21" s="139">
        <f>'Financial Statement Model'!F231</f>
        <v>0</v>
      </c>
      <c r="G21" s="139">
        <f>'Financial Statement Model'!G231</f>
        <v>0</v>
      </c>
      <c r="H21" s="139">
        <f>'Financial Statement Model'!H231</f>
        <v>0</v>
      </c>
      <c r="I21" s="139">
        <f>'Financial Statement Model'!I231</f>
        <v>0</v>
      </c>
      <c r="J21" s="139">
        <f>'Financial Statement Model'!J231</f>
        <v>0</v>
      </c>
    </row>
    <row r="22" spans="2:10">
      <c r="B22" s="47" t="s">
        <v>44</v>
      </c>
      <c r="F22" s="139" t="e">
        <f>'Financial Statement Model'!F232</f>
        <v>#DIV/0!</v>
      </c>
      <c r="G22" s="139" t="e">
        <f>'Financial Statement Model'!G232</f>
        <v>#DIV/0!</v>
      </c>
      <c r="H22" s="139" t="e">
        <f>'Financial Statement Model'!H232</f>
        <v>#DIV/0!</v>
      </c>
      <c r="I22" s="139" t="e">
        <f>'Financial Statement Model'!I232</f>
        <v>#DIV/0!</v>
      </c>
      <c r="J22" s="139" t="e">
        <f>'Financial Statement Model'!J232</f>
        <v>#DIV/0!</v>
      </c>
    </row>
    <row r="23" spans="2:10">
      <c r="B23" s="47" t="s">
        <v>51</v>
      </c>
      <c r="F23" s="139" t="e">
        <f>'Financial Statement Model'!F233</f>
        <v>#DIV/0!</v>
      </c>
      <c r="G23" s="139" t="e">
        <f>'Financial Statement Model'!G233</f>
        <v>#DIV/0!</v>
      </c>
      <c r="H23" s="139" t="e">
        <f>'Financial Statement Model'!H233</f>
        <v>#DIV/0!</v>
      </c>
      <c r="I23" s="139" t="e">
        <f>'Financial Statement Model'!I233</f>
        <v>#DIV/0!</v>
      </c>
      <c r="J23" s="139" t="e">
        <f>'Financial Statement Model'!J233</f>
        <v>#DIV/0!</v>
      </c>
    </row>
    <row r="24" spans="2:10">
      <c r="B24" s="47" t="s">
        <v>80</v>
      </c>
      <c r="F24" s="139">
        <f>'Financial Statement Model'!F234</f>
        <v>0</v>
      </c>
      <c r="G24" s="139">
        <f>'Financial Statement Model'!G234</f>
        <v>0</v>
      </c>
      <c r="H24" s="139">
        <f>'Financial Statement Model'!H234</f>
        <v>0</v>
      </c>
      <c r="I24" s="139">
        <f>'Financial Statement Model'!I234</f>
        <v>0</v>
      </c>
      <c r="J24" s="139">
        <f>'Financial Statement Model'!J234</f>
        <v>0</v>
      </c>
    </row>
    <row r="25" spans="2:10">
      <c r="B25" s="47" t="s">
        <v>46</v>
      </c>
      <c r="F25" s="139">
        <f>'Financial Statement Model'!F235</f>
        <v>0</v>
      </c>
      <c r="G25" s="139">
        <f>'Financial Statement Model'!G235</f>
        <v>0</v>
      </c>
      <c r="H25" s="139">
        <f>'Financial Statement Model'!H235</f>
        <v>0</v>
      </c>
      <c r="I25" s="139">
        <f>'Financial Statement Model'!I235</f>
        <v>0</v>
      </c>
      <c r="J25" s="139">
        <f>'Financial Statement Model'!J235</f>
        <v>0</v>
      </c>
    </row>
    <row r="26" spans="2:10">
      <c r="B26" s="51" t="s">
        <v>95</v>
      </c>
      <c r="F26" s="139">
        <f>'Financial Statement Model'!F236</f>
        <v>0</v>
      </c>
      <c r="G26" s="139">
        <f>'Financial Statement Model'!G236</f>
        <v>0</v>
      </c>
      <c r="H26" s="139">
        <f>'Financial Statement Model'!H236</f>
        <v>0</v>
      </c>
      <c r="I26" s="139">
        <f>'Financial Statement Model'!I236</f>
        <v>0</v>
      </c>
      <c r="J26" s="139">
        <f>'Financial Statement Model'!J236</f>
        <v>0</v>
      </c>
    </row>
    <row r="27" spans="2:10">
      <c r="B27" s="51" t="s">
        <v>49</v>
      </c>
      <c r="F27" s="139">
        <f>'Financial Statement Model'!F237</f>
        <v>0</v>
      </c>
      <c r="G27" s="139">
        <f>'Financial Statement Model'!G237</f>
        <v>0</v>
      </c>
      <c r="H27" s="139">
        <f>'Financial Statement Model'!H237</f>
        <v>0</v>
      </c>
      <c r="I27" s="139">
        <f>'Financial Statement Model'!I237</f>
        <v>0</v>
      </c>
      <c r="J27" s="139">
        <f>'Financial Statement Model'!J237</f>
        <v>0</v>
      </c>
    </row>
    <row r="28" spans="2:10">
      <c r="B28" s="47" t="s">
        <v>96</v>
      </c>
      <c r="F28" s="139">
        <f>'Financial Statement Model'!F238</f>
        <v>0</v>
      </c>
      <c r="G28" s="139">
        <f>'Financial Statement Model'!G238</f>
        <v>0</v>
      </c>
      <c r="H28" s="139">
        <f>'Financial Statement Model'!H238</f>
        <v>0</v>
      </c>
      <c r="I28" s="139">
        <f>'Financial Statement Model'!I238</f>
        <v>0</v>
      </c>
      <c r="J28" s="139">
        <f>'Financial Statement Model'!J238</f>
        <v>0</v>
      </c>
    </row>
    <row r="29" spans="2:10">
      <c r="B29" s="35" t="s">
        <v>170</v>
      </c>
      <c r="C29"/>
      <c r="D29"/>
      <c r="E29"/>
      <c r="F29" s="108" t="e">
        <f>F17+SUM(F19:F28)</f>
        <v>#DIV/0!</v>
      </c>
      <c r="G29" s="108" t="e">
        <f t="shared" ref="G29:J29" si="1">G17+SUM(G19:G28)</f>
        <v>#DIV/0!</v>
      </c>
      <c r="H29" s="108" t="e">
        <f t="shared" si="1"/>
        <v>#DIV/0!</v>
      </c>
      <c r="I29" s="108" t="e">
        <f t="shared" si="1"/>
        <v>#DIV/0!</v>
      </c>
      <c r="J29" s="108" t="e">
        <f t="shared" si="1"/>
        <v>#DIV/0!</v>
      </c>
    </row>
    <row r="30" spans="2:10">
      <c r="B30" s="54" t="s">
        <v>171</v>
      </c>
      <c r="C30"/>
      <c r="D30"/>
      <c r="E30"/>
      <c r="F30" s="139">
        <f>'Financial Statement Model'!F242</f>
        <v>0</v>
      </c>
      <c r="G30" s="139">
        <f>'Financial Statement Model'!G242</f>
        <v>0</v>
      </c>
      <c r="H30" s="139">
        <f>'Financial Statement Model'!H242</f>
        <v>0</v>
      </c>
      <c r="I30" s="139">
        <f>'Financial Statement Model'!I242</f>
        <v>0</v>
      </c>
      <c r="J30" s="139">
        <f>'Financial Statement Model'!J242</f>
        <v>0</v>
      </c>
    </row>
    <row r="31" spans="2:10">
      <c r="B31" s="47" t="s">
        <v>172</v>
      </c>
      <c r="C31"/>
      <c r="D31"/>
      <c r="E31"/>
      <c r="F31" s="139">
        <f>'Financial Statement Model'!F243</f>
        <v>0</v>
      </c>
      <c r="G31" s="139">
        <f>'Financial Statement Model'!G243</f>
        <v>0</v>
      </c>
      <c r="H31" s="139">
        <f>'Financial Statement Model'!H243</f>
        <v>0</v>
      </c>
      <c r="I31" s="139">
        <f>'Financial Statement Model'!I243</f>
        <v>0</v>
      </c>
      <c r="J31" s="139">
        <f>'Financial Statement Model'!J243</f>
        <v>0</v>
      </c>
    </row>
    <row r="32" spans="2:10">
      <c r="B32" s="44" t="s">
        <v>173</v>
      </c>
      <c r="C32"/>
      <c r="D32"/>
      <c r="E32"/>
      <c r="F32" s="108" t="e">
        <f>SUM(F29:F31)</f>
        <v>#DIV/0!</v>
      </c>
      <c r="G32" s="108" t="e">
        <f t="shared" ref="G32:J32" si="2">SUM(G29:G31)</f>
        <v>#DIV/0!</v>
      </c>
      <c r="H32" s="108" t="e">
        <f t="shared" si="2"/>
        <v>#DIV/0!</v>
      </c>
      <c r="I32" s="108" t="e">
        <f t="shared" si="2"/>
        <v>#DIV/0!</v>
      </c>
      <c r="J32" s="108" t="e">
        <f t="shared" si="2"/>
        <v>#DIV/0!</v>
      </c>
    </row>
    <row r="33" spans="2:11">
      <c r="B33" s="154" t="s">
        <v>40</v>
      </c>
      <c r="C33"/>
      <c r="D33"/>
      <c r="E33"/>
      <c r="F33"/>
      <c r="G33" s="159" t="e">
        <f>G32/F32-1</f>
        <v>#DIV/0!</v>
      </c>
      <c r="H33" s="159" t="e">
        <f t="shared" ref="H33:J33" si="3">H32/G32-1</f>
        <v>#DIV/0!</v>
      </c>
      <c r="I33" s="159" t="e">
        <f t="shared" si="3"/>
        <v>#DIV/0!</v>
      </c>
      <c r="J33" s="159" t="e">
        <f t="shared" si="3"/>
        <v>#DIV/0!</v>
      </c>
    </row>
    <row r="34" spans="2:11">
      <c r="B34" s="154"/>
      <c r="C34"/>
      <c r="D34"/>
      <c r="E34"/>
      <c r="F34"/>
      <c r="G34" s="159"/>
      <c r="H34" s="159"/>
      <c r="I34" s="159"/>
      <c r="J34" s="159"/>
    </row>
    <row r="35" spans="2:11">
      <c r="B35" s="145" t="s">
        <v>174</v>
      </c>
      <c r="C35"/>
      <c r="D35"/>
      <c r="E35"/>
      <c r="F35" s="135">
        <f>YEARFRAC($C$6,F12)</f>
        <v>1.086111111111111</v>
      </c>
      <c r="G35" s="135">
        <f>YEARFRAC($C$6,G12)</f>
        <v>2.0861111111111112</v>
      </c>
      <c r="H35" s="135">
        <f>YEARFRAC($C$6,H12)</f>
        <v>3.0861111111111112</v>
      </c>
      <c r="I35" s="135">
        <f>YEARFRAC($C$6,I12)</f>
        <v>4.0861111111111112</v>
      </c>
      <c r="J35" s="135">
        <f>YEARFRAC($C$6,J12)</f>
        <v>5.0861111111111112</v>
      </c>
    </row>
    <row r="36" spans="2:11">
      <c r="B36" s="20" t="s">
        <v>216</v>
      </c>
      <c r="C36" s="172" t="s">
        <v>217</v>
      </c>
      <c r="E36"/>
    </row>
    <row r="37" spans="2:11">
      <c r="B37" s="17" t="s">
        <v>218</v>
      </c>
      <c r="C37" s="173" t="e">
        <f>IF(C36="Middle of period",(1+C8)^0.5,1)</f>
        <v>#DIV/0!</v>
      </c>
      <c r="F37" s="212">
        <f>F35-E35</f>
        <v>1.086111111111111</v>
      </c>
      <c r="G37" s="64">
        <f>G35-F35</f>
        <v>1.0000000000000002</v>
      </c>
      <c r="H37" s="64">
        <f>H35-G35</f>
        <v>1</v>
      </c>
      <c r="I37" s="64">
        <f>I35-H35</f>
        <v>1</v>
      </c>
      <c r="J37" s="64">
        <f>J35-I35</f>
        <v>1</v>
      </c>
    </row>
    <row r="38" spans="2:11">
      <c r="B38" s="145" t="s">
        <v>175</v>
      </c>
      <c r="D38"/>
      <c r="E38"/>
      <c r="F38" s="201" t="e">
        <f>IF($C$36="End of period",F32/(1+$C$8)^F35,F32/(1+$C$8)^(F35-0.5*F37))</f>
        <v>#DIV/0!</v>
      </c>
      <c r="G38" s="201" t="e">
        <f t="shared" ref="G38:J38" si="4">IF($C$36="End of period",G32/(1+$C$8)^G35,G32/(1+$C$8)^(G35-0.5*G37))</f>
        <v>#DIV/0!</v>
      </c>
      <c r="H38" s="201" t="e">
        <f t="shared" si="4"/>
        <v>#DIV/0!</v>
      </c>
      <c r="I38" s="201" t="e">
        <f t="shared" si="4"/>
        <v>#DIV/0!</v>
      </c>
      <c r="J38" s="201" t="e">
        <f t="shared" si="4"/>
        <v>#DIV/0!</v>
      </c>
    </row>
    <row r="39" spans="2:11">
      <c r="B39" s="44"/>
      <c r="C39" s="159"/>
      <c r="D39" s="62"/>
      <c r="E39"/>
      <c r="F39" s="201"/>
      <c r="G39" s="201"/>
      <c r="H39" s="201"/>
      <c r="I39" s="201"/>
      <c r="J39" s="201"/>
    </row>
    <row r="40" spans="2:11" ht="15" thickBot="1">
      <c r="B40" s="128" t="s">
        <v>176</v>
      </c>
      <c r="C40" s="121"/>
      <c r="D40"/>
      <c r="E40" s="128" t="s">
        <v>177</v>
      </c>
      <c r="F40" s="121"/>
      <c r="G40" s="121"/>
      <c r="H40" s="121"/>
      <c r="I40" s="121"/>
      <c r="J40" s="121"/>
    </row>
    <row r="41" spans="2:11">
      <c r="B41" s="17" t="s">
        <v>242</v>
      </c>
      <c r="C41" s="62" t="e">
        <f>J17+SUM(J20:J27)</f>
        <v>#DIV/0!</v>
      </c>
      <c r="D41"/>
      <c r="E41" s="17" t="s">
        <v>178</v>
      </c>
      <c r="J41" s="156">
        <f>J14</f>
        <v>0</v>
      </c>
    </row>
    <row r="42" spans="2:11" ht="16.2">
      <c r="B42" s="17" t="s">
        <v>241</v>
      </c>
      <c r="C42" s="61" t="e">
        <f>C41*(1+C43)</f>
        <v>#DIV/0!</v>
      </c>
      <c r="D42"/>
      <c r="E42" s="17" t="s">
        <v>179</v>
      </c>
      <c r="J42" s="211"/>
      <c r="K42" s="162"/>
    </row>
    <row r="43" spans="2:11">
      <c r="B43" s="17" t="s">
        <v>180</v>
      </c>
      <c r="C43" s="209"/>
      <c r="D43"/>
      <c r="E43" s="17" t="s">
        <v>181</v>
      </c>
      <c r="J43" s="62">
        <f>J41*J42</f>
        <v>0</v>
      </c>
    </row>
    <row r="44" spans="2:11">
      <c r="B44" s="17" t="s">
        <v>181</v>
      </c>
      <c r="C44" s="62" t="e">
        <f>C37*C42/(C8-C43)</f>
        <v>#DIV/0!</v>
      </c>
      <c r="D44"/>
      <c r="E44" s="20" t="s">
        <v>182</v>
      </c>
      <c r="J44" s="62" t="e">
        <f>J43/(1+C8)^J35</f>
        <v>#DIV/0!</v>
      </c>
    </row>
    <row r="45" spans="2:11">
      <c r="B45" s="20" t="s">
        <v>182</v>
      </c>
      <c r="C45" s="62" t="e">
        <f>C44/(1+C8)^J35</f>
        <v>#DIV/0!</v>
      </c>
      <c r="D45"/>
      <c r="E45" s="37" t="s">
        <v>183</v>
      </c>
      <c r="J45" s="156" t="e">
        <f>C46</f>
        <v>#DIV/0!</v>
      </c>
    </row>
    <row r="46" spans="2:11">
      <c r="B46" s="37" t="s">
        <v>183</v>
      </c>
      <c r="C46" s="156" t="e">
        <f>SUM(F38:J38)</f>
        <v>#DIV/0!</v>
      </c>
      <c r="D46"/>
      <c r="E46" s="35" t="s">
        <v>184</v>
      </c>
      <c r="J46" s="108" t="e">
        <f>SUM(J44:J45)</f>
        <v>#DIV/0!</v>
      </c>
    </row>
    <row r="47" spans="2:11">
      <c r="B47" s="35" t="s">
        <v>184</v>
      </c>
      <c r="C47" s="108" t="e">
        <f>SUM(C45:C46)</f>
        <v>#DIV/0!</v>
      </c>
      <c r="E47" s="175" t="s">
        <v>222</v>
      </c>
      <c r="F47" s="144"/>
      <c r="G47" s="144"/>
      <c r="H47" s="144"/>
      <c r="I47" s="144"/>
      <c r="J47" s="208" t="e">
        <f>(C8-(C41*(1+C8)^0.5)/J43)/(1+(C41*(1+C8)^0.5)/J43)</f>
        <v>#DIV/0!</v>
      </c>
    </row>
    <row r="48" spans="2:11">
      <c r="B48" s="175" t="s">
        <v>221</v>
      </c>
      <c r="C48" s="210" t="e">
        <f>C44/J41</f>
        <v>#DIV/0!</v>
      </c>
      <c r="E48" s="37"/>
      <c r="J48" s="159"/>
    </row>
    <row r="49" spans="2:10">
      <c r="B49" s="175"/>
      <c r="C49" s="161"/>
      <c r="E49" s="37"/>
      <c r="J49" s="159"/>
    </row>
    <row r="50" spans="2:10" ht="15" thickBot="1">
      <c r="B50" s="128" t="s">
        <v>202</v>
      </c>
      <c r="C50" s="163"/>
      <c r="D50"/>
      <c r="E50" s="128" t="s">
        <v>206</v>
      </c>
      <c r="F50" s="163"/>
      <c r="G50" s="163"/>
      <c r="H50" s="163"/>
      <c r="I50" s="163"/>
      <c r="J50" s="163"/>
    </row>
    <row r="51" spans="2:10" ht="16.2">
      <c r="B51" s="17" t="s">
        <v>42</v>
      </c>
      <c r="C51" s="97"/>
      <c r="D51"/>
      <c r="E51"/>
      <c r="F51"/>
      <c r="G51"/>
      <c r="I51" s="164" t="s">
        <v>203</v>
      </c>
      <c r="J51" s="164" t="s">
        <v>38</v>
      </c>
    </row>
    <row r="52" spans="2:10">
      <c r="B52" s="37" t="s">
        <v>98</v>
      </c>
      <c r="C52" s="97"/>
      <c r="D52"/>
      <c r="E52" t="s">
        <v>204</v>
      </c>
      <c r="F52"/>
      <c r="G52"/>
      <c r="I52" s="156" t="e">
        <f>C47</f>
        <v>#DIV/0!</v>
      </c>
      <c r="J52" s="156" t="e">
        <f>J46</f>
        <v>#DIV/0!</v>
      </c>
    </row>
    <row r="53" spans="2:10">
      <c r="B53" s="98" t="s">
        <v>64</v>
      </c>
      <c r="C53" s="143">
        <f>C52-C51</f>
        <v>0</v>
      </c>
      <c r="D53"/>
      <c r="E53" t="s">
        <v>185</v>
      </c>
      <c r="F53"/>
      <c r="G53"/>
      <c r="I53" s="156">
        <f>-C53</f>
        <v>0</v>
      </c>
      <c r="J53" s="156">
        <f>-C53</f>
        <v>0</v>
      </c>
    </row>
    <row r="54" spans="2:10">
      <c r="B54" s="37"/>
      <c r="C54" s="97"/>
      <c r="D54"/>
      <c r="E54" t="s">
        <v>205</v>
      </c>
      <c r="F54"/>
      <c r="G54"/>
      <c r="I54" s="156">
        <f>-$C$54</f>
        <v>0</v>
      </c>
      <c r="J54" s="156">
        <f>-$C$54</f>
        <v>0</v>
      </c>
    </row>
    <row r="55" spans="2:10">
      <c r="D55"/>
      <c r="E55" s="44" t="s">
        <v>186</v>
      </c>
      <c r="F55" s="44"/>
      <c r="G55" s="44"/>
      <c r="I55" s="108" t="e">
        <f>I52+I53+I54</f>
        <v>#DIV/0!</v>
      </c>
      <c r="J55" s="108" t="e">
        <f>J52+J53+J54</f>
        <v>#DIV/0!</v>
      </c>
    </row>
    <row r="56" spans="2:10" ht="15" thickBot="1">
      <c r="B56" s="128" t="s">
        <v>228</v>
      </c>
      <c r="C56" s="121"/>
      <c r="D56" s="20"/>
      <c r="E56" s="37" t="s">
        <v>187</v>
      </c>
      <c r="I56" s="167" t="e">
        <f>$C$65</f>
        <v>#DIV/0!</v>
      </c>
      <c r="J56" s="167" t="e">
        <f>$C$65</f>
        <v>#DIV/0!</v>
      </c>
    </row>
    <row r="57" spans="2:10">
      <c r="B57" s="144" t="s">
        <v>23</v>
      </c>
      <c r="C57" s="167">
        <f>C7</f>
        <v>0</v>
      </c>
      <c r="D57" s="20"/>
      <c r="E57" s="44" t="s">
        <v>188</v>
      </c>
      <c r="I57" s="146" t="e">
        <f>I55/I56</f>
        <v>#DIV/0!</v>
      </c>
      <c r="J57" s="146" t="e">
        <f t="shared" ref="J57" si="5">J55/J56</f>
        <v>#DIV/0!</v>
      </c>
    </row>
    <row r="58" spans="2:10">
      <c r="B58" s="71" t="s">
        <v>208</v>
      </c>
      <c r="C58" s="165"/>
      <c r="D58" s="20"/>
      <c r="E58" s="144" t="s">
        <v>207</v>
      </c>
      <c r="I58" s="159" t="e">
        <f>$C$5/I57-1</f>
        <v>#DIV/0!</v>
      </c>
      <c r="J58" s="159" t="e">
        <f t="shared" ref="J58" si="6">$C$5/J57-1</f>
        <v>#DIV/0!</v>
      </c>
    </row>
    <row r="59" spans="2:10">
      <c r="B59" s="71" t="s">
        <v>209</v>
      </c>
      <c r="C59"/>
      <c r="D59"/>
      <c r="E59"/>
      <c r="F59"/>
      <c r="G59"/>
      <c r="H59"/>
      <c r="I59"/>
      <c r="J59"/>
    </row>
    <row r="60" spans="2:10" ht="15" thickBot="1">
      <c r="B60" s="17" t="s">
        <v>210</v>
      </c>
      <c r="C60" s="165">
        <f>IF(C59&lt;C5,C58,0)</f>
        <v>0</v>
      </c>
      <c r="D60"/>
      <c r="E60" s="128" t="s">
        <v>189</v>
      </c>
      <c r="F60" s="121"/>
      <c r="G60" s="121"/>
      <c r="H60" s="121"/>
      <c r="I60" s="121"/>
      <c r="J60" s="121"/>
    </row>
    <row r="61" spans="2:10">
      <c r="B61" s="76" t="s">
        <v>195</v>
      </c>
      <c r="C61" s="62">
        <f>C60*C59</f>
        <v>0</v>
      </c>
      <c r="D61"/>
      <c r="E61" s="147" t="s">
        <v>190</v>
      </c>
      <c r="J61" s="148"/>
    </row>
    <row r="62" spans="2:10">
      <c r="B62" s="76" t="s">
        <v>196</v>
      </c>
      <c r="C62" s="165" t="e">
        <f>C61/C5</f>
        <v>#DIV/0!</v>
      </c>
      <c r="D62"/>
      <c r="E62" s="20" t="s">
        <v>34</v>
      </c>
      <c r="J62" s="159">
        <f>J16</f>
        <v>0</v>
      </c>
    </row>
    <row r="63" spans="2:10">
      <c r="B63" s="76" t="s">
        <v>197</v>
      </c>
      <c r="C63" s="168" t="e">
        <f>C60-C62</f>
        <v>#DIV/0!</v>
      </c>
      <c r="D63"/>
      <c r="E63" s="17" t="s">
        <v>235</v>
      </c>
      <c r="J63" s="14">
        <f>J61*(1-J62)</f>
        <v>0</v>
      </c>
    </row>
    <row r="64" spans="2:10">
      <c r="B64" s="76" t="s">
        <v>198</v>
      </c>
      <c r="C64" s="97">
        <v>0</v>
      </c>
    </row>
    <row r="65" spans="2:12">
      <c r="B65" s="73" t="s">
        <v>199</v>
      </c>
      <c r="C65" s="169" t="e">
        <f>C57+C63+C64</f>
        <v>#DIV/0!</v>
      </c>
      <c r="E65" s="17" t="s">
        <v>191</v>
      </c>
      <c r="J65" s="148">
        <v>2.5000000000000001E-2</v>
      </c>
      <c r="K65" s="221" t="s">
        <v>253</v>
      </c>
      <c r="L65" s="221" t="s">
        <v>254</v>
      </c>
    </row>
    <row r="66" spans="2:12">
      <c r="E66" s="17" t="s">
        <v>192</v>
      </c>
      <c r="J66" s="223">
        <f>IF(L66="Observed",K66,C86)</f>
        <v>0.93</v>
      </c>
      <c r="K66" s="149">
        <v>0.93</v>
      </c>
      <c r="L66" s="222" t="s">
        <v>255</v>
      </c>
    </row>
    <row r="67" spans="2:12">
      <c r="E67" s="20" t="s">
        <v>193</v>
      </c>
      <c r="J67" s="150">
        <v>0.08</v>
      </c>
    </row>
    <row r="68" spans="2:12">
      <c r="E68" s="37" t="s">
        <v>236</v>
      </c>
      <c r="J68" s="202">
        <f>J65+J66*J67</f>
        <v>9.9400000000000016E-2</v>
      </c>
    </row>
    <row r="70" spans="2:12">
      <c r="E70" s="24" t="s">
        <v>237</v>
      </c>
      <c r="F70" s="24"/>
      <c r="G70" s="24"/>
      <c r="H70" s="24"/>
      <c r="I70" s="24"/>
      <c r="J70" s="24"/>
    </row>
    <row r="71" spans="2:12" ht="16.2">
      <c r="I71" s="203" t="s">
        <v>238</v>
      </c>
      <c r="J71" s="204" t="s">
        <v>239</v>
      </c>
    </row>
    <row r="72" spans="2:12">
      <c r="E72" s="37" t="s">
        <v>240</v>
      </c>
      <c r="I72" s="64" t="e">
        <f>C65*C5</f>
        <v>#DIV/0!</v>
      </c>
      <c r="J72" s="14" t="e">
        <f>I72/(I72+I73)</f>
        <v>#DIV/0!</v>
      </c>
    </row>
    <row r="73" spans="2:12">
      <c r="E73" s="37" t="s">
        <v>64</v>
      </c>
      <c r="I73" s="64">
        <f>C53</f>
        <v>0</v>
      </c>
      <c r="J73" s="14" t="e">
        <f>1-J72</f>
        <v>#DIV/0!</v>
      </c>
    </row>
    <row r="75" spans="2:12">
      <c r="E75" s="205" t="s">
        <v>194</v>
      </c>
      <c r="F75" s="206"/>
      <c r="G75" s="206"/>
      <c r="H75" s="206"/>
      <c r="I75" s="206"/>
      <c r="J75" s="207" t="e">
        <f>J63*J73+J68*J72</f>
        <v>#DIV/0!</v>
      </c>
    </row>
    <row r="76" spans="2:12">
      <c r="E76" s="37"/>
      <c r="J76" s="158"/>
    </row>
    <row r="77" spans="2:12" ht="15" thickBot="1">
      <c r="B77" s="128" t="s">
        <v>243</v>
      </c>
      <c r="C77" s="121"/>
      <c r="D77" s="121"/>
      <c r="E77" s="121"/>
      <c r="F77" s="121"/>
      <c r="G77" s="121"/>
      <c r="H77" s="121"/>
      <c r="I77" s="121"/>
      <c r="J77" s="121"/>
    </row>
    <row r="78" spans="2:12">
      <c r="H78" s="213"/>
    </row>
    <row r="79" spans="2:12" ht="15" thickBot="1">
      <c r="C79" s="214" t="s">
        <v>244</v>
      </c>
      <c r="D79" s="214" t="s">
        <v>245</v>
      </c>
      <c r="E79" s="214" t="s">
        <v>246</v>
      </c>
      <c r="F79" s="214" t="s">
        <v>214</v>
      </c>
      <c r="G79" s="214" t="s">
        <v>141</v>
      </c>
      <c r="H79" s="215" t="s">
        <v>247</v>
      </c>
      <c r="I79" s="214" t="s">
        <v>34</v>
      </c>
      <c r="J79" s="214" t="s">
        <v>248</v>
      </c>
    </row>
    <row r="80" spans="2:12">
      <c r="B80" s="17" t="s">
        <v>249</v>
      </c>
      <c r="C80" s="216">
        <v>0.68</v>
      </c>
      <c r="D80" s="216">
        <v>44.83</v>
      </c>
      <c r="E80" s="217">
        <v>8260</v>
      </c>
      <c r="F80" s="62">
        <f>D80*E80</f>
        <v>370295.8</v>
      </c>
      <c r="G80" s="97">
        <f>11572+76853+14792</f>
        <v>103217</v>
      </c>
      <c r="H80" s="97">
        <f>2000+794+20679</f>
        <v>23473</v>
      </c>
      <c r="I80" s="63">
        <v>0.18</v>
      </c>
      <c r="J80" s="117">
        <f>C80/(1+(1-I80)*(H80-G80)/F80)</f>
        <v>0.82583279841388346</v>
      </c>
    </row>
    <row r="81" spans="2:10">
      <c r="B81" s="17" t="s">
        <v>250</v>
      </c>
      <c r="C81" s="216">
        <v>1.1439999999999999</v>
      </c>
      <c r="D81" s="216">
        <v>589.47</v>
      </c>
      <c r="E81" s="217">
        <v>675.9</v>
      </c>
      <c r="F81" s="62">
        <f>D81*E81</f>
        <v>398422.77299999999</v>
      </c>
      <c r="G81" s="97">
        <f>16639+42740
+3873
+2123</f>
        <v>65375</v>
      </c>
      <c r="H81" s="97">
        <f>3009
+2153
+3234</f>
        <v>8396</v>
      </c>
      <c r="I81" s="63">
        <f>495/4537</f>
        <v>0.10910293145250165</v>
      </c>
      <c r="J81" s="117">
        <f t="shared" ref="J81:J82" si="7">C81/(1+(1-I81)*(H81-G81)/F81)</f>
        <v>1.3110372054598531</v>
      </c>
    </row>
    <row r="82" spans="2:10">
      <c r="B82" s="17" t="s">
        <v>251</v>
      </c>
      <c r="C82" s="216">
        <v>0.77</v>
      </c>
      <c r="D82" s="216">
        <v>359.76</v>
      </c>
      <c r="E82" s="217">
        <v>460.17</v>
      </c>
      <c r="F82" s="62">
        <f>D82*E82</f>
        <v>165550.7592</v>
      </c>
      <c r="G82" s="97">
        <f>5074+3592</f>
        <v>8666</v>
      </c>
      <c r="H82" s="97">
        <v>3147</v>
      </c>
      <c r="I82" s="63">
        <f>161/506</f>
        <v>0.31818181818181818</v>
      </c>
      <c r="J82" s="117">
        <f t="shared" si="7"/>
        <v>0.78790910635190825</v>
      </c>
    </row>
    <row r="83" spans="2:10">
      <c r="B83" s="20" t="str">
        <f>'Financial Statement Model'!C6</f>
        <v>PG</v>
      </c>
      <c r="C83" s="218">
        <f>K66</f>
        <v>0.93</v>
      </c>
      <c r="D83" s="219">
        <f>C5</f>
        <v>0</v>
      </c>
      <c r="E83" s="220" t="e">
        <f>C65</f>
        <v>#DIV/0!</v>
      </c>
      <c r="F83" s="38" t="e">
        <f>D83*E83</f>
        <v>#DIV/0!</v>
      </c>
      <c r="G83" s="38">
        <f>C51</f>
        <v>0</v>
      </c>
      <c r="H83" s="38">
        <f>C52</f>
        <v>0</v>
      </c>
      <c r="I83" s="94">
        <f>J62</f>
        <v>0</v>
      </c>
      <c r="J83" s="219" t="e">
        <f>C83/(1+(1-I83)*(H83-G83)/F83)</f>
        <v>#DIV/0!</v>
      </c>
    </row>
    <row r="84" spans="2:10">
      <c r="C84" s="117"/>
      <c r="F84" s="62"/>
      <c r="G84" s="62"/>
      <c r="H84" s="62"/>
      <c r="I84" s="14"/>
      <c r="J84" s="219"/>
    </row>
    <row r="85" spans="2:10">
      <c r="B85" s="17" t="s">
        <v>252</v>
      </c>
      <c r="C85" s="117" t="e">
        <f>AVERAGE(J80:J83)</f>
        <v>#DIV/0!</v>
      </c>
    </row>
    <row r="86" spans="2:10">
      <c r="B86" s="17" t="str">
        <f>B83&amp;" beta"</f>
        <v>PG beta</v>
      </c>
      <c r="C86" s="117" t="e">
        <f>C85*(1+(1-I83)*(H83-G83)/F83)</f>
        <v>#DIV/0!</v>
      </c>
    </row>
    <row r="87" spans="2:10">
      <c r="E87" s="37"/>
      <c r="J87" s="158"/>
    </row>
    <row r="88" spans="2:10" ht="15" thickBot="1">
      <c r="B88" s="128" t="s">
        <v>211</v>
      </c>
      <c r="C88" s="121"/>
      <c r="D88" s="121"/>
      <c r="E88" s="121"/>
      <c r="F88" s="121"/>
      <c r="G88" s="121"/>
      <c r="H88" s="121"/>
      <c r="I88" s="121"/>
      <c r="J88" s="121"/>
    </row>
    <row r="89" spans="2:10">
      <c r="B89" s="35"/>
      <c r="C89" s="20"/>
      <c r="D89" s="20"/>
      <c r="E89" s="20"/>
      <c r="F89" s="20"/>
      <c r="G89" s="20"/>
      <c r="H89" s="20"/>
    </row>
    <row r="90" spans="2:10" ht="16.2">
      <c r="B90" s="35"/>
      <c r="C90" s="186" t="s">
        <v>188</v>
      </c>
      <c r="D90" s="186"/>
      <c r="E90" s="186"/>
      <c r="F90" s="186"/>
      <c r="G90" s="186"/>
      <c r="H90" s="186"/>
    </row>
    <row r="91" spans="2:10">
      <c r="B91" s="20"/>
      <c r="C91" s="76"/>
      <c r="D91" s="122" t="s">
        <v>234</v>
      </c>
      <c r="E91" s="122"/>
      <c r="F91" s="122"/>
      <c r="G91" s="122"/>
      <c r="H91" s="122"/>
    </row>
    <row r="92" spans="2:10">
      <c r="B92" s="178"/>
      <c r="C92" s="185" t="e">
        <f>I57</f>
        <v>#DIV/0!</v>
      </c>
      <c r="D92" s="187">
        <f>E92-0.005</f>
        <v>1.9999999999999997E-2</v>
      </c>
      <c r="E92" s="188">
        <f>F92-0.005</f>
        <v>2.4999999999999998E-2</v>
      </c>
      <c r="F92" s="189">
        <v>0.03</v>
      </c>
      <c r="G92" s="188">
        <f>F92+0.005</f>
        <v>3.4999999999999996E-2</v>
      </c>
      <c r="H92" s="190">
        <f>G92+0.005</f>
        <v>3.9999999999999994E-2</v>
      </c>
    </row>
    <row r="93" spans="2:10">
      <c r="B93" s="20"/>
      <c r="C93" s="224">
        <f t="shared" ref="C93" si="8">C94+0.01</f>
        <v>0.14850165365441742</v>
      </c>
      <c r="D93" s="227" t="e">
        <f t="dataTable" ref="D93:H97" dt2D="1" dtr="1" r1="C43" r2="J75" ca="1"/>
        <v>#DIV/0!</v>
      </c>
      <c r="E93" s="227" t="e">
        <v>#DIV/0!</v>
      </c>
      <c r="F93" s="227" t="e">
        <v>#DIV/0!</v>
      </c>
      <c r="G93" s="227" t="e">
        <v>#DIV/0!</v>
      </c>
      <c r="H93" s="227" t="e">
        <v>#DIV/0!</v>
      </c>
    </row>
    <row r="94" spans="2:10">
      <c r="B94" s="20"/>
      <c r="C94" s="224">
        <f>C95+0.01</f>
        <v>0.13850165365441741</v>
      </c>
      <c r="D94" s="227" t="e">
        <v>#DIV/0!</v>
      </c>
      <c r="E94" s="227" t="e">
        <v>#DIV/0!</v>
      </c>
      <c r="F94" s="227" t="e">
        <v>#DIV/0!</v>
      </c>
      <c r="G94" s="227" t="e">
        <v>#DIV/0!</v>
      </c>
      <c r="H94" s="227" t="e">
        <v>#DIV/0!</v>
      </c>
    </row>
    <row r="95" spans="2:10">
      <c r="B95" s="178" t="s">
        <v>230</v>
      </c>
      <c r="C95" s="225">
        <v>0.1285016536544174</v>
      </c>
      <c r="D95" s="227" t="e">
        <v>#DIV/0!</v>
      </c>
      <c r="E95" s="227" t="e">
        <v>#DIV/0!</v>
      </c>
      <c r="F95" s="227" t="e">
        <v>#DIV/0!</v>
      </c>
      <c r="G95" s="227" t="e">
        <v>#DIV/0!</v>
      </c>
      <c r="H95" s="227" t="e">
        <v>#DIV/0!</v>
      </c>
    </row>
    <row r="96" spans="2:10">
      <c r="B96" s="20"/>
      <c r="C96" s="224">
        <f t="shared" ref="C96:C97" si="9">C95-0.01</f>
        <v>0.11850165365441741</v>
      </c>
      <c r="D96" s="227" t="e">
        <v>#DIV/0!</v>
      </c>
      <c r="E96" s="227" t="e">
        <v>#DIV/0!</v>
      </c>
      <c r="F96" s="227" t="e">
        <v>#DIV/0!</v>
      </c>
      <c r="G96" s="227" t="e">
        <v>#DIV/0!</v>
      </c>
      <c r="H96" s="227" t="e">
        <v>#DIV/0!</v>
      </c>
    </row>
    <row r="97" spans="2:8">
      <c r="B97" s="20"/>
      <c r="C97" s="226">
        <f t="shared" si="9"/>
        <v>0.10850165365441741</v>
      </c>
      <c r="D97" s="227" t="e">
        <v>#DIV/0!</v>
      </c>
      <c r="E97" s="227" t="e">
        <v>#DIV/0!</v>
      </c>
      <c r="F97" s="227" t="e">
        <v>#DIV/0!</v>
      </c>
      <c r="G97" s="227" t="e">
        <v>#DIV/0!</v>
      </c>
      <c r="H97" s="227" t="e">
        <v>#DIV/0!</v>
      </c>
    </row>
    <row r="98" spans="2:8">
      <c r="B98" s="20"/>
      <c r="C98" s="20"/>
      <c r="D98" s="160"/>
      <c r="E98" s="160"/>
      <c r="F98" s="160"/>
      <c r="G98" s="160"/>
      <c r="H98" s="160"/>
    </row>
    <row r="99" spans="2:8" ht="16.2">
      <c r="C99" s="186" t="s">
        <v>188</v>
      </c>
      <c r="D99" s="186"/>
      <c r="E99" s="186"/>
      <c r="F99" s="186"/>
      <c r="G99" s="186"/>
      <c r="H99" s="186"/>
    </row>
    <row r="100" spans="2:8">
      <c r="D100" s="122" t="s">
        <v>212</v>
      </c>
      <c r="E100" s="122"/>
      <c r="F100" s="122"/>
      <c r="G100" s="122"/>
      <c r="H100" s="122"/>
    </row>
    <row r="101" spans="2:8">
      <c r="C101" s="170" t="e">
        <f>J57</f>
        <v>#DIV/0!</v>
      </c>
      <c r="D101" s="191">
        <f>E101-1</f>
        <v>7.25</v>
      </c>
      <c r="E101" s="191">
        <f>F101-1</f>
        <v>8.25</v>
      </c>
      <c r="F101" s="192">
        <v>9.25</v>
      </c>
      <c r="G101" s="191">
        <f>F101+1</f>
        <v>10.25</v>
      </c>
      <c r="H101" s="193">
        <f>G101+1</f>
        <v>11.25</v>
      </c>
    </row>
    <row r="102" spans="2:8">
      <c r="C102" s="224">
        <f t="shared" ref="C102" si="10">C103+0.01</f>
        <v>0.14850165365441742</v>
      </c>
      <c r="D102" s="228" t="e">
        <f t="dataTable" ref="D102:H106" dt2D="1" dtr="1" r1="J42" r2="J75" ca="1"/>
        <v>#DIV/0!</v>
      </c>
      <c r="E102" s="227" t="e">
        <v>#DIV/0!</v>
      </c>
      <c r="F102" s="227" t="e">
        <v>#DIV/0!</v>
      </c>
      <c r="G102" s="227" t="e">
        <v>#DIV/0!</v>
      </c>
      <c r="H102" s="227" t="e">
        <v>#DIV/0!</v>
      </c>
    </row>
    <row r="103" spans="2:8">
      <c r="C103" s="224">
        <f>C104+0.01</f>
        <v>0.13850165365441741</v>
      </c>
      <c r="D103" s="228" t="e">
        <v>#DIV/0!</v>
      </c>
      <c r="E103" s="227" t="e">
        <v>#DIV/0!</v>
      </c>
      <c r="F103" s="227" t="e">
        <v>#DIV/0!</v>
      </c>
      <c r="G103" s="227" t="e">
        <v>#DIV/0!</v>
      </c>
      <c r="H103" s="227" t="e">
        <v>#DIV/0!</v>
      </c>
    </row>
    <row r="104" spans="2:8">
      <c r="B104" s="178" t="s">
        <v>230</v>
      </c>
      <c r="C104" s="225">
        <v>0.1285016536544174</v>
      </c>
      <c r="D104" s="228" t="e">
        <v>#DIV/0!</v>
      </c>
      <c r="E104" s="227" t="e">
        <v>#DIV/0!</v>
      </c>
      <c r="F104" s="227" t="e">
        <v>#DIV/0!</v>
      </c>
      <c r="G104" s="227" t="e">
        <v>#DIV/0!</v>
      </c>
      <c r="H104" s="227" t="e">
        <v>#DIV/0!</v>
      </c>
    </row>
    <row r="105" spans="2:8">
      <c r="C105" s="224">
        <f t="shared" ref="C105:C106" si="11">C104-0.01</f>
        <v>0.11850165365441741</v>
      </c>
      <c r="D105" s="228" t="e">
        <v>#DIV/0!</v>
      </c>
      <c r="E105" s="227" t="e">
        <v>#DIV/0!</v>
      </c>
      <c r="F105" s="227" t="e">
        <v>#DIV/0!</v>
      </c>
      <c r="G105" s="227" t="e">
        <v>#DIV/0!</v>
      </c>
      <c r="H105" s="227" t="e">
        <v>#DIV/0!</v>
      </c>
    </row>
    <row r="106" spans="2:8">
      <c r="C106" s="226">
        <f t="shared" si="11"/>
        <v>0.10850165365441741</v>
      </c>
      <c r="D106" s="228" t="e">
        <v>#DIV/0!</v>
      </c>
      <c r="E106" s="227" t="e">
        <v>#DIV/0!</v>
      </c>
      <c r="F106" s="227" t="e">
        <v>#DIV/0!</v>
      </c>
      <c r="G106" s="227" t="e">
        <v>#DIV/0!</v>
      </c>
      <c r="H106" s="227" t="e">
        <v>#DIV/0!</v>
      </c>
    </row>
    <row r="107" spans="2:8">
      <c r="C107" s="20"/>
      <c r="D107" s="20"/>
    </row>
    <row r="108" spans="2:8" ht="16.2">
      <c r="C108" s="186" t="s">
        <v>188</v>
      </c>
      <c r="D108" s="186"/>
      <c r="E108" s="186"/>
      <c r="F108" s="186"/>
      <c r="G108" s="186"/>
      <c r="H108" s="186"/>
    </row>
    <row r="109" spans="2:8">
      <c r="C109" s="20"/>
      <c r="D109" s="122" t="s">
        <v>212</v>
      </c>
      <c r="E109" s="122"/>
      <c r="F109" s="122"/>
      <c r="G109" s="122"/>
      <c r="H109" s="122"/>
    </row>
    <row r="110" spans="2:8">
      <c r="C110" s="199" t="s">
        <v>220</v>
      </c>
      <c r="D110" s="174" t="e">
        <f>J57</f>
        <v>#DIV/0!</v>
      </c>
      <c r="E110" s="194">
        <f>F110-1</f>
        <v>7.25</v>
      </c>
      <c r="F110" s="191">
        <f>G110-1</f>
        <v>8.25</v>
      </c>
      <c r="G110" s="192">
        <v>9.25</v>
      </c>
      <c r="H110" s="193">
        <f>G110+1</f>
        <v>10.25</v>
      </c>
    </row>
    <row r="111" spans="2:8">
      <c r="C111" s="200">
        <v>0.7</v>
      </c>
      <c r="D111" s="195">
        <f t="shared" ref="D111:D112" si="12">70535.7155695408*C111</f>
        <v>49375.000898678554</v>
      </c>
      <c r="E111" s="227" t="e">
        <f t="dataTable" ref="E111:H115" dt2D="1" dtr="1" r1="J42" r2="J14" ca="1"/>
        <v>#DIV/0!</v>
      </c>
      <c r="F111" s="227" t="e">
        <v>#DIV/0!</v>
      </c>
      <c r="G111" s="227" t="e">
        <v>#DIV/0!</v>
      </c>
      <c r="H111" s="227" t="e">
        <v>#DIV/0!</v>
      </c>
    </row>
    <row r="112" spans="2:8">
      <c r="C112" s="200">
        <v>0.85</v>
      </c>
      <c r="D112" s="196">
        <f t="shared" si="12"/>
        <v>59955.358234109677</v>
      </c>
      <c r="E112" s="227" t="e">
        <v>#DIV/0!</v>
      </c>
      <c r="F112" s="227" t="e">
        <v>#DIV/0!</v>
      </c>
      <c r="G112" s="227" t="e">
        <v>#DIV/0!</v>
      </c>
      <c r="H112" s="227" t="e">
        <v>#DIV/0!</v>
      </c>
    </row>
    <row r="113" spans="2:10">
      <c r="C113" s="200">
        <v>1</v>
      </c>
      <c r="D113" s="197">
        <f>70535.7155695408*C113</f>
        <v>70535.7155695408</v>
      </c>
      <c r="E113" s="227" t="e">
        <v>#DIV/0!</v>
      </c>
      <c r="F113" s="227" t="e">
        <v>#DIV/0!</v>
      </c>
      <c r="G113" s="227" t="e">
        <v>#DIV/0!</v>
      </c>
      <c r="H113" s="227" t="e">
        <v>#DIV/0!</v>
      </c>
    </row>
    <row r="114" spans="2:10">
      <c r="C114" s="200">
        <v>1.1499999999999999</v>
      </c>
      <c r="D114" s="196">
        <f t="shared" ref="D114:D115" si="13">70535.7155695408*C114</f>
        <v>81116.072904971908</v>
      </c>
      <c r="E114" s="227" t="e">
        <v>#DIV/0!</v>
      </c>
      <c r="F114" s="227" t="e">
        <v>#DIV/0!</v>
      </c>
      <c r="G114" s="227" t="e">
        <v>#DIV/0!</v>
      </c>
      <c r="H114" s="227" t="e">
        <v>#DIV/0!</v>
      </c>
    </row>
    <row r="115" spans="2:10">
      <c r="C115" s="200">
        <v>1.3</v>
      </c>
      <c r="D115" s="198">
        <f t="shared" si="13"/>
        <v>91696.430240403046</v>
      </c>
      <c r="E115" s="227" t="e">
        <v>#DIV/0!</v>
      </c>
      <c r="F115" s="227" t="e">
        <v>#DIV/0!</v>
      </c>
      <c r="G115" s="227" t="e">
        <v>#DIV/0!</v>
      </c>
      <c r="H115" s="227" t="e">
        <v>#DIV/0!</v>
      </c>
    </row>
    <row r="117" spans="2:10" ht="15" thickBot="1">
      <c r="B117" s="128" t="s">
        <v>227</v>
      </c>
      <c r="C117" s="121"/>
      <c r="D117" s="121"/>
      <c r="E117" s="121"/>
      <c r="F117" s="20"/>
      <c r="G117" s="176" t="s">
        <v>229</v>
      </c>
      <c r="H117" s="121"/>
      <c r="I117" s="121"/>
      <c r="J117" s="121"/>
    </row>
    <row r="118" spans="2:10">
      <c r="F118" s="20"/>
      <c r="G118" s="46" t="s">
        <v>231</v>
      </c>
    </row>
    <row r="119" spans="2:10">
      <c r="G119" s="51" t="s">
        <v>213</v>
      </c>
      <c r="J119" s="97">
        <f>E15+31056-29768</f>
        <v>1288</v>
      </c>
    </row>
    <row r="120" spans="2:10">
      <c r="G120" s="54" t="s">
        <v>232</v>
      </c>
      <c r="J120" s="97">
        <f>'Financial Statement Model'!E44+4031-3280</f>
        <v>751</v>
      </c>
    </row>
    <row r="121" spans="2:10">
      <c r="G121" s="54" t="s">
        <v>37</v>
      </c>
      <c r="J121" s="184">
        <f>'Financial Statement Model'!E45+1377-1120</f>
        <v>257</v>
      </c>
    </row>
    <row r="122" spans="2:10">
      <c r="G122" s="44" t="s">
        <v>233</v>
      </c>
      <c r="H122" s="44"/>
      <c r="I122" s="44"/>
      <c r="J122" s="143">
        <f>J119+J120+J121</f>
        <v>2296</v>
      </c>
    </row>
    <row r="123" spans="2:10">
      <c r="G123" s="17" t="s">
        <v>214</v>
      </c>
      <c r="J123" s="61" t="e">
        <f>C5*C65</f>
        <v>#DIV/0!</v>
      </c>
    </row>
    <row r="124" spans="2:10">
      <c r="G124" s="17" t="s">
        <v>204</v>
      </c>
      <c r="J124" s="61" t="e">
        <f>J123+C53</f>
        <v>#DIV/0!</v>
      </c>
    </row>
    <row r="125" spans="2:10">
      <c r="G125" s="44" t="s">
        <v>215</v>
      </c>
      <c r="J125" s="171" t="e">
        <f>J124/J122</f>
        <v>#DIV/0!</v>
      </c>
    </row>
    <row r="126" spans="2:10">
      <c r="G126" s="144" t="s">
        <v>219</v>
      </c>
      <c r="J126" s="161">
        <f>J42</f>
        <v>0</v>
      </c>
    </row>
    <row r="138" spans="2:5">
      <c r="B138" s="181"/>
      <c r="C138" s="182" t="s">
        <v>224</v>
      </c>
      <c r="D138" s="182" t="s">
        <v>225</v>
      </c>
      <c r="E138" s="183" t="s">
        <v>223</v>
      </c>
    </row>
    <row r="139" spans="2:5">
      <c r="B139" s="179" t="str">
        <f>"DCF Value at "&amp;TEXT(D101,"0.0x")&amp;"-"&amp;TEXT(H101,"0.0x")&amp;" Exit EBITDA Range"</f>
        <v>DCF Value at 7.3x-11.3x Exit EBITDA Range</v>
      </c>
      <c r="C139" s="219" t="e">
        <f>D105</f>
        <v>#DIV/0!</v>
      </c>
      <c r="D139" s="219" t="e">
        <f>E139-C139</f>
        <v>#DIV/0!</v>
      </c>
      <c r="E139" s="229" t="e">
        <f>H105</f>
        <v>#DIV/0!</v>
      </c>
    </row>
    <row r="140" spans="2:5">
      <c r="B140" s="177" t="str">
        <f>"DCF Value at "&amp;TEXT(D92,"0.0%")&amp;"-"&amp;TEXT(H92,"0.0%")&amp;" Perpetuity Range"</f>
        <v>DCF Value at 2.0%-4.0% Perpetuity Range</v>
      </c>
      <c r="C140" s="219" t="e">
        <f>D96</f>
        <v>#DIV/0!</v>
      </c>
      <c r="D140" s="219" t="e">
        <f>E140-C140</f>
        <v>#DIV/0!</v>
      </c>
      <c r="E140" s="229" t="e">
        <f>H96</f>
        <v>#DIV/0!</v>
      </c>
    </row>
    <row r="141" spans="2:5">
      <c r="B141" s="180" t="s">
        <v>226</v>
      </c>
      <c r="C141" s="230" t="e">
        <f>#REF!</f>
        <v>#REF!</v>
      </c>
      <c r="D141" s="230" t="e">
        <f>E141-C141</f>
        <v>#REF!</v>
      </c>
      <c r="E141" s="231" t="e">
        <f>#REF!</f>
        <v>#REF!</v>
      </c>
    </row>
  </sheetData>
  <conditionalFormatting sqref="D93:H97">
    <cfRule type="cellIs" dxfId="2" priority="3" operator="lessThan">
      <formula>$C$5</formula>
    </cfRule>
  </conditionalFormatting>
  <conditionalFormatting sqref="D102:H106">
    <cfRule type="cellIs" dxfId="1" priority="2" operator="lessThan">
      <formula>$C$5</formula>
    </cfRule>
  </conditionalFormatting>
  <conditionalFormatting sqref="E111:H115">
    <cfRule type="cellIs" dxfId="0" priority="1" operator="lessThan">
      <formula>$C$5</formula>
    </cfRule>
  </conditionalFormatting>
  <dataValidations count="2">
    <dataValidation type="list" allowBlank="1" showInputMessage="1" showErrorMessage="1" sqref="C36">
      <formula1>"End of period,Middle of period"</formula1>
    </dataValidation>
    <dataValidation type="list" allowBlank="1" showInputMessage="1" showErrorMessage="1" sqref="L66">
      <formula1>"Industry, Observed"</formula1>
    </dataValidation>
  </dataValidation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Financial Statement Model</vt:lpstr>
      <vt:lpstr>DCF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dc:creator>
  <cp:lastModifiedBy>Mary Roberts</cp:lastModifiedBy>
  <cp:lastPrinted>2014-05-30T16:55:05Z</cp:lastPrinted>
  <dcterms:created xsi:type="dcterms:W3CDTF">2014-05-28T19:09:08Z</dcterms:created>
  <dcterms:modified xsi:type="dcterms:W3CDTF">2017-07-31T13:29:50Z</dcterms:modified>
</cp:coreProperties>
</file>