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y\Desktop\WSP Models\"/>
    </mc:Choice>
  </mc:AlternateContent>
  <bookViews>
    <workbookView xWindow="0" yWindow="0" windowWidth="23040" windowHeight="10116"/>
  </bookViews>
  <sheets>
    <sheet name="Input" sheetId="3" r:id="rId1"/>
    <sheet name="Output" sheetId="4" r:id="rId2"/>
  </sheets>
  <externalReferences>
    <externalReference r:id="rId3"/>
    <externalReference r:id="rId4"/>
  </externalReferences>
  <definedNames>
    <definedName name="CIQWBGuid" hidden="1">"a611639b-bab1-425e-aaa5-008c326fdfdb"</definedName>
    <definedName name="Inv_Cap">[1]Results!$E$182:$AD$182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OPLAT">[1]Results!$E$145:$AD$145</definedName>
    <definedName name="One">'[1]Forecast Drivers'!$D$330</definedName>
    <definedName name="Products">[2]Array0!$B$5:$C$7</definedName>
    <definedName name="Rev">'[1]Forecast Drivers'!$E$25:$S$25</definedName>
  </definedNames>
  <calcPr calcId="171027"/>
</workbook>
</file>

<file path=xl/calcChain.xml><?xml version="1.0" encoding="utf-8"?>
<calcChain xmlns="http://schemas.openxmlformats.org/spreadsheetml/2006/main">
  <c r="F219" i="3" l="1"/>
  <c r="F212" i="3"/>
  <c r="F120" i="3"/>
  <c r="F113" i="3"/>
  <c r="F72" i="3"/>
  <c r="F33" i="3"/>
  <c r="F89" i="3"/>
  <c r="E88" i="3" l="1"/>
  <c r="E120" i="3"/>
  <c r="E113" i="3"/>
  <c r="E112" i="3"/>
  <c r="D212" i="3" l="1"/>
  <c r="D186" i="3"/>
  <c r="D183" i="3"/>
  <c r="D182" i="3"/>
  <c r="D148" i="3"/>
  <c r="D147" i="3"/>
  <c r="D113" i="3"/>
  <c r="D112" i="3"/>
  <c r="D89" i="3"/>
  <c r="D72" i="3"/>
  <c r="G217" i="3" l="1"/>
  <c r="F217" i="3"/>
  <c r="E217" i="3"/>
  <c r="D217" i="3"/>
  <c r="G210" i="3"/>
  <c r="F210" i="3"/>
  <c r="E210" i="3"/>
  <c r="D210" i="3"/>
  <c r="G193" i="3"/>
  <c r="F193" i="3"/>
  <c r="E193" i="3"/>
  <c r="D193" i="3"/>
  <c r="G170" i="3"/>
  <c r="G172" i="3" s="1"/>
  <c r="F170" i="3"/>
  <c r="F172" i="3" s="1"/>
  <c r="E170" i="3"/>
  <c r="E172" i="3" s="1"/>
  <c r="D170" i="3"/>
  <c r="D172" i="3" s="1"/>
  <c r="G158" i="3"/>
  <c r="F158" i="3"/>
  <c r="E158" i="3"/>
  <c r="D158" i="3"/>
  <c r="G135" i="3"/>
  <c r="G137" i="3" s="1"/>
  <c r="F135" i="3"/>
  <c r="F137" i="3" s="1"/>
  <c r="E135" i="3"/>
  <c r="E137" i="3" s="1"/>
  <c r="D135" i="3"/>
  <c r="D137" i="3" s="1"/>
  <c r="G123" i="3"/>
  <c r="F123" i="3"/>
  <c r="E123" i="3"/>
  <c r="D123" i="3"/>
  <c r="G100" i="3"/>
  <c r="G102" i="3" s="1"/>
  <c r="F100" i="3"/>
  <c r="F102" i="3" s="1"/>
  <c r="E100" i="3"/>
  <c r="E102" i="3" s="1"/>
  <c r="D100" i="3"/>
  <c r="D102" i="3" s="1"/>
  <c r="G88" i="3"/>
  <c r="G90" i="3" s="1"/>
  <c r="F88" i="3"/>
  <c r="F90" i="3" s="1"/>
  <c r="E90" i="3"/>
  <c r="D88" i="3"/>
  <c r="D90" i="3" s="1"/>
  <c r="D119" i="3" l="1"/>
  <c r="D121" i="3" s="1"/>
  <c r="D105" i="3"/>
  <c r="D189" i="3"/>
  <c r="D191" i="3" s="1"/>
  <c r="D175" i="3"/>
  <c r="E119" i="3"/>
  <c r="E121" i="3" s="1"/>
  <c r="E105" i="3"/>
  <c r="E154" i="3"/>
  <c r="E156" i="3" s="1"/>
  <c r="E140" i="3"/>
  <c r="E189" i="3"/>
  <c r="E191" i="3" s="1"/>
  <c r="E175" i="3"/>
  <c r="F119" i="3"/>
  <c r="F121" i="3" s="1"/>
  <c r="F105" i="3"/>
  <c r="F154" i="3"/>
  <c r="F156" i="3" s="1"/>
  <c r="F140" i="3"/>
  <c r="F189" i="3"/>
  <c r="F191" i="3" s="1"/>
  <c r="F175" i="3"/>
  <c r="D154" i="3"/>
  <c r="D156" i="3" s="1"/>
  <c r="D140" i="3"/>
  <c r="G119" i="3"/>
  <c r="G121" i="3" s="1"/>
  <c r="G105" i="3"/>
  <c r="G154" i="3"/>
  <c r="G156" i="3" s="1"/>
  <c r="G140" i="3"/>
  <c r="G189" i="3"/>
  <c r="G191" i="3" s="1"/>
  <c r="G175" i="3"/>
  <c r="M261" i="3"/>
  <c r="L261" i="3"/>
  <c r="K261" i="3"/>
  <c r="J261" i="3"/>
  <c r="I261" i="3"/>
  <c r="H261" i="3"/>
  <c r="G261" i="3"/>
  <c r="F261" i="3"/>
  <c r="E261" i="3"/>
  <c r="D261" i="3"/>
  <c r="M260" i="3"/>
  <c r="L260" i="3"/>
  <c r="K260" i="3"/>
  <c r="J260" i="3"/>
  <c r="I260" i="3"/>
  <c r="H260" i="3"/>
  <c r="G260" i="3"/>
  <c r="F260" i="3"/>
  <c r="E260" i="3"/>
  <c r="D260" i="3"/>
  <c r="M259" i="3"/>
  <c r="L259" i="3"/>
  <c r="K259" i="3"/>
  <c r="J259" i="3"/>
  <c r="I259" i="3"/>
  <c r="H259" i="3"/>
  <c r="G259" i="3"/>
  <c r="E259" i="3"/>
  <c r="D259" i="3"/>
  <c r="M258" i="3"/>
  <c r="L258" i="3"/>
  <c r="K258" i="3"/>
  <c r="K262" i="3" s="1"/>
  <c r="J258" i="3"/>
  <c r="I258" i="3"/>
  <c r="H258" i="3"/>
  <c r="G258" i="3"/>
  <c r="G262" i="3" s="1"/>
  <c r="F258" i="3"/>
  <c r="E258" i="3"/>
  <c r="D258" i="3"/>
  <c r="M253" i="3"/>
  <c r="L253" i="3"/>
  <c r="K253" i="3"/>
  <c r="J253" i="3"/>
  <c r="I253" i="3"/>
  <c r="H253" i="3"/>
  <c r="G253" i="3"/>
  <c r="F253" i="3"/>
  <c r="E253" i="3"/>
  <c r="D253" i="3"/>
  <c r="M252" i="3"/>
  <c r="L252" i="3"/>
  <c r="K252" i="3"/>
  <c r="J252" i="3"/>
  <c r="I252" i="3"/>
  <c r="H252" i="3"/>
  <c r="G252" i="3"/>
  <c r="F252" i="3"/>
  <c r="E252" i="3"/>
  <c r="D252" i="3"/>
  <c r="M251" i="3"/>
  <c r="L251" i="3"/>
  <c r="K251" i="3"/>
  <c r="J251" i="3"/>
  <c r="I251" i="3"/>
  <c r="H251" i="3"/>
  <c r="G251" i="3"/>
  <c r="E251" i="3"/>
  <c r="M250" i="3"/>
  <c r="L250" i="3"/>
  <c r="L254" i="3" s="1"/>
  <c r="K250" i="3"/>
  <c r="J250" i="3"/>
  <c r="I250" i="3"/>
  <c r="H250" i="3"/>
  <c r="H254" i="3" s="1"/>
  <c r="G250" i="3"/>
  <c r="G254" i="3" s="1"/>
  <c r="F250" i="3"/>
  <c r="E250" i="3"/>
  <c r="D250" i="3"/>
  <c r="M234" i="3"/>
  <c r="M280" i="3" s="1"/>
  <c r="L234" i="3"/>
  <c r="K234" i="3"/>
  <c r="K280" i="3" s="1"/>
  <c r="J234" i="3"/>
  <c r="I234" i="3"/>
  <c r="I280" i="3" s="1"/>
  <c r="H234" i="3"/>
  <c r="G234" i="3"/>
  <c r="G274" i="3" s="1"/>
  <c r="F234" i="3"/>
  <c r="E234" i="3"/>
  <c r="E280" i="3" s="1"/>
  <c r="D234" i="3"/>
  <c r="M233" i="3"/>
  <c r="L233" i="3"/>
  <c r="K233" i="3"/>
  <c r="J233" i="3"/>
  <c r="I233" i="3"/>
  <c r="H233" i="3"/>
  <c r="G233" i="3"/>
  <c r="F233" i="3"/>
  <c r="E233" i="3"/>
  <c r="D233" i="3"/>
  <c r="M232" i="3"/>
  <c r="L232" i="3"/>
  <c r="K232" i="3"/>
  <c r="J232" i="3"/>
  <c r="I232" i="3"/>
  <c r="H232" i="3"/>
  <c r="G232" i="3"/>
  <c r="F232" i="3"/>
  <c r="E232" i="3"/>
  <c r="D232" i="3"/>
  <c r="M231" i="3"/>
  <c r="L231" i="3"/>
  <c r="K231" i="3"/>
  <c r="J231" i="3"/>
  <c r="I231" i="3"/>
  <c r="H231" i="3"/>
  <c r="G231" i="3"/>
  <c r="F231" i="3"/>
  <c r="E231" i="3"/>
  <c r="D231" i="3"/>
  <c r="M230" i="3"/>
  <c r="L230" i="3"/>
  <c r="K230" i="3"/>
  <c r="J230" i="3"/>
  <c r="I230" i="3"/>
  <c r="H230" i="3"/>
  <c r="G230" i="3"/>
  <c r="F230" i="3"/>
  <c r="E230" i="3"/>
  <c r="D230" i="3"/>
  <c r="M229" i="3"/>
  <c r="L229" i="3"/>
  <c r="K229" i="3"/>
  <c r="J229" i="3"/>
  <c r="I229" i="3"/>
  <c r="H229" i="3"/>
  <c r="G229" i="3"/>
  <c r="F229" i="3"/>
  <c r="E229" i="3"/>
  <c r="D229" i="3"/>
  <c r="M228" i="3"/>
  <c r="L228" i="3"/>
  <c r="K228" i="3"/>
  <c r="J228" i="3"/>
  <c r="I228" i="3"/>
  <c r="H228" i="3"/>
  <c r="G228" i="3"/>
  <c r="F228" i="3"/>
  <c r="E228" i="3"/>
  <c r="D228" i="3"/>
  <c r="B226" i="3"/>
  <c r="M217" i="3"/>
  <c r="M257" i="3" s="1"/>
  <c r="L217" i="3"/>
  <c r="L257" i="3" s="1"/>
  <c r="K217" i="3"/>
  <c r="K257" i="3" s="1"/>
  <c r="J217" i="3"/>
  <c r="J257" i="3" s="1"/>
  <c r="I217" i="3"/>
  <c r="I257" i="3" s="1"/>
  <c r="H217" i="3"/>
  <c r="H257" i="3" s="1"/>
  <c r="G257" i="3"/>
  <c r="F257" i="3"/>
  <c r="E257" i="3"/>
  <c r="D257" i="3"/>
  <c r="D251" i="3"/>
  <c r="M210" i="3"/>
  <c r="M249" i="3" s="1"/>
  <c r="L210" i="3"/>
  <c r="L249" i="3" s="1"/>
  <c r="K210" i="3"/>
  <c r="K249" i="3" s="1"/>
  <c r="J210" i="3"/>
  <c r="J249" i="3" s="1"/>
  <c r="I210" i="3"/>
  <c r="I249" i="3" s="1"/>
  <c r="H210" i="3"/>
  <c r="H249" i="3" s="1"/>
  <c r="G249" i="3"/>
  <c r="F249" i="3"/>
  <c r="E249" i="3"/>
  <c r="D249" i="3"/>
  <c r="M203" i="3"/>
  <c r="M242" i="3" s="1"/>
  <c r="L203" i="3"/>
  <c r="L242" i="3" s="1"/>
  <c r="K203" i="3"/>
  <c r="K242" i="3" s="1"/>
  <c r="J203" i="3"/>
  <c r="J242" i="3" s="1"/>
  <c r="I203" i="3"/>
  <c r="I242" i="3" s="1"/>
  <c r="H203" i="3"/>
  <c r="H242" i="3" s="1"/>
  <c r="G203" i="3"/>
  <c r="G242" i="3" s="1"/>
  <c r="F203" i="3"/>
  <c r="F242" i="3" s="1"/>
  <c r="E203" i="3"/>
  <c r="E242" i="3" s="1"/>
  <c r="D203" i="3"/>
  <c r="D242" i="3" s="1"/>
  <c r="M202" i="3"/>
  <c r="M241" i="3" s="1"/>
  <c r="L202" i="3"/>
  <c r="L241" i="3" s="1"/>
  <c r="K202" i="3"/>
  <c r="K241" i="3" s="1"/>
  <c r="J202" i="3"/>
  <c r="J241" i="3" s="1"/>
  <c r="I202" i="3"/>
  <c r="I241" i="3" s="1"/>
  <c r="H202" i="3"/>
  <c r="H241" i="3" s="1"/>
  <c r="G202" i="3"/>
  <c r="G241" i="3" s="1"/>
  <c r="F202" i="3"/>
  <c r="F241" i="3" s="1"/>
  <c r="E202" i="3"/>
  <c r="E241" i="3" s="1"/>
  <c r="D202" i="3"/>
  <c r="D241" i="3" s="1"/>
  <c r="M193" i="3"/>
  <c r="L193" i="3"/>
  <c r="K193" i="3"/>
  <c r="J193" i="3"/>
  <c r="I193" i="3"/>
  <c r="H193" i="3"/>
  <c r="M170" i="3"/>
  <c r="M172" i="3" s="1"/>
  <c r="M189" i="3" s="1"/>
  <c r="M191" i="3" s="1"/>
  <c r="L170" i="3"/>
  <c r="L172" i="3" s="1"/>
  <c r="L175" i="3" s="1"/>
  <c r="K170" i="3"/>
  <c r="K172" i="3" s="1"/>
  <c r="K175" i="3" s="1"/>
  <c r="J170" i="3"/>
  <c r="J172" i="3" s="1"/>
  <c r="I170" i="3"/>
  <c r="I172" i="3" s="1"/>
  <c r="I189" i="3" s="1"/>
  <c r="I191" i="3" s="1"/>
  <c r="H170" i="3"/>
  <c r="H172" i="3" s="1"/>
  <c r="M158" i="3"/>
  <c r="L158" i="3"/>
  <c r="K158" i="3"/>
  <c r="J158" i="3"/>
  <c r="I158" i="3"/>
  <c r="H158" i="3"/>
  <c r="I137" i="3"/>
  <c r="I140" i="3" s="1"/>
  <c r="M135" i="3"/>
  <c r="M137" i="3" s="1"/>
  <c r="M140" i="3" s="1"/>
  <c r="L135" i="3"/>
  <c r="L137" i="3" s="1"/>
  <c r="K135" i="3"/>
  <c r="K137" i="3" s="1"/>
  <c r="K154" i="3" s="1"/>
  <c r="K156" i="3" s="1"/>
  <c r="J135" i="3"/>
  <c r="J137" i="3" s="1"/>
  <c r="I135" i="3"/>
  <c r="H135" i="3"/>
  <c r="H137" i="3" s="1"/>
  <c r="M123" i="3"/>
  <c r="L123" i="3"/>
  <c r="K123" i="3"/>
  <c r="J123" i="3"/>
  <c r="I123" i="3"/>
  <c r="H123" i="3"/>
  <c r="F259" i="3"/>
  <c r="F262" i="3" s="1"/>
  <c r="M100" i="3"/>
  <c r="M102" i="3" s="1"/>
  <c r="M105" i="3" s="1"/>
  <c r="L100" i="3"/>
  <c r="L102" i="3" s="1"/>
  <c r="L105" i="3" s="1"/>
  <c r="L122" i="3" s="1"/>
  <c r="K100" i="3"/>
  <c r="K102" i="3" s="1"/>
  <c r="K119" i="3" s="1"/>
  <c r="J100" i="3"/>
  <c r="J102" i="3" s="1"/>
  <c r="I100" i="3"/>
  <c r="I102" i="3" s="1"/>
  <c r="H100" i="3"/>
  <c r="H102" i="3" s="1"/>
  <c r="H105" i="3" s="1"/>
  <c r="H122" i="3" s="1"/>
  <c r="M88" i="3"/>
  <c r="M90" i="3" s="1"/>
  <c r="L88" i="3"/>
  <c r="L90" i="3" s="1"/>
  <c r="K88" i="3"/>
  <c r="K90" i="3" s="1"/>
  <c r="J88" i="3"/>
  <c r="J90" i="3" s="1"/>
  <c r="I88" i="3"/>
  <c r="I90" i="3" s="1"/>
  <c r="H88" i="3"/>
  <c r="H90" i="3" s="1"/>
  <c r="M69" i="3"/>
  <c r="L69" i="3"/>
  <c r="K69" i="3"/>
  <c r="J69" i="3"/>
  <c r="I69" i="3"/>
  <c r="H69" i="3"/>
  <c r="G69" i="3"/>
  <c r="F69" i="3"/>
  <c r="E69" i="3"/>
  <c r="D69" i="3"/>
  <c r="M68" i="3"/>
  <c r="M70" i="3" s="1"/>
  <c r="L68" i="3"/>
  <c r="K68" i="3"/>
  <c r="J68" i="3"/>
  <c r="J70" i="3" s="1"/>
  <c r="I68" i="3"/>
  <c r="I70" i="3" s="1"/>
  <c r="H68" i="3"/>
  <c r="G68" i="3"/>
  <c r="F68" i="3"/>
  <c r="E68" i="3"/>
  <c r="D68" i="3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M51" i="3"/>
  <c r="L51" i="3"/>
  <c r="K51" i="3"/>
  <c r="J51" i="3"/>
  <c r="I51" i="3"/>
  <c r="H51" i="3"/>
  <c r="G51" i="3"/>
  <c r="F51" i="3"/>
  <c r="E51" i="3"/>
  <c r="D51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38" i="3"/>
  <c r="M34" i="3"/>
  <c r="L34" i="3"/>
  <c r="K34" i="3"/>
  <c r="J34" i="3"/>
  <c r="I34" i="3"/>
  <c r="H34" i="3"/>
  <c r="G34" i="3"/>
  <c r="E34" i="3"/>
  <c r="D34" i="3"/>
  <c r="F34" i="3"/>
  <c r="M30" i="3"/>
  <c r="L30" i="3"/>
  <c r="K30" i="3"/>
  <c r="J30" i="3"/>
  <c r="I30" i="3"/>
  <c r="H30" i="3"/>
  <c r="G30" i="3"/>
  <c r="F30" i="3"/>
  <c r="E30" i="3"/>
  <c r="D30" i="3"/>
  <c r="M29" i="3"/>
  <c r="M236" i="3" s="1"/>
  <c r="L29" i="3"/>
  <c r="L236" i="3" s="1"/>
  <c r="K29" i="3"/>
  <c r="K236" i="3" s="1"/>
  <c r="J29" i="3"/>
  <c r="J236" i="3" s="1"/>
  <c r="I29" i="3"/>
  <c r="I236" i="3" s="1"/>
  <c r="H29" i="3"/>
  <c r="H236" i="3" s="1"/>
  <c r="G29" i="3"/>
  <c r="G236" i="3" s="1"/>
  <c r="F29" i="3"/>
  <c r="F236" i="3" s="1"/>
  <c r="E29" i="3"/>
  <c r="E236" i="3" s="1"/>
  <c r="D29" i="3"/>
  <c r="D236" i="3" s="1"/>
  <c r="M28" i="3"/>
  <c r="M235" i="3" s="1"/>
  <c r="L28" i="3"/>
  <c r="L235" i="3" s="1"/>
  <c r="K28" i="3"/>
  <c r="K235" i="3" s="1"/>
  <c r="J28" i="3"/>
  <c r="J235" i="3" s="1"/>
  <c r="I28" i="3"/>
  <c r="I235" i="3" s="1"/>
  <c r="H28" i="3"/>
  <c r="H235" i="3" s="1"/>
  <c r="G28" i="3"/>
  <c r="G235" i="3" s="1"/>
  <c r="F28" i="3"/>
  <c r="F235" i="3" s="1"/>
  <c r="E28" i="3"/>
  <c r="E235" i="3" s="1"/>
  <c r="D28" i="3"/>
  <c r="D235" i="3" s="1"/>
  <c r="B15" i="3"/>
  <c r="E9" i="3"/>
  <c r="F9" i="3" s="1"/>
  <c r="G9" i="3" s="1"/>
  <c r="H9" i="3" s="1"/>
  <c r="I9" i="3" s="1"/>
  <c r="J9" i="3" s="1"/>
  <c r="K9" i="3" s="1"/>
  <c r="L9" i="3" s="1"/>
  <c r="M9" i="3" s="1"/>
  <c r="B6" i="3"/>
  <c r="H124" i="3" l="1"/>
  <c r="H129" i="3" s="1"/>
  <c r="L124" i="3"/>
  <c r="L129" i="3" s="1"/>
  <c r="D262" i="3"/>
  <c r="D254" i="3"/>
  <c r="J262" i="3"/>
  <c r="K254" i="3"/>
  <c r="K140" i="3"/>
  <c r="K157" i="3" s="1"/>
  <c r="K159" i="3" s="1"/>
  <c r="K164" i="3" s="1"/>
  <c r="I119" i="3"/>
  <c r="I121" i="3" s="1"/>
  <c r="I204" i="3" s="1"/>
  <c r="I243" i="3" s="1"/>
  <c r="I246" i="3" s="1"/>
  <c r="I105" i="3"/>
  <c r="I107" i="3" s="1"/>
  <c r="I109" i="3" s="1"/>
  <c r="M107" i="3"/>
  <c r="M109" i="3" s="1"/>
  <c r="M122" i="3"/>
  <c r="M124" i="3" s="1"/>
  <c r="M129" i="3" s="1"/>
  <c r="L70" i="3"/>
  <c r="L73" i="3" s="1"/>
  <c r="L76" i="3" s="1"/>
  <c r="L78" i="3" s="1"/>
  <c r="L92" i="3" s="1"/>
  <c r="L238" i="3" s="1"/>
  <c r="I254" i="3"/>
  <c r="M254" i="3"/>
  <c r="E262" i="3"/>
  <c r="J73" i="3"/>
  <c r="J76" i="3" s="1"/>
  <c r="J78" i="3" s="1"/>
  <c r="J237" i="3" s="1"/>
  <c r="K70" i="3"/>
  <c r="K73" i="3" s="1"/>
  <c r="K76" i="3" s="1"/>
  <c r="K78" i="3" s="1"/>
  <c r="I154" i="3"/>
  <c r="I156" i="3" s="1"/>
  <c r="D280" i="3"/>
  <c r="H280" i="3"/>
  <c r="J280" i="3"/>
  <c r="L280" i="3"/>
  <c r="E254" i="3"/>
  <c r="J254" i="3"/>
  <c r="H262" i="3"/>
  <c r="L262" i="3"/>
  <c r="I262" i="3"/>
  <c r="M262" i="3"/>
  <c r="G280" i="3"/>
  <c r="K274" i="3"/>
  <c r="F280" i="3"/>
  <c r="H189" i="3"/>
  <c r="H191" i="3" s="1"/>
  <c r="H175" i="3"/>
  <c r="H192" i="3" s="1"/>
  <c r="H194" i="3" s="1"/>
  <c r="H199" i="3" s="1"/>
  <c r="H119" i="3"/>
  <c r="H121" i="3" s="1"/>
  <c r="G192" i="3"/>
  <c r="G194" i="3" s="1"/>
  <c r="G177" i="3"/>
  <c r="G179" i="3" s="1"/>
  <c r="G122" i="3"/>
  <c r="G124" i="3" s="1"/>
  <c r="G129" i="3" s="1"/>
  <c r="G107" i="3"/>
  <c r="G109" i="3" s="1"/>
  <c r="F192" i="3"/>
  <c r="F194" i="3" s="1"/>
  <c r="F177" i="3"/>
  <c r="F179" i="3" s="1"/>
  <c r="F122" i="3"/>
  <c r="F124" i="3" s="1"/>
  <c r="F129" i="3" s="1"/>
  <c r="F107" i="3"/>
  <c r="F109" i="3" s="1"/>
  <c r="E157" i="3"/>
  <c r="E159" i="3" s="1"/>
  <c r="E164" i="3" s="1"/>
  <c r="E142" i="3"/>
  <c r="E144" i="3" s="1"/>
  <c r="D192" i="3"/>
  <c r="D194" i="3" s="1"/>
  <c r="D199" i="3" s="1"/>
  <c r="D177" i="3"/>
  <c r="D179" i="3" s="1"/>
  <c r="G157" i="3"/>
  <c r="G159" i="3" s="1"/>
  <c r="G164" i="3" s="1"/>
  <c r="G142" i="3"/>
  <c r="G144" i="3" s="1"/>
  <c r="D157" i="3"/>
  <c r="D159" i="3" s="1"/>
  <c r="D164" i="3" s="1"/>
  <c r="D142" i="3"/>
  <c r="D144" i="3" s="1"/>
  <c r="F157" i="3"/>
  <c r="F159" i="3" s="1"/>
  <c r="F164" i="3" s="1"/>
  <c r="F142" i="3"/>
  <c r="F144" i="3" s="1"/>
  <c r="E192" i="3"/>
  <c r="E194" i="3" s="1"/>
  <c r="E177" i="3"/>
  <c r="E179" i="3" s="1"/>
  <c r="E122" i="3"/>
  <c r="E124" i="3" s="1"/>
  <c r="E129" i="3" s="1"/>
  <c r="E107" i="3"/>
  <c r="E109" i="3" s="1"/>
  <c r="D122" i="3"/>
  <c r="D124" i="3" s="1"/>
  <c r="D129" i="3" s="1"/>
  <c r="D107" i="3"/>
  <c r="D109" i="3" s="1"/>
  <c r="G70" i="3"/>
  <c r="G73" i="3" s="1"/>
  <c r="G76" i="3" s="1"/>
  <c r="G78" i="3" s="1"/>
  <c r="H70" i="3"/>
  <c r="H73" i="3" s="1"/>
  <c r="H76" i="3" s="1"/>
  <c r="H78" i="3" s="1"/>
  <c r="H92" i="3" s="1"/>
  <c r="H238" i="3" s="1"/>
  <c r="E70" i="3"/>
  <c r="E73" i="3" s="1"/>
  <c r="E76" i="3" s="1"/>
  <c r="E78" i="3" s="1"/>
  <c r="F70" i="3"/>
  <c r="F73" i="3" s="1"/>
  <c r="F76" i="3" s="1"/>
  <c r="F78" i="3" s="1"/>
  <c r="F92" i="3" s="1"/>
  <c r="D70" i="3"/>
  <c r="D73" i="3" s="1"/>
  <c r="D76" i="3" s="1"/>
  <c r="D78" i="3" s="1"/>
  <c r="J119" i="3"/>
  <c r="J105" i="3"/>
  <c r="D204" i="3"/>
  <c r="D243" i="3" s="1"/>
  <c r="D246" i="3" s="1"/>
  <c r="I73" i="3"/>
  <c r="I76" i="3" s="1"/>
  <c r="I78" i="3" s="1"/>
  <c r="J92" i="3"/>
  <c r="J238" i="3" s="1"/>
  <c r="J154" i="3"/>
  <c r="J156" i="3" s="1"/>
  <c r="J140" i="3"/>
  <c r="L192" i="3"/>
  <c r="L194" i="3" s="1"/>
  <c r="L199" i="3" s="1"/>
  <c r="L177" i="3"/>
  <c r="L179" i="3" s="1"/>
  <c r="M73" i="3"/>
  <c r="M76" i="3" s="1"/>
  <c r="M78" i="3" s="1"/>
  <c r="E205" i="3"/>
  <c r="E244" i="3" s="1"/>
  <c r="E204" i="3"/>
  <c r="E243" i="3" s="1"/>
  <c r="E246" i="3" s="1"/>
  <c r="K105" i="3"/>
  <c r="H107" i="3"/>
  <c r="H109" i="3" s="1"/>
  <c r="M119" i="3"/>
  <c r="H140" i="3"/>
  <c r="H154" i="3"/>
  <c r="H156" i="3" s="1"/>
  <c r="L140" i="3"/>
  <c r="L154" i="3"/>
  <c r="L156" i="3" s="1"/>
  <c r="K142" i="3"/>
  <c r="K144" i="3" s="1"/>
  <c r="M154" i="3"/>
  <c r="M156" i="3" s="1"/>
  <c r="K192" i="3"/>
  <c r="K194" i="3" s="1"/>
  <c r="K199" i="3" s="1"/>
  <c r="K177" i="3"/>
  <c r="K179" i="3" s="1"/>
  <c r="M175" i="3"/>
  <c r="K189" i="3"/>
  <c r="K191" i="3" s="1"/>
  <c r="M157" i="3"/>
  <c r="M159" i="3" s="1"/>
  <c r="M164" i="3" s="1"/>
  <c r="M142" i="3"/>
  <c r="M144" i="3" s="1"/>
  <c r="H177" i="3"/>
  <c r="H179" i="3" s="1"/>
  <c r="L189" i="3"/>
  <c r="L191" i="3" s="1"/>
  <c r="L107" i="3"/>
  <c r="L109" i="3" s="1"/>
  <c r="J175" i="3"/>
  <c r="J189" i="3"/>
  <c r="J191" i="3" s="1"/>
  <c r="I175" i="3"/>
  <c r="L119" i="3"/>
  <c r="K121" i="3"/>
  <c r="K204" i="3" s="1"/>
  <c r="K243" i="3" s="1"/>
  <c r="K246" i="3" s="1"/>
  <c r="I157" i="3"/>
  <c r="I159" i="3" s="1"/>
  <c r="I164" i="3" s="1"/>
  <c r="I142" i="3"/>
  <c r="I144" i="3" s="1"/>
  <c r="F251" i="3"/>
  <c r="F254" i="3" s="1"/>
  <c r="F274" i="3"/>
  <c r="J274" i="3"/>
  <c r="D274" i="3"/>
  <c r="H274" i="3"/>
  <c r="L274" i="3"/>
  <c r="E274" i="3"/>
  <c r="I274" i="3"/>
  <c r="M274" i="3"/>
  <c r="H11" i="4"/>
  <c r="H12" i="4"/>
  <c r="D9" i="4"/>
  <c r="I205" i="3" l="1"/>
  <c r="I244" i="3" s="1"/>
  <c r="L237" i="3"/>
  <c r="K92" i="3"/>
  <c r="K238" i="3" s="1"/>
  <c r="K237" i="3"/>
  <c r="D237" i="3"/>
  <c r="D92" i="3"/>
  <c r="D238" i="3" s="1"/>
  <c r="D272" i="3" s="1"/>
  <c r="I122" i="3"/>
  <c r="I124" i="3" s="1"/>
  <c r="I129" i="3" s="1"/>
  <c r="K205" i="3"/>
  <c r="K244" i="3" s="1"/>
  <c r="K267" i="3" s="1"/>
  <c r="E237" i="3"/>
  <c r="E92" i="3"/>
  <c r="E238" i="3" s="1"/>
  <c r="E278" i="3" s="1"/>
  <c r="G237" i="3"/>
  <c r="G92" i="3"/>
  <c r="G238" i="3" s="1"/>
  <c r="H237" i="3"/>
  <c r="F238" i="3"/>
  <c r="F271" i="3" s="1"/>
  <c r="F237" i="3"/>
  <c r="I12" i="4" s="1"/>
  <c r="I177" i="3"/>
  <c r="I179" i="3" s="1"/>
  <c r="I192" i="3"/>
  <c r="I194" i="3" s="1"/>
  <c r="I199" i="3" s="1"/>
  <c r="D206" i="3"/>
  <c r="D245" i="3" s="1"/>
  <c r="D268" i="3" s="1"/>
  <c r="M192" i="3"/>
  <c r="M194" i="3" s="1"/>
  <c r="M199" i="3" s="1"/>
  <c r="M206" i="3" s="1"/>
  <c r="M245" i="3" s="1"/>
  <c r="M268" i="3" s="1"/>
  <c r="M177" i="3"/>
  <c r="M179" i="3" s="1"/>
  <c r="K122" i="3"/>
  <c r="K124" i="3" s="1"/>
  <c r="K129" i="3" s="1"/>
  <c r="K206" i="3" s="1"/>
  <c r="K245" i="3" s="1"/>
  <c r="K268" i="3" s="1"/>
  <c r="K107" i="3"/>
  <c r="K109" i="3" s="1"/>
  <c r="F205" i="3"/>
  <c r="F244" i="3" s="1"/>
  <c r="F204" i="3"/>
  <c r="F243" i="3" s="1"/>
  <c r="F246" i="3" s="1"/>
  <c r="K279" i="3"/>
  <c r="K277" i="3"/>
  <c r="K273" i="3"/>
  <c r="K271" i="3"/>
  <c r="K265" i="3"/>
  <c r="K272" i="3"/>
  <c r="K266" i="3"/>
  <c r="K278" i="3"/>
  <c r="J157" i="3"/>
  <c r="J159" i="3" s="1"/>
  <c r="J164" i="3" s="1"/>
  <c r="J142" i="3"/>
  <c r="J144" i="3" s="1"/>
  <c r="H278" i="3"/>
  <c r="H272" i="3"/>
  <c r="H279" i="3"/>
  <c r="H277" i="3"/>
  <c r="H273" i="3"/>
  <c r="H271" i="3"/>
  <c r="H265" i="3"/>
  <c r="J279" i="3"/>
  <c r="J277" i="3"/>
  <c r="J273" i="3"/>
  <c r="J271" i="3"/>
  <c r="J265" i="3"/>
  <c r="J278" i="3"/>
  <c r="J272" i="3"/>
  <c r="J205" i="3"/>
  <c r="J244" i="3" s="1"/>
  <c r="J267" i="3" s="1"/>
  <c r="J121" i="3"/>
  <c r="J204" i="3" s="1"/>
  <c r="J243" i="3" s="1"/>
  <c r="J246" i="3" s="1"/>
  <c r="H204" i="3"/>
  <c r="H243" i="3" s="1"/>
  <c r="H246" i="3" s="1"/>
  <c r="E199" i="3"/>
  <c r="E206" i="3" s="1"/>
  <c r="E245" i="3" s="1"/>
  <c r="E268" i="3" s="1"/>
  <c r="F199" i="3"/>
  <c r="H142" i="3"/>
  <c r="H144" i="3" s="1"/>
  <c r="H157" i="3"/>
  <c r="H159" i="3" s="1"/>
  <c r="H164" i="3" s="1"/>
  <c r="H206" i="3" s="1"/>
  <c r="H245" i="3" s="1"/>
  <c r="H268" i="3" s="1"/>
  <c r="M237" i="3"/>
  <c r="M92" i="3"/>
  <c r="M238" i="3" s="1"/>
  <c r="L205" i="3"/>
  <c r="L244" i="3" s="1"/>
  <c r="L121" i="3"/>
  <c r="L204" i="3" s="1"/>
  <c r="L243" i="3" s="1"/>
  <c r="L246" i="3" s="1"/>
  <c r="J177" i="3"/>
  <c r="J179" i="3" s="1"/>
  <c r="J192" i="3"/>
  <c r="J194" i="3" s="1"/>
  <c r="J199" i="3" s="1"/>
  <c r="M205" i="3"/>
  <c r="M244" i="3" s="1"/>
  <c r="M121" i="3"/>
  <c r="M204" i="3" s="1"/>
  <c r="M243" i="3" s="1"/>
  <c r="M246" i="3" s="1"/>
  <c r="G199" i="3"/>
  <c r="G206" i="3" s="1"/>
  <c r="G245" i="3" s="1"/>
  <c r="G268" i="3" s="1"/>
  <c r="L278" i="3"/>
  <c r="L272" i="3"/>
  <c r="L279" i="3"/>
  <c r="L277" i="3"/>
  <c r="L273" i="3"/>
  <c r="L271" i="3"/>
  <c r="L267" i="3"/>
  <c r="L265" i="3"/>
  <c r="D205" i="3"/>
  <c r="D244" i="3" s="1"/>
  <c r="L142" i="3"/>
  <c r="L144" i="3" s="1"/>
  <c r="L157" i="3"/>
  <c r="L159" i="3" s="1"/>
  <c r="L164" i="3" s="1"/>
  <c r="L206" i="3" s="1"/>
  <c r="L245" i="3" s="1"/>
  <c r="L268" i="3" s="1"/>
  <c r="H205" i="3"/>
  <c r="H244" i="3" s="1"/>
  <c r="H267" i="3" s="1"/>
  <c r="G205" i="3"/>
  <c r="G244" i="3" s="1"/>
  <c r="G204" i="3"/>
  <c r="G243" i="3" s="1"/>
  <c r="G246" i="3" s="1"/>
  <c r="I237" i="3"/>
  <c r="I92" i="3"/>
  <c r="I238" i="3" s="1"/>
  <c r="J107" i="3"/>
  <c r="J109" i="3" s="1"/>
  <c r="J122" i="3"/>
  <c r="J124" i="3" s="1"/>
  <c r="J129" i="3" s="1"/>
  <c r="I206" i="3" l="1"/>
  <c r="I245" i="3" s="1"/>
  <c r="I268" i="3" s="1"/>
  <c r="E272" i="3"/>
  <c r="E265" i="3"/>
  <c r="E279" i="3"/>
  <c r="D267" i="3"/>
  <c r="D278" i="3"/>
  <c r="D271" i="3"/>
  <c r="D266" i="3"/>
  <c r="D277" i="3"/>
  <c r="E267" i="3"/>
  <c r="G273" i="3"/>
  <c r="G265" i="3"/>
  <c r="J206" i="3"/>
  <c r="J245" i="3" s="1"/>
  <c r="J268" i="3" s="1"/>
  <c r="D265" i="3"/>
  <c r="D273" i="3"/>
  <c r="D279" i="3"/>
  <c r="L266" i="3"/>
  <c r="E266" i="3"/>
  <c r="E271" i="3"/>
  <c r="E277" i="3"/>
  <c r="E273" i="3"/>
  <c r="H266" i="3"/>
  <c r="G267" i="3"/>
  <c r="F265" i="3"/>
  <c r="G279" i="3"/>
  <c r="F277" i="3"/>
  <c r="G271" i="3"/>
  <c r="F267" i="3"/>
  <c r="G272" i="3"/>
  <c r="G277" i="3"/>
  <c r="F278" i="3"/>
  <c r="F273" i="3"/>
  <c r="F266" i="3"/>
  <c r="F279" i="3"/>
  <c r="G278" i="3"/>
  <c r="F272" i="3"/>
  <c r="G266" i="3"/>
  <c r="M278" i="3"/>
  <c r="M272" i="3"/>
  <c r="M266" i="3"/>
  <c r="M273" i="3"/>
  <c r="M277" i="3"/>
  <c r="M265" i="3"/>
  <c r="M271" i="3"/>
  <c r="M279" i="3"/>
  <c r="M267" i="3"/>
  <c r="I278" i="3"/>
  <c r="I272" i="3"/>
  <c r="I266" i="3"/>
  <c r="I277" i="3"/>
  <c r="I265" i="3"/>
  <c r="I279" i="3"/>
  <c r="I267" i="3"/>
  <c r="I271" i="3"/>
  <c r="I273" i="3"/>
  <c r="F206" i="3"/>
  <c r="F245" i="3" s="1"/>
  <c r="F268" i="3" s="1"/>
  <c r="J266" i="3"/>
  <c r="B6" i="4"/>
  <c r="M18" i="4"/>
  <c r="M17" i="4"/>
  <c r="M16" i="4"/>
  <c r="M15" i="4"/>
  <c r="M14" i="4"/>
  <c r="M13" i="4"/>
  <c r="AD18" i="4"/>
  <c r="AC18" i="4"/>
  <c r="AB18" i="4"/>
  <c r="AA18" i="4"/>
  <c r="Y18" i="4"/>
  <c r="X18" i="4"/>
  <c r="W18" i="4"/>
  <c r="V18" i="4"/>
  <c r="T18" i="4"/>
  <c r="S18" i="4"/>
  <c r="R18" i="4"/>
  <c r="Q18" i="4"/>
  <c r="P18" i="4"/>
  <c r="O18" i="4"/>
  <c r="N18" i="4"/>
  <c r="L18" i="4"/>
  <c r="K18" i="4"/>
  <c r="J18" i="4"/>
  <c r="I18" i="4"/>
  <c r="H18" i="4"/>
  <c r="G18" i="4"/>
  <c r="F18" i="4"/>
  <c r="E18" i="4"/>
  <c r="D18" i="4"/>
  <c r="AD17" i="4"/>
  <c r="AC17" i="4"/>
  <c r="AB17" i="4"/>
  <c r="AA17" i="4"/>
  <c r="Y17" i="4"/>
  <c r="X17" i="4"/>
  <c r="W17" i="4"/>
  <c r="V17" i="4"/>
  <c r="T17" i="4"/>
  <c r="S17" i="4"/>
  <c r="R17" i="4"/>
  <c r="Q17" i="4"/>
  <c r="P17" i="4"/>
  <c r="O17" i="4"/>
  <c r="N17" i="4"/>
  <c r="L17" i="4"/>
  <c r="K17" i="4"/>
  <c r="J17" i="4"/>
  <c r="I17" i="4"/>
  <c r="H17" i="4"/>
  <c r="G17" i="4"/>
  <c r="F17" i="4"/>
  <c r="E17" i="4"/>
  <c r="D17" i="4"/>
  <c r="AD16" i="4"/>
  <c r="AC16" i="4"/>
  <c r="AB16" i="4"/>
  <c r="AA16" i="4"/>
  <c r="Y16" i="4"/>
  <c r="X16" i="4"/>
  <c r="W16" i="4"/>
  <c r="V16" i="4"/>
  <c r="T16" i="4"/>
  <c r="S16" i="4"/>
  <c r="R16" i="4"/>
  <c r="Q16" i="4"/>
  <c r="P16" i="4"/>
  <c r="O16" i="4"/>
  <c r="N16" i="4"/>
  <c r="L16" i="4"/>
  <c r="K16" i="4"/>
  <c r="J16" i="4"/>
  <c r="I16" i="4"/>
  <c r="H16" i="4"/>
  <c r="G16" i="4"/>
  <c r="F16" i="4"/>
  <c r="E16" i="4"/>
  <c r="D16" i="4"/>
  <c r="AD15" i="4"/>
  <c r="AC15" i="4"/>
  <c r="AB15" i="4"/>
  <c r="AA15" i="4"/>
  <c r="Y15" i="4"/>
  <c r="X15" i="4"/>
  <c r="W15" i="4"/>
  <c r="V15" i="4"/>
  <c r="T15" i="4"/>
  <c r="S15" i="4"/>
  <c r="R15" i="4"/>
  <c r="Q15" i="4"/>
  <c r="P15" i="4"/>
  <c r="O15" i="4"/>
  <c r="N15" i="4"/>
  <c r="L15" i="4"/>
  <c r="K15" i="4"/>
  <c r="J15" i="4"/>
  <c r="I15" i="4"/>
  <c r="H15" i="4"/>
  <c r="G15" i="4"/>
  <c r="F15" i="4"/>
  <c r="E15" i="4"/>
  <c r="D15" i="4"/>
  <c r="AD14" i="4"/>
  <c r="AC14" i="4"/>
  <c r="AB14" i="4"/>
  <c r="AA14" i="4"/>
  <c r="Y14" i="4"/>
  <c r="X14" i="4"/>
  <c r="W14" i="4"/>
  <c r="V14" i="4"/>
  <c r="T14" i="4"/>
  <c r="S14" i="4"/>
  <c r="R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AD13" i="4"/>
  <c r="AC13" i="4"/>
  <c r="AB13" i="4"/>
  <c r="AA13" i="4"/>
  <c r="Y13" i="4"/>
  <c r="X13" i="4"/>
  <c r="W13" i="4"/>
  <c r="V13" i="4"/>
  <c r="T13" i="4"/>
  <c r="S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8" i="4"/>
  <c r="C17" i="4"/>
  <c r="C16" i="4"/>
  <c r="C15" i="4"/>
  <c r="C14" i="4"/>
  <c r="C13" i="4"/>
  <c r="B5" i="4"/>
  <c r="G9" i="4" l="1"/>
  <c r="C9" i="4"/>
  <c r="E9" i="4"/>
  <c r="F9" i="4"/>
  <c r="Y12" i="4"/>
  <c r="C10" i="4"/>
  <c r="I10" i="4"/>
  <c r="E11" i="4"/>
  <c r="F10" i="4"/>
  <c r="F11" i="4"/>
  <c r="C11" i="4"/>
  <c r="H9" i="4"/>
  <c r="D10" i="4"/>
  <c r="H10" i="4"/>
  <c r="D11" i="4"/>
  <c r="D12" i="4"/>
  <c r="C12" i="4"/>
  <c r="E10" i="4"/>
  <c r="E12" i="4"/>
  <c r="F12" i="4"/>
  <c r="G10" i="4"/>
  <c r="G11" i="4"/>
  <c r="G12" i="4"/>
  <c r="AD9" i="4"/>
  <c r="AD11" i="4"/>
  <c r="Y9" i="4"/>
  <c r="AD12" i="4"/>
  <c r="AD10" i="4"/>
  <c r="Y10" i="4"/>
  <c r="Y11" i="4"/>
  <c r="P12" i="4" l="1"/>
  <c r="P11" i="4"/>
  <c r="P10" i="4"/>
  <c r="P9" i="4"/>
  <c r="J12" i="4" l="1"/>
  <c r="K10" i="4"/>
  <c r="K11" i="4"/>
  <c r="K9" i="4"/>
  <c r="X12" i="4" l="1"/>
  <c r="W12" i="4"/>
  <c r="AB12" i="4"/>
  <c r="V12" i="4"/>
  <c r="AC12" i="4"/>
  <c r="AA12" i="4"/>
  <c r="Q12" i="4"/>
  <c r="K12" i="4"/>
  <c r="N11" i="4"/>
  <c r="N10" i="4"/>
  <c r="J10" i="4" l="1"/>
  <c r="S12" i="4"/>
  <c r="N12" i="4"/>
  <c r="V10" i="4" l="1"/>
  <c r="W10" i="4"/>
  <c r="X10" i="4"/>
  <c r="Q10" i="4"/>
  <c r="S10" i="4"/>
  <c r="AA10" i="4"/>
  <c r="AB10" i="4"/>
  <c r="AC10" i="4"/>
  <c r="M10" i="4"/>
  <c r="L10" i="4"/>
  <c r="M11" i="4"/>
  <c r="L11" i="4"/>
  <c r="R12" i="4"/>
  <c r="M12" i="4"/>
  <c r="L12" i="4"/>
  <c r="R10" i="4"/>
  <c r="I9" i="4" l="1"/>
  <c r="J9" i="4"/>
  <c r="I11" i="4"/>
  <c r="R11" i="4"/>
  <c r="T11" i="4"/>
  <c r="O11" i="4"/>
  <c r="T10" i="4"/>
  <c r="O10" i="4"/>
  <c r="T12" i="4"/>
  <c r="O12" i="4"/>
  <c r="Q9" i="4" l="1"/>
  <c r="AA9" i="4"/>
  <c r="AB9" i="4"/>
  <c r="AC9" i="4"/>
  <c r="AC11" i="4"/>
  <c r="W11" i="4"/>
  <c r="W9" i="4"/>
  <c r="X9" i="4"/>
  <c r="V9" i="4"/>
  <c r="Q11" i="4"/>
  <c r="S11" i="4"/>
  <c r="AB11" i="4"/>
  <c r="J11" i="4"/>
  <c r="V11" i="4"/>
  <c r="AA11" i="4"/>
  <c r="X11" i="4"/>
  <c r="P25" i="4"/>
  <c r="P24" i="4"/>
  <c r="P23" i="4"/>
  <c r="P22" i="4"/>
  <c r="T9" i="4" l="1"/>
  <c r="O9" i="4"/>
  <c r="S9" i="4" l="1"/>
  <c r="N9" i="4"/>
  <c r="R9" i="4"/>
  <c r="M9" i="4"/>
  <c r="L9" i="4"/>
  <c r="T24" i="4" l="1"/>
  <c r="S22" i="4"/>
  <c r="R24" i="4"/>
  <c r="T25" i="4" l="1"/>
  <c r="AB24" i="4"/>
  <c r="AA25" i="4"/>
  <c r="V22" i="4"/>
  <c r="Q24" i="4"/>
  <c r="W25" i="4"/>
  <c r="X22" i="4"/>
  <c r="T23" i="4"/>
  <c r="T22" i="4"/>
  <c r="R23" i="4"/>
  <c r="R22" i="4"/>
  <c r="S24" i="4"/>
  <c r="S23" i="4"/>
  <c r="R25" i="4"/>
  <c r="S25" i="4"/>
  <c r="W23" i="4" l="1"/>
  <c r="Q23" i="4"/>
  <c r="V23" i="4"/>
  <c r="AB22" i="4"/>
  <c r="Q25" i="4"/>
  <c r="W24" i="4"/>
  <c r="Q22" i="4"/>
  <c r="V24" i="4"/>
  <c r="V25" i="4"/>
  <c r="W22" i="4"/>
  <c r="AA23" i="4"/>
  <c r="AB23" i="4"/>
  <c r="AB25" i="4"/>
  <c r="X25" i="4"/>
  <c r="AA22" i="4"/>
  <c r="X23" i="4"/>
  <c r="AA24" i="4"/>
  <c r="X24" i="4"/>
  <c r="AC22" i="4"/>
  <c r="AC23" i="4"/>
  <c r="AC24" i="4"/>
  <c r="AC25" i="4"/>
  <c r="AD24" i="4"/>
  <c r="AD25" i="4"/>
  <c r="AD23" i="4"/>
  <c r="AD22" i="4"/>
  <c r="Y22" i="4"/>
  <c r="Y24" i="4"/>
  <c r="Y25" i="4"/>
  <c r="Y23" i="4"/>
</calcChain>
</file>

<file path=xl/comments1.xml><?xml version="1.0" encoding="utf-8"?>
<comments xmlns="http://schemas.openxmlformats.org/spreadsheetml/2006/main">
  <authors>
    <author>Wall Street Prep</author>
    <author>Mary Roberts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7/21/08 Foundry press release filed in 7/22/08 8k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9/12/13 Extreme Networks press release filed in 8K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12/19/08 Foundry press release filed in 8k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11/1/13 PR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April 12, 2010 PR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2/15/12 Thoma Bravo PR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DEF R 14A Proxy 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Offer price per share was not disclosed.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11/11/09 announcement press release (8K)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announcement press release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management July 21 deal announcement  confrerence call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RJ research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7/18/08 - FS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7/14/08 - FS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6/20/08 - FS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D33" authorId="1" shapeId="0">
      <text>
        <r>
          <rPr>
            <b/>
            <sz val="9"/>
            <color indexed="81"/>
            <rFont val="Tahoma"/>
            <charset val="1"/>
          </rPr>
          <t>As of 7/18/08, per Capitilization of the Merger Agreement (8k proxy).</t>
        </r>
      </text>
    </comment>
    <comment ref="D72" authorId="1" shapeId="0">
      <text>
        <r>
          <rPr>
            <b/>
            <sz val="9"/>
            <color indexed="81"/>
            <rFont val="Tahoma"/>
            <family val="2"/>
          </rPr>
          <t>RSUs and RS Awards per Q2 10-Q p20</t>
        </r>
      </text>
    </comment>
    <comment ref="D212" authorId="1" shapeId="0">
      <text>
        <r>
          <rPr>
            <b/>
            <sz val="9"/>
            <color indexed="81"/>
            <rFont val="Tahoma"/>
            <family val="2"/>
          </rPr>
          <t xml:space="preserve">No projection, took projected EBIT and straightlined DA </t>
        </r>
      </text>
    </comment>
  </commentList>
</comments>
</file>

<file path=xl/sharedStrings.xml><?xml version="1.0" encoding="utf-8"?>
<sst xmlns="http://schemas.openxmlformats.org/spreadsheetml/2006/main" count="320" uniqueCount="160">
  <si>
    <t>EBITDA</t>
  </si>
  <si>
    <t>EBIT</t>
  </si>
  <si>
    <t>Pretax income</t>
  </si>
  <si>
    <t>High</t>
  </si>
  <si>
    <t>Low</t>
  </si>
  <si>
    <t>Mean</t>
  </si>
  <si>
    <t>Exercise price</t>
  </si>
  <si>
    <t>LTM FINANCIALS</t>
  </si>
  <si>
    <t>Announcement date</t>
  </si>
  <si>
    <t>Deal status</t>
  </si>
  <si>
    <t>Completed</t>
  </si>
  <si>
    <t>Source document</t>
  </si>
  <si>
    <t>Transaction Value</t>
  </si>
  <si>
    <t>Offer value</t>
  </si>
  <si>
    <t>Median</t>
  </si>
  <si>
    <t>TRANSACTION COMPARABLES INPUT WORKSHEET</t>
  </si>
  <si>
    <t>Cash</t>
  </si>
  <si>
    <t>Unaffected target share price - 1 day prior</t>
  </si>
  <si>
    <t>Unaffected target share price - 1 week prior</t>
  </si>
  <si>
    <t>Unaffected target share price - 1 month prior</t>
  </si>
  <si>
    <t>Premium paid  - 1 day prior</t>
  </si>
  <si>
    <t>Premium paid  - 1 week prior</t>
  </si>
  <si>
    <t>Premium paid  - 1 month prior</t>
  </si>
  <si>
    <t>Gross proceeds from exercise of options</t>
  </si>
  <si>
    <t>Dilution from exercisable options</t>
  </si>
  <si>
    <t>Dilution from convertible debt</t>
  </si>
  <si>
    <t>Fully diluted shares</t>
  </si>
  <si>
    <t>Gross dilution</t>
  </si>
  <si>
    <t>Basic shares acquired</t>
  </si>
  <si>
    <t>Basic shares required to acquire 100% of target</t>
  </si>
  <si>
    <t>% of target acquired</t>
  </si>
  <si>
    <t>Period ending</t>
  </si>
  <si>
    <t>ST debt (incl. current portion of LT debt)</t>
  </si>
  <si>
    <t>LT debt</t>
  </si>
  <si>
    <t>Noncontrolling interests</t>
  </si>
  <si>
    <t>Preferred stock</t>
  </si>
  <si>
    <t>Gross debt</t>
  </si>
  <si>
    <t>Less: Cash &amp; Cash equivalents</t>
  </si>
  <si>
    <t>Net debt</t>
  </si>
  <si>
    <t>Revenues</t>
  </si>
  <si>
    <t>COGS (enter as -)</t>
  </si>
  <si>
    <t xml:space="preserve">Gross Profit </t>
  </si>
  <si>
    <t>Operating expenses (enter as -)</t>
  </si>
  <si>
    <t>Interest expense (enter as -)</t>
  </si>
  <si>
    <t>Plus: Other non-op income / (expense)</t>
  </si>
  <si>
    <t xml:space="preserve">Tax benefit / (expense) </t>
  </si>
  <si>
    <t xml:space="preserve">Net Income </t>
  </si>
  <si>
    <t>Diluted weighted average shares out.</t>
  </si>
  <si>
    <t>Diluted EPS</t>
  </si>
  <si>
    <t>Depreciation and amortization expense</t>
  </si>
  <si>
    <t>Revenues - LTM</t>
  </si>
  <si>
    <t>EBITDA - LTM</t>
  </si>
  <si>
    <t>EPS - LTM</t>
  </si>
  <si>
    <t>Annouced synergies (mm's)</t>
  </si>
  <si>
    <t>EPS</t>
  </si>
  <si>
    <t>---</t>
  </si>
  <si>
    <t>Offer
value</t>
  </si>
  <si>
    <t>Transaction
value</t>
  </si>
  <si>
    <t>TV / 
Revenues</t>
  </si>
  <si>
    <t>TV / 
EBITDA</t>
  </si>
  <si>
    <t>TV / 
EBIT</t>
  </si>
  <si>
    <t>Offer price / EPS</t>
  </si>
  <si>
    <t>LTM operating results</t>
  </si>
  <si>
    <t>LTM multiples</t>
  </si>
  <si>
    <t>Premium paid %</t>
  </si>
  <si>
    <t>% Acquired</t>
  </si>
  <si>
    <t>Foundry to receive $18.50 plus 0.0907 Brocade shares per share (per announcement PR). Consideration subsequently revised down to $16.50 in cash per share with no stock (per proxy).</t>
  </si>
  <si>
    <t>Comments</t>
  </si>
  <si>
    <t>Offer price per share</t>
  </si>
  <si>
    <t>Period end date</t>
  </si>
  <si>
    <t>Year ending date</t>
  </si>
  <si>
    <t>Last twelve month (LTM)</t>
  </si>
  <si>
    <t>Year 1</t>
  </si>
  <si>
    <t>Year 2</t>
  </si>
  <si>
    <t>Total offer value (purchase price)</t>
  </si>
  <si>
    <t xml:space="preserve">EXTR acquires all outstanding stock of Enterasys in an all cash transaction valued at $180 million. </t>
  </si>
  <si>
    <t>TRANSACTION TERMS</t>
  </si>
  <si>
    <t>GENERAL TRANSACTION INFORMATION</t>
  </si>
  <si>
    <t>PREMIUMS PAID</t>
  </si>
  <si>
    <t>Form of consideration</t>
  </si>
  <si>
    <t>HP will purchase 3Com at a price of $7.90 per share in cash or an enterprise value of approximately $2.7 billion.</t>
  </si>
  <si>
    <t>An investor group led by Thoma Bravo has acquired all of the outstanding shares of common stock of the company for $25.81 per share in cash, or approximately $1.3 billion</t>
  </si>
  <si>
    <t>Non-GAAP exclusions</t>
  </si>
  <si>
    <t>Normalized (Non-GAAP) financials</t>
  </si>
  <si>
    <t xml:space="preserve">Net income </t>
  </si>
  <si>
    <t>Excluded COGS expense / (income)</t>
  </si>
  <si>
    <t>Excluded operating expense / (income)</t>
  </si>
  <si>
    <t>Excluded interest expense / (income)</t>
  </si>
  <si>
    <t>Excluded other non-op expense / (income)</t>
  </si>
  <si>
    <t>Tax adjustments and effect of non-GAAP exclusions</t>
  </si>
  <si>
    <t>Diluted EPS calculation</t>
  </si>
  <si>
    <t>Numerator adjustment</t>
  </si>
  <si>
    <t>Denominator adjustment</t>
  </si>
  <si>
    <t>Options/warrants outstanding</t>
  </si>
  <si>
    <t>Dilution from convertible preferred stock, RSUs, other</t>
  </si>
  <si>
    <t>CALCULATION OF OFFER &amp; TRANSACTION VALUE</t>
  </si>
  <si>
    <t>Current Fiscal Year Stub</t>
  </si>
  <si>
    <t>Last Full Fiscal Year</t>
  </si>
  <si>
    <t>Prior Fiscal Year Stub</t>
  </si>
  <si>
    <t>Last Twelve Months (LTM)</t>
  </si>
  <si>
    <t>SUMMARY VALUATION</t>
  </si>
  <si>
    <t>Year 1 Forecast - Fiscal Year</t>
  </si>
  <si>
    <t>Year 2 Forecast - Fiscal Year</t>
  </si>
  <si>
    <t>Annual synergies</t>
  </si>
  <si>
    <t>Foundry</t>
  </si>
  <si>
    <t>Brocade</t>
  </si>
  <si>
    <t xml:space="preserve">Enterasys </t>
  </si>
  <si>
    <t>Extreme</t>
  </si>
  <si>
    <t>3Com</t>
  </si>
  <si>
    <t>HP</t>
  </si>
  <si>
    <t xml:space="preserve">Blue Coat Systems </t>
  </si>
  <si>
    <t>Thoma Bravo</t>
  </si>
  <si>
    <t xml:space="preserve">Target </t>
  </si>
  <si>
    <t>Acquirer</t>
  </si>
  <si>
    <t>Target</t>
  </si>
  <si>
    <t>EBITDA % margin</t>
  </si>
  <si>
    <t>Currency:</t>
  </si>
  <si>
    <t>USD</t>
  </si>
  <si>
    <t>Scale:</t>
  </si>
  <si>
    <t>millions</t>
  </si>
  <si>
    <t xml:space="preserve">Target currency </t>
  </si>
  <si>
    <t>Offer value / share</t>
  </si>
  <si>
    <t xml:space="preserve">EBITDA </t>
  </si>
  <si>
    <t xml:space="preserve">EBIT </t>
  </si>
  <si>
    <t xml:space="preserve">EPS </t>
  </si>
  <si>
    <t>Transaction value (EV)</t>
  </si>
  <si>
    <t>EBIT  - LTM</t>
  </si>
  <si>
    <t>Revenues - FY1</t>
  </si>
  <si>
    <t>EBITDA - FY1</t>
  </si>
  <si>
    <t>EBIT  - FY1</t>
  </si>
  <si>
    <t>EPS - FY1</t>
  </si>
  <si>
    <t>Revenues - FY2</t>
  </si>
  <si>
    <t>EBITDA - FY2</t>
  </si>
  <si>
    <t>EPS - FY2</t>
  </si>
  <si>
    <t>EBIT - FY2</t>
  </si>
  <si>
    <t>EV / Revenues - LTM</t>
  </si>
  <si>
    <t>EV / EBITDA - LTM</t>
  </si>
  <si>
    <t>EV / EBIT - LTM</t>
  </si>
  <si>
    <t>P/E - LTM</t>
  </si>
  <si>
    <t>EV / Revenues - FY1</t>
  </si>
  <si>
    <t>EV / EBITDA - FY1</t>
  </si>
  <si>
    <t>EV / EBIT - FY1</t>
  </si>
  <si>
    <t>P/E - FY1</t>
  </si>
  <si>
    <t>EV / Revenues - FY2</t>
  </si>
  <si>
    <t>EV / EBITDA - FY2</t>
  </si>
  <si>
    <t>EV / EBIT - FY2</t>
  </si>
  <si>
    <t>P/E - FY2</t>
  </si>
  <si>
    <t>NA</t>
  </si>
  <si>
    <t>DO NOT MODIFY - TAGS USED IN OUTPUT FORMULAS</t>
  </si>
  <si>
    <t>Announce date</t>
  </si>
  <si>
    <t>COMPARABLE TRANSACTION ANALYSIS OUTPUT</t>
  </si>
  <si>
    <t>Do not modify row headers below - they are used in output formulas</t>
  </si>
  <si>
    <t>PROJECTIONS</t>
  </si>
  <si>
    <t>DILUTED SHARES</t>
  </si>
  <si>
    <t>Override</t>
  </si>
  <si>
    <t>Net Debt</t>
  </si>
  <si>
    <t>Offer value (purchase price)</t>
  </si>
  <si>
    <t>Foundry Q2 10-Q</t>
  </si>
  <si>
    <t>Extreme 8K/A</t>
  </si>
  <si>
    <t>3Com 10-Q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</si>
</sst>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0.0%"/>
    <numFmt numFmtId="166" formatCode="&quot;$&quot;#,##0.0_);\(&quot;$&quot;#,##0.0\)"/>
    <numFmt numFmtId="167" formatCode="m/d/yy;@"/>
    <numFmt numFmtId="168" formatCode="#,##0.000_);[Red]\(#,##0.000\)"/>
    <numFmt numFmtId="169" formatCode="#,##0.0_);[Red]\(#,##0.0\)"/>
    <numFmt numFmtId="170" formatCode="0.0\x"/>
    <numFmt numFmtId="171" formatCode="mmm\-d\-yyyy"/>
    <numFmt numFmtId="172" formatCode="#,##0.0%_);[Red]\(#,##0.0%\)"/>
    <numFmt numFmtId="173" formatCode="#,##0.00%_);[Red]\(#,##0.00%\)"/>
    <numFmt numFmtId="174" formatCode="mmm\-yyyy"/>
    <numFmt numFmtId="175" formatCode="[&gt;1]&quot;10Q: &quot;0&quot; qtrs&quot;;&quot;10Q: &quot;0&quot; qtr&quot;"/>
    <numFmt numFmtId="176" formatCode="mmm\-dd\-yyyy"/>
    <numFmt numFmtId="177" formatCode="0.00\x"/>
    <numFmt numFmtId="178" formatCode="mmm\-dd\-yy"/>
    <numFmt numFmtId="179" formatCode="0.0&quot; years&quot;"/>
    <numFmt numFmtId="180" formatCode="#,##0.00&quot;x&quot;_);[Red]\(#,##0.00&quot;x&quot;\)"/>
    <numFmt numFmtId="181" formatCode="#,##0.0_);[Red]\(#,##0.0\);&quot;--  &quot;"/>
    <numFmt numFmtId="182" formatCode="&quot;$&quot;#,##0.00_);[Red]\(&quot;$&quot;#,##0.00\);&quot;--  &quot;;_(@_)"/>
    <numFmt numFmtId="183" formatCode="&quot;Comp&quot;\ 0"/>
    <numFmt numFmtId="184" formatCode="#,##0.0_);\(#,##0.0\);@_)"/>
    <numFmt numFmtId="185" formatCode="#,##0.0_);\(#,##0.0\);\-_);@_)"/>
    <numFmt numFmtId="186" formatCode="&quot;Tranche &quot;0"/>
    <numFmt numFmtId="187" formatCode="#,##0.000_);\(#,##0.000\);@_)"/>
    <numFmt numFmtId="188" formatCode="#,##0.000_);\(#,##0.000\)"/>
    <numFmt numFmtId="189" formatCode="&quot;$&quot;#,##0.00_);\(&quot;$&quot;#,##0.00\);@_)"/>
    <numFmt numFmtId="190" formatCode="&quot;$&quot;#,##0.000_);\(&quot;$&quot;#,##0.000\)"/>
    <numFmt numFmtId="191" formatCode="#,##0.0\ _);\(#,##0.0\);@\ _)"/>
    <numFmt numFmtId="192" formatCode="0.0\x_);\(0.0\x\);@_)"/>
    <numFmt numFmtId="193" formatCode="0.0%_);\(0.0%\);@_)"/>
    <numFmt numFmtId="194" formatCode="#,##0.0\ \ _);\(#,##0.0\ \ \)"/>
    <numFmt numFmtId="195" formatCode="0%_);\(0%\);@_)"/>
    <numFmt numFmtId="196" formatCode="#,##0.00_);\(#,##0.00\);@_)"/>
    <numFmt numFmtId="197" formatCode="#,##0.00_);\(#,##0.00\);\-_);@_)"/>
    <numFmt numFmtId="198" formatCode="#,##0.00_);\(#,##0\)"/>
    <numFmt numFmtId="199" formatCode="#,##0.0%_);\(#,##0.0%\)"/>
    <numFmt numFmtId="200" formatCode="0.0\ \x"/>
    <numFmt numFmtId="201" formatCode="#,##0.00\ ;\(#,##0.00\)"/>
    <numFmt numFmtId="202" formatCode="&quot;$&quot;#,##0.00\ ;\(&quot;$&quot;#,##0.00\)"/>
    <numFmt numFmtId="203" formatCode="0.0%_);\(0.0%\)"/>
    <numFmt numFmtId="204" formatCode="0.000\ \x&quot;rate&quot;"/>
    <numFmt numFmtId="205" formatCode="0.00_);\(0.00\);0.00"/>
    <numFmt numFmtId="206" formatCode="\C&quot;$&quot;#,##0.00_);[Red]\(&quot;$&quot;#,##0.00\)"/>
    <numFmt numFmtId="207" formatCode="#,##0%_);\(#,##0.0%\)"/>
    <numFmt numFmtId="208" formatCode="_(* #,##0.00000000_);_(* \(#,##0.00000000\);_(* &quot;-&quot;?_);_(@_)"/>
    <numFmt numFmtId="209" formatCode="yyyy"/>
    <numFmt numFmtId="210" formatCode="0.00\x&quot;rate&quot;"/>
    <numFmt numFmtId="211" formatCode="0.0&quot;  &quot;"/>
    <numFmt numFmtId="212" formatCode="&quot;$&quot;#,##0.0\ ;[Red]\(&quot;$&quot;#,##0\)"/>
    <numFmt numFmtId="213" formatCode="_(&quot;$&quot;* #,##0.00_);_(&quot;$&quot;* \(#,##0.00\);_(&quot;$&quot;* &quot;-&quot;?_);_(@_)"/>
    <numFmt numFmtId="214" formatCode="&quot;$&quot;#,##0.000_);[Red]\(&quot;$&quot;#,##0.000\)"/>
    <numFmt numFmtId="215" formatCode="&quot;$&quot;#,##0.00&quot;A&quot;;[Red]\(&quot;$&quot;#,##0.00\)&quot;A&quot;"/>
    <numFmt numFmtId="216" formatCode="#,##0.0\ ;[Red]\(&quot;$&quot;#,##0\)"/>
    <numFmt numFmtId="217" formatCode="&quot;$&quot;#,##0.00&quot;E&quot;;[Red]\(&quot;$&quot;#,##0.00\)&quot;E&quot;"/>
    <numFmt numFmtId="218" formatCode="_([$€-2]* #,##0.00_);_([$€-2]* \(#,##0.00\);_([$€-2]* &quot;-&quot;??_)"/>
    <numFmt numFmtId="219" formatCode="#,##0.00;\(#,##0.00\)"/>
    <numFmt numFmtId="220" formatCode=".%\,\(0.0%%;\t"/>
    <numFmt numFmtId="221" formatCode="0.0%_);[Red]\(0.0%\)"/>
    <numFmt numFmtId="222" formatCode="0.00_);\(0.00\);0.00_)"/>
    <numFmt numFmtId="223" formatCode="#,##0\x"/>
    <numFmt numFmtId="224" formatCode="&quot;TKR&quot;\ 0"/>
    <numFmt numFmtId="225" formatCode=".%\,\(0.%%;\t"/>
    <numFmt numFmtId="226" formatCode="&quot;$&quot;#,###.0\ \ "/>
    <numFmt numFmtId="227" formatCode="#,##0.00\x_);[Red]\(#,##0.00\x\)"/>
    <numFmt numFmtId="228" formatCode="_(* #,##0.0_);_(* \(#,##0.0\);_(* &quot;-&quot;??_);_(@_)"/>
    <numFmt numFmtId="229" formatCode="0.0\x_);[Red]\(0.0\x\)"/>
    <numFmt numFmtId="230" formatCode="0.0\ "/>
    <numFmt numFmtId="231" formatCode="&quot;$&quot;#,##0.0;\(&quot;$&quot;#,##0.00\)"/>
    <numFmt numFmtId="232" formatCode="0.00\%;\-0.00\%;0.00\%"/>
    <numFmt numFmtId="233" formatCode="0.0%\ ;\(0.0%\)"/>
    <numFmt numFmtId="234" formatCode="_(&quot;$&quot;* #,##0_);_(&quot;$&quot;* \(#,##0\);_(&quot;$&quot;* &quot;-&quot;??_);_(@_)"/>
    <numFmt numFmtId="235" formatCode="&quot;$&quot;0.00\ "/>
    <numFmt numFmtId="236" formatCode="0.0\ \ \ \ \ "/>
    <numFmt numFmtId="237" formatCode="0.00\x;\-0.00\x;0.00\x"/>
    <numFmt numFmtId="238" formatCode="#,##0.0_);\(#,##0.0\);_(* &quot;-&quot;_)"/>
    <numFmt numFmtId="239" formatCode="_(&quot;$&quot;* #,##0.00_);_(&quot;$&quot;* \(#,##0.00\);_(* &quot;-&quot;_);_(@_)"/>
    <numFmt numFmtId="240" formatCode="0.00%_);[Red]\(0.00%\)"/>
    <numFmt numFmtId="241" formatCode="#,##0.0\x_);\(#,##0.0\x\)"/>
    <numFmt numFmtId="242" formatCode="#,##0.00\x_);\(#,##0.00\x\)"/>
    <numFmt numFmtId="243" formatCode="###0&quot;E&quot;_)"/>
  </numFmts>
  <fonts count="105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indexed="2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3"/>
      <color indexed="8"/>
      <name val="Verdana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i/>
      <sz val="8"/>
      <color indexed="8"/>
      <name val="Arial"/>
      <family val="2"/>
    </font>
    <font>
      <b/>
      <u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8"/>
      <color rgb="FF0000FF"/>
      <name val="Calibri"/>
      <family val="2"/>
      <scheme val="minor"/>
    </font>
    <font>
      <b/>
      <sz val="10"/>
      <name val="Arial"/>
      <family val="2"/>
    </font>
    <font>
      <sz val="10"/>
      <name val="GillSans"/>
    </font>
    <font>
      <sz val="8"/>
      <color indexed="49"/>
      <name val="Times New Roman"/>
      <family val="1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10"/>
      <name val="Helvetica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rgb="FF00000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12">
    <xf numFmtId="0" fontId="0" fillId="0" borderId="0"/>
    <xf numFmtId="175" fontId="6" fillId="0" borderId="0" applyFill="0" applyBorder="0" applyAlignment="0" applyProtection="0">
      <alignment horizontal="right"/>
    </xf>
    <xf numFmtId="182" fontId="3" fillId="0" borderId="1" applyFont="0" applyFill="0" applyBorder="0" applyAlignment="0" applyProtection="0"/>
    <xf numFmtId="178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1" fontId="4" fillId="2" borderId="2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14" fontId="6" fillId="0" borderId="3" applyFont="0" applyFill="0" applyBorder="0" applyAlignment="0" applyProtection="0"/>
    <xf numFmtId="181" fontId="7" fillId="0" borderId="0" applyFont="0" applyFill="0" applyBorder="0" applyAlignment="0" applyProtection="0">
      <alignment horizontal="right"/>
    </xf>
    <xf numFmtId="37" fontId="4" fillId="3" borderId="0" applyFont="0" applyFill="0" applyBorder="0" applyAlignment="0" applyProtection="0"/>
    <xf numFmtId="169" fontId="1" fillId="0" borderId="0" applyFont="0" applyFill="0" applyBorder="0" applyAlignment="0"/>
    <xf numFmtId="168" fontId="7" fillId="0" borderId="0" applyFont="0" applyFill="0" applyBorder="0" applyAlignment="0"/>
    <xf numFmtId="180" fontId="3" fillId="0" borderId="0" applyFont="0" applyFill="0" applyBorder="0" applyAlignment="0" applyProtection="0"/>
    <xf numFmtId="172" fontId="5" fillId="2" borderId="4" applyFill="0" applyBorder="0" applyAlignment="0" applyProtection="0">
      <alignment horizontal="right"/>
      <protection locked="0"/>
    </xf>
    <xf numFmtId="173" fontId="5" fillId="4" borderId="0" applyFill="0" applyBorder="0" applyAlignment="0" applyProtection="0">
      <protection hidden="1"/>
    </xf>
    <xf numFmtId="169" fontId="8" fillId="0" borderId="0" applyNumberFormat="0" applyFill="0" applyBorder="0" applyAlignment="0" applyProtection="0">
      <alignment horizontal="left"/>
    </xf>
    <xf numFmtId="177" fontId="7" fillId="0" borderId="0" applyFont="0" applyFill="0" applyBorder="0" applyAlignment="0" applyProtection="0">
      <alignment horizontal="right"/>
    </xf>
    <xf numFmtId="179" fontId="7" fillId="0" borderId="0" applyFont="0" applyFill="0" applyBorder="0" applyAlignment="0"/>
    <xf numFmtId="0" fontId="28" fillId="0" borderId="0" applyAlignment="0"/>
    <xf numFmtId="0" fontId="1" fillId="0" borderId="0"/>
    <xf numFmtId="0" fontId="31" fillId="7" borderId="0" applyAlignment="0"/>
    <xf numFmtId="0" fontId="33" fillId="0" borderId="0" applyAlignment="0"/>
    <xf numFmtId="0" fontId="34" fillId="0" borderId="0" applyAlignment="0"/>
    <xf numFmtId="0" fontId="35" fillId="0" borderId="0" applyAlignment="0"/>
    <xf numFmtId="0" fontId="36" fillId="8" borderId="0" applyAlignment="0"/>
    <xf numFmtId="0" fontId="37" fillId="9" borderId="0" applyAlignment="0"/>
    <xf numFmtId="0" fontId="38" fillId="0" borderId="0" applyAlignment="0"/>
    <xf numFmtId="0" fontId="39" fillId="10" borderId="0" applyAlignment="0"/>
    <xf numFmtId="0" fontId="40" fillId="0" borderId="0" applyAlignment="0"/>
    <xf numFmtId="0" fontId="41" fillId="0" borderId="0" applyAlignment="0"/>
    <xf numFmtId="0" fontId="32" fillId="0" borderId="0" applyAlignment="0"/>
    <xf numFmtId="0" fontId="42" fillId="0" borderId="0" applyAlignment="0"/>
    <xf numFmtId="0" fontId="30" fillId="0" borderId="0" applyAlignment="0"/>
    <xf numFmtId="0" fontId="52" fillId="0" borderId="0"/>
    <xf numFmtId="198" fontId="52" fillId="0" borderId="0">
      <alignment horizontal="right"/>
    </xf>
    <xf numFmtId="199" fontId="52" fillId="4" borderId="0"/>
    <xf numFmtId="200" fontId="52" fillId="4" borderId="0"/>
    <xf numFmtId="199" fontId="52" fillId="4" borderId="0"/>
    <xf numFmtId="201" fontId="52" fillId="4" borderId="0"/>
    <xf numFmtId="202" fontId="52" fillId="4" borderId="0">
      <alignment horizontal="right"/>
    </xf>
    <xf numFmtId="203" fontId="5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204" fontId="54" fillId="0" borderId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14" borderId="0" applyNumberFormat="0" applyBorder="0" applyAlignment="0" applyProtection="0"/>
    <xf numFmtId="0" fontId="55" fillId="17" borderId="0" applyNumberFormat="0" applyBorder="0" applyAlignment="0" applyProtection="0"/>
    <xf numFmtId="0" fontId="55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8" borderId="0" applyNumberFormat="0" applyBorder="0" applyAlignment="0" applyProtection="0"/>
    <xf numFmtId="0" fontId="54" fillId="0" borderId="0"/>
    <xf numFmtId="0" fontId="57" fillId="12" borderId="0" applyNumberFormat="0" applyBorder="0" applyAlignment="0" applyProtection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protection locked="0"/>
    </xf>
    <xf numFmtId="0" fontId="59" fillId="0" borderId="0"/>
    <xf numFmtId="37" fontId="60" fillId="0" borderId="0">
      <alignment horizontal="centerContinuous"/>
    </xf>
    <xf numFmtId="0" fontId="61" fillId="29" borderId="24" applyNumberFormat="0" applyAlignment="0" applyProtection="0"/>
    <xf numFmtId="168" fontId="58" fillId="0" borderId="0" applyFont="0" applyFill="0" applyBorder="0" applyAlignment="0" applyProtection="0">
      <protection locked="0"/>
    </xf>
    <xf numFmtId="168" fontId="58" fillId="0" borderId="25" applyFont="0" applyFill="0" applyAlignment="0" applyProtection="0"/>
    <xf numFmtId="0" fontId="62" fillId="30" borderId="26" applyNumberFormat="0" applyAlignment="0" applyProtection="0"/>
    <xf numFmtId="0" fontId="1" fillId="0" borderId="0">
      <alignment horizontal="center" wrapText="1"/>
      <protection hidden="1"/>
    </xf>
    <xf numFmtId="0" fontId="63" fillId="0" borderId="3" applyNumberFormat="0" applyFill="0" applyBorder="0" applyProtection="0">
      <alignment horizontal="left" vertical="center"/>
    </xf>
    <xf numFmtId="0" fontId="63" fillId="0" borderId="3" applyNumberFormat="0" applyFill="0" applyBorder="0" applyProtection="0">
      <alignment horizontal="right" vertical="center"/>
    </xf>
    <xf numFmtId="43" fontId="1" fillId="0" borderId="0" applyFont="0" applyFill="0" applyBorder="0" applyAlignment="0" applyProtection="0"/>
    <xf numFmtId="37" fontId="64" fillId="0" borderId="0" applyFont="0" applyFill="0" applyBorder="0" applyAlignment="0" applyProtection="0"/>
    <xf numFmtId="39" fontId="64" fillId="0" borderId="0" applyFont="0" applyFill="0" applyBorder="0" applyAlignment="0" applyProtection="0"/>
    <xf numFmtId="0" fontId="65" fillId="31" borderId="0">
      <alignment horizontal="center" vertical="center" wrapText="1"/>
    </xf>
    <xf numFmtId="205" fontId="1" fillId="0" borderId="0" applyFill="0" applyBorder="0">
      <alignment horizontal="right"/>
      <protection locked="0"/>
    </xf>
    <xf numFmtId="0" fontId="3" fillId="0" borderId="0" applyFont="0" applyFill="0" applyBorder="0" applyAlignment="0"/>
    <xf numFmtId="7" fontId="66" fillId="0" borderId="0" applyFont="0" applyFill="0" applyBorder="0" applyAlignment="0" applyProtection="0"/>
    <xf numFmtId="5" fontId="64" fillId="0" borderId="0" applyFont="0" applyFill="0" applyBorder="0" applyAlignment="0" applyProtection="0"/>
    <xf numFmtId="206" fontId="54" fillId="0" borderId="0" applyFill="0" applyBorder="0" applyProtection="0">
      <alignment horizontal="right"/>
    </xf>
    <xf numFmtId="207" fontId="52" fillId="4" borderId="27">
      <alignment horizontal="right"/>
    </xf>
    <xf numFmtId="208" fontId="52" fillId="4" borderId="27">
      <alignment horizontal="right"/>
    </xf>
    <xf numFmtId="207" fontId="52" fillId="4" borderId="27">
      <alignment horizontal="right"/>
    </xf>
    <xf numFmtId="15" fontId="6" fillId="0" borderId="0" applyFill="0" applyBorder="0" applyAlignment="0"/>
    <xf numFmtId="171" fontId="3" fillId="2" borderId="0" applyFont="0" applyFill="0" applyBorder="0" applyAlignment="0" applyProtection="0"/>
    <xf numFmtId="14" fontId="67" fillId="0" borderId="0" applyFont="0" applyFill="0" applyBorder="0" applyAlignment="0" applyProtection="0">
      <alignment horizontal="center"/>
    </xf>
    <xf numFmtId="209" fontId="67" fillId="0" borderId="0" applyFont="0" applyFill="0" applyBorder="0" applyAlignment="0" applyProtection="0">
      <alignment horizontal="center"/>
    </xf>
    <xf numFmtId="210" fontId="54" fillId="0" borderId="0" applyFont="0" applyFill="0" applyBorder="0" applyAlignment="0" applyProtection="0"/>
    <xf numFmtId="8" fontId="58" fillId="0" borderId="0" applyFont="0" applyFill="0" applyBorder="0" applyAlignment="0" applyProtection="0"/>
    <xf numFmtId="6" fontId="58" fillId="0" borderId="0" applyFont="0" applyFill="0" applyBorder="0" applyAlignment="0" applyProtection="0">
      <alignment horizontal="right"/>
    </xf>
    <xf numFmtId="6" fontId="58" fillId="0" borderId="0" applyFont="0" applyFill="0" applyBorder="0" applyAlignment="0" applyProtection="0"/>
    <xf numFmtId="39" fontId="52" fillId="32" borderId="0"/>
    <xf numFmtId="7" fontId="52" fillId="32" borderId="0" applyBorder="0"/>
    <xf numFmtId="211" fontId="52" fillId="32" borderId="0"/>
    <xf numFmtId="212" fontId="52" fillId="0" borderId="0"/>
    <xf numFmtId="213" fontId="52" fillId="32" borderId="0"/>
    <xf numFmtId="214" fontId="52" fillId="32" borderId="0"/>
    <xf numFmtId="215" fontId="59" fillId="0" borderId="0" applyFont="0" applyFill="0" applyBorder="0" applyProtection="0">
      <alignment horizontal="left"/>
      <protection locked="0"/>
    </xf>
    <xf numFmtId="216" fontId="52" fillId="0" borderId="0"/>
    <xf numFmtId="217" fontId="59" fillId="0" borderId="0" applyFont="0" applyFill="0" applyBorder="0" applyProtection="0">
      <alignment horizontal="left"/>
      <protection locked="0"/>
    </xf>
    <xf numFmtId="218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203" fontId="52" fillId="0" borderId="28"/>
    <xf numFmtId="219" fontId="52" fillId="4" borderId="27">
      <alignment horizontal="right"/>
    </xf>
    <xf numFmtId="220" fontId="52" fillId="4" borderId="27">
      <alignment horizontal="right"/>
    </xf>
    <xf numFmtId="219" fontId="52" fillId="4" borderId="27">
      <alignment horizontal="right"/>
    </xf>
    <xf numFmtId="169" fontId="58" fillId="0" borderId="0" applyFill="0" applyBorder="0" applyAlignment="0" applyProtection="0">
      <protection locked="0"/>
    </xf>
    <xf numFmtId="0" fontId="69" fillId="13" borderId="0" applyNumberFormat="0" applyBorder="0" applyAlignment="0" applyProtection="0"/>
    <xf numFmtId="221" fontId="70" fillId="0" borderId="0" applyFill="0" applyBorder="0" applyAlignment="0" applyProtection="0"/>
    <xf numFmtId="203" fontId="71" fillId="0" borderId="0" applyAlignment="0">
      <alignment horizontal="left"/>
      <protection locked="0"/>
    </xf>
    <xf numFmtId="169" fontId="54" fillId="33" borderId="4" applyNumberFormat="0" applyFont="0" applyAlignment="0" applyProtection="0"/>
    <xf numFmtId="0" fontId="72" fillId="0" borderId="29" applyNumberFormat="0" applyFill="0" applyAlignment="0" applyProtection="0"/>
    <xf numFmtId="0" fontId="73" fillId="0" borderId="30" applyNumberFormat="0" applyFill="0" applyAlignment="0" applyProtection="0"/>
    <xf numFmtId="0" fontId="74" fillId="0" borderId="31" applyNumberFormat="0" applyFill="0" applyAlignment="0" applyProtection="0"/>
    <xf numFmtId="0" fontId="74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0" fontId="76" fillId="0" borderId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alignment horizontal="right"/>
      <protection locked="0"/>
    </xf>
    <xf numFmtId="0" fontId="77" fillId="16" borderId="24" applyNumberFormat="0" applyAlignment="0" applyProtection="0"/>
    <xf numFmtId="0" fontId="3" fillId="2" borderId="0" applyFont="0" applyBorder="0" applyAlignment="0">
      <protection locked="0"/>
    </xf>
    <xf numFmtId="0" fontId="1" fillId="0" borderId="0" applyFill="0" applyBorder="0">
      <alignment horizontal="right"/>
      <protection locked="0"/>
    </xf>
    <xf numFmtId="17" fontId="78" fillId="34" borderId="0"/>
    <xf numFmtId="222" fontId="1" fillId="0" borderId="0" applyFill="0" applyBorder="0">
      <alignment horizontal="right"/>
      <protection locked="0"/>
    </xf>
    <xf numFmtId="0" fontId="51" fillId="35" borderId="32">
      <alignment horizontal="left" vertical="center" wrapText="1"/>
    </xf>
    <xf numFmtId="0" fontId="79" fillId="0" borderId="33" applyNumberFormat="0" applyFill="0" applyAlignment="0" applyProtection="0"/>
    <xf numFmtId="165" fontId="58" fillId="0" borderId="0" applyFont="0" applyFill="0" applyBorder="0" applyAlignment="0" applyProtection="0">
      <alignment horizontal="right"/>
    </xf>
    <xf numFmtId="223" fontId="52" fillId="0" borderId="0">
      <alignment horizontal="right"/>
    </xf>
    <xf numFmtId="224" fontId="52" fillId="32" borderId="0">
      <alignment horizontal="right"/>
    </xf>
    <xf numFmtId="225" fontId="52" fillId="0" borderId="0">
      <alignment horizontal="right"/>
    </xf>
    <xf numFmtId="223" fontId="52" fillId="0" borderId="0">
      <alignment horizontal="right"/>
    </xf>
    <xf numFmtId="203" fontId="80" fillId="0" borderId="0" applyFill="0" applyBorder="0" applyAlignment="0" applyProtection="0">
      <alignment horizontal="right"/>
    </xf>
    <xf numFmtId="203" fontId="80" fillId="0" borderId="0" applyFill="0" applyBorder="0" applyAlignment="0" applyProtection="0"/>
    <xf numFmtId="226" fontId="52" fillId="4" borderId="27">
      <alignment horizontal="right"/>
    </xf>
    <xf numFmtId="227" fontId="58" fillId="0" borderId="0" applyFont="0" applyFill="0" applyBorder="0" applyAlignment="0" applyProtection="0"/>
    <xf numFmtId="0" fontId="81" fillId="36" borderId="34"/>
    <xf numFmtId="0" fontId="64" fillId="4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3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55" fillId="37" borderId="35" applyNumberFormat="0" applyFont="0" applyAlignment="0" applyProtection="0"/>
    <xf numFmtId="0" fontId="64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83" fillId="29" borderId="36" applyNumberFormat="0" applyAlignment="0" applyProtection="0"/>
    <xf numFmtId="229" fontId="58" fillId="0" borderId="0" applyFont="0" applyFill="0" applyBorder="0" applyAlignment="0" applyProtection="0">
      <alignment horizontal="right"/>
    </xf>
    <xf numFmtId="0" fontId="84" fillId="0" borderId="0" applyNumberFormat="0" applyFill="0" applyBorder="0" applyAlignment="0" applyProtection="0"/>
    <xf numFmtId="0" fontId="3" fillId="0" borderId="0"/>
    <xf numFmtId="230" fontId="52" fillId="32" borderId="0"/>
    <xf numFmtId="9" fontId="58" fillId="0" borderId="0" applyFont="0" applyFill="0" applyBorder="0" applyAlignment="0" applyProtection="0">
      <alignment horizontal="right"/>
    </xf>
    <xf numFmtId="231" fontId="52" fillId="0" borderId="0"/>
    <xf numFmtId="0" fontId="1" fillId="0" borderId="0" applyFont="0" applyFill="0" applyBorder="0" applyAlignment="0"/>
    <xf numFmtId="232" fontId="1" fillId="0" borderId="0" applyFill="0" applyBorder="0">
      <alignment horizontal="right"/>
      <protection locked="0"/>
    </xf>
    <xf numFmtId="221" fontId="58" fillId="0" borderId="0" applyFont="0" applyFill="0" applyBorder="0" applyAlignment="0" applyProtection="0"/>
    <xf numFmtId="8" fontId="58" fillId="0" borderId="0" applyFont="0" applyFill="0" applyBorder="0" applyAlignment="0" applyProtection="0"/>
    <xf numFmtId="168" fontId="58" fillId="0" borderId="0" applyFont="0" applyFill="0" applyBorder="0" applyAlignment="0" applyProtection="0">
      <protection locked="0"/>
    </xf>
    <xf numFmtId="169" fontId="58" fillId="0" borderId="0" applyFill="0" applyBorder="0" applyAlignment="0" applyProtection="0"/>
    <xf numFmtId="38" fontId="58" fillId="0" borderId="0" applyFont="0" applyFill="0" applyBorder="0" applyAlignment="0" applyProtection="0"/>
    <xf numFmtId="201" fontId="52" fillId="4" borderId="37">
      <alignment horizontal="right"/>
    </xf>
    <xf numFmtId="233" fontId="85" fillId="4" borderId="0"/>
    <xf numFmtId="234" fontId="52" fillId="4" borderId="0"/>
    <xf numFmtId="0" fontId="86" fillId="0" borderId="0">
      <alignment horizontal="center"/>
    </xf>
    <xf numFmtId="0" fontId="52" fillId="0" borderId="3">
      <alignment horizontal="centerContinuous"/>
    </xf>
    <xf numFmtId="235" fontId="52" fillId="4" borderId="0">
      <alignment horizontal="right"/>
    </xf>
    <xf numFmtId="236" fontId="52" fillId="4" borderId="27">
      <alignment horizontal="right"/>
    </xf>
    <xf numFmtId="237" fontId="1" fillId="0" borderId="0">
      <alignment horizontal="right"/>
      <protection locked="0"/>
    </xf>
    <xf numFmtId="169" fontId="67" fillId="0" borderId="0" applyFont="0" applyFill="0" applyBorder="0" applyAlignment="0" applyProtection="0"/>
    <xf numFmtId="0" fontId="87" fillId="0" borderId="0" applyNumberFormat="0" applyFill="0" applyBorder="0" applyProtection="0">
      <alignment horizontal="right" vertical="center"/>
    </xf>
    <xf numFmtId="0" fontId="88" fillId="31" borderId="4">
      <alignment horizontal="center" vertical="center" wrapText="1"/>
      <protection hidden="1"/>
    </xf>
    <xf numFmtId="168" fontId="58" fillId="0" borderId="0" applyFill="0" applyBorder="0" applyAlignment="0" applyProtection="0">
      <protection locked="0"/>
    </xf>
    <xf numFmtId="190" fontId="67" fillId="0" borderId="0" applyFont="0" applyFill="0" applyBorder="0" applyAlignment="0" applyProtection="0">
      <alignment horizontal="right"/>
    </xf>
    <xf numFmtId="38" fontId="1" fillId="0" borderId="0" applyFont="0" applyFill="0" applyBorder="0" applyAlignment="0" applyProtection="0"/>
    <xf numFmtId="0" fontId="89" fillId="0" borderId="38" applyNumberFormat="0" applyFill="0" applyProtection="0">
      <alignment horizontal="left" vertical="top" wrapText="1"/>
    </xf>
    <xf numFmtId="0" fontId="76" fillId="0" borderId="0" applyNumberFormat="0" applyFill="0" applyBorder="0" applyProtection="0">
      <alignment horizontal="left" vertical="top" wrapText="1"/>
    </xf>
    <xf numFmtId="0" fontId="90" fillId="0" borderId="0" applyNumberFormat="0" applyFill="0" applyProtection="0">
      <alignment horizontal="left" vertical="top" wrapText="1"/>
    </xf>
    <xf numFmtId="0" fontId="91" fillId="0" borderId="0" applyNumberFormat="0" applyFill="0" applyBorder="0" applyProtection="0"/>
    <xf numFmtId="0" fontId="31" fillId="38" borderId="0" applyNumberFormat="0" applyBorder="0" applyProtection="0"/>
    <xf numFmtId="0" fontId="28" fillId="0" borderId="0" applyNumberFormat="0" applyFill="0" applyBorder="0" applyProtection="0">
      <alignment vertical="top"/>
    </xf>
    <xf numFmtId="238" fontId="92" fillId="0" borderId="0" applyFill="0" applyBorder="0" applyProtection="0">
      <alignment horizontal="right" wrapText="1"/>
    </xf>
    <xf numFmtId="239" fontId="92" fillId="0" borderId="0" applyFill="0" applyBorder="0" applyProtection="0">
      <alignment horizontal="right"/>
    </xf>
    <xf numFmtId="4" fontId="3" fillId="0" borderId="0" applyFill="0" applyBorder="0" applyProtection="0">
      <alignment horizontal="right"/>
    </xf>
    <xf numFmtId="214" fontId="93" fillId="0" borderId="0" applyFill="0" applyBorder="0" applyAlignment="0" applyProtection="0"/>
    <xf numFmtId="240" fontId="94" fillId="0" borderId="0" applyFill="0" applyBorder="0" applyAlignment="0" applyProtection="0">
      <alignment horizontal="left"/>
      <protection locked="0"/>
    </xf>
    <xf numFmtId="240" fontId="94" fillId="0" borderId="0" applyFill="0" applyBorder="0" applyAlignment="0" applyProtection="0"/>
    <xf numFmtId="240" fontId="95" fillId="0" borderId="0" applyFill="0" applyBorder="0" applyAlignment="0" applyProtection="0">
      <alignment horizontal="left"/>
      <protection locked="0"/>
    </xf>
    <xf numFmtId="240" fontId="95" fillId="0" borderId="0" applyFill="0" applyBorder="0" applyAlignment="0" applyProtection="0">
      <protection locked="0"/>
    </xf>
    <xf numFmtId="169" fontId="58" fillId="0" borderId="0" applyFill="0" applyBorder="0" applyAlignment="0" applyProtection="0">
      <protection locked="0"/>
    </xf>
    <xf numFmtId="169" fontId="93" fillId="0" borderId="0" applyFill="0" applyBorder="0" applyAlignment="0" applyProtection="0"/>
    <xf numFmtId="49" fontId="96" fillId="0" borderId="0"/>
    <xf numFmtId="241" fontId="1" fillId="0" borderId="0" applyFont="0" applyFill="0" applyBorder="0" applyAlignment="0" applyProtection="0"/>
    <xf numFmtId="242" fontId="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8" fillId="1" borderId="0" applyNumberFormat="0" applyBorder="0" applyProtection="0">
      <alignment horizontal="left" vertical="center"/>
    </xf>
    <xf numFmtId="169" fontId="99" fillId="0" borderId="0" applyNumberFormat="0" applyFill="0" applyBorder="0" applyAlignment="0" applyProtection="0"/>
    <xf numFmtId="0" fontId="1" fillId="0" borderId="0" applyBorder="0"/>
    <xf numFmtId="38" fontId="100" fillId="0" borderId="0" applyFill="0" applyBorder="0" applyAlignment="0" applyProtection="0">
      <alignment horizontal="left"/>
    </xf>
    <xf numFmtId="0" fontId="101" fillId="0" borderId="0"/>
    <xf numFmtId="0" fontId="102" fillId="0" borderId="39" applyNumberFormat="0" applyFill="0" applyAlignment="0" applyProtection="0"/>
    <xf numFmtId="0" fontId="103" fillId="0" borderId="0" applyNumberFormat="0" applyFill="0" applyBorder="0" applyAlignment="0" applyProtection="0"/>
    <xf numFmtId="1" fontId="58" fillId="0" borderId="0" applyFont="0" applyFill="0" applyBorder="0" applyAlignment="0" applyProtection="0"/>
    <xf numFmtId="243" fontId="66" fillId="0" borderId="0" applyFont="0" applyFill="0" applyBorder="0" applyAlignment="0" applyProtection="0"/>
  </cellStyleXfs>
  <cellXfs count="224">
    <xf numFmtId="0" fontId="0" fillId="0" borderId="0" xfId="0"/>
    <xf numFmtId="0" fontId="10" fillId="0" borderId="0" xfId="0" applyFont="1"/>
    <xf numFmtId="14" fontId="12" fillId="3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left" indent="1"/>
    </xf>
    <xf numFmtId="7" fontId="12" fillId="3" borderId="0" xfId="0" applyNumberFormat="1" applyFont="1" applyFill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165" fontId="12" fillId="3" borderId="0" xfId="0" applyNumberFormat="1" applyFont="1" applyFill="1"/>
    <xf numFmtId="165" fontId="10" fillId="0" borderId="0" xfId="0" applyNumberFormat="1" applyFont="1" applyAlignment="1">
      <alignment horizontal="right"/>
    </xf>
    <xf numFmtId="166" fontId="12" fillId="3" borderId="0" xfId="0" applyNumberFormat="1" applyFont="1" applyFill="1" applyAlignment="1">
      <alignment horizontal="right"/>
    </xf>
    <xf numFmtId="164" fontId="12" fillId="3" borderId="0" xfId="0" applyNumberFormat="1" applyFont="1" applyFill="1"/>
    <xf numFmtId="164" fontId="10" fillId="0" borderId="0" xfId="0" applyNumberFormat="1" applyFont="1"/>
    <xf numFmtId="0" fontId="10" fillId="0" borderId="0" xfId="0" applyFont="1" applyFill="1" applyBorder="1"/>
    <xf numFmtId="0" fontId="10" fillId="0" borderId="0" xfId="0" applyFont="1" applyBorder="1"/>
    <xf numFmtId="14" fontId="10" fillId="0" borderId="0" xfId="0" applyNumberFormat="1" applyFont="1"/>
    <xf numFmtId="167" fontId="10" fillId="0" borderId="0" xfId="0" applyNumberFormat="1" applyFont="1"/>
    <xf numFmtId="0" fontId="13" fillId="0" borderId="0" xfId="0" applyFont="1" applyFill="1" applyBorder="1"/>
    <xf numFmtId="0" fontId="13" fillId="0" borderId="0" xfId="0" applyFont="1"/>
    <xf numFmtId="0" fontId="10" fillId="0" borderId="0" xfId="0" applyFont="1" applyAlignment="1">
      <alignment horizontal="left" indent="1"/>
    </xf>
    <xf numFmtId="0" fontId="10" fillId="0" borderId="0" xfId="0" applyFont="1" applyFill="1" applyAlignment="1">
      <alignment vertical="top"/>
    </xf>
    <xf numFmtId="184" fontId="12" fillId="0" borderId="0" xfId="0" applyNumberFormat="1" applyFont="1" applyFill="1"/>
    <xf numFmtId="0" fontId="10" fillId="0" borderId="0" xfId="0" applyFont="1" applyBorder="1" applyAlignment="1">
      <alignment horizontal="left" indent="1"/>
    </xf>
    <xf numFmtId="186" fontId="10" fillId="0" borderId="0" xfId="0" applyNumberFormat="1" applyFont="1" applyFill="1" applyBorder="1" applyAlignment="1">
      <alignment horizontal="left" indent="1"/>
    </xf>
    <xf numFmtId="183" fontId="16" fillId="0" borderId="5" xfId="0" applyNumberFormat="1" applyFont="1" applyFill="1" applyBorder="1" applyAlignment="1">
      <alignment horizontal="right"/>
    </xf>
    <xf numFmtId="187" fontId="18" fillId="0" borderId="0" xfId="0" applyNumberFormat="1" applyFont="1" applyBorder="1"/>
    <xf numFmtId="164" fontId="12" fillId="3" borderId="0" xfId="0" applyNumberFormat="1" applyFont="1" applyFill="1" applyBorder="1" applyAlignment="1"/>
    <xf numFmtId="164" fontId="12" fillId="3" borderId="6" xfId="0" applyNumberFormat="1" applyFont="1" applyFill="1" applyBorder="1" applyAlignment="1"/>
    <xf numFmtId="164" fontId="18" fillId="0" borderId="0" xfId="0" applyNumberFormat="1" applyFont="1" applyFill="1" applyBorder="1"/>
    <xf numFmtId="0" fontId="13" fillId="0" borderId="0" xfId="0" applyFont="1" applyBorder="1"/>
    <xf numFmtId="164" fontId="12" fillId="3" borderId="5" xfId="0" applyNumberFormat="1" applyFont="1" applyFill="1" applyBorder="1"/>
    <xf numFmtId="14" fontId="17" fillId="5" borderId="0" xfId="0" applyNumberFormat="1" applyFont="1" applyFill="1" applyAlignment="1">
      <alignment horizontal="right"/>
    </xf>
    <xf numFmtId="0" fontId="10" fillId="0" borderId="5" xfId="0" applyFont="1" applyBorder="1"/>
    <xf numFmtId="0" fontId="10" fillId="0" borderId="5" xfId="0" applyFont="1" applyFill="1" applyBorder="1"/>
    <xf numFmtId="187" fontId="10" fillId="0" borderId="0" xfId="0" applyNumberFormat="1" applyFont="1" applyBorder="1"/>
    <xf numFmtId="187" fontId="10" fillId="5" borderId="0" xfId="0" applyNumberFormat="1" applyFont="1" applyFill="1" applyBorder="1"/>
    <xf numFmtId="0" fontId="10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5" xfId="0" applyFont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justify"/>
    </xf>
    <xf numFmtId="0" fontId="23" fillId="0" borderId="0" xfId="0" applyFont="1" applyFill="1" applyBorder="1"/>
    <xf numFmtId="0" fontId="21" fillId="0" borderId="0" xfId="0" applyFont="1" applyBorder="1"/>
    <xf numFmtId="190" fontId="17" fillId="5" borderId="0" xfId="0" applyNumberFormat="1" applyFont="1" applyFill="1" applyBorder="1"/>
    <xf numFmtId="188" fontId="17" fillId="5" borderId="0" xfId="0" applyNumberFormat="1" applyFont="1" applyFill="1"/>
    <xf numFmtId="187" fontId="17" fillId="5" borderId="0" xfId="0" applyNumberFormat="1" applyFont="1" applyFill="1"/>
    <xf numFmtId="187" fontId="21" fillId="0" borderId="0" xfId="0" applyNumberFormat="1" applyFont="1" applyBorder="1"/>
    <xf numFmtId="187" fontId="17" fillId="5" borderId="0" xfId="0" applyNumberFormat="1" applyFont="1" applyFill="1" applyBorder="1"/>
    <xf numFmtId="188" fontId="17" fillId="5" borderId="0" xfId="0" applyNumberFormat="1" applyFont="1" applyFill="1" applyBorder="1"/>
    <xf numFmtId="189" fontId="24" fillId="0" borderId="0" xfId="0" applyNumberFormat="1" applyFont="1" applyFill="1" applyBorder="1" applyAlignment="1">
      <alignment horizontal="right"/>
    </xf>
    <xf numFmtId="0" fontId="25" fillId="0" borderId="0" xfId="0" applyFont="1" applyBorder="1"/>
    <xf numFmtId="0" fontId="19" fillId="0" borderId="0" xfId="0" applyFont="1" applyBorder="1" applyAlignment="1">
      <alignment horizontal="left" indent="1"/>
    </xf>
    <xf numFmtId="0" fontId="19" fillId="0" borderId="7" xfId="0" applyFont="1" applyFill="1" applyBorder="1" applyAlignment="1">
      <alignment horizontal="left" wrapText="1"/>
    </xf>
    <xf numFmtId="192" fontId="10" fillId="0" borderId="5" xfId="0" applyNumberFormat="1" applyFont="1" applyFill="1" applyBorder="1" applyAlignment="1">
      <alignment horizontal="centerContinuous"/>
    </xf>
    <xf numFmtId="0" fontId="10" fillId="0" borderId="7" xfId="0" applyFont="1" applyFill="1" applyBorder="1" applyAlignment="1">
      <alignment horizontal="center" wrapText="1"/>
    </xf>
    <xf numFmtId="0" fontId="10" fillId="0" borderId="8" xfId="0" applyFont="1" applyBorder="1"/>
    <xf numFmtId="164" fontId="10" fillId="0" borderId="8" xfId="0" applyNumberFormat="1" applyFont="1" applyBorder="1"/>
    <xf numFmtId="167" fontId="10" fillId="0" borderId="0" xfId="0" applyNumberFormat="1" applyFont="1" applyBorder="1" applyAlignment="1">
      <alignment horizontal="right"/>
    </xf>
    <xf numFmtId="195" fontId="10" fillId="0" borderId="0" xfId="0" applyNumberFormat="1" applyFont="1" applyBorder="1" applyAlignment="1">
      <alignment horizontal="right"/>
    </xf>
    <xf numFmtId="184" fontId="10" fillId="0" borderId="0" xfId="0" applyNumberFormat="1" applyFont="1" applyBorder="1" applyAlignment="1">
      <alignment horizontal="right"/>
    </xf>
    <xf numFmtId="193" fontId="10" fillId="0" borderId="0" xfId="0" applyNumberFormat="1" applyFont="1" applyBorder="1" applyAlignment="1">
      <alignment horizontal="right"/>
    </xf>
    <xf numFmtId="0" fontId="19" fillId="0" borderId="5" xfId="0" applyFont="1" applyBorder="1"/>
    <xf numFmtId="0" fontId="21" fillId="0" borderId="5" xfId="0" applyFont="1" applyFill="1" applyBorder="1" applyAlignment="1">
      <alignment horizontal="centerContinuous"/>
    </xf>
    <xf numFmtId="185" fontId="17" fillId="0" borderId="0" xfId="0" applyNumberFormat="1" applyFont="1" applyFill="1" applyBorder="1" applyAlignment="1">
      <alignment horizontal="left"/>
    </xf>
    <xf numFmtId="167" fontId="10" fillId="0" borderId="8" xfId="0" applyNumberFormat="1" applyFont="1" applyBorder="1" applyAlignment="1">
      <alignment horizontal="right"/>
    </xf>
    <xf numFmtId="195" fontId="10" fillId="0" borderId="8" xfId="0" applyNumberFormat="1" applyFont="1" applyBorder="1" applyAlignment="1">
      <alignment horizontal="right"/>
    </xf>
    <xf numFmtId="184" fontId="10" fillId="0" borderId="8" xfId="0" applyNumberFormat="1" applyFont="1" applyBorder="1" applyAlignment="1">
      <alignment horizontal="right"/>
    </xf>
    <xf numFmtId="193" fontId="10" fillId="0" borderId="8" xfId="0" applyNumberFormat="1" applyFont="1" applyBorder="1" applyAlignment="1">
      <alignment horizontal="right"/>
    </xf>
    <xf numFmtId="14" fontId="12" fillId="3" borderId="5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44" fillId="0" borderId="5" xfId="0" applyFont="1" applyBorder="1"/>
    <xf numFmtId="0" fontId="10" fillId="0" borderId="7" xfId="0" applyFont="1" applyBorder="1"/>
    <xf numFmtId="188" fontId="18" fillId="0" borderId="0" xfId="0" applyNumberFormat="1" applyFont="1" applyFill="1"/>
    <xf numFmtId="188" fontId="18" fillId="0" borderId="0" xfId="0" applyNumberFormat="1" applyFont="1" applyFill="1" applyBorder="1" applyAlignment="1">
      <alignment horizontal="right"/>
    </xf>
    <xf numFmtId="188" fontId="19" fillId="0" borderId="0" xfId="0" applyNumberFormat="1" applyFont="1" applyBorder="1"/>
    <xf numFmtId="0" fontId="17" fillId="5" borderId="0" xfId="0" applyNumberFormat="1" applyFont="1" applyFill="1" applyBorder="1" applyAlignment="1">
      <alignment horizontal="right"/>
    </xf>
    <xf numFmtId="0" fontId="24" fillId="0" borderId="0" xfId="0" applyFont="1" applyFill="1" applyBorder="1"/>
    <xf numFmtId="0" fontId="11" fillId="0" borderId="0" xfId="0" applyFont="1" applyFill="1" applyBorder="1"/>
    <xf numFmtId="167" fontId="9" fillId="0" borderId="0" xfId="0" applyNumberFormat="1" applyFont="1" applyFill="1" applyBorder="1"/>
    <xf numFmtId="3" fontId="10" fillId="0" borderId="0" xfId="0" applyNumberFormat="1" applyFont="1"/>
    <xf numFmtId="184" fontId="12" fillId="3" borderId="0" xfId="0" applyNumberFormat="1" applyFont="1" applyFill="1"/>
    <xf numFmtId="184" fontId="12" fillId="3" borderId="5" xfId="0" applyNumberFormat="1" applyFont="1" applyFill="1" applyBorder="1"/>
    <xf numFmtId="184" fontId="18" fillId="0" borderId="0" xfId="0" applyNumberFormat="1" applyFont="1"/>
    <xf numFmtId="164" fontId="18" fillId="0" borderId="0" xfId="0" applyNumberFormat="1" applyFont="1" applyFill="1" applyBorder="1" applyAlignment="1">
      <alignment horizontal="right"/>
    </xf>
    <xf numFmtId="0" fontId="43" fillId="0" borderId="0" xfId="0" applyFont="1" applyBorder="1"/>
    <xf numFmtId="0" fontId="10" fillId="0" borderId="0" xfId="0" applyFont="1" applyAlignment="1">
      <alignment horizontal="left"/>
    </xf>
    <xf numFmtId="187" fontId="19" fillId="0" borderId="0" xfId="0" applyNumberFormat="1" applyFont="1" applyBorder="1"/>
    <xf numFmtId="0" fontId="43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 indent="1"/>
    </xf>
    <xf numFmtId="184" fontId="21" fillId="5" borderId="0" xfId="0" applyNumberFormat="1" applyFont="1" applyFill="1" applyBorder="1"/>
    <xf numFmtId="184" fontId="45" fillId="5" borderId="0" xfId="0" applyNumberFormat="1" applyFont="1" applyFill="1" applyBorder="1"/>
    <xf numFmtId="0" fontId="19" fillId="0" borderId="0" xfId="0" applyFont="1" applyBorder="1"/>
    <xf numFmtId="167" fontId="12" fillId="3" borderId="10" xfId="0" applyNumberFormat="1" applyFont="1" applyFill="1" applyBorder="1"/>
    <xf numFmtId="188" fontId="10" fillId="0" borderId="0" xfId="0" applyNumberFormat="1" applyFont="1" applyBorder="1"/>
    <xf numFmtId="0" fontId="24" fillId="0" borderId="7" xfId="0" applyFont="1" applyFill="1" applyBorder="1"/>
    <xf numFmtId="0" fontId="11" fillId="0" borderId="7" xfId="0" applyFont="1" applyFill="1" applyBorder="1"/>
    <xf numFmtId="167" fontId="9" fillId="0" borderId="7" xfId="0" applyNumberFormat="1" applyFont="1" applyFill="1" applyBorder="1"/>
    <xf numFmtId="0" fontId="13" fillId="0" borderId="7" xfId="0" applyFont="1" applyBorder="1"/>
    <xf numFmtId="0" fontId="21" fillId="6" borderId="0" xfId="0" applyFont="1" applyFill="1" applyBorder="1"/>
    <xf numFmtId="0" fontId="21" fillId="0" borderId="0" xfId="0" applyFont="1" applyFill="1" applyBorder="1"/>
    <xf numFmtId="189" fontId="10" fillId="0" borderId="0" xfId="0" applyNumberFormat="1" applyFont="1" applyFill="1" applyBorder="1"/>
    <xf numFmtId="0" fontId="23" fillId="0" borderId="18" xfId="0" applyFont="1" applyFill="1" applyBorder="1"/>
    <xf numFmtId="0" fontId="10" fillId="0" borderId="18" xfId="0" applyFont="1" applyBorder="1"/>
    <xf numFmtId="0" fontId="10" fillId="0" borderId="18" xfId="0" applyFont="1" applyFill="1" applyBorder="1"/>
    <xf numFmtId="0" fontId="10" fillId="0" borderId="7" xfId="0" applyFont="1" applyFill="1" applyBorder="1"/>
    <xf numFmtId="167" fontId="18" fillId="0" borderId="0" xfId="0" applyNumberFormat="1" applyFont="1" applyFill="1" applyBorder="1"/>
    <xf numFmtId="167" fontId="18" fillId="0" borderId="5" xfId="0" applyNumberFormat="1" applyFont="1" applyFill="1" applyBorder="1"/>
    <xf numFmtId="0" fontId="17" fillId="5" borderId="0" xfId="0" applyFont="1" applyFill="1" applyBorder="1"/>
    <xf numFmtId="0" fontId="10" fillId="0" borderId="21" xfId="0" applyFont="1" applyBorder="1"/>
    <xf numFmtId="0" fontId="10" fillId="0" borderId="22" xfId="0" applyFont="1" applyBorder="1"/>
    <xf numFmtId="183" fontId="26" fillId="3" borderId="0" xfId="0" applyNumberFormat="1" applyFont="1" applyFill="1" applyBorder="1" applyAlignment="1">
      <alignment horizontal="right" wrapText="1"/>
    </xf>
    <xf numFmtId="0" fontId="27" fillId="0" borderId="0" xfId="0" quotePrefix="1" applyFont="1" applyBorder="1"/>
    <xf numFmtId="0" fontId="45" fillId="5" borderId="14" xfId="0" applyFont="1" applyFill="1" applyBorder="1" applyAlignment="1">
      <alignment horizontal="right"/>
    </xf>
    <xf numFmtId="2" fontId="17" fillId="5" borderId="0" xfId="0" applyNumberFormat="1" applyFont="1" applyFill="1" applyBorder="1" applyAlignment="1">
      <alignment horizontal="right"/>
    </xf>
    <xf numFmtId="184" fontId="18" fillId="0" borderId="0" xfId="0" applyNumberFormat="1" applyFont="1" applyFill="1" applyBorder="1"/>
    <xf numFmtId="0" fontId="46" fillId="0" borderId="0" xfId="0" applyFont="1" applyAlignment="1">
      <alignment horizontal="left"/>
    </xf>
    <xf numFmtId="185" fontId="18" fillId="0" borderId="0" xfId="0" applyNumberFormat="1" applyFont="1" applyFill="1" applyBorder="1"/>
    <xf numFmtId="197" fontId="18" fillId="0" borderId="0" xfId="0" applyNumberFormat="1" applyFont="1" applyFill="1" applyBorder="1"/>
    <xf numFmtId="0" fontId="18" fillId="0" borderId="0" xfId="0" applyFont="1" applyFill="1" applyBorder="1"/>
    <xf numFmtId="14" fontId="18" fillId="0" borderId="0" xfId="0" applyNumberFormat="1" applyFont="1" applyFill="1" applyBorder="1" applyAlignment="1">
      <alignment horizontal="right"/>
    </xf>
    <xf numFmtId="185" fontId="29" fillId="0" borderId="0" xfId="0" applyNumberFormat="1" applyFont="1" applyFill="1" applyBorder="1" applyAlignment="1">
      <alignment horizontal="left"/>
    </xf>
    <xf numFmtId="7" fontId="12" fillId="3" borderId="0" xfId="0" applyNumberFormat="1" applyFont="1" applyFill="1" applyAlignment="1">
      <alignment horizontal="right"/>
    </xf>
    <xf numFmtId="196" fontId="18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95" fontId="29" fillId="0" borderId="0" xfId="0" applyNumberFormat="1" applyFont="1" applyFill="1" applyBorder="1" applyAlignment="1">
      <alignment horizontal="right"/>
    </xf>
    <xf numFmtId="193" fontId="18" fillId="0" borderId="0" xfId="0" applyNumberFormat="1" applyFont="1" applyFill="1" applyBorder="1"/>
    <xf numFmtId="193" fontId="18" fillId="0" borderId="0" xfId="0" applyNumberFormat="1" applyFont="1" applyFill="1" applyBorder="1" applyAlignment="1">
      <alignment horizontal="right"/>
    </xf>
    <xf numFmtId="195" fontId="18" fillId="0" borderId="0" xfId="0" applyNumberFormat="1" applyFont="1" applyFill="1" applyBorder="1" applyAlignment="1">
      <alignment horizontal="right"/>
    </xf>
    <xf numFmtId="185" fontId="17" fillId="0" borderId="7" xfId="0" applyNumberFormat="1" applyFont="1" applyFill="1" applyBorder="1" applyAlignment="1">
      <alignment horizontal="left"/>
    </xf>
    <xf numFmtId="185" fontId="29" fillId="0" borderId="7" xfId="0" applyNumberFormat="1" applyFont="1" applyFill="1" applyBorder="1" applyAlignment="1">
      <alignment horizontal="left"/>
    </xf>
    <xf numFmtId="185" fontId="29" fillId="0" borderId="0" xfId="0" applyNumberFormat="1" applyFont="1" applyFill="1" applyBorder="1" applyAlignment="1">
      <alignment horizontal="right"/>
    </xf>
    <xf numFmtId="193" fontId="29" fillId="0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7" fillId="6" borderId="5" xfId="0" applyFont="1" applyFill="1" applyBorder="1" applyAlignment="1">
      <alignment horizontal="right"/>
    </xf>
    <xf numFmtId="0" fontId="17" fillId="6" borderId="5" xfId="0" applyFont="1" applyFill="1" applyBorder="1"/>
    <xf numFmtId="0" fontId="10" fillId="6" borderId="0" xfId="0" applyFont="1" applyFill="1"/>
    <xf numFmtId="0" fontId="45" fillId="6" borderId="5" xfId="0" applyFont="1" applyFill="1" applyBorder="1" applyAlignment="1">
      <alignment horizontal="left"/>
    </xf>
    <xf numFmtId="196" fontId="29" fillId="0" borderId="0" xfId="0" applyNumberFormat="1" applyFont="1" applyFill="1" applyBorder="1" applyAlignment="1">
      <alignment horizontal="right"/>
    </xf>
    <xf numFmtId="0" fontId="21" fillId="0" borderId="5" xfId="0" applyNumberFormat="1" applyFont="1" applyFill="1" applyBorder="1" applyAlignment="1">
      <alignment horizontal="centerContinuous"/>
    </xf>
    <xf numFmtId="0" fontId="10" fillId="0" borderId="5" xfId="0" applyNumberFormat="1" applyFont="1" applyFill="1" applyBorder="1" applyAlignment="1">
      <alignment horizontal="centerContinuous"/>
    </xf>
    <xf numFmtId="185" fontId="29" fillId="0" borderId="7" xfId="0" applyNumberFormat="1" applyFont="1" applyFill="1" applyBorder="1" applyAlignment="1">
      <alignment horizontal="right"/>
    </xf>
    <xf numFmtId="0" fontId="10" fillId="0" borderId="8" xfId="0" applyFont="1" applyFill="1" applyBorder="1"/>
    <xf numFmtId="0" fontId="21" fillId="0" borderId="12" xfId="0" applyFont="1" applyFill="1" applyBorder="1" applyAlignment="1">
      <alignment horizontal="centerContinuous"/>
    </xf>
    <xf numFmtId="192" fontId="10" fillId="0" borderId="12" xfId="0" applyNumberFormat="1" applyFont="1" applyFill="1" applyBorder="1" applyAlignment="1">
      <alignment horizontal="centerContinuous"/>
    </xf>
    <xf numFmtId="192" fontId="10" fillId="0" borderId="8" xfId="0" applyNumberFormat="1" applyFont="1" applyFill="1" applyBorder="1" applyAlignment="1">
      <alignment horizontal="centerContinuous"/>
    </xf>
    <xf numFmtId="192" fontId="10" fillId="0" borderId="13" xfId="0" applyNumberFormat="1" applyFont="1" applyFill="1" applyBorder="1" applyAlignment="1">
      <alignment horizontal="centerContinuous"/>
    </xf>
    <xf numFmtId="0" fontId="48" fillId="0" borderId="5" xfId="0" applyFont="1" applyBorder="1"/>
    <xf numFmtId="185" fontId="18" fillId="0" borderId="0" xfId="0" applyNumberFormat="1" applyFont="1" applyFill="1" applyBorder="1" applyAlignment="1">
      <alignment horizontal="right"/>
    </xf>
    <xf numFmtId="185" fontId="10" fillId="0" borderId="0" xfId="0" applyNumberFormat="1" applyFont="1" applyBorder="1"/>
    <xf numFmtId="170" fontId="10" fillId="0" borderId="0" xfId="0" applyNumberFormat="1" applyFont="1" applyBorder="1" applyAlignment="1">
      <alignment horizontal="right"/>
    </xf>
    <xf numFmtId="191" fontId="10" fillId="0" borderId="0" xfId="0" applyNumberFormat="1" applyFont="1" applyBorder="1" applyAlignment="1">
      <alignment horizontal="right"/>
    </xf>
    <xf numFmtId="0" fontId="24" fillId="0" borderId="16" xfId="0" applyFont="1" applyFill="1" applyBorder="1"/>
    <xf numFmtId="167" fontId="18" fillId="0" borderId="16" xfId="0" applyNumberFormat="1" applyFont="1" applyFill="1" applyBorder="1"/>
    <xf numFmtId="167" fontId="18" fillId="0" borderId="17" xfId="0" applyNumberFormat="1" applyFont="1" applyFill="1" applyBorder="1"/>
    <xf numFmtId="167" fontId="18" fillId="0" borderId="21" xfId="0" applyNumberFormat="1" applyFont="1" applyFill="1" applyBorder="1"/>
    <xf numFmtId="185" fontId="18" fillId="0" borderId="21" xfId="0" applyNumberFormat="1" applyFont="1" applyFill="1" applyBorder="1" applyAlignment="1">
      <alignment horizontal="right"/>
    </xf>
    <xf numFmtId="14" fontId="18" fillId="0" borderId="21" xfId="0" applyNumberFormat="1" applyFont="1" applyFill="1" applyBorder="1" applyAlignment="1">
      <alignment horizontal="right"/>
    </xf>
    <xf numFmtId="193" fontId="18" fillId="0" borderId="21" xfId="0" applyNumberFormat="1" applyFont="1" applyFill="1" applyBorder="1"/>
    <xf numFmtId="185" fontId="10" fillId="0" borderId="21" xfId="0" applyNumberFormat="1" applyFont="1" applyBorder="1"/>
    <xf numFmtId="196" fontId="18" fillId="0" borderId="21" xfId="0" applyNumberFormat="1" applyFont="1" applyFill="1" applyBorder="1" applyAlignment="1">
      <alignment horizontal="right"/>
    </xf>
    <xf numFmtId="195" fontId="10" fillId="0" borderId="21" xfId="0" applyNumberFormat="1" applyFont="1" applyBorder="1" applyAlignment="1">
      <alignment horizontal="right"/>
    </xf>
    <xf numFmtId="167" fontId="18" fillId="0" borderId="20" xfId="0" applyNumberFormat="1" applyFont="1" applyFill="1" applyBorder="1"/>
    <xf numFmtId="185" fontId="18" fillId="0" borderId="21" xfId="0" applyNumberFormat="1" applyFont="1" applyFill="1" applyBorder="1"/>
    <xf numFmtId="197" fontId="18" fillId="0" borderId="21" xfId="0" applyNumberFormat="1" applyFont="1" applyFill="1" applyBorder="1"/>
    <xf numFmtId="195" fontId="18" fillId="0" borderId="21" xfId="0" applyNumberFormat="1" applyFont="1" applyFill="1" applyBorder="1" applyAlignment="1">
      <alignment horizontal="right"/>
    </xf>
    <xf numFmtId="170" fontId="10" fillId="0" borderId="21" xfId="0" applyNumberFormat="1" applyFont="1" applyBorder="1" applyAlignment="1">
      <alignment horizontal="right"/>
    </xf>
    <xf numFmtId="191" fontId="10" fillId="0" borderId="21" xfId="0" applyNumberFormat="1" applyFont="1" applyBorder="1" applyAlignment="1">
      <alignment horizontal="right"/>
    </xf>
    <xf numFmtId="0" fontId="24" fillId="0" borderId="15" xfId="0" applyFont="1" applyFill="1" applyBorder="1"/>
    <xf numFmtId="0" fontId="49" fillId="0" borderId="18" xfId="0" applyFont="1" applyFill="1" applyBorder="1" applyAlignment="1">
      <alignment horizontal="left"/>
    </xf>
    <xf numFmtId="0" fontId="47" fillId="0" borderId="18" xfId="0" applyFont="1" applyFill="1" applyBorder="1"/>
    <xf numFmtId="0" fontId="24" fillId="0" borderId="18" xfId="0" applyFont="1" applyFill="1" applyBorder="1"/>
    <xf numFmtId="0" fontId="18" fillId="0" borderId="18" xfId="0" applyFont="1" applyFill="1" applyBorder="1"/>
    <xf numFmtId="0" fontId="43" fillId="0" borderId="18" xfId="0" applyFont="1" applyFill="1" applyBorder="1"/>
    <xf numFmtId="0" fontId="19" fillId="0" borderId="18" xfId="0" applyFont="1" applyBorder="1" applyAlignment="1">
      <alignment horizontal="left" wrapText="1"/>
    </xf>
    <xf numFmtId="0" fontId="10" fillId="0" borderId="19" xfId="0" applyFont="1" applyBorder="1"/>
    <xf numFmtId="167" fontId="23" fillId="0" borderId="0" xfId="0" applyNumberFormat="1" applyFont="1" applyFill="1" applyBorder="1"/>
    <xf numFmtId="14" fontId="10" fillId="0" borderId="0" xfId="0" applyNumberFormat="1" applyFont="1" applyBorder="1"/>
    <xf numFmtId="0" fontId="50" fillId="6" borderId="0" xfId="0" applyFont="1" applyFill="1" applyAlignment="1">
      <alignment horizontal="left"/>
    </xf>
    <xf numFmtId="0" fontId="46" fillId="0" borderId="0" xfId="0" applyFont="1" applyFill="1"/>
    <xf numFmtId="192" fontId="10" fillId="0" borderId="0" xfId="0" applyNumberFormat="1" applyFont="1" applyFill="1" applyAlignment="1">
      <alignment horizontal="right"/>
    </xf>
    <xf numFmtId="0" fontId="19" fillId="0" borderId="9" xfId="0" applyFont="1" applyFill="1" applyBorder="1" applyAlignment="1">
      <alignment horizontal="center" wrapText="1"/>
    </xf>
    <xf numFmtId="184" fontId="10" fillId="0" borderId="11" xfId="0" applyNumberFormat="1" applyFont="1" applyFill="1" applyBorder="1" applyAlignment="1">
      <alignment horizontal="right"/>
    </xf>
    <xf numFmtId="184" fontId="10" fillId="0" borderId="19" xfId="0" applyNumberFormat="1" applyFont="1" applyFill="1" applyBorder="1" applyAlignment="1">
      <alignment horizontal="right"/>
    </xf>
    <xf numFmtId="0" fontId="19" fillId="0" borderId="23" xfId="0" applyFont="1" applyFill="1" applyBorder="1" applyAlignment="1">
      <alignment horizontal="center" wrapText="1"/>
    </xf>
    <xf numFmtId="193" fontId="10" fillId="0" borderId="0" xfId="0" applyNumberFormat="1" applyFont="1" applyFill="1" applyBorder="1" applyAlignment="1">
      <alignment horizontal="right"/>
    </xf>
    <xf numFmtId="192" fontId="10" fillId="0" borderId="0" xfId="0" applyNumberFormat="1" applyFont="1" applyFill="1" applyBorder="1" applyAlignment="1">
      <alignment horizontal="right"/>
    </xf>
    <xf numFmtId="192" fontId="10" fillId="0" borderId="21" xfId="0" applyNumberFormat="1" applyFont="1" applyFill="1" applyBorder="1" applyAlignment="1">
      <alignment horizontal="right"/>
    </xf>
    <xf numFmtId="193" fontId="10" fillId="0" borderId="0" xfId="0" applyNumberFormat="1" applyFont="1" applyFill="1" applyBorder="1" applyAlignment="1"/>
    <xf numFmtId="194" fontId="10" fillId="0" borderId="0" xfId="0" applyNumberFormat="1" applyFont="1" applyFill="1" applyBorder="1" applyAlignment="1"/>
    <xf numFmtId="194" fontId="10" fillId="0" borderId="21" xfId="0" applyNumberFormat="1" applyFont="1" applyFill="1" applyBorder="1" applyAlignment="1"/>
    <xf numFmtId="194" fontId="10" fillId="0" borderId="0" xfId="0" applyNumberFormat="1" applyFont="1" applyFill="1" applyBorder="1" applyAlignment="1">
      <alignment horizontal="right"/>
    </xf>
    <xf numFmtId="194" fontId="10" fillId="0" borderId="21" xfId="0" applyNumberFormat="1" applyFont="1" applyFill="1" applyBorder="1" applyAlignment="1">
      <alignment horizontal="right"/>
    </xf>
    <xf numFmtId="0" fontId="13" fillId="0" borderId="19" xfId="0" applyFont="1" applyFill="1" applyBorder="1"/>
    <xf numFmtId="193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/>
    <xf numFmtId="194" fontId="13" fillId="0" borderId="22" xfId="0" applyNumberFormat="1" applyFont="1" applyFill="1" applyBorder="1" applyAlignment="1">
      <alignment horizontal="right"/>
    </xf>
    <xf numFmtId="0" fontId="17" fillId="5" borderId="0" xfId="0" applyFont="1" applyFill="1" applyBorder="1" applyAlignment="1">
      <alignment horizontal="right"/>
    </xf>
    <xf numFmtId="0" fontId="10" fillId="0" borderId="0" xfId="0" applyFont="1" applyBorder="1" applyAlignment="1">
      <alignment wrapText="1"/>
    </xf>
    <xf numFmtId="14" fontId="17" fillId="5" borderId="0" xfId="0" applyNumberFormat="1" applyFont="1" applyFill="1" applyAlignment="1">
      <alignment horizontal="left" wrapText="1"/>
    </xf>
    <xf numFmtId="164" fontId="19" fillId="0" borderId="7" xfId="0" applyNumberFormat="1" applyFont="1" applyBorder="1"/>
    <xf numFmtId="164" fontId="19" fillId="0" borderId="0" xfId="0" applyNumberFormat="1" applyFont="1" applyBorder="1" applyAlignment="1">
      <alignment horizontal="right"/>
    </xf>
    <xf numFmtId="164" fontId="24" fillId="0" borderId="0" xfId="0" applyNumberFormat="1" applyFont="1" applyFill="1" applyBorder="1"/>
    <xf numFmtId="164" fontId="17" fillId="5" borderId="0" xfId="0" applyNumberFormat="1" applyFont="1" applyFill="1" applyBorder="1"/>
    <xf numFmtId="166" fontId="13" fillId="0" borderId="0" xfId="0" applyNumberFormat="1" applyFont="1" applyBorder="1" applyAlignment="1">
      <alignment horizontal="right"/>
    </xf>
    <xf numFmtId="0" fontId="23" fillId="0" borderId="0" xfId="0" applyFont="1" applyFill="1" applyBorder="1" applyAlignment="1">
      <alignment horizontal="left" indent="1"/>
    </xf>
    <xf numFmtId="0" fontId="24" fillId="0" borderId="0" xfId="0" applyFont="1" applyFill="1" applyBorder="1" applyAlignment="1">
      <alignment horizontal="left" indent="1"/>
    </xf>
    <xf numFmtId="0" fontId="21" fillId="0" borderId="5" xfId="0" applyFont="1" applyFill="1" applyBorder="1"/>
    <xf numFmtId="183" fontId="21" fillId="0" borderId="0" xfId="0" applyNumberFormat="1" applyFont="1" applyFill="1" applyBorder="1"/>
    <xf numFmtId="185" fontId="21" fillId="0" borderId="5" xfId="0" applyNumberFormat="1" applyFont="1" applyFill="1" applyBorder="1" applyAlignment="1">
      <alignment horizontal="right"/>
    </xf>
    <xf numFmtId="0" fontId="51" fillId="0" borderId="5" xfId="0" applyFont="1" applyFill="1" applyBorder="1"/>
    <xf numFmtId="184" fontId="10" fillId="0" borderId="21" xfId="0" applyNumberFormat="1" applyFont="1" applyBorder="1" applyAlignment="1">
      <alignment horizontal="right"/>
    </xf>
    <xf numFmtId="184" fontId="21" fillId="0" borderId="0" xfId="0" applyNumberFormat="1" applyFont="1" applyFill="1" applyBorder="1"/>
    <xf numFmtId="164" fontId="12" fillId="3" borderId="5" xfId="0" applyNumberFormat="1" applyFont="1" applyFill="1" applyBorder="1" applyAlignment="1"/>
    <xf numFmtId="187" fontId="12" fillId="3" borderId="0" xfId="0" applyNumberFormat="1" applyFont="1" applyFill="1"/>
    <xf numFmtId="189" fontId="12" fillId="3" borderId="0" xfId="0" applyNumberFormat="1" applyFont="1" applyFill="1"/>
    <xf numFmtId="187" fontId="12" fillId="3" borderId="0" xfId="0" applyNumberFormat="1" applyFont="1" applyFill="1" applyBorder="1" applyAlignment="1"/>
    <xf numFmtId="187" fontId="12" fillId="3" borderId="5" xfId="0" applyNumberFormat="1" applyFont="1" applyFill="1" applyBorder="1" applyAlignment="1"/>
    <xf numFmtId="184" fontId="17" fillId="5" borderId="0" xfId="0" applyNumberFormat="1" applyFont="1" applyFill="1" applyBorder="1"/>
    <xf numFmtId="189" fontId="17" fillId="5" borderId="0" xfId="0" applyNumberFormat="1" applyFont="1" applyFill="1" applyBorder="1"/>
    <xf numFmtId="188" fontId="12" fillId="3" borderId="0" xfId="0" applyNumberFormat="1" applyFont="1" applyFill="1"/>
    <xf numFmtId="188" fontId="12" fillId="3" borderId="5" xfId="0" applyNumberFormat="1" applyFont="1" applyFill="1" applyBorder="1"/>
    <xf numFmtId="188" fontId="18" fillId="0" borderId="0" xfId="0" applyNumberFormat="1" applyFont="1" applyFill="1" applyBorder="1"/>
    <xf numFmtId="187" fontId="18" fillId="0" borderId="0" xfId="0" applyNumberFormat="1" applyFont="1"/>
    <xf numFmtId="188" fontId="12" fillId="3" borderId="5" xfId="0" applyNumberFormat="1" applyFont="1" applyFill="1" applyBorder="1" applyAlignment="1"/>
  </cellXfs>
  <cellStyles count="212">
    <cellStyle name="$" xfId="34"/>
    <cellStyle name="$m" xfId="35"/>
    <cellStyle name="$q" xfId="36"/>
    <cellStyle name="$q*" xfId="37"/>
    <cellStyle name="$q_valuation" xfId="38"/>
    <cellStyle name="$qA" xfId="39"/>
    <cellStyle name="$qRange" xfId="40"/>
    <cellStyle name="%" xfId="41"/>
    <cellStyle name="******************************************" xfId="42"/>
    <cellStyle name="10Q" xfId="1"/>
    <cellStyle name="2 Decimal Places_MA Software Comps - List_AccretionDilution OTGS v16.xls Chart 1" xfId="43"/>
    <cellStyle name="20% - Accent1 2" xfId="44"/>
    <cellStyle name="20% - Accent2 2" xfId="45"/>
    <cellStyle name="20% - Accent3 2" xfId="46"/>
    <cellStyle name="20% - Accent4 2" xfId="47"/>
    <cellStyle name="20% - Accent5 2" xfId="48"/>
    <cellStyle name="20% - Accent6 2" xfId="49"/>
    <cellStyle name="40% - Accent1 2" xfId="50"/>
    <cellStyle name="40% - Accent2 2" xfId="51"/>
    <cellStyle name="40% - Accent3 2" xfId="52"/>
    <cellStyle name="40% - Accent4 2" xfId="53"/>
    <cellStyle name="40% - Accent5 2" xfId="54"/>
    <cellStyle name="40% - Accent6 2" xfId="55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 2" xfId="62"/>
    <cellStyle name="Accent2 2" xfId="63"/>
    <cellStyle name="Accent3 2" xfId="64"/>
    <cellStyle name="Accent4 2" xfId="65"/>
    <cellStyle name="Accent5 2" xfId="66"/>
    <cellStyle name="Accent6 2" xfId="67"/>
    <cellStyle name="AFE" xfId="68"/>
    <cellStyle name="Bad 2" xfId="69"/>
    <cellStyle name="Balance" xfId="70"/>
    <cellStyle name="BalanceSheet" xfId="71"/>
    <cellStyle name="Body_$Numeric" xfId="72"/>
    <cellStyle name="Bold Header" xfId="73"/>
    <cellStyle name="Calculation 2" xfId="74"/>
    <cellStyle name="CashFlow" xfId="75"/>
    <cellStyle name="ChartingText" xfId="22"/>
    <cellStyle name="Check" xfId="76"/>
    <cellStyle name="Check Cell 2" xfId="77"/>
    <cellStyle name="CHPTop" xfId="23"/>
    <cellStyle name="ColHeading" xfId="78"/>
    <cellStyle name="colheadleft" xfId="79"/>
    <cellStyle name="colheadright" xfId="80"/>
    <cellStyle name="ColumnHeaderNormal" xfId="21"/>
    <cellStyle name="Comma 2" xfId="81"/>
    <cellStyle name="Comma0" xfId="82"/>
    <cellStyle name="Comma2" xfId="83"/>
    <cellStyle name="Company" xfId="84"/>
    <cellStyle name="CurRatio" xfId="85"/>
    <cellStyle name="Currency--" xfId="2"/>
    <cellStyle name="Currency [1]" xfId="86"/>
    <cellStyle name="Currency [2]" xfId="87"/>
    <cellStyle name="Currency0" xfId="88"/>
    <cellStyle name="Currency2" xfId="89"/>
    <cellStyle name="d_yield" xfId="90"/>
    <cellStyle name="d_yield_CW's MAKER MODEL" xfId="91"/>
    <cellStyle name="d_yield_valuation" xfId="92"/>
    <cellStyle name="Date [d-mmm-yy]" xfId="93"/>
    <cellStyle name="Date [mm-dd-yy]" xfId="3"/>
    <cellStyle name="Date [mm-dd-yyyy]" xfId="4"/>
    <cellStyle name="Date [mm-d-yyyy]" xfId="5"/>
    <cellStyle name="Date [mmm-d-yyyy]" xfId="94"/>
    <cellStyle name="Date [mmm-yyyy]" xfId="6"/>
    <cellStyle name="Dates" xfId="95"/>
    <cellStyle name="DateYear" xfId="96"/>
    <cellStyle name="Dezimal_Capital expenditure planning FY 2000" xfId="97"/>
    <cellStyle name="Dollar" xfId="98"/>
    <cellStyle name="Dollars" xfId="99"/>
    <cellStyle name="DollarWhole" xfId="100"/>
    <cellStyle name="eps" xfId="101"/>
    <cellStyle name="eps$" xfId="102"/>
    <cellStyle name="eps$A" xfId="103"/>
    <cellStyle name="eps$E" xfId="104"/>
    <cellStyle name="eps_CW's MAKER MODEL" xfId="105"/>
    <cellStyle name="epsA" xfId="106"/>
    <cellStyle name="EPSActual" xfId="107"/>
    <cellStyle name="epsE" xfId="108"/>
    <cellStyle name="EPSEstimate" xfId="109"/>
    <cellStyle name="Euro" xfId="110"/>
    <cellStyle name="Explanatory Text 2" xfId="111"/>
    <cellStyle name="fy_eps$" xfId="112"/>
    <cellStyle name="g_rate" xfId="113"/>
    <cellStyle name="g_rate_CW's MAKER MODEL" xfId="114"/>
    <cellStyle name="g_rate_valuation" xfId="115"/>
    <cellStyle name="General" xfId="116"/>
    <cellStyle name="Good 2" xfId="117"/>
    <cellStyle name="GrowthRate" xfId="118"/>
    <cellStyle name="GrowthSeq" xfId="119"/>
    <cellStyle name="Hard Number Input" xfId="120"/>
    <cellStyle name="Heading 1 2" xfId="121"/>
    <cellStyle name="Heading 2 2" xfId="122"/>
    <cellStyle name="Heading 3 2" xfId="123"/>
    <cellStyle name="Heading 4 2" xfId="124"/>
    <cellStyle name="Historical Number" xfId="125"/>
    <cellStyle name="Hyperlink_Accretion Dilution Training Unprotected" xfId="7"/>
    <cellStyle name="iemens" xfId="126"/>
    <cellStyle name="Income" xfId="127"/>
    <cellStyle name="IncomeStatement" xfId="128"/>
    <cellStyle name="Input 2" xfId="129"/>
    <cellStyle name="Input Fixed [0]" xfId="130"/>
    <cellStyle name="Integer" xfId="131"/>
    <cellStyle name="Inverse Header" xfId="132"/>
    <cellStyle name="Invisible" xfId="24"/>
    <cellStyle name="Item" xfId="133"/>
    <cellStyle name="ItemTypeClass" xfId="134"/>
    <cellStyle name="Linked Cell 2" xfId="135"/>
    <cellStyle name="LTGR" xfId="136"/>
    <cellStyle name="m" xfId="137"/>
    <cellStyle name="m$" xfId="138"/>
    <cellStyle name="m/d/yy" xfId="8"/>
    <cellStyle name="m_CW's MAKER MODEL" xfId="139"/>
    <cellStyle name="m_valuation" xfId="140"/>
    <cellStyle name="Margin" xfId="141"/>
    <cellStyle name="Margins" xfId="142"/>
    <cellStyle name="mm" xfId="143"/>
    <cellStyle name="Multiple" xfId="144"/>
    <cellStyle name="MyStyle" xfId="145"/>
    <cellStyle name="NA is zero" xfId="146"/>
    <cellStyle name="Neutral 2" xfId="147"/>
    <cellStyle name="NewColumnHeaderNormal" xfId="25"/>
    <cellStyle name="NewSectionHeaderNormal" xfId="26"/>
    <cellStyle name="NewTitleNormal" xfId="27"/>
    <cellStyle name="Normal" xfId="0" builtinId="0"/>
    <cellStyle name="Normal--" xfId="9"/>
    <cellStyle name="Normal [0]" xfId="10"/>
    <cellStyle name="Normal [1]" xfId="11"/>
    <cellStyle name="Normal [2]" xfId="148"/>
    <cellStyle name="Normal [3]" xfId="12"/>
    <cellStyle name="Normal 2" xfId="20"/>
    <cellStyle name="Normal Bold" xfId="149"/>
    <cellStyle name="Normal Pct" xfId="150"/>
    <cellStyle name="Normalx" xfId="13"/>
    <cellStyle name="Note 2" xfId="151"/>
    <cellStyle name="NPPESalesPct" xfId="152"/>
    <cellStyle name="Number" xfId="153"/>
    <cellStyle name="NWI%S" xfId="154"/>
    <cellStyle name="Output 2" xfId="155"/>
    <cellStyle name="P/E" xfId="156"/>
    <cellStyle name="Palatino" xfId="157"/>
    <cellStyle name="pc1" xfId="158"/>
    <cellStyle name="pe" xfId="159"/>
    <cellStyle name="PE/LTGR" xfId="160"/>
    <cellStyle name="PEG" xfId="161"/>
    <cellStyle name="Percent [0]" xfId="162"/>
    <cellStyle name="Percent [1]" xfId="14"/>
    <cellStyle name="Percent [2]" xfId="15"/>
    <cellStyle name="PercentChange" xfId="163"/>
    <cellStyle name="PercentPresentation" xfId="164"/>
    <cellStyle name="PerShare" xfId="165"/>
    <cellStyle name="POPS" xfId="166"/>
    <cellStyle name="Presentation" xfId="167"/>
    <cellStyle name="PresentationZero" xfId="168"/>
    <cellStyle name="price" xfId="169"/>
    <cellStyle name="q" xfId="170"/>
    <cellStyle name="q_CW's MAKER MODEL" xfId="171"/>
    <cellStyle name="QEPS-h" xfId="172"/>
    <cellStyle name="QEPS-H1" xfId="173"/>
    <cellStyle name="qRange" xfId="174"/>
    <cellStyle name="range" xfId="175"/>
    <cellStyle name="RatioX" xfId="176"/>
    <cellStyle name="Red font" xfId="16"/>
    <cellStyle name="Report" xfId="177"/>
    <cellStyle name="Right" xfId="178"/>
    <cellStyle name="SectionHeaderNormal" xfId="28"/>
    <cellStyle name="SectionHeading" xfId="179"/>
    <cellStyle name="Shares" xfId="180"/>
    <cellStyle name="StockPrice" xfId="181"/>
    <cellStyle name="Style 1" xfId="182"/>
    <cellStyle name="Style 21" xfId="183"/>
    <cellStyle name="Style 22" xfId="184"/>
    <cellStyle name="Style 23" xfId="185"/>
    <cellStyle name="Style 24" xfId="186"/>
    <cellStyle name="Style 26" xfId="187"/>
    <cellStyle name="Style 27" xfId="188"/>
    <cellStyle name="Style 34" xfId="189"/>
    <cellStyle name="Style 37" xfId="190"/>
    <cellStyle name="Style 63" xfId="191"/>
    <cellStyle name="SubDollar" xfId="192"/>
    <cellStyle name="SubGrowth" xfId="193"/>
    <cellStyle name="SubGrowthRate" xfId="194"/>
    <cellStyle name="SubMargins" xfId="195"/>
    <cellStyle name="SubPenetration" xfId="196"/>
    <cellStyle name="Subscribers" xfId="197"/>
    <cellStyle name="SubScript" xfId="29"/>
    <cellStyle name="SubVariable" xfId="198"/>
    <cellStyle name="SuperScript" xfId="30"/>
    <cellStyle name="tcn" xfId="199"/>
    <cellStyle name="TextBold" xfId="31"/>
    <cellStyle name="TextItalic" xfId="32"/>
    <cellStyle name="TextNormal" xfId="19"/>
    <cellStyle name="Times" xfId="17"/>
    <cellStyle name="Times [1]" xfId="200"/>
    <cellStyle name="Times [2]" xfId="201"/>
    <cellStyle name="Title 2" xfId="202"/>
    <cellStyle name="title2" xfId="203"/>
    <cellStyle name="TitleII" xfId="204"/>
    <cellStyle name="TitleNormal" xfId="33"/>
    <cellStyle name="Titles" xfId="205"/>
    <cellStyle name="TitleSub" xfId="206"/>
    <cellStyle name="tn" xfId="207"/>
    <cellStyle name="Total 2" xfId="208"/>
    <cellStyle name="Warning Text 2" xfId="209"/>
    <cellStyle name="WholeNumber" xfId="210"/>
    <cellStyle name="Year&quot;E&quot;" xfId="211"/>
    <cellStyle name="Years" xfId="18"/>
  </cellStyles>
  <dxfs count="11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Rar$DI00.921/Valuation_2010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umar.WSP/Downloads/DataSet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T288"/>
  <sheetViews>
    <sheetView tabSelected="1" topLeftCell="A255" zoomScaleNormal="100" workbookViewId="0">
      <selection activeCell="D213" sqref="D213"/>
    </sheetView>
  </sheetViews>
  <sheetFormatPr defaultColWidth="9.109375" defaultRowHeight="13.8"/>
  <cols>
    <col min="1" max="1" width="2.6640625" style="36" customWidth="1"/>
    <col min="2" max="2" width="41.109375" style="1" customWidth="1"/>
    <col min="3" max="3" width="0.88671875" style="1" customWidth="1"/>
    <col min="4" max="4" width="17.6640625" style="1" customWidth="1"/>
    <col min="5" max="13" width="16" style="1" customWidth="1"/>
    <col min="14" max="16384" width="9.109375" style="1"/>
  </cols>
  <sheetData>
    <row r="2" spans="1:13" ht="21">
      <c r="B2" s="145" t="s">
        <v>15</v>
      </c>
      <c r="C2" s="37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4.4" thickBot="1"/>
    <row r="4" spans="1:13" ht="14.4" thickBot="1">
      <c r="B4" s="1" t="s">
        <v>116</v>
      </c>
      <c r="D4" s="111" t="s">
        <v>117</v>
      </c>
    </row>
    <row r="5" spans="1:13" ht="14.4" thickBot="1">
      <c r="B5" s="1" t="s">
        <v>118</v>
      </c>
      <c r="D5" s="111" t="s">
        <v>119</v>
      </c>
    </row>
    <row r="6" spans="1:13">
      <c r="B6" s="39" t="str">
        <f>D4&amp;" in "&amp;D5&amp;", except per share data"</f>
        <v>USD in millions, except per share data</v>
      </c>
    </row>
    <row r="7" spans="1:13">
      <c r="B7" s="39"/>
    </row>
    <row r="8" spans="1:13" ht="14.4" thickBot="1">
      <c r="A8" s="38"/>
      <c r="B8" s="96" t="s">
        <v>77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>
      <c r="D9" s="23">
        <v>1</v>
      </c>
      <c r="E9" s="23">
        <f>D9+1</f>
        <v>2</v>
      </c>
      <c r="F9" s="23">
        <f t="shared" ref="F9:M9" si="0">E9+1</f>
        <v>3</v>
      </c>
      <c r="G9" s="23">
        <f t="shared" si="0"/>
        <v>4</v>
      </c>
      <c r="H9" s="23">
        <f t="shared" si="0"/>
        <v>5</v>
      </c>
      <c r="I9" s="23">
        <f t="shared" si="0"/>
        <v>6</v>
      </c>
      <c r="J9" s="23">
        <f t="shared" si="0"/>
        <v>7</v>
      </c>
      <c r="K9" s="23">
        <f t="shared" si="0"/>
        <v>8</v>
      </c>
      <c r="L9" s="23">
        <f t="shared" si="0"/>
        <v>9</v>
      </c>
      <c r="M9" s="23">
        <f t="shared" si="0"/>
        <v>10</v>
      </c>
    </row>
    <row r="10" spans="1:13">
      <c r="B10" s="197" t="s">
        <v>112</v>
      </c>
      <c r="C10" s="110" t="s">
        <v>55</v>
      </c>
      <c r="D10" s="109" t="s">
        <v>104</v>
      </c>
      <c r="E10" s="109" t="s">
        <v>106</v>
      </c>
      <c r="F10" s="109" t="s">
        <v>108</v>
      </c>
      <c r="G10" s="109" t="s">
        <v>110</v>
      </c>
      <c r="H10" s="109"/>
      <c r="I10" s="109"/>
      <c r="J10" s="109"/>
      <c r="K10" s="109"/>
      <c r="L10" s="109"/>
      <c r="M10" s="109"/>
    </row>
    <row r="11" spans="1:13">
      <c r="B11" s="197" t="s">
        <v>113</v>
      </c>
      <c r="C11" s="110"/>
      <c r="D11" s="109" t="s">
        <v>105</v>
      </c>
      <c r="E11" s="109" t="s">
        <v>107</v>
      </c>
      <c r="F11" s="109" t="s">
        <v>109</v>
      </c>
      <c r="G11" s="109" t="s">
        <v>111</v>
      </c>
      <c r="H11" s="109"/>
      <c r="I11" s="109"/>
      <c r="J11" s="109"/>
      <c r="K11" s="109"/>
      <c r="L11" s="109"/>
      <c r="M11" s="109"/>
    </row>
    <row r="12" spans="1:13">
      <c r="B12" s="1" t="s">
        <v>8</v>
      </c>
      <c r="D12" s="2">
        <v>39650</v>
      </c>
      <c r="E12" s="2">
        <v>41529</v>
      </c>
      <c r="F12" s="2">
        <v>40128</v>
      </c>
      <c r="G12" s="2">
        <v>40886</v>
      </c>
      <c r="H12" s="2"/>
      <c r="I12" s="2"/>
      <c r="J12" s="2"/>
      <c r="K12" s="2"/>
      <c r="L12" s="2"/>
      <c r="M12" s="2"/>
    </row>
    <row r="13" spans="1:13">
      <c r="B13" s="1" t="s">
        <v>9</v>
      </c>
      <c r="D13" s="74" t="s">
        <v>10</v>
      </c>
      <c r="E13" s="74" t="s">
        <v>10</v>
      </c>
      <c r="F13" s="74" t="s">
        <v>10</v>
      </c>
      <c r="G13" s="74" t="s">
        <v>10</v>
      </c>
      <c r="H13" s="74"/>
      <c r="I13" s="74"/>
      <c r="J13" s="74"/>
      <c r="K13" s="74"/>
      <c r="L13" s="74"/>
      <c r="M13" s="74"/>
    </row>
    <row r="14" spans="1:13">
      <c r="B14" s="1" t="s">
        <v>120</v>
      </c>
      <c r="D14" s="196" t="s">
        <v>117</v>
      </c>
      <c r="E14" s="196" t="s">
        <v>117</v>
      </c>
      <c r="F14" s="196" t="s">
        <v>117</v>
      </c>
      <c r="G14" s="196" t="s">
        <v>117</v>
      </c>
      <c r="H14" s="196"/>
      <c r="I14" s="196"/>
      <c r="J14" s="196"/>
      <c r="K14" s="196"/>
      <c r="L14" s="196"/>
      <c r="M14" s="196"/>
    </row>
    <row r="15" spans="1:13">
      <c r="B15" s="114" t="str">
        <f>D4&amp;" to target exchange rate at announcement date"</f>
        <v>USD to target exchange rate at announcement date</v>
      </c>
      <c r="D15" s="112">
        <v>1</v>
      </c>
      <c r="E15" s="112">
        <v>1</v>
      </c>
      <c r="F15" s="112">
        <v>1</v>
      </c>
      <c r="G15" s="112">
        <v>1</v>
      </c>
      <c r="H15" s="112"/>
      <c r="I15" s="112"/>
      <c r="J15" s="112"/>
      <c r="K15" s="112"/>
      <c r="L15" s="112"/>
      <c r="M15" s="112"/>
    </row>
    <row r="17" spans="2:13" s="1" customFormat="1" ht="14.4" thickBot="1">
      <c r="B17" s="96" t="s">
        <v>76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2:13" s="1" customFormat="1">
      <c r="B18" s="6" t="s">
        <v>79</v>
      </c>
      <c r="C18" s="6"/>
      <c r="D18" s="74" t="s">
        <v>16</v>
      </c>
      <c r="E18" s="74" t="s">
        <v>16</v>
      </c>
      <c r="F18" s="74" t="s">
        <v>16</v>
      </c>
      <c r="G18" s="74" t="s">
        <v>16</v>
      </c>
      <c r="H18" s="74"/>
      <c r="I18" s="74"/>
      <c r="J18" s="74"/>
      <c r="K18" s="74"/>
      <c r="L18" s="74"/>
      <c r="M18" s="74"/>
    </row>
    <row r="19" spans="2:13" s="1" customFormat="1">
      <c r="B19" s="1" t="s">
        <v>68</v>
      </c>
      <c r="C19" s="84"/>
      <c r="D19" s="4">
        <v>16.5</v>
      </c>
      <c r="E19" s="120" t="s">
        <v>147</v>
      </c>
      <c r="F19" s="4">
        <v>7.9</v>
      </c>
      <c r="G19" s="4">
        <v>25.81</v>
      </c>
      <c r="H19" s="74"/>
      <c r="I19" s="74"/>
      <c r="J19" s="74"/>
      <c r="K19" s="74"/>
      <c r="L19" s="74"/>
      <c r="M19" s="74"/>
    </row>
    <row r="20" spans="2:13" s="1" customFormat="1">
      <c r="B20" s="1" t="s">
        <v>30</v>
      </c>
      <c r="D20" s="7">
        <v>1</v>
      </c>
      <c r="E20" s="7">
        <v>1</v>
      </c>
      <c r="F20" s="7">
        <v>1</v>
      </c>
      <c r="G20" s="7">
        <v>1</v>
      </c>
      <c r="H20" s="7"/>
      <c r="I20" s="7"/>
      <c r="J20" s="7"/>
      <c r="K20" s="7"/>
      <c r="L20" s="7"/>
      <c r="M20" s="7"/>
    </row>
    <row r="21" spans="2:13" s="1" customFormat="1">
      <c r="B21" s="1" t="s">
        <v>53</v>
      </c>
      <c r="D21" s="9">
        <v>45</v>
      </c>
      <c r="E21" s="9">
        <v>35</v>
      </c>
      <c r="F21" s="9"/>
      <c r="G21" s="9"/>
      <c r="H21" s="9"/>
      <c r="I21" s="9"/>
      <c r="J21" s="9"/>
      <c r="K21" s="9"/>
      <c r="L21" s="9"/>
      <c r="M21" s="9"/>
    </row>
    <row r="22" spans="2:13" s="1" customFormat="1" ht="153.75" customHeight="1">
      <c r="B22" s="19" t="s">
        <v>67</v>
      </c>
      <c r="C22" s="19"/>
      <c r="D22" s="198" t="s">
        <v>66</v>
      </c>
      <c r="E22" s="198" t="s">
        <v>75</v>
      </c>
      <c r="F22" s="198" t="s">
        <v>80</v>
      </c>
      <c r="G22" s="198" t="s">
        <v>81</v>
      </c>
      <c r="H22" s="198"/>
      <c r="I22" s="198"/>
      <c r="J22" s="198"/>
      <c r="K22" s="198"/>
      <c r="L22" s="198"/>
      <c r="M22" s="198"/>
    </row>
    <row r="23" spans="2:13" s="1" customForma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 s="1" customFormat="1" ht="14.4" thickBot="1">
      <c r="B24" s="96" t="s">
        <v>78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2:13" s="1" customFormat="1">
      <c r="B25" s="1" t="s">
        <v>17</v>
      </c>
      <c r="D25" s="4">
        <v>13.36</v>
      </c>
      <c r="E25" s="4"/>
      <c r="F25" s="4">
        <v>5.41</v>
      </c>
      <c r="G25" s="4">
        <v>17.48</v>
      </c>
      <c r="H25" s="4"/>
      <c r="I25" s="4"/>
      <c r="J25" s="4"/>
      <c r="K25" s="4"/>
      <c r="L25" s="4"/>
      <c r="M25" s="4"/>
    </row>
    <row r="26" spans="2:13" s="1" customFormat="1">
      <c r="B26" s="1" t="s">
        <v>18</v>
      </c>
      <c r="D26" s="4">
        <v>11.61</v>
      </c>
      <c r="E26" s="4"/>
      <c r="F26" s="4">
        <v>5.25</v>
      </c>
      <c r="G26" s="4">
        <v>17.809999999999999</v>
      </c>
      <c r="H26" s="4"/>
      <c r="I26" s="4"/>
      <c r="J26" s="4"/>
      <c r="K26" s="4"/>
      <c r="L26" s="4"/>
      <c r="M26" s="4"/>
    </row>
    <row r="27" spans="2:13" s="1" customFormat="1">
      <c r="B27" s="1" t="s">
        <v>19</v>
      </c>
      <c r="D27" s="4">
        <v>13.19</v>
      </c>
      <c r="E27" s="4"/>
      <c r="F27" s="4">
        <v>5.7</v>
      </c>
      <c r="G27" s="4">
        <v>14.74</v>
      </c>
      <c r="H27" s="4"/>
      <c r="I27" s="4"/>
      <c r="J27" s="4"/>
      <c r="K27" s="4"/>
      <c r="L27" s="4"/>
      <c r="M27" s="4"/>
    </row>
    <row r="28" spans="2:13" s="1" customFormat="1">
      <c r="B28" s="1" t="s">
        <v>20</v>
      </c>
      <c r="D28" s="8">
        <f t="shared" ref="D28:M28" si="1">IFERROR(D19/D25-1, "NM")</f>
        <v>0.23502994011976064</v>
      </c>
      <c r="E28" s="8" t="str">
        <f t="shared" si="1"/>
        <v>NM</v>
      </c>
      <c r="F28" s="8">
        <f t="shared" si="1"/>
        <v>0.46025878003696863</v>
      </c>
      <c r="G28" s="8">
        <f t="shared" si="1"/>
        <v>0.47654462242562912</v>
      </c>
      <c r="H28" s="8" t="str">
        <f t="shared" si="1"/>
        <v>NM</v>
      </c>
      <c r="I28" s="8" t="str">
        <f t="shared" si="1"/>
        <v>NM</v>
      </c>
      <c r="J28" s="8" t="str">
        <f t="shared" si="1"/>
        <v>NM</v>
      </c>
      <c r="K28" s="8" t="str">
        <f t="shared" si="1"/>
        <v>NM</v>
      </c>
      <c r="L28" s="8" t="str">
        <f t="shared" si="1"/>
        <v>NM</v>
      </c>
      <c r="M28" s="8" t="str">
        <f t="shared" si="1"/>
        <v>NM</v>
      </c>
    </row>
    <row r="29" spans="2:13" s="1" customFormat="1">
      <c r="B29" s="1" t="s">
        <v>21</v>
      </c>
      <c r="D29" s="8">
        <f t="shared" ref="D29:M29" si="2">IFERROR(D19/D26-1, "NM")</f>
        <v>0.42118863049095623</v>
      </c>
      <c r="E29" s="8" t="str">
        <f t="shared" si="2"/>
        <v>NM</v>
      </c>
      <c r="F29" s="8">
        <f t="shared" si="2"/>
        <v>0.50476190476190474</v>
      </c>
      <c r="G29" s="8">
        <f t="shared" si="2"/>
        <v>0.44918585064570471</v>
      </c>
      <c r="H29" s="8" t="str">
        <f t="shared" si="2"/>
        <v>NM</v>
      </c>
      <c r="I29" s="8" t="str">
        <f t="shared" si="2"/>
        <v>NM</v>
      </c>
      <c r="J29" s="8" t="str">
        <f t="shared" si="2"/>
        <v>NM</v>
      </c>
      <c r="K29" s="8" t="str">
        <f t="shared" si="2"/>
        <v>NM</v>
      </c>
      <c r="L29" s="8" t="str">
        <f t="shared" si="2"/>
        <v>NM</v>
      </c>
      <c r="M29" s="8" t="str">
        <f t="shared" si="2"/>
        <v>NM</v>
      </c>
    </row>
    <row r="30" spans="2:13" s="1" customFormat="1">
      <c r="B30" s="1" t="s">
        <v>22</v>
      </c>
      <c r="D30" s="8">
        <f t="shared" ref="D30:M30" si="3">IFERROR(D19/D27-1, "NM")</f>
        <v>0.25094768764215325</v>
      </c>
      <c r="E30" s="8" t="str">
        <f t="shared" si="3"/>
        <v>NM</v>
      </c>
      <c r="F30" s="8">
        <f t="shared" si="3"/>
        <v>0.38596491228070184</v>
      </c>
      <c r="G30" s="8">
        <f t="shared" si="3"/>
        <v>0.75101763907734043</v>
      </c>
      <c r="H30" s="8" t="str">
        <f t="shared" si="3"/>
        <v>NM</v>
      </c>
      <c r="I30" s="8" t="str">
        <f t="shared" si="3"/>
        <v>NM</v>
      </c>
      <c r="J30" s="8" t="str">
        <f t="shared" si="3"/>
        <v>NM</v>
      </c>
      <c r="K30" s="8" t="str">
        <f t="shared" si="3"/>
        <v>NM</v>
      </c>
      <c r="L30" s="8" t="str">
        <f t="shared" si="3"/>
        <v>NM</v>
      </c>
      <c r="M30" s="8" t="str">
        <f t="shared" si="3"/>
        <v>NM</v>
      </c>
    </row>
    <row r="31" spans="2:13" s="1" customFormat="1">
      <c r="D31" s="8"/>
      <c r="E31" s="8"/>
      <c r="F31" s="8"/>
      <c r="G31" s="8"/>
      <c r="H31"/>
      <c r="I31"/>
      <c r="J31" s="8"/>
      <c r="K31" s="8"/>
      <c r="L31" s="8"/>
      <c r="M31" s="8"/>
    </row>
    <row r="32" spans="2:13" s="1" customFormat="1" ht="14.4" thickBot="1">
      <c r="B32" s="96" t="s">
        <v>153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2:13" s="1" customFormat="1">
      <c r="B33" s="1" t="s">
        <v>28</v>
      </c>
      <c r="D33" s="43">
        <v>144.90464800000001</v>
      </c>
      <c r="E33" s="43"/>
      <c r="F33" s="43">
        <f>((((((394780516-1104582)/10)/10)/10)/10)/10)/10</f>
        <v>393.67593399999998</v>
      </c>
      <c r="G33" s="43"/>
      <c r="H33" s="43"/>
      <c r="I33" s="43"/>
      <c r="J33" s="43"/>
      <c r="K33" s="43"/>
      <c r="L33" s="43"/>
      <c r="M33" s="43"/>
    </row>
    <row r="34" spans="2:13" s="1" customFormat="1">
      <c r="B34" s="1" t="s">
        <v>29</v>
      </c>
      <c r="D34" s="71">
        <f t="shared" ref="D34:M34" si="4">D33/D20</f>
        <v>144.90464800000001</v>
      </c>
      <c r="E34" s="71">
        <f t="shared" si="4"/>
        <v>0</v>
      </c>
      <c r="F34" s="71">
        <f t="shared" si="4"/>
        <v>393.67593399999998</v>
      </c>
      <c r="G34" s="71">
        <f t="shared" si="4"/>
        <v>0</v>
      </c>
      <c r="H34" s="71" t="e">
        <f t="shared" si="4"/>
        <v>#DIV/0!</v>
      </c>
      <c r="I34" s="71" t="e">
        <f t="shared" si="4"/>
        <v>#DIV/0!</v>
      </c>
      <c r="J34" s="71" t="e">
        <f t="shared" si="4"/>
        <v>#DIV/0!</v>
      </c>
      <c r="K34" s="71" t="e">
        <f t="shared" si="4"/>
        <v>#DIV/0!</v>
      </c>
      <c r="L34" s="71" t="e">
        <f t="shared" si="4"/>
        <v>#DIV/0!</v>
      </c>
      <c r="M34" s="71" t="e">
        <f t="shared" si="4"/>
        <v>#DIV/0!</v>
      </c>
    </row>
    <row r="36" spans="2:13" s="1" customFormat="1">
      <c r="B36" s="1" t="s">
        <v>93</v>
      </c>
      <c r="G36" s="78"/>
    </row>
    <row r="37" spans="2:13" s="1" customFormat="1">
      <c r="B37" s="22">
        <v>1</v>
      </c>
      <c r="C37" s="22"/>
      <c r="D37" s="213">
        <v>29.803256999999995</v>
      </c>
      <c r="E37" s="79"/>
      <c r="F37" s="213">
        <v>23.832999999999998</v>
      </c>
      <c r="G37" s="79"/>
      <c r="H37" s="79"/>
      <c r="I37" s="79"/>
      <c r="J37" s="79"/>
      <c r="K37" s="79"/>
      <c r="L37" s="79"/>
      <c r="M37" s="79"/>
    </row>
    <row r="38" spans="2:13" s="1" customFormat="1">
      <c r="B38" s="22">
        <f>B37+1</f>
        <v>2</v>
      </c>
      <c r="C38" s="22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 s="1" customFormat="1">
      <c r="B39" s="22">
        <f t="shared" ref="B39:B50" si="5">B38+1</f>
        <v>3</v>
      </c>
      <c r="C39" s="22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 s="1" customFormat="1">
      <c r="B40" s="22">
        <f t="shared" si="5"/>
        <v>4</v>
      </c>
      <c r="C40" s="22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 s="1" customFormat="1">
      <c r="B41" s="22">
        <f t="shared" si="5"/>
        <v>5</v>
      </c>
      <c r="C41" s="22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 s="1" customFormat="1">
      <c r="B42" s="22">
        <f t="shared" si="5"/>
        <v>6</v>
      </c>
      <c r="C42" s="22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 s="1" customFormat="1">
      <c r="B43" s="22">
        <f t="shared" si="5"/>
        <v>7</v>
      </c>
      <c r="C43" s="22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 s="1" customFormat="1">
      <c r="B44" s="22">
        <f t="shared" si="5"/>
        <v>8</v>
      </c>
      <c r="C44" s="22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 s="1" customFormat="1">
      <c r="B45" s="22">
        <f t="shared" si="5"/>
        <v>9</v>
      </c>
      <c r="C45" s="22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 s="1" customFormat="1">
      <c r="B46" s="22">
        <f t="shared" si="5"/>
        <v>10</v>
      </c>
      <c r="C46" s="22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 s="1" customFormat="1">
      <c r="B47" s="22">
        <f t="shared" si="5"/>
        <v>11</v>
      </c>
      <c r="C47" s="22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 s="1" customFormat="1">
      <c r="B48" s="22">
        <f t="shared" si="5"/>
        <v>12</v>
      </c>
      <c r="C48" s="22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 s="1" customFormat="1">
      <c r="B49" s="22">
        <f t="shared" si="5"/>
        <v>13</v>
      </c>
      <c r="C49" s="22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 s="1" customFormat="1">
      <c r="B50" s="22">
        <f t="shared" si="5"/>
        <v>14</v>
      </c>
      <c r="C50" s="22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 s="1" customFormat="1">
      <c r="D51" s="24">
        <f>SUM(D37:D50)</f>
        <v>29.803256999999995</v>
      </c>
      <c r="E51" s="24">
        <f t="shared" ref="E51:M51" si="6">SUM(E37:E50)</f>
        <v>0</v>
      </c>
      <c r="F51" s="24">
        <f>SUM(F37:F50)</f>
        <v>23.832999999999998</v>
      </c>
      <c r="G51" s="24">
        <f t="shared" si="6"/>
        <v>0</v>
      </c>
      <c r="H51" s="24">
        <f t="shared" si="6"/>
        <v>0</v>
      </c>
      <c r="I51" s="24">
        <f t="shared" si="6"/>
        <v>0</v>
      </c>
      <c r="J51" s="24">
        <f t="shared" si="6"/>
        <v>0</v>
      </c>
      <c r="K51" s="24">
        <f t="shared" si="6"/>
        <v>0</v>
      </c>
      <c r="L51" s="24">
        <f t="shared" si="6"/>
        <v>0</v>
      </c>
      <c r="M51" s="24">
        <f t="shared" si="6"/>
        <v>0</v>
      </c>
    </row>
    <row r="52" spans="2:13" s="1" customFormat="1">
      <c r="B52" s="1" t="s">
        <v>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 s="1" customFormat="1">
      <c r="B53" s="22">
        <v>1</v>
      </c>
      <c r="C53" s="22"/>
      <c r="D53" s="214">
        <v>16.28</v>
      </c>
      <c r="E53" s="214"/>
      <c r="F53" s="214">
        <v>5.05</v>
      </c>
      <c r="G53" s="79"/>
      <c r="H53" s="79"/>
      <c r="I53" s="79"/>
      <c r="J53" s="79"/>
      <c r="K53" s="79"/>
      <c r="L53" s="79"/>
      <c r="M53" s="79"/>
    </row>
    <row r="54" spans="2:13" s="1" customFormat="1">
      <c r="B54" s="22">
        <f>B53+1</f>
        <v>2</v>
      </c>
      <c r="C54" s="22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 s="1" customFormat="1">
      <c r="B55" s="22">
        <f t="shared" ref="B55:B66" si="7">B54+1</f>
        <v>3</v>
      </c>
      <c r="C55" s="22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 s="1" customFormat="1">
      <c r="B56" s="22">
        <f t="shared" si="7"/>
        <v>4</v>
      </c>
      <c r="C56" s="22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 s="1" customFormat="1">
      <c r="B57" s="22">
        <f t="shared" si="7"/>
        <v>5</v>
      </c>
      <c r="C57" s="22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 s="1" customFormat="1">
      <c r="B58" s="22">
        <f t="shared" si="7"/>
        <v>6</v>
      </c>
      <c r="C58" s="22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 s="1" customFormat="1">
      <c r="B59" s="22">
        <f t="shared" si="7"/>
        <v>7</v>
      </c>
      <c r="C59" s="22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 s="1" customFormat="1">
      <c r="B60" s="22">
        <f t="shared" si="7"/>
        <v>8</v>
      </c>
      <c r="C60" s="22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 s="1" customFormat="1">
      <c r="B61" s="22">
        <f t="shared" si="7"/>
        <v>9</v>
      </c>
      <c r="C61" s="22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 s="1" customFormat="1">
      <c r="B62" s="22">
        <f t="shared" si="7"/>
        <v>10</v>
      </c>
      <c r="C62" s="22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 s="1" customFormat="1">
      <c r="B63" s="22">
        <f t="shared" si="7"/>
        <v>11</v>
      </c>
      <c r="C63" s="22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 s="1" customFormat="1">
      <c r="B64" s="22">
        <f t="shared" si="7"/>
        <v>12</v>
      </c>
      <c r="C64" s="22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 s="1" customFormat="1">
      <c r="B65" s="22">
        <f t="shared" si="7"/>
        <v>13</v>
      </c>
      <c r="C65" s="22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 s="1" customFormat="1">
      <c r="B66" s="22">
        <f t="shared" si="7"/>
        <v>14</v>
      </c>
      <c r="C66" s="22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8" spans="2:13" s="1" customFormat="1">
      <c r="B68" s="18" t="s">
        <v>23</v>
      </c>
      <c r="C68" s="18"/>
      <c r="D68" s="222">
        <f t="shared" ref="D68:M68" si="8">SUMPRODUCT((D53:D66&lt;D19)*(D53:D66),D37:D50)</f>
        <v>485.19702395999997</v>
      </c>
      <c r="E68" s="81">
        <f t="shared" si="8"/>
        <v>0</v>
      </c>
      <c r="F68" s="81">
        <f>SUMPRODUCT((F53:F66&lt;F19)*(F53:F66),F37:F50)</f>
        <v>120.35664999999999</v>
      </c>
      <c r="G68" s="81">
        <f t="shared" si="8"/>
        <v>0</v>
      </c>
      <c r="H68" s="81">
        <f t="shared" si="8"/>
        <v>0</v>
      </c>
      <c r="I68" s="81">
        <f t="shared" si="8"/>
        <v>0</v>
      </c>
      <c r="J68" s="81">
        <f t="shared" si="8"/>
        <v>0</v>
      </c>
      <c r="K68" s="81">
        <f t="shared" si="8"/>
        <v>0</v>
      </c>
      <c r="L68" s="81">
        <f t="shared" si="8"/>
        <v>0</v>
      </c>
      <c r="M68" s="81">
        <f t="shared" si="8"/>
        <v>0</v>
      </c>
    </row>
    <row r="69" spans="2:13" s="1" customFormat="1">
      <c r="B69" s="21" t="s">
        <v>27</v>
      </c>
      <c r="C69" s="21"/>
      <c r="D69" s="222">
        <f t="shared" ref="D69:M69" si="9">SUMIF(D53:D66,"&lt;"&amp;D19,D37:D50)</f>
        <v>29.803256999999995</v>
      </c>
      <c r="E69" s="81">
        <f t="shared" si="9"/>
        <v>0</v>
      </c>
      <c r="F69" s="81">
        <f>SUMIF(F53:F66,"&lt;"&amp;F19,F37:F50)</f>
        <v>23.832999999999998</v>
      </c>
      <c r="G69" s="81">
        <f t="shared" si="9"/>
        <v>0</v>
      </c>
      <c r="H69" s="81">
        <f t="shared" si="9"/>
        <v>0</v>
      </c>
      <c r="I69" s="81">
        <f t="shared" si="9"/>
        <v>0</v>
      </c>
      <c r="J69" s="81">
        <f t="shared" si="9"/>
        <v>0</v>
      </c>
      <c r="K69" s="81">
        <f t="shared" si="9"/>
        <v>0</v>
      </c>
      <c r="L69" s="81">
        <f t="shared" si="9"/>
        <v>0</v>
      </c>
      <c r="M69" s="81">
        <f t="shared" si="9"/>
        <v>0</v>
      </c>
    </row>
    <row r="70" spans="2:13" s="1" customFormat="1">
      <c r="B70" s="18" t="s">
        <v>24</v>
      </c>
      <c r="C70" s="18"/>
      <c r="D70" s="72">
        <f t="shared" ref="D70:M70" si="10">IFERROR(D69-D68/D19, "NM")</f>
        <v>0.39737675999999666</v>
      </c>
      <c r="E70" s="72" t="str">
        <f t="shared" si="10"/>
        <v>NM</v>
      </c>
      <c r="F70" s="82">
        <f t="shared" si="10"/>
        <v>8.597981012658229</v>
      </c>
      <c r="G70" s="82">
        <f t="shared" si="10"/>
        <v>0</v>
      </c>
      <c r="H70" s="72" t="str">
        <f t="shared" si="10"/>
        <v>NM</v>
      </c>
      <c r="I70" s="72" t="str">
        <f t="shared" si="10"/>
        <v>NM</v>
      </c>
      <c r="J70" s="72" t="str">
        <f t="shared" si="10"/>
        <v>NM</v>
      </c>
      <c r="K70" s="72" t="str">
        <f t="shared" si="10"/>
        <v>NM</v>
      </c>
      <c r="L70" s="72" t="str">
        <f t="shared" si="10"/>
        <v>NM</v>
      </c>
      <c r="M70" s="72" t="str">
        <f t="shared" si="10"/>
        <v>NM</v>
      </c>
    </row>
    <row r="71" spans="2:13" s="1" customFormat="1">
      <c r="B71" s="18" t="s">
        <v>25</v>
      </c>
      <c r="C71" s="18"/>
      <c r="D71" s="215">
        <v>0</v>
      </c>
      <c r="E71" s="25"/>
      <c r="F71" s="25"/>
      <c r="G71" s="25"/>
      <c r="H71" s="25"/>
      <c r="I71" s="25"/>
      <c r="J71" s="25"/>
      <c r="K71" s="25"/>
      <c r="L71" s="25"/>
      <c r="M71" s="25"/>
    </row>
    <row r="72" spans="2:13" s="1" customFormat="1">
      <c r="B72" s="18" t="s">
        <v>94</v>
      </c>
      <c r="C72" s="18"/>
      <c r="D72" s="216">
        <f>0.638+1.379</f>
        <v>2.0169999999999999</v>
      </c>
      <c r="E72" s="212"/>
      <c r="F72" s="223">
        <f>((((((1104582+10451425)/10)/10)/10)/10)/10)/10</f>
        <v>11.556006999999999</v>
      </c>
      <c r="G72" s="212"/>
      <c r="H72" s="212"/>
      <c r="I72" s="26"/>
      <c r="J72" s="26"/>
      <c r="K72" s="26"/>
      <c r="L72" s="26"/>
      <c r="M72" s="26"/>
    </row>
    <row r="73" spans="2:13" s="1" customFormat="1">
      <c r="B73" s="1" t="s">
        <v>26</v>
      </c>
      <c r="D73" s="73">
        <f>D34+SUM(D70:D72)</f>
        <v>147.31902476000002</v>
      </c>
      <c r="E73" s="73">
        <f t="shared" ref="E73:M73" si="11">E34+SUM(E70:E72)</f>
        <v>0</v>
      </c>
      <c r="F73" s="73">
        <f t="shared" si="11"/>
        <v>413.82992201265819</v>
      </c>
      <c r="G73" s="73">
        <f t="shared" ref="G73:H73" si="12">G34+SUM(G70:G72)</f>
        <v>0</v>
      </c>
      <c r="H73" s="73" t="e">
        <f t="shared" si="12"/>
        <v>#DIV/0!</v>
      </c>
      <c r="I73" s="73" t="e">
        <f t="shared" si="11"/>
        <v>#DIV/0!</v>
      </c>
      <c r="J73" s="73" t="e">
        <f t="shared" si="11"/>
        <v>#DIV/0!</v>
      </c>
      <c r="K73" s="73" t="e">
        <f t="shared" si="11"/>
        <v>#DIV/0!</v>
      </c>
      <c r="L73" s="73" t="e">
        <f t="shared" si="11"/>
        <v>#DIV/0!</v>
      </c>
      <c r="M73" s="73" t="e">
        <f t="shared" si="11"/>
        <v>#DIV/0!</v>
      </c>
    </row>
    <row r="74" spans="2:13" s="1" customFormat="1"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2:13" s="1" customFormat="1" ht="14.4" thickBot="1">
      <c r="B75" s="96" t="s">
        <v>95</v>
      </c>
      <c r="C75" s="70"/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spans="2:13" s="1" customFormat="1">
      <c r="B76" s="12" t="s">
        <v>156</v>
      </c>
      <c r="C76" s="13"/>
      <c r="D76" s="200">
        <f t="shared" ref="D76:M76" si="13">IFERROR(D73*D19, "NM")</f>
        <v>2430.7639085400001</v>
      </c>
      <c r="E76" s="200" t="str">
        <f t="shared" si="13"/>
        <v>NM</v>
      </c>
      <c r="F76" s="200">
        <f t="shared" si="13"/>
        <v>3269.2563838999999</v>
      </c>
      <c r="G76" s="200">
        <f t="shared" si="13"/>
        <v>0</v>
      </c>
      <c r="H76" s="200" t="str">
        <f t="shared" si="13"/>
        <v>NM</v>
      </c>
      <c r="I76" s="200" t="str">
        <f t="shared" si="13"/>
        <v>NM</v>
      </c>
      <c r="J76" s="200" t="str">
        <f t="shared" si="13"/>
        <v>NM</v>
      </c>
      <c r="K76" s="200" t="str">
        <f t="shared" si="13"/>
        <v>NM</v>
      </c>
      <c r="L76" s="200" t="str">
        <f t="shared" si="13"/>
        <v>NM</v>
      </c>
      <c r="M76" s="200" t="str">
        <f t="shared" si="13"/>
        <v>NM</v>
      </c>
    </row>
    <row r="77" spans="2:13" s="1" customFormat="1">
      <c r="B77" s="13" t="s">
        <v>154</v>
      </c>
      <c r="C77" s="13"/>
      <c r="D77" s="202"/>
      <c r="E77" s="202">
        <v>180</v>
      </c>
      <c r="F77" s="202"/>
      <c r="G77" s="202"/>
      <c r="H77" s="202"/>
      <c r="I77" s="202"/>
      <c r="J77" s="202"/>
      <c r="K77" s="202"/>
      <c r="L77" s="202"/>
      <c r="M77" s="202"/>
    </row>
    <row r="78" spans="2:13" s="1" customFormat="1">
      <c r="B78" s="16" t="s">
        <v>74</v>
      </c>
      <c r="C78" s="16"/>
      <c r="D78" s="201">
        <f t="shared" ref="D78" si="14">IF(D77,D77,D76)</f>
        <v>2430.7639085400001</v>
      </c>
      <c r="E78" s="201">
        <f>IF(E77,E77,E76)</f>
        <v>180</v>
      </c>
      <c r="F78" s="201">
        <f t="shared" ref="F78:M78" si="15">IF(F77,F77,F76)</f>
        <v>3269.2563838999999</v>
      </c>
      <c r="G78" s="201">
        <f t="shared" si="15"/>
        <v>0</v>
      </c>
      <c r="H78" s="201" t="str">
        <f t="shared" si="15"/>
        <v>NM</v>
      </c>
      <c r="I78" s="201" t="str">
        <f t="shared" si="15"/>
        <v>NM</v>
      </c>
      <c r="J78" s="201" t="str">
        <f t="shared" si="15"/>
        <v>NM</v>
      </c>
      <c r="K78" s="201" t="str">
        <f t="shared" si="15"/>
        <v>NM</v>
      </c>
      <c r="L78" s="201" t="str">
        <f t="shared" si="15"/>
        <v>NM</v>
      </c>
      <c r="M78" s="201" t="str">
        <f t="shared" si="15"/>
        <v>NM</v>
      </c>
    </row>
    <row r="79" spans="2:13" s="1" customFormat="1"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 s="1" customFormat="1">
      <c r="B80" s="205" t="s">
        <v>155</v>
      </c>
      <c r="C80" s="76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 s="1" customFormat="1">
      <c r="B81" s="3" t="s">
        <v>11</v>
      </c>
      <c r="C81" s="5"/>
      <c r="D81" s="30" t="s">
        <v>157</v>
      </c>
      <c r="E81" s="30" t="s">
        <v>158</v>
      </c>
      <c r="F81" s="30" t="s">
        <v>159</v>
      </c>
      <c r="G81" s="30"/>
      <c r="H81" s="30"/>
      <c r="I81" s="30"/>
      <c r="J81" s="30"/>
      <c r="K81" s="30"/>
      <c r="L81" s="30"/>
      <c r="M81" s="30"/>
    </row>
    <row r="82" spans="2:13" s="1" customFormat="1">
      <c r="B82" s="3" t="s">
        <v>31</v>
      </c>
      <c r="C82" s="5"/>
      <c r="D82" s="30">
        <v>39629</v>
      </c>
      <c r="E82" s="30">
        <v>41547</v>
      </c>
      <c r="F82" s="30">
        <v>42978</v>
      </c>
      <c r="G82" s="30"/>
      <c r="H82" s="30"/>
      <c r="I82" s="30"/>
      <c r="J82" s="30"/>
      <c r="K82" s="30"/>
      <c r="L82" s="30"/>
      <c r="M82" s="30"/>
    </row>
    <row r="83" spans="2:13" s="1" customFormat="1">
      <c r="B83" s="204"/>
      <c r="C83" s="40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2:13" s="1" customFormat="1">
      <c r="B84" s="3" t="s">
        <v>32</v>
      </c>
      <c r="C84" s="3"/>
      <c r="D84" s="219">
        <v>0</v>
      </c>
      <c r="E84" s="219">
        <v>0</v>
      </c>
      <c r="F84" s="219">
        <v>88</v>
      </c>
      <c r="G84" s="10"/>
      <c r="H84" s="10"/>
      <c r="I84" s="10"/>
      <c r="J84" s="10"/>
      <c r="K84" s="10"/>
      <c r="L84" s="10"/>
      <c r="M84" s="10"/>
    </row>
    <row r="85" spans="2:13" s="1" customFormat="1">
      <c r="B85" s="3" t="s">
        <v>33</v>
      </c>
      <c r="C85" s="3"/>
      <c r="D85" s="219">
        <v>0</v>
      </c>
      <c r="E85" s="219">
        <v>0</v>
      </c>
      <c r="F85" s="219">
        <v>112</v>
      </c>
      <c r="G85" s="10"/>
      <c r="H85" s="10"/>
      <c r="I85" s="10"/>
      <c r="J85" s="10"/>
      <c r="K85" s="10"/>
      <c r="L85" s="10"/>
      <c r="M85" s="10"/>
    </row>
    <row r="86" spans="2:13" s="1" customFormat="1">
      <c r="B86" s="3" t="s">
        <v>34</v>
      </c>
      <c r="C86" s="3"/>
      <c r="D86" s="219">
        <v>0</v>
      </c>
      <c r="E86" s="219">
        <v>0</v>
      </c>
      <c r="F86" s="10"/>
      <c r="G86" s="10"/>
      <c r="H86" s="10"/>
      <c r="I86" s="10"/>
      <c r="J86" s="10"/>
      <c r="K86" s="10"/>
      <c r="L86" s="10"/>
      <c r="M86" s="10"/>
    </row>
    <row r="87" spans="2:13" s="1" customFormat="1">
      <c r="B87" s="3" t="s">
        <v>35</v>
      </c>
      <c r="C87" s="3"/>
      <c r="D87" s="220">
        <v>0</v>
      </c>
      <c r="E87" s="220">
        <v>0</v>
      </c>
      <c r="F87" s="29"/>
      <c r="G87" s="29"/>
      <c r="H87" s="29"/>
      <c r="I87" s="29"/>
      <c r="J87" s="29"/>
      <c r="K87" s="29"/>
      <c r="L87" s="29"/>
      <c r="M87" s="29"/>
    </row>
    <row r="88" spans="2:13" s="1" customFormat="1">
      <c r="B88" s="3" t="s">
        <v>36</v>
      </c>
      <c r="C88" s="5"/>
      <c r="D88" s="27">
        <f t="shared" ref="D88:G88" si="16">SUM(D84:D87)</f>
        <v>0</v>
      </c>
      <c r="E88" s="27">
        <f t="shared" si="16"/>
        <v>0</v>
      </c>
      <c r="F88" s="27">
        <f t="shared" si="16"/>
        <v>200</v>
      </c>
      <c r="G88" s="27">
        <f t="shared" si="16"/>
        <v>0</v>
      </c>
      <c r="H88" s="27">
        <f t="shared" ref="H88:M88" si="17">SUM(H84:H87)</f>
        <v>0</v>
      </c>
      <c r="I88" s="27">
        <f t="shared" si="17"/>
        <v>0</v>
      </c>
      <c r="J88" s="27">
        <f t="shared" si="17"/>
        <v>0</v>
      </c>
      <c r="K88" s="27">
        <f t="shared" si="17"/>
        <v>0</v>
      </c>
      <c r="L88" s="27">
        <f t="shared" si="17"/>
        <v>0</v>
      </c>
      <c r="M88" s="27">
        <f t="shared" si="17"/>
        <v>0</v>
      </c>
    </row>
    <row r="89" spans="2:13" s="1" customFormat="1">
      <c r="B89" s="3" t="s">
        <v>37</v>
      </c>
      <c r="C89" s="3"/>
      <c r="D89" s="220">
        <f>-(257.94+590.906+101.273)</f>
        <v>-950.11900000000003</v>
      </c>
      <c r="E89" s="220">
        <v>-38.700000000000003</v>
      </c>
      <c r="F89" s="220">
        <f>(((-(625908+39915+24860))/10)/10)/10</f>
        <v>-690.68299999999999</v>
      </c>
      <c r="G89" s="29"/>
      <c r="H89" s="29"/>
      <c r="I89" s="29"/>
      <c r="J89" s="29"/>
      <c r="K89" s="29"/>
      <c r="L89" s="29"/>
      <c r="M89" s="29"/>
    </row>
    <row r="90" spans="2:13" s="1" customFormat="1">
      <c r="B90" s="3" t="s">
        <v>38</v>
      </c>
      <c r="C90" s="3"/>
      <c r="D90" s="221">
        <f t="shared" ref="D90:G90" si="18">SUM(D88:D89)</f>
        <v>-950.11900000000003</v>
      </c>
      <c r="E90" s="221">
        <f t="shared" si="18"/>
        <v>-38.700000000000003</v>
      </c>
      <c r="F90" s="221">
        <f t="shared" si="18"/>
        <v>-490.68299999999999</v>
      </c>
      <c r="G90" s="27">
        <f t="shared" si="18"/>
        <v>0</v>
      </c>
      <c r="H90" s="27">
        <f t="shared" ref="H90:M90" si="19">SUM(H88:H89)</f>
        <v>0</v>
      </c>
      <c r="I90" s="27">
        <f t="shared" si="19"/>
        <v>0</v>
      </c>
      <c r="J90" s="27">
        <f t="shared" si="19"/>
        <v>0</v>
      </c>
      <c r="K90" s="27">
        <f t="shared" si="19"/>
        <v>0</v>
      </c>
      <c r="L90" s="27">
        <f t="shared" si="19"/>
        <v>0</v>
      </c>
      <c r="M90" s="27">
        <f t="shared" si="19"/>
        <v>0</v>
      </c>
    </row>
    <row r="91" spans="2:13" s="1" customFormat="1">
      <c r="B91" s="41"/>
      <c r="C91" s="41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 s="1" customFormat="1">
      <c r="B92" s="28" t="s">
        <v>12</v>
      </c>
      <c r="C92" s="28"/>
      <c r="D92" s="203">
        <f t="shared" ref="D92:G92" si="20">IFERROR(D78+D90, "NM")</f>
        <v>1480.64490854</v>
      </c>
      <c r="E92" s="203">
        <f t="shared" si="20"/>
        <v>141.30000000000001</v>
      </c>
      <c r="F92" s="203">
        <f t="shared" si="20"/>
        <v>2778.5733839</v>
      </c>
      <c r="G92" s="203">
        <f t="shared" si="20"/>
        <v>0</v>
      </c>
      <c r="H92" s="203" t="str">
        <f t="shared" ref="H92:M92" si="21">IFERROR(H78+H90, "NM")</f>
        <v>NM</v>
      </c>
      <c r="I92" s="203" t="str">
        <f t="shared" si="21"/>
        <v>NM</v>
      </c>
      <c r="J92" s="203" t="str">
        <f t="shared" si="21"/>
        <v>NM</v>
      </c>
      <c r="K92" s="203" t="str">
        <f t="shared" si="21"/>
        <v>NM</v>
      </c>
      <c r="L92" s="203" t="str">
        <f t="shared" si="21"/>
        <v>NM</v>
      </c>
      <c r="M92" s="203" t="str">
        <f t="shared" si="21"/>
        <v>NM</v>
      </c>
    </row>
    <row r="93" spans="2:13" s="1" customFormat="1"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2:13" s="1" customFormat="1" ht="14.4" thickBot="1">
      <c r="B94" s="93" t="s">
        <v>7</v>
      </c>
      <c r="C94" s="94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2:13" s="1" customFormat="1">
      <c r="B95" s="75"/>
      <c r="C95" s="76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 s="1" customFormat="1">
      <c r="B96" s="206" t="s">
        <v>97</v>
      </c>
      <c r="C96" s="206"/>
      <c r="D96" s="207"/>
      <c r="E96" s="207"/>
      <c r="F96" s="211"/>
      <c r="G96" s="207"/>
      <c r="H96" s="207"/>
      <c r="I96" s="207"/>
      <c r="J96" s="207"/>
      <c r="K96" s="207"/>
      <c r="L96" s="207"/>
      <c r="M96" s="207"/>
    </row>
    <row r="97" spans="1:13">
      <c r="B97" s="13" t="s">
        <v>69</v>
      </c>
      <c r="C97" s="16"/>
      <c r="D97" s="91">
        <v>39447</v>
      </c>
      <c r="E97" s="91"/>
      <c r="F97" s="91"/>
      <c r="G97" s="91"/>
      <c r="H97" s="91"/>
      <c r="I97" s="91"/>
      <c r="J97" s="91"/>
      <c r="K97" s="91"/>
      <c r="L97" s="91"/>
      <c r="M97" s="91"/>
    </row>
    <row r="98" spans="1:13">
      <c r="B98" s="13" t="s">
        <v>39</v>
      </c>
      <c r="C98" s="13"/>
      <c r="D98" s="42">
        <v>607.20500000000004</v>
      </c>
      <c r="E98" s="42">
        <v>332.899</v>
      </c>
      <c r="F98" s="42">
        <v>1316.9780000000001</v>
      </c>
      <c r="G98" s="42"/>
      <c r="H98" s="42"/>
      <c r="I98" s="42"/>
      <c r="J98" s="42"/>
      <c r="K98" s="42"/>
      <c r="L98" s="42"/>
      <c r="M98" s="42"/>
    </row>
    <row r="99" spans="1:13">
      <c r="B99" s="84" t="s">
        <v>40</v>
      </c>
      <c r="C99" s="18"/>
      <c r="D99" s="43">
        <v>-236.41799999999998</v>
      </c>
      <c r="E99" s="43">
        <v>-155.65700000000001</v>
      </c>
      <c r="F99" s="43">
        <v>-565.51400000000001</v>
      </c>
      <c r="G99" s="43"/>
      <c r="H99" s="43"/>
      <c r="I99" s="43"/>
      <c r="J99" s="43"/>
      <c r="K99" s="43"/>
      <c r="L99" s="43"/>
      <c r="M99" s="43"/>
    </row>
    <row r="100" spans="1:13">
      <c r="B100" s="13" t="s">
        <v>41</v>
      </c>
      <c r="C100" s="13"/>
      <c r="D100" s="33">
        <f t="shared" ref="D100:G100" si="22">SUM(D98:D99)</f>
        <v>370.78700000000003</v>
      </c>
      <c r="E100" s="33">
        <f t="shared" si="22"/>
        <v>177.24199999999999</v>
      </c>
      <c r="F100" s="33">
        <f t="shared" si="22"/>
        <v>751.46400000000006</v>
      </c>
      <c r="G100" s="33">
        <f t="shared" si="22"/>
        <v>0</v>
      </c>
      <c r="H100" s="33">
        <f t="shared" ref="H100:M100" si="23">SUM(H98:H99)</f>
        <v>0</v>
      </c>
      <c r="I100" s="33">
        <f t="shared" si="23"/>
        <v>0</v>
      </c>
      <c r="J100" s="33">
        <f t="shared" si="23"/>
        <v>0</v>
      </c>
      <c r="K100" s="33">
        <f t="shared" si="23"/>
        <v>0</v>
      </c>
      <c r="L100" s="33">
        <f t="shared" si="23"/>
        <v>0</v>
      </c>
      <c r="M100" s="33">
        <f t="shared" si="23"/>
        <v>0</v>
      </c>
    </row>
    <row r="101" spans="1:13">
      <c r="B101" s="5" t="s">
        <v>42</v>
      </c>
      <c r="C101" s="3"/>
      <c r="D101" s="44">
        <v>-287.92099999999999</v>
      </c>
      <c r="E101" s="44">
        <v>-173.52099999999999</v>
      </c>
      <c r="F101" s="44">
        <v>-650.77199999999993</v>
      </c>
      <c r="G101" s="44"/>
      <c r="H101" s="44"/>
      <c r="I101" s="44"/>
      <c r="J101" s="44"/>
      <c r="K101" s="44"/>
      <c r="L101" s="44"/>
      <c r="M101" s="44"/>
    </row>
    <row r="102" spans="1:13">
      <c r="B102" s="41" t="s">
        <v>1</v>
      </c>
      <c r="C102" s="41"/>
      <c r="D102" s="45">
        <f t="shared" ref="D102:G102" si="24">SUM(D100:D101)</f>
        <v>82.866000000000042</v>
      </c>
      <c r="E102" s="45">
        <f t="shared" si="24"/>
        <v>3.7210000000000036</v>
      </c>
      <c r="F102" s="45">
        <f t="shared" si="24"/>
        <v>100.69200000000012</v>
      </c>
      <c r="G102" s="45">
        <f t="shared" si="24"/>
        <v>0</v>
      </c>
      <c r="H102" s="45">
        <f t="shared" ref="H102:M102" si="25">SUM(H100:H101)</f>
        <v>0</v>
      </c>
      <c r="I102" s="45">
        <f t="shared" si="25"/>
        <v>0</v>
      </c>
      <c r="J102" s="45">
        <f t="shared" si="25"/>
        <v>0</v>
      </c>
      <c r="K102" s="45">
        <f t="shared" si="25"/>
        <v>0</v>
      </c>
      <c r="L102" s="45">
        <f t="shared" si="25"/>
        <v>0</v>
      </c>
      <c r="M102" s="45">
        <f t="shared" si="25"/>
        <v>0</v>
      </c>
    </row>
    <row r="103" spans="1:13">
      <c r="B103" s="35" t="s">
        <v>43</v>
      </c>
      <c r="C103" s="21"/>
      <c r="D103" s="46">
        <v>0</v>
      </c>
      <c r="E103" s="46">
        <v>-8.6379999999999999</v>
      </c>
      <c r="F103" s="46">
        <v>-5.5629999999999997</v>
      </c>
      <c r="G103" s="46"/>
      <c r="H103" s="46"/>
      <c r="I103" s="46"/>
      <c r="J103" s="46"/>
      <c r="K103" s="46"/>
      <c r="L103" s="46"/>
      <c r="M103" s="46"/>
    </row>
    <row r="104" spans="1:13">
      <c r="B104" s="35" t="s">
        <v>44</v>
      </c>
      <c r="C104" s="21"/>
      <c r="D104" s="47">
        <v>43.536000000000001</v>
      </c>
      <c r="E104" s="47">
        <v>5.1950000000000003</v>
      </c>
      <c r="F104" s="47">
        <v>52.2</v>
      </c>
      <c r="G104" s="47"/>
      <c r="H104" s="47"/>
      <c r="I104" s="47"/>
      <c r="J104" s="47"/>
      <c r="K104" s="47"/>
      <c r="L104" s="47"/>
      <c r="M104" s="47"/>
    </row>
    <row r="105" spans="1:13">
      <c r="B105" s="13" t="s">
        <v>2</v>
      </c>
      <c r="C105" s="13"/>
      <c r="D105" s="33">
        <f t="shared" ref="D105:G105" si="26">SUM(D102:D104)</f>
        <v>126.40200000000004</v>
      </c>
      <c r="E105" s="33">
        <f t="shared" si="26"/>
        <v>0.27800000000000402</v>
      </c>
      <c r="F105" s="33">
        <f t="shared" si="26"/>
        <v>147.32900000000012</v>
      </c>
      <c r="G105" s="33">
        <f t="shared" si="26"/>
        <v>0</v>
      </c>
      <c r="H105" s="33">
        <f t="shared" ref="H105" si="27">SUM(H102:H104)</f>
        <v>0</v>
      </c>
      <c r="I105" s="33">
        <f t="shared" ref="I105:M105" si="28">SUM(I102:I104)</f>
        <v>0</v>
      </c>
      <c r="J105" s="33">
        <f t="shared" si="28"/>
        <v>0</v>
      </c>
      <c r="K105" s="33">
        <f t="shared" si="28"/>
        <v>0</v>
      </c>
      <c r="L105" s="33">
        <f t="shared" si="28"/>
        <v>0</v>
      </c>
      <c r="M105" s="33">
        <f t="shared" si="28"/>
        <v>0</v>
      </c>
    </row>
    <row r="106" spans="1:13">
      <c r="B106" s="5" t="s">
        <v>45</v>
      </c>
      <c r="C106" s="3"/>
      <c r="D106" s="46">
        <v>-45.259</v>
      </c>
      <c r="E106" s="46">
        <v>-0.39700000000000002</v>
      </c>
      <c r="F106" s="46">
        <v>-32.603999999999999</v>
      </c>
      <c r="G106" s="46"/>
      <c r="H106" s="46"/>
      <c r="I106" s="46"/>
      <c r="J106" s="46"/>
      <c r="K106" s="46"/>
      <c r="L106" s="46"/>
      <c r="M106" s="46"/>
    </row>
    <row r="107" spans="1:13">
      <c r="B107" s="13" t="s">
        <v>46</v>
      </c>
      <c r="C107" s="13"/>
      <c r="D107" s="33">
        <f t="shared" ref="D107:G107" si="29">SUM(D105:D106)</f>
        <v>81.143000000000043</v>
      </c>
      <c r="E107" s="33">
        <f t="shared" si="29"/>
        <v>-0.118999999999996</v>
      </c>
      <c r="F107" s="33">
        <f t="shared" si="29"/>
        <v>114.72500000000012</v>
      </c>
      <c r="G107" s="33">
        <f t="shared" si="29"/>
        <v>0</v>
      </c>
      <c r="H107" s="33">
        <f t="shared" ref="H107:M107" si="30">SUM(H105:H106)</f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</row>
    <row r="108" spans="1:13">
      <c r="B108" s="5" t="s">
        <v>47</v>
      </c>
      <c r="C108" s="5"/>
      <c r="D108" s="46">
        <v>155.52000000000001</v>
      </c>
      <c r="E108" s="46"/>
      <c r="F108" s="46">
        <v>394.20699999999999</v>
      </c>
      <c r="G108" s="46"/>
      <c r="H108" s="46"/>
      <c r="I108" s="46"/>
      <c r="J108" s="46"/>
      <c r="K108" s="46"/>
      <c r="L108" s="46"/>
      <c r="M108" s="46"/>
    </row>
    <row r="109" spans="1:13">
      <c r="B109" s="41" t="s">
        <v>48</v>
      </c>
      <c r="C109" s="41"/>
      <c r="D109" s="48">
        <f t="shared" ref="D109:G109" si="31">IFERROR(D107/D108, "0")</f>
        <v>0.52175282921810728</v>
      </c>
      <c r="E109" s="48" t="str">
        <f t="shared" si="31"/>
        <v>0</v>
      </c>
      <c r="F109" s="48">
        <f t="shared" si="31"/>
        <v>0.29102730291445894</v>
      </c>
      <c r="G109" s="48" t="str">
        <f t="shared" si="31"/>
        <v>0</v>
      </c>
      <c r="H109" s="48" t="str">
        <f t="shared" ref="H109:M109" si="32">IFERROR(H107/H108, "0")</f>
        <v>0</v>
      </c>
      <c r="I109" s="48" t="str">
        <f t="shared" si="32"/>
        <v>0</v>
      </c>
      <c r="J109" s="48" t="str">
        <f t="shared" si="32"/>
        <v>0</v>
      </c>
      <c r="K109" s="48" t="str">
        <f t="shared" si="32"/>
        <v>0</v>
      </c>
      <c r="L109" s="48" t="str">
        <f t="shared" si="32"/>
        <v>0</v>
      </c>
      <c r="M109" s="48" t="str">
        <f t="shared" si="32"/>
        <v>0</v>
      </c>
    </row>
    <row r="110" spans="1:13">
      <c r="B110" s="41"/>
      <c r="C110" s="41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s="17" customFormat="1">
      <c r="A111" s="36"/>
      <c r="B111" s="41" t="s">
        <v>82</v>
      </c>
      <c r="C111" s="49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s="17" customFormat="1">
      <c r="A112" s="36"/>
      <c r="B112" s="21" t="s">
        <v>85</v>
      </c>
      <c r="C112" s="21"/>
      <c r="D112" s="46">
        <f>1.457+2.029+0.25+0.228</f>
        <v>3.964</v>
      </c>
      <c r="E112" s="46">
        <f>(((454+773)/10)/10)/10</f>
        <v>1.2269999999999999</v>
      </c>
      <c r="F112" s="46">
        <v>3.028</v>
      </c>
      <c r="G112" s="46"/>
      <c r="H112" s="46"/>
      <c r="I112" s="46"/>
      <c r="J112" s="46"/>
      <c r="K112" s="46"/>
      <c r="L112" s="46"/>
      <c r="M112" s="46"/>
    </row>
    <row r="113" spans="1:254" s="17" customFormat="1">
      <c r="A113" s="36"/>
      <c r="B113" s="21" t="s">
        <v>86</v>
      </c>
      <c r="C113" s="21"/>
      <c r="D113" s="46">
        <f>(((16518+17916+3304+3128+676+8101+5714)/10)/10)/10</f>
        <v>55.356999999999992</v>
      </c>
      <c r="E113" s="46">
        <f>(((3338+3992+856+8021)/10)/10)/10</f>
        <v>16.207000000000001</v>
      </c>
      <c r="F113" s="46">
        <f>(((8679+95013-85200+800+2400+1150-2600+29636-3028)/10)/10)/10</f>
        <v>46.85</v>
      </c>
      <c r="G113" s="46"/>
      <c r="H113" s="46"/>
      <c r="I113" s="46"/>
      <c r="J113" s="46"/>
      <c r="K113" s="46"/>
      <c r="L113" s="46"/>
      <c r="M113" s="46"/>
    </row>
    <row r="114" spans="1:254" s="17" customFormat="1">
      <c r="A114" s="36"/>
      <c r="B114" s="21" t="s">
        <v>87</v>
      </c>
      <c r="C114" s="21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254" s="17" customFormat="1">
      <c r="A115" s="36"/>
      <c r="B115" s="21" t="s">
        <v>88</v>
      </c>
      <c r="C115" s="21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spans="1:254" s="17" customFormat="1">
      <c r="A116" s="36"/>
      <c r="B116" s="21" t="s">
        <v>89</v>
      </c>
      <c r="C116" s="21"/>
      <c r="D116" s="46">
        <v>-21.533999999999999</v>
      </c>
      <c r="E116" s="46"/>
      <c r="F116" s="46">
        <v>12.083</v>
      </c>
      <c r="G116" s="46"/>
      <c r="H116" s="46"/>
      <c r="I116" s="46"/>
      <c r="J116" s="46"/>
      <c r="K116" s="46"/>
      <c r="L116" s="46"/>
      <c r="M116" s="46"/>
    </row>
    <row r="117" spans="1:254" s="17" customFormat="1">
      <c r="A117" s="36"/>
      <c r="B117" s="21"/>
      <c r="C117" s="21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254" s="17" customFormat="1">
      <c r="A118" s="36"/>
      <c r="B118" s="83" t="s">
        <v>83</v>
      </c>
      <c r="C118" s="21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254">
      <c r="B119" s="3" t="s">
        <v>1</v>
      </c>
      <c r="C119" s="49"/>
      <c r="D119" s="92">
        <f t="shared" ref="D119:G119" si="33">D102+D112+D113</f>
        <v>142.18700000000004</v>
      </c>
      <c r="E119" s="92">
        <f t="shared" si="33"/>
        <v>21.155000000000005</v>
      </c>
      <c r="F119" s="92">
        <f t="shared" si="33"/>
        <v>150.57000000000014</v>
      </c>
      <c r="G119" s="92">
        <f t="shared" si="33"/>
        <v>0</v>
      </c>
      <c r="H119" s="92">
        <f t="shared" ref="H119:M119" si="34">H102+H112+H113</f>
        <v>0</v>
      </c>
      <c r="I119" s="92">
        <f t="shared" si="34"/>
        <v>0</v>
      </c>
      <c r="J119" s="92">
        <f t="shared" si="34"/>
        <v>0</v>
      </c>
      <c r="K119" s="92">
        <f t="shared" si="34"/>
        <v>0</v>
      </c>
      <c r="L119" s="92">
        <f t="shared" si="34"/>
        <v>0</v>
      </c>
      <c r="M119" s="92">
        <f t="shared" si="34"/>
        <v>0</v>
      </c>
    </row>
    <row r="120" spans="1:254">
      <c r="B120" s="21" t="s">
        <v>49</v>
      </c>
      <c r="C120" s="35"/>
      <c r="D120" s="47">
        <v>11.135</v>
      </c>
      <c r="E120" s="47">
        <f>(((-8021+13154)/10)/10)/10</f>
        <v>5.133</v>
      </c>
      <c r="F120" s="47">
        <f>(((124794-95013)/10)/10)/10</f>
        <v>29.780999999999999</v>
      </c>
      <c r="G120" s="47"/>
      <c r="H120" s="47"/>
      <c r="I120" s="47"/>
      <c r="J120" s="47"/>
      <c r="K120" s="47"/>
      <c r="L120" s="47"/>
      <c r="M120" s="47"/>
    </row>
    <row r="121" spans="1:254" s="17" customFormat="1">
      <c r="A121" s="36"/>
      <c r="B121" s="3" t="s">
        <v>0</v>
      </c>
      <c r="C121" s="41"/>
      <c r="D121" s="85">
        <f t="shared" ref="D121:G121" si="35">D119+D120</f>
        <v>153.32200000000003</v>
      </c>
      <c r="E121" s="85">
        <f t="shared" si="35"/>
        <v>26.288000000000004</v>
      </c>
      <c r="F121" s="85">
        <f t="shared" si="35"/>
        <v>180.35100000000014</v>
      </c>
      <c r="G121" s="85">
        <f t="shared" si="35"/>
        <v>0</v>
      </c>
      <c r="H121" s="85">
        <f t="shared" ref="H121:M121" si="36">H119+H120</f>
        <v>0</v>
      </c>
      <c r="I121" s="85">
        <f t="shared" si="36"/>
        <v>0</v>
      </c>
      <c r="J121" s="85">
        <f t="shared" si="36"/>
        <v>0</v>
      </c>
      <c r="K121" s="85">
        <f t="shared" si="36"/>
        <v>0</v>
      </c>
      <c r="L121" s="85">
        <f t="shared" si="36"/>
        <v>0</v>
      </c>
      <c r="M121" s="85">
        <f t="shared" si="36"/>
        <v>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</row>
    <row r="122" spans="1:254" s="17" customFormat="1">
      <c r="A122" s="36"/>
      <c r="B122" s="3" t="s">
        <v>2</v>
      </c>
      <c r="C122" s="41"/>
      <c r="D122" s="85">
        <f t="shared" ref="D122:G122" si="37">D105+D112+D113+D114+D115</f>
        <v>185.72300000000004</v>
      </c>
      <c r="E122" s="85">
        <f t="shared" si="37"/>
        <v>17.712000000000003</v>
      </c>
      <c r="F122" s="85">
        <f t="shared" si="37"/>
        <v>197.20700000000011</v>
      </c>
      <c r="G122" s="85">
        <f t="shared" si="37"/>
        <v>0</v>
      </c>
      <c r="H122" s="85">
        <f t="shared" ref="H122:M122" si="38">H105+H112+H113+H114+H115</f>
        <v>0</v>
      </c>
      <c r="I122" s="85">
        <f t="shared" si="38"/>
        <v>0</v>
      </c>
      <c r="J122" s="85">
        <f t="shared" si="38"/>
        <v>0</v>
      </c>
      <c r="K122" s="85">
        <f t="shared" si="38"/>
        <v>0</v>
      </c>
      <c r="L122" s="85">
        <f t="shared" si="38"/>
        <v>0</v>
      </c>
      <c r="M122" s="85">
        <f t="shared" si="38"/>
        <v>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</row>
    <row r="123" spans="1:254" s="17" customFormat="1">
      <c r="A123" s="36"/>
      <c r="B123" s="3" t="s">
        <v>45</v>
      </c>
      <c r="C123" s="41"/>
      <c r="D123" s="85">
        <f t="shared" ref="D123:G123" si="39">D106+D116</f>
        <v>-66.793000000000006</v>
      </c>
      <c r="E123" s="85">
        <f t="shared" si="39"/>
        <v>-0.39700000000000002</v>
      </c>
      <c r="F123" s="85">
        <f t="shared" si="39"/>
        <v>-20.521000000000001</v>
      </c>
      <c r="G123" s="85">
        <f t="shared" si="39"/>
        <v>0</v>
      </c>
      <c r="H123" s="85">
        <f t="shared" ref="H123:M123" si="40">H106+H116</f>
        <v>0</v>
      </c>
      <c r="I123" s="85">
        <f t="shared" si="40"/>
        <v>0</v>
      </c>
      <c r="J123" s="85">
        <f t="shared" si="40"/>
        <v>0</v>
      </c>
      <c r="K123" s="85">
        <f t="shared" si="40"/>
        <v>0</v>
      </c>
      <c r="L123" s="85">
        <f t="shared" si="40"/>
        <v>0</v>
      </c>
      <c r="M123" s="85">
        <f t="shared" si="40"/>
        <v>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</row>
    <row r="124" spans="1:254" s="17" customFormat="1">
      <c r="A124" s="36"/>
      <c r="B124" s="3" t="s">
        <v>84</v>
      </c>
      <c r="C124" s="41"/>
      <c r="D124" s="85">
        <f t="shared" ref="D124:G124" si="41">D122+D123</f>
        <v>118.93000000000004</v>
      </c>
      <c r="E124" s="85">
        <f t="shared" si="41"/>
        <v>17.315000000000005</v>
      </c>
      <c r="F124" s="85">
        <f t="shared" si="41"/>
        <v>176.68600000000009</v>
      </c>
      <c r="G124" s="85">
        <f t="shared" si="41"/>
        <v>0</v>
      </c>
      <c r="H124" s="85">
        <f t="shared" ref="H124:M124" si="42">H122+H123</f>
        <v>0</v>
      </c>
      <c r="I124" s="85">
        <f t="shared" si="42"/>
        <v>0</v>
      </c>
      <c r="J124" s="85">
        <f t="shared" si="42"/>
        <v>0</v>
      </c>
      <c r="K124" s="85">
        <f t="shared" si="42"/>
        <v>0</v>
      </c>
      <c r="L124" s="85">
        <f t="shared" si="42"/>
        <v>0</v>
      </c>
      <c r="M124" s="85">
        <f t="shared" si="42"/>
        <v>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</row>
    <row r="125" spans="1:254" s="17" customFormat="1">
      <c r="A125" s="36"/>
      <c r="B125" s="3"/>
      <c r="C125" s="41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</row>
    <row r="126" spans="1:254" s="17" customFormat="1">
      <c r="A126" s="36"/>
      <c r="B126" s="86" t="s">
        <v>90</v>
      </c>
      <c r="C126" s="4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</row>
    <row r="127" spans="1:254" s="17" customFormat="1">
      <c r="A127" s="36"/>
      <c r="B127" s="3" t="s">
        <v>91</v>
      </c>
      <c r="C127" s="41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</row>
    <row r="128" spans="1:254" s="17" customFormat="1">
      <c r="A128" s="36"/>
      <c r="B128" s="3" t="s">
        <v>92</v>
      </c>
      <c r="C128" s="41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</row>
    <row r="129" spans="1:254" s="17" customFormat="1">
      <c r="A129" s="36"/>
      <c r="B129" s="87" t="s">
        <v>48</v>
      </c>
      <c r="C129" s="41"/>
      <c r="D129" s="48">
        <f t="shared" ref="D129:G129" si="43">IFERROR((D124+D127)/(D108+D128),0)</f>
        <v>0.76472479423868334</v>
      </c>
      <c r="E129" s="48">
        <f t="shared" si="43"/>
        <v>0</v>
      </c>
      <c r="F129" s="48">
        <f t="shared" si="43"/>
        <v>0.44820614550223636</v>
      </c>
      <c r="G129" s="48">
        <f t="shared" si="43"/>
        <v>0</v>
      </c>
      <c r="H129" s="48">
        <f t="shared" ref="H129:M129" si="44">IFERROR((H124+H127)/(H108+H128),0)</f>
        <v>0</v>
      </c>
      <c r="I129" s="48">
        <f t="shared" si="44"/>
        <v>0</v>
      </c>
      <c r="J129" s="48">
        <f t="shared" si="44"/>
        <v>0</v>
      </c>
      <c r="K129" s="48">
        <f t="shared" si="44"/>
        <v>0</v>
      </c>
      <c r="L129" s="48">
        <f t="shared" si="44"/>
        <v>0</v>
      </c>
      <c r="M129" s="48">
        <f t="shared" si="44"/>
        <v>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</row>
    <row r="130" spans="1:254" s="17" customFormat="1">
      <c r="A130" s="36"/>
      <c r="B130" s="87"/>
      <c r="C130" s="41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</row>
    <row r="131" spans="1:254" s="17" customFormat="1">
      <c r="A131" s="36"/>
      <c r="B131" s="206" t="s">
        <v>96</v>
      </c>
      <c r="C131" s="209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</row>
    <row r="132" spans="1:254" s="17" customFormat="1">
      <c r="A132" s="36"/>
      <c r="B132" s="13" t="s">
        <v>69</v>
      </c>
      <c r="C132" s="16"/>
      <c r="D132" s="67">
        <v>39629</v>
      </c>
      <c r="E132" s="67"/>
      <c r="F132" s="67">
        <v>40056</v>
      </c>
      <c r="G132" s="67"/>
      <c r="H132" s="67"/>
      <c r="I132" s="67"/>
      <c r="J132" s="67"/>
      <c r="K132" s="67"/>
      <c r="L132" s="67"/>
      <c r="M132" s="67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</row>
    <row r="133" spans="1:254">
      <c r="B133" s="13" t="s">
        <v>39</v>
      </c>
      <c r="C133" s="13"/>
      <c r="D133" s="42">
        <v>310.73399999999998</v>
      </c>
      <c r="E133" s="42"/>
      <c r="F133" s="42">
        <v>290.50200000000001</v>
      </c>
      <c r="G133" s="42"/>
      <c r="H133" s="42"/>
      <c r="I133" s="42"/>
      <c r="J133" s="42"/>
      <c r="K133" s="42"/>
      <c r="L133" s="42"/>
      <c r="M133" s="42"/>
    </row>
    <row r="134" spans="1:254">
      <c r="B134" s="84" t="s">
        <v>40</v>
      </c>
      <c r="C134" s="18"/>
      <c r="D134" s="43">
        <v>-115.785</v>
      </c>
      <c r="E134" s="43"/>
      <c r="F134" s="43">
        <v>-123.931</v>
      </c>
      <c r="G134" s="43"/>
      <c r="H134" s="43"/>
      <c r="I134" s="43"/>
      <c r="J134" s="43"/>
      <c r="K134" s="43"/>
      <c r="L134" s="43"/>
      <c r="M134" s="43"/>
    </row>
    <row r="135" spans="1:254">
      <c r="B135" s="13" t="s">
        <v>41</v>
      </c>
      <c r="C135" s="13"/>
      <c r="D135" s="33">
        <f t="shared" ref="D135:G135" si="45">SUM(D133:D134)</f>
        <v>194.94899999999998</v>
      </c>
      <c r="E135" s="33">
        <f t="shared" si="45"/>
        <v>0</v>
      </c>
      <c r="F135" s="33">
        <f t="shared" si="45"/>
        <v>166.57100000000003</v>
      </c>
      <c r="G135" s="33">
        <f t="shared" si="45"/>
        <v>0</v>
      </c>
      <c r="H135" s="33">
        <f t="shared" ref="H135:M135" si="46">SUM(H133:H134)</f>
        <v>0</v>
      </c>
      <c r="I135" s="33">
        <f t="shared" si="46"/>
        <v>0</v>
      </c>
      <c r="J135" s="33">
        <f t="shared" si="46"/>
        <v>0</v>
      </c>
      <c r="K135" s="33">
        <f t="shared" si="46"/>
        <v>0</v>
      </c>
      <c r="L135" s="33">
        <f t="shared" si="46"/>
        <v>0</v>
      </c>
      <c r="M135" s="33">
        <f t="shared" si="46"/>
        <v>0</v>
      </c>
    </row>
    <row r="136" spans="1:254">
      <c r="B136" s="5" t="s">
        <v>42</v>
      </c>
      <c r="C136" s="3"/>
      <c r="D136" s="44">
        <v>-159.22399999999999</v>
      </c>
      <c r="E136" s="44"/>
      <c r="F136" s="44">
        <v>-163.32999999999998</v>
      </c>
      <c r="G136" s="44"/>
      <c r="H136" s="44"/>
      <c r="I136" s="44"/>
      <c r="J136" s="44"/>
      <c r="K136" s="44"/>
      <c r="L136" s="44"/>
      <c r="M136" s="44"/>
    </row>
    <row r="137" spans="1:254">
      <c r="B137" s="41" t="s">
        <v>1</v>
      </c>
      <c r="C137" s="41"/>
      <c r="D137" s="45">
        <f t="shared" ref="D137:G137" si="47">SUM(D135:D136)</f>
        <v>35.724999999999994</v>
      </c>
      <c r="E137" s="45">
        <f t="shared" si="47"/>
        <v>0</v>
      </c>
      <c r="F137" s="45">
        <f t="shared" si="47"/>
        <v>3.2410000000000423</v>
      </c>
      <c r="G137" s="45">
        <f t="shared" si="47"/>
        <v>0</v>
      </c>
      <c r="H137" s="45">
        <f t="shared" ref="H137:M137" si="48">SUM(H135:H136)</f>
        <v>0</v>
      </c>
      <c r="I137" s="45">
        <f t="shared" si="48"/>
        <v>0</v>
      </c>
      <c r="J137" s="45">
        <f t="shared" si="48"/>
        <v>0</v>
      </c>
      <c r="K137" s="45">
        <f t="shared" si="48"/>
        <v>0</v>
      </c>
      <c r="L137" s="45">
        <f t="shared" si="48"/>
        <v>0</v>
      </c>
      <c r="M137" s="45">
        <f t="shared" si="48"/>
        <v>0</v>
      </c>
    </row>
    <row r="138" spans="1:254">
      <c r="B138" s="35" t="s">
        <v>43</v>
      </c>
      <c r="C138" s="21"/>
      <c r="D138" s="46">
        <v>0</v>
      </c>
      <c r="E138" s="46"/>
      <c r="F138" s="46">
        <v>-1.0879999999999999</v>
      </c>
      <c r="G138" s="46"/>
      <c r="H138" s="46"/>
      <c r="I138" s="46"/>
      <c r="J138" s="46"/>
      <c r="K138" s="46"/>
      <c r="L138" s="46"/>
      <c r="M138" s="46"/>
    </row>
    <row r="139" spans="1:254">
      <c r="B139" s="35" t="s">
        <v>44</v>
      </c>
      <c r="C139" s="21"/>
      <c r="D139" s="47">
        <v>15.728</v>
      </c>
      <c r="E139" s="47"/>
      <c r="F139" s="47">
        <v>11.547000000000001</v>
      </c>
      <c r="G139" s="47"/>
      <c r="H139" s="47"/>
      <c r="I139" s="47"/>
      <c r="J139" s="47"/>
      <c r="K139" s="47"/>
      <c r="L139" s="47"/>
      <c r="M139" s="47"/>
    </row>
    <row r="140" spans="1:254">
      <c r="B140" s="13" t="s">
        <v>2</v>
      </c>
      <c r="C140" s="13"/>
      <c r="D140" s="33">
        <f t="shared" ref="D140:G140" si="49">SUM(D137:D139)</f>
        <v>51.452999999999996</v>
      </c>
      <c r="E140" s="33">
        <f t="shared" si="49"/>
        <v>0</v>
      </c>
      <c r="F140" s="33">
        <f t="shared" si="49"/>
        <v>13.700000000000042</v>
      </c>
      <c r="G140" s="33">
        <f t="shared" si="49"/>
        <v>0</v>
      </c>
      <c r="H140" s="33">
        <f t="shared" ref="H140:M140" si="50">SUM(H137:H139)</f>
        <v>0</v>
      </c>
      <c r="I140" s="33">
        <f t="shared" si="50"/>
        <v>0</v>
      </c>
      <c r="J140" s="33">
        <f t="shared" si="50"/>
        <v>0</v>
      </c>
      <c r="K140" s="33">
        <f t="shared" si="50"/>
        <v>0</v>
      </c>
      <c r="L140" s="33">
        <f t="shared" si="50"/>
        <v>0</v>
      </c>
      <c r="M140" s="33">
        <f t="shared" si="50"/>
        <v>0</v>
      </c>
    </row>
    <row r="141" spans="1:254">
      <c r="B141" s="5" t="s">
        <v>45</v>
      </c>
      <c r="C141" s="3"/>
      <c r="D141" s="46">
        <v>-19.220999999999997</v>
      </c>
      <c r="E141" s="46"/>
      <c r="F141" s="46">
        <v>-6.2389999999999999</v>
      </c>
      <c r="G141" s="46"/>
      <c r="H141" s="46"/>
      <c r="I141" s="46"/>
      <c r="J141" s="46"/>
      <c r="K141" s="46"/>
      <c r="L141" s="46"/>
      <c r="M141" s="46"/>
    </row>
    <row r="142" spans="1:254">
      <c r="B142" s="13" t="s">
        <v>46</v>
      </c>
      <c r="C142" s="13"/>
      <c r="D142" s="33">
        <f t="shared" ref="D142:G142" si="51">SUM(D140:D141)</f>
        <v>32.231999999999999</v>
      </c>
      <c r="E142" s="33">
        <f t="shared" si="51"/>
        <v>0</v>
      </c>
      <c r="F142" s="33">
        <f t="shared" si="51"/>
        <v>7.461000000000042</v>
      </c>
      <c r="G142" s="33">
        <f t="shared" si="51"/>
        <v>0</v>
      </c>
      <c r="H142" s="33">
        <f t="shared" ref="H142:M142" si="52">SUM(H140:H141)</f>
        <v>0</v>
      </c>
      <c r="I142" s="33">
        <f t="shared" si="52"/>
        <v>0</v>
      </c>
      <c r="J142" s="33">
        <f t="shared" si="52"/>
        <v>0</v>
      </c>
      <c r="K142" s="33">
        <f t="shared" si="52"/>
        <v>0</v>
      </c>
      <c r="L142" s="33">
        <f t="shared" si="52"/>
        <v>0</v>
      </c>
      <c r="M142" s="33">
        <f t="shared" si="52"/>
        <v>0</v>
      </c>
    </row>
    <row r="143" spans="1:254">
      <c r="B143" s="5" t="s">
        <v>47</v>
      </c>
      <c r="C143" s="5"/>
      <c r="D143" s="46">
        <v>150.21899999999999</v>
      </c>
      <c r="E143" s="46"/>
      <c r="F143" s="46">
        <v>396.26599999999996</v>
      </c>
      <c r="G143" s="46"/>
      <c r="H143" s="46"/>
      <c r="I143" s="46"/>
      <c r="J143" s="46"/>
      <c r="K143" s="46"/>
      <c r="L143" s="46"/>
      <c r="M143" s="46"/>
    </row>
    <row r="144" spans="1:254">
      <c r="B144" s="41" t="s">
        <v>48</v>
      </c>
      <c r="C144" s="41"/>
      <c r="D144" s="48">
        <f t="shared" ref="D144:G144" si="53">IFERROR(D142/D143, "0")</f>
        <v>0.21456673257044714</v>
      </c>
      <c r="E144" s="48" t="str">
        <f t="shared" si="53"/>
        <v>0</v>
      </c>
      <c r="F144" s="48">
        <f t="shared" si="53"/>
        <v>1.8828261824128344E-2</v>
      </c>
      <c r="G144" s="48" t="str">
        <f t="shared" si="53"/>
        <v>0</v>
      </c>
      <c r="H144" s="48" t="str">
        <f t="shared" ref="H144:M144" si="54">IFERROR(H142/H143, "0")</f>
        <v>0</v>
      </c>
      <c r="I144" s="48" t="str">
        <f t="shared" si="54"/>
        <v>0</v>
      </c>
      <c r="J144" s="48" t="str">
        <f t="shared" si="54"/>
        <v>0</v>
      </c>
      <c r="K144" s="48" t="str">
        <f t="shared" si="54"/>
        <v>0</v>
      </c>
      <c r="L144" s="48" t="str">
        <f t="shared" si="54"/>
        <v>0</v>
      </c>
      <c r="M144" s="48" t="str">
        <f t="shared" si="54"/>
        <v>0</v>
      </c>
    </row>
    <row r="145" spans="1:13">
      <c r="B145" s="41"/>
      <c r="C145" s="41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s="17" customFormat="1">
      <c r="A146" s="36"/>
      <c r="B146" s="83" t="s">
        <v>82</v>
      </c>
      <c r="C146" s="90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s="17" customFormat="1">
      <c r="A147" s="36"/>
      <c r="B147" s="21" t="s">
        <v>85</v>
      </c>
      <c r="C147" s="21"/>
      <c r="D147" s="46">
        <f>(((905+1722)/10)/10)/10</f>
        <v>2.6269999999999998</v>
      </c>
      <c r="E147" s="46"/>
      <c r="F147" s="46">
        <v>0.54</v>
      </c>
      <c r="G147" s="46"/>
      <c r="H147" s="46"/>
      <c r="I147" s="46"/>
      <c r="J147" s="46"/>
      <c r="K147" s="46"/>
      <c r="L147" s="46"/>
      <c r="M147" s="46"/>
    </row>
    <row r="148" spans="1:13" s="17" customFormat="1">
      <c r="A148" s="36"/>
      <c r="B148" s="21" t="s">
        <v>86</v>
      </c>
      <c r="C148" s="21"/>
      <c r="D148" s="46">
        <f>(((8717+9971+3843)/10)/10)/10</f>
        <v>22.530999999999999</v>
      </c>
      <c r="E148" s="46"/>
      <c r="F148" s="46">
        <v>22.548999999999999</v>
      </c>
      <c r="G148" s="46"/>
      <c r="H148" s="46"/>
      <c r="I148" s="46"/>
      <c r="J148" s="46"/>
      <c r="K148" s="46"/>
      <c r="L148" s="46"/>
      <c r="M148" s="46"/>
    </row>
    <row r="149" spans="1:13" s="17" customFormat="1">
      <c r="A149" s="36"/>
      <c r="B149" s="21" t="s">
        <v>87</v>
      </c>
      <c r="C149" s="21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 s="17" customFormat="1">
      <c r="A150" s="36"/>
      <c r="B150" s="21" t="s">
        <v>88</v>
      </c>
      <c r="C150" s="21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>
      <c r="B151" s="21" t="s">
        <v>89</v>
      </c>
      <c r="C151" s="21"/>
      <c r="D151" s="46">
        <v>-9.1039999999999992</v>
      </c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>
      <c r="B152" s="21"/>
      <c r="C152" s="21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B153" s="83" t="s">
        <v>83</v>
      </c>
      <c r="C153" s="21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s="17" customFormat="1">
      <c r="A154" s="36"/>
      <c r="B154" s="21" t="s">
        <v>1</v>
      </c>
      <c r="C154" s="90"/>
      <c r="D154" s="33">
        <f t="shared" ref="D154:G154" si="55">D137+D147+D148</f>
        <v>60.882999999999996</v>
      </c>
      <c r="E154" s="33">
        <f t="shared" si="55"/>
        <v>0</v>
      </c>
      <c r="F154" s="33">
        <f t="shared" si="55"/>
        <v>26.330000000000041</v>
      </c>
      <c r="G154" s="33">
        <f t="shared" si="55"/>
        <v>0</v>
      </c>
      <c r="H154" s="33">
        <f t="shared" ref="H154:M154" si="56">H137+H147+H148</f>
        <v>0</v>
      </c>
      <c r="I154" s="33">
        <f t="shared" si="56"/>
        <v>0</v>
      </c>
      <c r="J154" s="33">
        <f t="shared" si="56"/>
        <v>0</v>
      </c>
      <c r="K154" s="33">
        <f t="shared" si="56"/>
        <v>0</v>
      </c>
      <c r="L154" s="33">
        <f t="shared" si="56"/>
        <v>0</v>
      </c>
      <c r="M154" s="33">
        <f t="shared" si="56"/>
        <v>0</v>
      </c>
    </row>
    <row r="155" spans="1:13">
      <c r="B155" s="21" t="s">
        <v>49</v>
      </c>
      <c r="C155" s="35"/>
      <c r="D155" s="47">
        <v>5.1289999999999996</v>
      </c>
      <c r="E155" s="47"/>
      <c r="F155" s="47">
        <v>4.5860000000000003</v>
      </c>
      <c r="G155" s="47"/>
      <c r="H155" s="47"/>
      <c r="I155" s="47"/>
      <c r="J155" s="47"/>
      <c r="K155" s="47"/>
      <c r="L155" s="47"/>
      <c r="M155" s="47"/>
    </row>
    <row r="156" spans="1:13">
      <c r="B156" s="21" t="s">
        <v>0</v>
      </c>
      <c r="C156" s="41"/>
      <c r="D156" s="85">
        <f t="shared" ref="D156:G156" si="57">D154+D155</f>
        <v>66.012</v>
      </c>
      <c r="E156" s="85">
        <f t="shared" si="57"/>
        <v>0</v>
      </c>
      <c r="F156" s="85">
        <f t="shared" si="57"/>
        <v>30.916000000000039</v>
      </c>
      <c r="G156" s="85">
        <f t="shared" si="57"/>
        <v>0</v>
      </c>
      <c r="H156" s="85">
        <f t="shared" ref="H156:M156" si="58">H154+H155</f>
        <v>0</v>
      </c>
      <c r="I156" s="85">
        <f t="shared" si="58"/>
        <v>0</v>
      </c>
      <c r="J156" s="85">
        <f t="shared" si="58"/>
        <v>0</v>
      </c>
      <c r="K156" s="85">
        <f t="shared" si="58"/>
        <v>0</v>
      </c>
      <c r="L156" s="85">
        <f t="shared" si="58"/>
        <v>0</v>
      </c>
      <c r="M156" s="85">
        <f t="shared" si="58"/>
        <v>0</v>
      </c>
    </row>
    <row r="157" spans="1:13">
      <c r="B157" s="21" t="s">
        <v>2</v>
      </c>
      <c r="C157" s="41"/>
      <c r="D157" s="85">
        <f t="shared" ref="D157:G157" si="59">D140+D147+D148+D149+D150</f>
        <v>76.61099999999999</v>
      </c>
      <c r="E157" s="85">
        <f t="shared" si="59"/>
        <v>0</v>
      </c>
      <c r="F157" s="85">
        <f t="shared" si="59"/>
        <v>36.789000000000044</v>
      </c>
      <c r="G157" s="85">
        <f t="shared" si="59"/>
        <v>0</v>
      </c>
      <c r="H157" s="85">
        <f t="shared" ref="H157:M157" si="60">H140+H147+H148+H149+H150</f>
        <v>0</v>
      </c>
      <c r="I157" s="85">
        <f t="shared" si="60"/>
        <v>0</v>
      </c>
      <c r="J157" s="85">
        <f t="shared" si="60"/>
        <v>0</v>
      </c>
      <c r="K157" s="85">
        <f t="shared" si="60"/>
        <v>0</v>
      </c>
      <c r="L157" s="85">
        <f t="shared" si="60"/>
        <v>0</v>
      </c>
      <c r="M157" s="85">
        <f t="shared" si="60"/>
        <v>0</v>
      </c>
    </row>
    <row r="158" spans="1:13">
      <c r="B158" s="21" t="s">
        <v>45</v>
      </c>
      <c r="C158" s="41"/>
      <c r="D158" s="85">
        <f t="shared" ref="D158:G158" si="61">D141+D151</f>
        <v>-28.324999999999996</v>
      </c>
      <c r="E158" s="85">
        <f t="shared" si="61"/>
        <v>0</v>
      </c>
      <c r="F158" s="85">
        <f t="shared" si="61"/>
        <v>-6.2389999999999999</v>
      </c>
      <c r="G158" s="85">
        <f t="shared" si="61"/>
        <v>0</v>
      </c>
      <c r="H158" s="85">
        <f t="shared" ref="H158:M158" si="62">H141+H151</f>
        <v>0</v>
      </c>
      <c r="I158" s="85">
        <f t="shared" si="62"/>
        <v>0</v>
      </c>
      <c r="J158" s="85">
        <f t="shared" si="62"/>
        <v>0</v>
      </c>
      <c r="K158" s="85">
        <f t="shared" si="62"/>
        <v>0</v>
      </c>
      <c r="L158" s="85">
        <f t="shared" si="62"/>
        <v>0</v>
      </c>
      <c r="M158" s="85">
        <f t="shared" si="62"/>
        <v>0</v>
      </c>
    </row>
    <row r="159" spans="1:13">
      <c r="B159" s="21" t="s">
        <v>84</v>
      </c>
      <c r="C159" s="41"/>
      <c r="D159" s="85">
        <f t="shared" ref="D159:G159" si="63">D157+D158</f>
        <v>48.285999999999994</v>
      </c>
      <c r="E159" s="85">
        <f t="shared" si="63"/>
        <v>0</v>
      </c>
      <c r="F159" s="85">
        <f t="shared" si="63"/>
        <v>30.550000000000043</v>
      </c>
      <c r="G159" s="85">
        <f t="shared" si="63"/>
        <v>0</v>
      </c>
      <c r="H159" s="85">
        <f t="shared" ref="H159:M159" si="64">H157+H158</f>
        <v>0</v>
      </c>
      <c r="I159" s="85">
        <f t="shared" si="64"/>
        <v>0</v>
      </c>
      <c r="J159" s="85">
        <f t="shared" si="64"/>
        <v>0</v>
      </c>
      <c r="K159" s="85">
        <f t="shared" si="64"/>
        <v>0</v>
      </c>
      <c r="L159" s="85">
        <f t="shared" si="64"/>
        <v>0</v>
      </c>
      <c r="M159" s="85">
        <f t="shared" si="64"/>
        <v>0</v>
      </c>
    </row>
    <row r="160" spans="1:13">
      <c r="B160" s="41"/>
      <c r="C160" s="41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spans="1:254">
      <c r="B161" s="86" t="s">
        <v>90</v>
      </c>
      <c r="C161" s="41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spans="1:254">
      <c r="B162" s="3" t="s">
        <v>91</v>
      </c>
      <c r="C162" s="41"/>
      <c r="D162" s="88"/>
      <c r="E162" s="88"/>
      <c r="F162" s="88"/>
      <c r="G162" s="88"/>
      <c r="H162" s="88"/>
      <c r="I162" s="88"/>
      <c r="J162" s="88"/>
      <c r="K162" s="88"/>
      <c r="L162" s="88"/>
      <c r="M162" s="88"/>
    </row>
    <row r="163" spans="1:254">
      <c r="B163" s="3" t="s">
        <v>92</v>
      </c>
      <c r="C163" s="41"/>
      <c r="D163" s="88"/>
      <c r="E163" s="88"/>
      <c r="F163" s="88"/>
      <c r="G163" s="88"/>
      <c r="H163" s="88"/>
      <c r="I163" s="88"/>
      <c r="J163" s="88"/>
      <c r="K163" s="88"/>
      <c r="L163" s="88"/>
      <c r="M163" s="88"/>
    </row>
    <row r="164" spans="1:254">
      <c r="B164" s="87" t="s">
        <v>48</v>
      </c>
      <c r="C164" s="41"/>
      <c r="D164" s="48">
        <f t="shared" ref="D164:G164" si="65">IFERROR((D159+D162)/(D143+D163),0)</f>
        <v>0.32143736810922718</v>
      </c>
      <c r="E164" s="48">
        <f t="shared" si="65"/>
        <v>0</v>
      </c>
      <c r="F164" s="48">
        <f t="shared" si="65"/>
        <v>7.7094678826848742E-2</v>
      </c>
      <c r="G164" s="48">
        <f t="shared" si="65"/>
        <v>0</v>
      </c>
      <c r="H164" s="48">
        <f t="shared" ref="H164:M164" si="66">IFERROR((H159+H162)/(H143+H163),0)</f>
        <v>0</v>
      </c>
      <c r="I164" s="48">
        <f t="shared" si="66"/>
        <v>0</v>
      </c>
      <c r="J164" s="48">
        <f t="shared" si="66"/>
        <v>0</v>
      </c>
      <c r="K164" s="48">
        <f t="shared" si="66"/>
        <v>0</v>
      </c>
      <c r="L164" s="48">
        <f t="shared" si="66"/>
        <v>0</v>
      </c>
      <c r="M164" s="48">
        <f t="shared" si="66"/>
        <v>0</v>
      </c>
    </row>
    <row r="165" spans="1:254">
      <c r="B165" s="41"/>
      <c r="C165" s="41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254" s="17" customFormat="1">
      <c r="A166" s="36"/>
      <c r="B166" s="206" t="s">
        <v>98</v>
      </c>
      <c r="C166" s="209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</row>
    <row r="167" spans="1:254" s="17" customFormat="1">
      <c r="A167" s="36"/>
      <c r="B167" s="13" t="s">
        <v>69</v>
      </c>
      <c r="C167" s="16"/>
      <c r="D167" s="67">
        <v>39263</v>
      </c>
      <c r="E167" s="67"/>
      <c r="F167" s="67">
        <v>39691</v>
      </c>
      <c r="G167" s="67"/>
      <c r="H167" s="67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</row>
    <row r="168" spans="1:254">
      <c r="B168" s="13" t="s">
        <v>39</v>
      </c>
      <c r="C168" s="13"/>
      <c r="D168" s="42">
        <v>279.053</v>
      </c>
      <c r="E168" s="42"/>
      <c r="F168" s="42">
        <v>342.65</v>
      </c>
      <c r="G168" s="42"/>
      <c r="H168" s="42"/>
      <c r="I168" s="42"/>
      <c r="J168" s="42"/>
      <c r="K168" s="42"/>
      <c r="L168" s="42"/>
      <c r="M168" s="42"/>
    </row>
    <row r="169" spans="1:254">
      <c r="B169" s="84" t="s">
        <v>40</v>
      </c>
      <c r="C169" s="18"/>
      <c r="D169" s="43">
        <v>-113.742</v>
      </c>
      <c r="E169" s="43"/>
      <c r="F169" s="43">
        <v>-152.023</v>
      </c>
      <c r="G169" s="43"/>
      <c r="H169" s="43"/>
      <c r="I169" s="43"/>
      <c r="J169" s="43"/>
      <c r="K169" s="43"/>
      <c r="L169" s="43"/>
      <c r="M169" s="43"/>
    </row>
    <row r="170" spans="1:254">
      <c r="B170" s="13" t="s">
        <v>41</v>
      </c>
      <c r="C170" s="13"/>
      <c r="D170" s="33">
        <f t="shared" ref="D170:G170" si="67">SUM(D168:D169)</f>
        <v>165.31099999999998</v>
      </c>
      <c r="E170" s="33">
        <f t="shared" si="67"/>
        <v>0</v>
      </c>
      <c r="F170" s="33">
        <f t="shared" si="67"/>
        <v>190.62699999999998</v>
      </c>
      <c r="G170" s="33">
        <f t="shared" si="67"/>
        <v>0</v>
      </c>
      <c r="H170" s="33">
        <f t="shared" ref="H170:M170" si="68">SUM(H168:H169)</f>
        <v>0</v>
      </c>
      <c r="I170" s="33">
        <f t="shared" si="68"/>
        <v>0</v>
      </c>
      <c r="J170" s="33">
        <f t="shared" si="68"/>
        <v>0</v>
      </c>
      <c r="K170" s="33">
        <f t="shared" si="68"/>
        <v>0</v>
      </c>
      <c r="L170" s="33">
        <f t="shared" si="68"/>
        <v>0</v>
      </c>
      <c r="M170" s="33">
        <f t="shared" si="68"/>
        <v>0</v>
      </c>
    </row>
    <row r="171" spans="1:254">
      <c r="B171" s="5" t="s">
        <v>42</v>
      </c>
      <c r="C171" s="3"/>
      <c r="D171" s="44">
        <v>-145.96700000000001</v>
      </c>
      <c r="E171" s="44"/>
      <c r="F171" s="44">
        <v>-116.244</v>
      </c>
      <c r="G171" s="44"/>
      <c r="H171" s="44"/>
      <c r="I171" s="44"/>
      <c r="J171" s="44"/>
      <c r="K171" s="44"/>
      <c r="L171" s="44"/>
      <c r="M171" s="44"/>
    </row>
    <row r="172" spans="1:254">
      <c r="B172" s="41" t="s">
        <v>1</v>
      </c>
      <c r="C172" s="41"/>
      <c r="D172" s="45">
        <f t="shared" ref="D172:G172" si="69">SUM(D170:D171)</f>
        <v>19.343999999999966</v>
      </c>
      <c r="E172" s="45">
        <f t="shared" si="69"/>
        <v>0</v>
      </c>
      <c r="F172" s="45">
        <f t="shared" si="69"/>
        <v>74.382999999999981</v>
      </c>
      <c r="G172" s="45">
        <f t="shared" si="69"/>
        <v>0</v>
      </c>
      <c r="H172" s="45">
        <f t="shared" ref="H172:M172" si="70">SUM(H170:H171)</f>
        <v>0</v>
      </c>
      <c r="I172" s="45">
        <f t="shared" si="70"/>
        <v>0</v>
      </c>
      <c r="J172" s="45">
        <f t="shared" si="70"/>
        <v>0</v>
      </c>
      <c r="K172" s="45">
        <f t="shared" si="70"/>
        <v>0</v>
      </c>
      <c r="L172" s="45">
        <f t="shared" si="70"/>
        <v>0</v>
      </c>
      <c r="M172" s="45">
        <f t="shared" si="70"/>
        <v>0</v>
      </c>
    </row>
    <row r="173" spans="1:254">
      <c r="B173" s="35" t="s">
        <v>43</v>
      </c>
      <c r="C173" s="21"/>
      <c r="D173" s="46">
        <v>0</v>
      </c>
      <c r="E173" s="46"/>
      <c r="F173" s="46">
        <v>-1.2509999999999999</v>
      </c>
      <c r="G173" s="46"/>
      <c r="H173" s="46"/>
      <c r="I173" s="46"/>
      <c r="J173" s="46"/>
      <c r="K173" s="46"/>
      <c r="L173" s="46"/>
      <c r="M173" s="46"/>
    </row>
    <row r="174" spans="1:254">
      <c r="B174" s="35" t="s">
        <v>44</v>
      </c>
      <c r="C174" s="21"/>
      <c r="D174" s="47">
        <v>20.896999999999998</v>
      </c>
      <c r="E174" s="47"/>
      <c r="F174" s="47">
        <v>12.870999999999999</v>
      </c>
      <c r="G174" s="47"/>
      <c r="H174" s="47"/>
      <c r="I174" s="47"/>
      <c r="J174" s="47"/>
      <c r="K174" s="47"/>
      <c r="L174" s="47"/>
      <c r="M174" s="47"/>
    </row>
    <row r="175" spans="1:254">
      <c r="B175" s="13" t="s">
        <v>2</v>
      </c>
      <c r="C175" s="13"/>
      <c r="D175" s="33">
        <f t="shared" ref="D175:G175" si="71">SUM(D172:D174)</f>
        <v>40.240999999999964</v>
      </c>
      <c r="E175" s="33">
        <f t="shared" si="71"/>
        <v>0</v>
      </c>
      <c r="F175" s="33">
        <f t="shared" si="71"/>
        <v>86.002999999999972</v>
      </c>
      <c r="G175" s="33">
        <f t="shared" si="71"/>
        <v>0</v>
      </c>
      <c r="H175" s="33">
        <f t="shared" ref="H175:M175" si="72">SUM(H172:H174)</f>
        <v>0</v>
      </c>
      <c r="I175" s="33">
        <f t="shared" si="72"/>
        <v>0</v>
      </c>
      <c r="J175" s="33">
        <f t="shared" si="72"/>
        <v>0</v>
      </c>
      <c r="K175" s="33">
        <f t="shared" si="72"/>
        <v>0</v>
      </c>
      <c r="L175" s="33">
        <f t="shared" si="72"/>
        <v>0</v>
      </c>
      <c r="M175" s="33">
        <f t="shared" si="72"/>
        <v>0</v>
      </c>
    </row>
    <row r="176" spans="1:254">
      <c r="B176" s="5" t="s">
        <v>45</v>
      </c>
      <c r="C176" s="3"/>
      <c r="D176" s="46">
        <v>-15.518000000000001</v>
      </c>
      <c r="E176" s="46"/>
      <c r="F176" s="46">
        <v>-5.1660000000000004</v>
      </c>
      <c r="G176" s="46"/>
      <c r="H176" s="46"/>
      <c r="I176" s="46"/>
      <c r="J176" s="46"/>
      <c r="K176" s="46"/>
      <c r="L176" s="46"/>
      <c r="M176" s="46"/>
    </row>
    <row r="177" spans="1:13">
      <c r="B177" s="13" t="s">
        <v>46</v>
      </c>
      <c r="C177" s="13"/>
      <c r="D177" s="33">
        <f t="shared" ref="D177:G177" si="73">SUM(D175:D176)</f>
        <v>24.722999999999963</v>
      </c>
      <c r="E177" s="33">
        <f t="shared" si="73"/>
        <v>0</v>
      </c>
      <c r="F177" s="33">
        <f t="shared" si="73"/>
        <v>80.836999999999975</v>
      </c>
      <c r="G177" s="33">
        <f t="shared" si="73"/>
        <v>0</v>
      </c>
      <c r="H177" s="33">
        <f t="shared" ref="H177:M177" si="74">SUM(H175:H176)</f>
        <v>0</v>
      </c>
      <c r="I177" s="33">
        <f t="shared" si="74"/>
        <v>0</v>
      </c>
      <c r="J177" s="33">
        <f t="shared" si="74"/>
        <v>0</v>
      </c>
      <c r="K177" s="33">
        <f t="shared" si="74"/>
        <v>0</v>
      </c>
      <c r="L177" s="33">
        <f t="shared" si="74"/>
        <v>0</v>
      </c>
      <c r="M177" s="33">
        <f t="shared" si="74"/>
        <v>0</v>
      </c>
    </row>
    <row r="178" spans="1:13">
      <c r="B178" s="5" t="s">
        <v>47</v>
      </c>
      <c r="C178" s="5"/>
      <c r="D178" s="46">
        <v>153.66799999999998</v>
      </c>
      <c r="E178" s="46"/>
      <c r="F178" s="46">
        <v>404.072</v>
      </c>
      <c r="G178" s="46"/>
      <c r="H178" s="46"/>
      <c r="I178" s="46"/>
      <c r="J178" s="46"/>
      <c r="K178" s="46"/>
      <c r="L178" s="46"/>
      <c r="M178" s="46"/>
    </row>
    <row r="179" spans="1:13">
      <c r="B179" s="41" t="s">
        <v>48</v>
      </c>
      <c r="C179" s="41"/>
      <c r="D179" s="48">
        <f t="shared" ref="D179:G179" si="75">IFERROR(D177/D178, "0")</f>
        <v>0.16088580576307343</v>
      </c>
      <c r="E179" s="48" t="str">
        <f t="shared" si="75"/>
        <v>0</v>
      </c>
      <c r="F179" s="48">
        <f t="shared" si="75"/>
        <v>0.20005593062622495</v>
      </c>
      <c r="G179" s="48" t="str">
        <f t="shared" si="75"/>
        <v>0</v>
      </c>
      <c r="H179" s="48" t="str">
        <f t="shared" ref="H179:M179" si="76">IFERROR(H177/H178, "0")</f>
        <v>0</v>
      </c>
      <c r="I179" s="48" t="str">
        <f t="shared" si="76"/>
        <v>0</v>
      </c>
      <c r="J179" s="48" t="str">
        <f t="shared" si="76"/>
        <v>0</v>
      </c>
      <c r="K179" s="48" t="str">
        <f t="shared" si="76"/>
        <v>0</v>
      </c>
      <c r="L179" s="48" t="str">
        <f t="shared" si="76"/>
        <v>0</v>
      </c>
      <c r="M179" s="48" t="str">
        <f t="shared" si="76"/>
        <v>0</v>
      </c>
    </row>
    <row r="180" spans="1:13">
      <c r="B180" s="41"/>
      <c r="C180" s="41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s="17" customFormat="1">
      <c r="A181" s="36"/>
      <c r="B181" s="83" t="s">
        <v>82</v>
      </c>
      <c r="C181" s="49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s="17" customFormat="1">
      <c r="A182" s="36"/>
      <c r="B182" s="21" t="s">
        <v>85</v>
      </c>
      <c r="C182" s="21"/>
      <c r="D182" s="46">
        <f>(((634+863+250+228)/10)/10)/10</f>
        <v>1.9750000000000001</v>
      </c>
      <c r="E182" s="46"/>
      <c r="F182" s="46">
        <v>0.75800000000000001</v>
      </c>
      <c r="G182" s="46"/>
      <c r="H182" s="46"/>
      <c r="I182" s="46"/>
      <c r="J182" s="46"/>
      <c r="K182" s="46"/>
      <c r="L182" s="46"/>
      <c r="M182" s="46"/>
    </row>
    <row r="183" spans="1:13" s="17" customFormat="1">
      <c r="A183" s="36"/>
      <c r="B183" s="21" t="s">
        <v>86</v>
      </c>
      <c r="C183" s="21"/>
      <c r="D183" s="46">
        <f>(((6778+7597+3643+3305+3128+675+5600)/10)/10)/10</f>
        <v>30.725999999999999</v>
      </c>
      <c r="E183" s="46"/>
      <c r="F183" s="46">
        <v>-37.155000000000001</v>
      </c>
      <c r="G183" s="46"/>
      <c r="H183" s="46"/>
      <c r="I183" s="46"/>
      <c r="J183" s="46"/>
      <c r="K183" s="46"/>
      <c r="L183" s="46"/>
      <c r="M183" s="46"/>
    </row>
    <row r="184" spans="1:13" s="17" customFormat="1">
      <c r="A184" s="36"/>
      <c r="B184" s="21" t="s">
        <v>87</v>
      </c>
      <c r="C184" s="21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 s="17" customFormat="1">
      <c r="A185" s="36"/>
      <c r="B185" s="21" t="s">
        <v>88</v>
      </c>
      <c r="C185" s="21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1:13">
      <c r="B186" s="21" t="s">
        <v>89</v>
      </c>
      <c r="C186" s="50"/>
      <c r="D186" s="46">
        <f>-((((12449)/10)/10)/10)</f>
        <v>-12.449000000000002</v>
      </c>
      <c r="E186" s="46"/>
      <c r="F186" s="46"/>
      <c r="G186" s="46"/>
      <c r="H186" s="46"/>
      <c r="I186" s="46"/>
      <c r="J186" s="46"/>
      <c r="K186" s="46"/>
      <c r="L186" s="46"/>
      <c r="M186" s="46"/>
    </row>
    <row r="187" spans="1:13">
      <c r="B187" s="50"/>
      <c r="C187" s="50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B188" s="83" t="s">
        <v>83</v>
      </c>
      <c r="C188" s="50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s="17" customFormat="1">
      <c r="A189" s="36"/>
      <c r="B189" s="21" t="s">
        <v>1</v>
      </c>
      <c r="C189" s="49"/>
      <c r="D189" s="33">
        <f t="shared" ref="D189:G189" si="77">D172+D182+D183</f>
        <v>52.044999999999966</v>
      </c>
      <c r="E189" s="33">
        <f t="shared" si="77"/>
        <v>0</v>
      </c>
      <c r="F189" s="33">
        <f t="shared" si="77"/>
        <v>37.985999999999976</v>
      </c>
      <c r="G189" s="33">
        <f t="shared" si="77"/>
        <v>0</v>
      </c>
      <c r="H189" s="33">
        <f t="shared" ref="H189:M189" si="78">H172+H182+H183</f>
        <v>0</v>
      </c>
      <c r="I189" s="33">
        <f t="shared" si="78"/>
        <v>0</v>
      </c>
      <c r="J189" s="33">
        <f t="shared" si="78"/>
        <v>0</v>
      </c>
      <c r="K189" s="33">
        <f t="shared" si="78"/>
        <v>0</v>
      </c>
      <c r="L189" s="33">
        <f t="shared" si="78"/>
        <v>0</v>
      </c>
      <c r="M189" s="33">
        <f t="shared" si="78"/>
        <v>0</v>
      </c>
    </row>
    <row r="190" spans="1:13">
      <c r="B190" s="21" t="s">
        <v>49</v>
      </c>
      <c r="C190" s="35"/>
      <c r="D190" s="47">
        <v>5.6489999999999991</v>
      </c>
      <c r="E190" s="47"/>
      <c r="F190" s="47">
        <v>7.9669999999999996</v>
      </c>
      <c r="G190" s="47"/>
      <c r="H190" s="47"/>
      <c r="I190" s="47"/>
      <c r="J190" s="47"/>
      <c r="K190" s="47"/>
      <c r="L190" s="47"/>
      <c r="M190" s="47"/>
    </row>
    <row r="191" spans="1:13">
      <c r="B191" s="21" t="s">
        <v>0</v>
      </c>
      <c r="C191" s="41"/>
      <c r="D191" s="45">
        <f t="shared" ref="D191:G191" si="79">D189+D190</f>
        <v>57.693999999999967</v>
      </c>
      <c r="E191" s="45">
        <f t="shared" si="79"/>
        <v>0</v>
      </c>
      <c r="F191" s="45">
        <f t="shared" si="79"/>
        <v>45.952999999999975</v>
      </c>
      <c r="G191" s="45">
        <f t="shared" si="79"/>
        <v>0</v>
      </c>
      <c r="H191" s="45">
        <f t="shared" ref="H191:M191" si="80">H189+H190</f>
        <v>0</v>
      </c>
      <c r="I191" s="45">
        <f t="shared" si="80"/>
        <v>0</v>
      </c>
      <c r="J191" s="45">
        <f t="shared" si="80"/>
        <v>0</v>
      </c>
      <c r="K191" s="45">
        <f t="shared" si="80"/>
        <v>0</v>
      </c>
      <c r="L191" s="45">
        <f t="shared" si="80"/>
        <v>0</v>
      </c>
      <c r="M191" s="45">
        <f t="shared" si="80"/>
        <v>0</v>
      </c>
    </row>
    <row r="192" spans="1:13">
      <c r="B192" s="21" t="s">
        <v>2</v>
      </c>
      <c r="C192" s="41"/>
      <c r="D192" s="85">
        <f t="shared" ref="D192:G192" si="81">D175+D182+D183+D184+D185</f>
        <v>72.941999999999965</v>
      </c>
      <c r="E192" s="85">
        <f t="shared" si="81"/>
        <v>0</v>
      </c>
      <c r="F192" s="85">
        <f t="shared" si="81"/>
        <v>49.605999999999966</v>
      </c>
      <c r="G192" s="85">
        <f t="shared" si="81"/>
        <v>0</v>
      </c>
      <c r="H192" s="85">
        <f t="shared" ref="H192:M192" si="82">H175+H182+H183+H184+H185</f>
        <v>0</v>
      </c>
      <c r="I192" s="85">
        <f t="shared" si="82"/>
        <v>0</v>
      </c>
      <c r="J192" s="85">
        <f t="shared" si="82"/>
        <v>0</v>
      </c>
      <c r="K192" s="85">
        <f t="shared" si="82"/>
        <v>0</v>
      </c>
      <c r="L192" s="85">
        <f t="shared" si="82"/>
        <v>0</v>
      </c>
      <c r="M192" s="85">
        <f t="shared" si="82"/>
        <v>0</v>
      </c>
    </row>
    <row r="193" spans="1:254">
      <c r="B193" s="21" t="s">
        <v>45</v>
      </c>
      <c r="C193" s="41"/>
      <c r="D193" s="85">
        <f t="shared" ref="D193:G193" si="83">D176+D186</f>
        <v>-27.967000000000002</v>
      </c>
      <c r="E193" s="85">
        <f t="shared" si="83"/>
        <v>0</v>
      </c>
      <c r="F193" s="85">
        <f t="shared" si="83"/>
        <v>-5.1660000000000004</v>
      </c>
      <c r="G193" s="85">
        <f t="shared" si="83"/>
        <v>0</v>
      </c>
      <c r="H193" s="85">
        <f t="shared" ref="H193:M193" si="84">H176+H186</f>
        <v>0</v>
      </c>
      <c r="I193" s="85">
        <f t="shared" si="84"/>
        <v>0</v>
      </c>
      <c r="J193" s="85">
        <f t="shared" si="84"/>
        <v>0</v>
      </c>
      <c r="K193" s="85">
        <f t="shared" si="84"/>
        <v>0</v>
      </c>
      <c r="L193" s="85">
        <f t="shared" si="84"/>
        <v>0</v>
      </c>
      <c r="M193" s="85">
        <f t="shared" si="84"/>
        <v>0</v>
      </c>
    </row>
    <row r="194" spans="1:254">
      <c r="B194" s="21" t="s">
        <v>84</v>
      </c>
      <c r="C194" s="41"/>
      <c r="D194" s="85">
        <f t="shared" ref="D194:G194" si="85">D192+D193</f>
        <v>44.974999999999966</v>
      </c>
      <c r="E194" s="85">
        <f t="shared" si="85"/>
        <v>0</v>
      </c>
      <c r="F194" s="85">
        <f t="shared" si="85"/>
        <v>44.439999999999969</v>
      </c>
      <c r="G194" s="85">
        <f t="shared" si="85"/>
        <v>0</v>
      </c>
      <c r="H194" s="85">
        <f t="shared" ref="H194:M194" si="86">H192+H193</f>
        <v>0</v>
      </c>
      <c r="I194" s="85">
        <f t="shared" si="86"/>
        <v>0</v>
      </c>
      <c r="J194" s="85">
        <f t="shared" si="86"/>
        <v>0</v>
      </c>
      <c r="K194" s="85">
        <f t="shared" si="86"/>
        <v>0</v>
      </c>
      <c r="L194" s="85">
        <f t="shared" si="86"/>
        <v>0</v>
      </c>
      <c r="M194" s="85">
        <f t="shared" si="86"/>
        <v>0</v>
      </c>
    </row>
    <row r="195" spans="1:254">
      <c r="B195" s="41"/>
      <c r="C195" s="41"/>
      <c r="D195" s="85"/>
      <c r="E195" s="85"/>
      <c r="F195" s="85"/>
      <c r="G195" s="85"/>
      <c r="H195" s="85"/>
      <c r="I195" s="85"/>
      <c r="J195" s="85"/>
      <c r="K195" s="85"/>
      <c r="L195" s="85"/>
      <c r="M195" s="85"/>
    </row>
    <row r="196" spans="1:254">
      <c r="B196" s="86" t="s">
        <v>90</v>
      </c>
      <c r="C196" s="41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254">
      <c r="B197" s="3" t="s">
        <v>91</v>
      </c>
      <c r="C197" s="41"/>
      <c r="D197" s="88"/>
      <c r="E197" s="88"/>
      <c r="F197" s="88"/>
      <c r="G197" s="89"/>
      <c r="H197" s="88"/>
      <c r="I197" s="88"/>
      <c r="J197" s="88"/>
      <c r="K197" s="88"/>
      <c r="L197" s="88"/>
      <c r="M197" s="88"/>
    </row>
    <row r="198" spans="1:254">
      <c r="B198" s="3" t="s">
        <v>92</v>
      </c>
      <c r="C198" s="41"/>
      <c r="D198" s="88"/>
      <c r="E198" s="88"/>
      <c r="F198" s="88"/>
      <c r="G198" s="89"/>
      <c r="H198" s="88"/>
      <c r="I198" s="88"/>
      <c r="J198" s="88"/>
      <c r="K198" s="88"/>
      <c r="L198" s="88"/>
      <c r="M198" s="88"/>
    </row>
    <row r="199" spans="1:254">
      <c r="B199" s="87" t="s">
        <v>48</v>
      </c>
      <c r="C199" s="41"/>
      <c r="D199" s="48">
        <f>IFERROR((D194+D197)/(D178+D198),0)</f>
        <v>0.29267641929354177</v>
      </c>
      <c r="E199" s="48">
        <f t="shared" ref="E199:M199" si="87">IFERROR((E194+E197)/(E178+E198),0)</f>
        <v>0</v>
      </c>
      <c r="F199" s="48">
        <f t="shared" si="87"/>
        <v>0.10998039953275646</v>
      </c>
      <c r="G199" s="48">
        <f t="shared" si="87"/>
        <v>0</v>
      </c>
      <c r="H199" s="48">
        <f t="shared" si="87"/>
        <v>0</v>
      </c>
      <c r="I199" s="48">
        <f t="shared" si="87"/>
        <v>0</v>
      </c>
      <c r="J199" s="48">
        <f t="shared" si="87"/>
        <v>0</v>
      </c>
      <c r="K199" s="48">
        <f t="shared" si="87"/>
        <v>0</v>
      </c>
      <c r="L199" s="48">
        <f t="shared" si="87"/>
        <v>0</v>
      </c>
      <c r="M199" s="48">
        <f t="shared" si="87"/>
        <v>0</v>
      </c>
    </row>
    <row r="200" spans="1:254">
      <c r="B200" s="41"/>
      <c r="C200" s="41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254" s="17" customFormat="1">
      <c r="A201" s="36"/>
      <c r="B201" s="206" t="s">
        <v>99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</row>
    <row r="202" spans="1:254" s="17" customFormat="1">
      <c r="A202" s="36"/>
      <c r="B202" s="40" t="s">
        <v>69</v>
      </c>
      <c r="C202" s="98"/>
      <c r="D202" s="174">
        <f t="shared" ref="D202:M202" si="88">MAX(D132,D97)</f>
        <v>39629</v>
      </c>
      <c r="E202" s="174">
        <f t="shared" si="88"/>
        <v>0</v>
      </c>
      <c r="F202" s="174">
        <f t="shared" si="88"/>
        <v>40056</v>
      </c>
      <c r="G202" s="174">
        <f t="shared" si="88"/>
        <v>0</v>
      </c>
      <c r="H202" s="174">
        <f t="shared" si="88"/>
        <v>0</v>
      </c>
      <c r="I202" s="174">
        <f t="shared" si="88"/>
        <v>0</v>
      </c>
      <c r="J202" s="174">
        <f t="shared" si="88"/>
        <v>0</v>
      </c>
      <c r="K202" s="174">
        <f t="shared" si="88"/>
        <v>0</v>
      </c>
      <c r="L202" s="174">
        <f t="shared" si="88"/>
        <v>0</v>
      </c>
      <c r="M202" s="174">
        <f t="shared" si="88"/>
        <v>0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</row>
    <row r="203" spans="1:254">
      <c r="B203" s="13" t="s">
        <v>39</v>
      </c>
      <c r="C203" s="13"/>
      <c r="D203" s="68">
        <f t="shared" ref="D203:M203" si="89">D98+D133-D168</f>
        <v>638.88600000000008</v>
      </c>
      <c r="E203" s="68">
        <f t="shared" si="89"/>
        <v>332.899</v>
      </c>
      <c r="F203" s="68">
        <f t="shared" si="89"/>
        <v>1264.83</v>
      </c>
      <c r="G203" s="68">
        <f t="shared" si="89"/>
        <v>0</v>
      </c>
      <c r="H203" s="68">
        <f t="shared" si="89"/>
        <v>0</v>
      </c>
      <c r="I203" s="68">
        <f t="shared" si="89"/>
        <v>0</v>
      </c>
      <c r="J203" s="68">
        <f t="shared" si="89"/>
        <v>0</v>
      </c>
      <c r="K203" s="68">
        <f t="shared" si="89"/>
        <v>0</v>
      </c>
      <c r="L203" s="68">
        <f t="shared" si="89"/>
        <v>0</v>
      </c>
      <c r="M203" s="68">
        <f t="shared" si="89"/>
        <v>0</v>
      </c>
    </row>
    <row r="204" spans="1:254">
      <c r="B204" s="13" t="s">
        <v>122</v>
      </c>
      <c r="C204" s="13"/>
      <c r="D204" s="68">
        <f t="shared" ref="D204:M204" si="90">D121+D156-D191</f>
        <v>161.64000000000007</v>
      </c>
      <c r="E204" s="68">
        <f t="shared" si="90"/>
        <v>26.288000000000004</v>
      </c>
      <c r="F204" s="68">
        <f t="shared" si="90"/>
        <v>165.31400000000019</v>
      </c>
      <c r="G204" s="68">
        <f t="shared" si="90"/>
        <v>0</v>
      </c>
      <c r="H204" s="68">
        <f t="shared" si="90"/>
        <v>0</v>
      </c>
      <c r="I204" s="68">
        <f t="shared" si="90"/>
        <v>0</v>
      </c>
      <c r="J204" s="68">
        <f t="shared" si="90"/>
        <v>0</v>
      </c>
      <c r="K204" s="68">
        <f t="shared" si="90"/>
        <v>0</v>
      </c>
      <c r="L204" s="68">
        <f t="shared" si="90"/>
        <v>0</v>
      </c>
      <c r="M204" s="68">
        <f t="shared" si="90"/>
        <v>0</v>
      </c>
    </row>
    <row r="205" spans="1:254">
      <c r="B205" s="13" t="s">
        <v>123</v>
      </c>
      <c r="C205" s="13"/>
      <c r="D205" s="68">
        <f t="shared" ref="D205:M205" si="91">D119+D154-D189</f>
        <v>151.02500000000009</v>
      </c>
      <c r="E205" s="68">
        <f t="shared" si="91"/>
        <v>21.155000000000005</v>
      </c>
      <c r="F205" s="68">
        <f t="shared" si="91"/>
        <v>138.91400000000021</v>
      </c>
      <c r="G205" s="68">
        <f t="shared" si="91"/>
        <v>0</v>
      </c>
      <c r="H205" s="68">
        <f t="shared" si="91"/>
        <v>0</v>
      </c>
      <c r="I205" s="68">
        <f t="shared" si="91"/>
        <v>0</v>
      </c>
      <c r="J205" s="68">
        <f t="shared" si="91"/>
        <v>0</v>
      </c>
      <c r="K205" s="68">
        <f t="shared" si="91"/>
        <v>0</v>
      </c>
      <c r="L205" s="68">
        <f t="shared" si="91"/>
        <v>0</v>
      </c>
      <c r="M205" s="68">
        <f t="shared" si="91"/>
        <v>0</v>
      </c>
    </row>
    <row r="206" spans="1:254">
      <c r="B206" s="12" t="s">
        <v>124</v>
      </c>
      <c r="C206" s="12"/>
      <c r="D206" s="99">
        <f t="shared" ref="D206:M206" si="92">D129+D164-D199</f>
        <v>0.7934857430543687</v>
      </c>
      <c r="E206" s="99">
        <f t="shared" si="92"/>
        <v>0</v>
      </c>
      <c r="F206" s="99">
        <f t="shared" si="92"/>
        <v>0.41532042479632864</v>
      </c>
      <c r="G206" s="99">
        <f t="shared" si="92"/>
        <v>0</v>
      </c>
      <c r="H206" s="99">
        <f t="shared" si="92"/>
        <v>0</v>
      </c>
      <c r="I206" s="99">
        <f t="shared" si="92"/>
        <v>0</v>
      </c>
      <c r="J206" s="99">
        <f t="shared" si="92"/>
        <v>0</v>
      </c>
      <c r="K206" s="99">
        <f t="shared" si="92"/>
        <v>0</v>
      </c>
      <c r="L206" s="99">
        <f t="shared" si="92"/>
        <v>0</v>
      </c>
      <c r="M206" s="99">
        <f t="shared" si="92"/>
        <v>0</v>
      </c>
    </row>
    <row r="207" spans="1:254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254" ht="14.4" thickBot="1">
      <c r="B208" s="96" t="s">
        <v>152</v>
      </c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</row>
    <row r="209" spans="2:13" s="1" customFormat="1">
      <c r="B209" s="97" t="s">
        <v>101</v>
      </c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</row>
    <row r="210" spans="2:13" s="1" customFormat="1">
      <c r="B210" s="40" t="s">
        <v>70</v>
      </c>
      <c r="C210" s="13"/>
      <c r="D210" s="175">
        <f t="shared" ref="D210:G210" si="93">DATE(YEAR(D97)+1,MONTH(D97),DAY(D97))</f>
        <v>39813</v>
      </c>
      <c r="E210" s="175">
        <f t="shared" si="93"/>
        <v>366</v>
      </c>
      <c r="F210" s="175">
        <f t="shared" si="93"/>
        <v>366</v>
      </c>
      <c r="G210" s="175">
        <f t="shared" si="93"/>
        <v>366</v>
      </c>
      <c r="H210" s="175">
        <f t="shared" ref="H210:M210" si="94">DATE(YEAR(H97)+1,MONTH(H97),DAY(H97))</f>
        <v>366</v>
      </c>
      <c r="I210" s="175">
        <f t="shared" si="94"/>
        <v>366</v>
      </c>
      <c r="J210" s="175">
        <f t="shared" si="94"/>
        <v>366</v>
      </c>
      <c r="K210" s="175">
        <f t="shared" si="94"/>
        <v>366</v>
      </c>
      <c r="L210" s="175">
        <f t="shared" si="94"/>
        <v>366</v>
      </c>
      <c r="M210" s="175">
        <f t="shared" si="94"/>
        <v>366</v>
      </c>
    </row>
    <row r="211" spans="2:13" s="1" customFormat="1">
      <c r="B211" s="13" t="s">
        <v>39</v>
      </c>
      <c r="C211" s="13"/>
      <c r="D211" s="46">
        <v>638.6</v>
      </c>
      <c r="E211" s="106"/>
      <c r="F211" s="46">
        <v>1250</v>
      </c>
      <c r="G211" s="106"/>
      <c r="H211" s="106"/>
      <c r="I211" s="106"/>
      <c r="J211" s="106"/>
      <c r="K211" s="106"/>
      <c r="L211" s="106"/>
      <c r="M211" s="106"/>
    </row>
    <row r="212" spans="2:13" s="1" customFormat="1">
      <c r="B212" s="13" t="s">
        <v>0</v>
      </c>
      <c r="C212" s="13"/>
      <c r="D212" s="46">
        <f>D213+D120</f>
        <v>144.435</v>
      </c>
      <c r="E212" s="106"/>
      <c r="F212" s="46">
        <f>F213+F120</f>
        <v>142.78100000000001</v>
      </c>
      <c r="G212" s="106"/>
      <c r="H212" s="106"/>
      <c r="I212" s="106"/>
      <c r="J212" s="106"/>
      <c r="K212" s="106"/>
      <c r="L212" s="106"/>
      <c r="M212" s="106"/>
    </row>
    <row r="213" spans="2:13" s="1" customFormat="1">
      <c r="B213" s="13" t="s">
        <v>123</v>
      </c>
      <c r="C213" s="13"/>
      <c r="D213" s="46">
        <v>133.30000000000001</v>
      </c>
      <c r="E213" s="106"/>
      <c r="F213" s="46">
        <v>113</v>
      </c>
      <c r="G213" s="106"/>
      <c r="H213" s="106"/>
      <c r="I213" s="106"/>
      <c r="J213" s="106"/>
      <c r="K213" s="106"/>
      <c r="L213" s="106"/>
      <c r="M213" s="106"/>
    </row>
    <row r="214" spans="2:13" s="1" customFormat="1">
      <c r="B214" s="12" t="s">
        <v>54</v>
      </c>
      <c r="C214" s="13"/>
      <c r="D214" s="218">
        <v>0.67</v>
      </c>
      <c r="E214" s="106"/>
      <c r="F214" s="218">
        <v>0.32</v>
      </c>
      <c r="G214" s="106"/>
      <c r="H214" s="106"/>
      <c r="I214" s="106"/>
      <c r="J214" s="106"/>
      <c r="K214" s="106"/>
      <c r="L214" s="106"/>
      <c r="M214" s="106"/>
    </row>
    <row r="215" spans="2:13" s="1" customForma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s="1" customFormat="1">
      <c r="B216" s="97" t="s">
        <v>102</v>
      </c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</row>
    <row r="217" spans="2:13" s="1" customFormat="1">
      <c r="B217" s="40" t="s">
        <v>70</v>
      </c>
      <c r="C217" s="13"/>
      <c r="D217" s="175">
        <f t="shared" ref="D217:G217" si="95">DATE(YEAR(D97)+2,MONTH(D97),DAY(D97))</f>
        <v>40178</v>
      </c>
      <c r="E217" s="175">
        <f t="shared" si="95"/>
        <v>731</v>
      </c>
      <c r="F217" s="175">
        <f t="shared" si="95"/>
        <v>731</v>
      </c>
      <c r="G217" s="175">
        <f t="shared" si="95"/>
        <v>731</v>
      </c>
      <c r="H217" s="175">
        <f t="shared" ref="H217:M217" si="96">DATE(YEAR(H97)+2,MONTH(H97),DAY(H97))</f>
        <v>731</v>
      </c>
      <c r="I217" s="175">
        <f t="shared" si="96"/>
        <v>731</v>
      </c>
      <c r="J217" s="175">
        <f t="shared" si="96"/>
        <v>731</v>
      </c>
      <c r="K217" s="175">
        <f t="shared" si="96"/>
        <v>731</v>
      </c>
      <c r="L217" s="175">
        <f t="shared" si="96"/>
        <v>731</v>
      </c>
      <c r="M217" s="175">
        <f t="shared" si="96"/>
        <v>731</v>
      </c>
    </row>
    <row r="218" spans="2:13" s="1" customFormat="1">
      <c r="B218" s="13" t="s">
        <v>39</v>
      </c>
      <c r="C218" s="13"/>
      <c r="D218" s="46">
        <v>705</v>
      </c>
      <c r="E218" s="106"/>
      <c r="F218" s="46">
        <v>1391</v>
      </c>
      <c r="G218" s="106"/>
      <c r="H218" s="106"/>
      <c r="I218" s="106"/>
      <c r="J218" s="106"/>
      <c r="K218" s="106"/>
      <c r="L218" s="106"/>
      <c r="M218" s="106"/>
    </row>
    <row r="219" spans="2:13" s="1" customFormat="1">
      <c r="B219" s="13" t="s">
        <v>0</v>
      </c>
      <c r="C219" s="13"/>
      <c r="D219" s="46">
        <v>166.8</v>
      </c>
      <c r="E219" s="106"/>
      <c r="F219" s="217">
        <f>F220+F120</f>
        <v>170.78100000000001</v>
      </c>
      <c r="G219" s="106"/>
      <c r="H219" s="106"/>
      <c r="I219" s="106"/>
      <c r="J219" s="106"/>
      <c r="K219" s="106"/>
      <c r="L219" s="106"/>
      <c r="M219" s="106"/>
    </row>
    <row r="220" spans="2:13" s="1" customFormat="1">
      <c r="B220" s="13" t="s">
        <v>123</v>
      </c>
      <c r="C220" s="13"/>
      <c r="D220" s="46">
        <v>155.5</v>
      </c>
      <c r="E220" s="106"/>
      <c r="F220" s="46">
        <v>141</v>
      </c>
      <c r="G220" s="106"/>
      <c r="H220" s="106"/>
      <c r="I220" s="106"/>
      <c r="J220" s="106"/>
      <c r="K220" s="106"/>
      <c r="L220" s="106"/>
      <c r="M220" s="106"/>
    </row>
    <row r="221" spans="2:13" s="1" customFormat="1">
      <c r="B221" s="12" t="s">
        <v>54</v>
      </c>
      <c r="C221" s="13"/>
      <c r="D221" s="218">
        <v>0.77</v>
      </c>
      <c r="E221" s="106"/>
      <c r="F221" s="218">
        <v>0.38</v>
      </c>
      <c r="G221" s="106"/>
      <c r="H221" s="106"/>
      <c r="I221" s="106"/>
      <c r="J221" s="106"/>
      <c r="K221" s="106"/>
      <c r="L221" s="106"/>
      <c r="M221" s="106"/>
    </row>
    <row r="222" spans="2:13" s="1" customFormat="1" ht="14.4" thickBot="1"/>
    <row r="223" spans="2:13" s="1" customFormat="1" ht="14.4" thickBot="1">
      <c r="B223" s="166" t="s">
        <v>100</v>
      </c>
      <c r="C223" s="150"/>
      <c r="D223" s="151"/>
      <c r="E223" s="151"/>
      <c r="F223" s="151"/>
      <c r="G223" s="151"/>
      <c r="H223" s="151"/>
      <c r="I223" s="151"/>
      <c r="J223" s="151"/>
      <c r="K223" s="151"/>
      <c r="L223" s="151"/>
      <c r="M223" s="152"/>
    </row>
    <row r="224" spans="2:13" s="1" customFormat="1">
      <c r="B224" s="167" t="s">
        <v>151</v>
      </c>
      <c r="C224" s="75"/>
      <c r="D224" s="104"/>
      <c r="E224" s="104"/>
      <c r="F224" s="104"/>
      <c r="G224" s="104"/>
      <c r="H224" s="104"/>
      <c r="I224" s="104"/>
      <c r="J224" s="104"/>
      <c r="K224" s="104"/>
      <c r="L224" s="104"/>
      <c r="M224" s="153"/>
    </row>
    <row r="225" spans="2:13" s="1" customFormat="1">
      <c r="B225" s="167"/>
      <c r="C225" s="75"/>
      <c r="D225" s="104"/>
      <c r="E225" s="104"/>
      <c r="F225" s="104"/>
      <c r="G225" s="104"/>
      <c r="H225" s="104"/>
      <c r="I225" s="104"/>
      <c r="J225" s="104"/>
      <c r="K225" s="104"/>
      <c r="L225" s="104"/>
      <c r="M225" s="153"/>
    </row>
    <row r="226" spans="2:13" s="1" customFormat="1">
      <c r="B226" s="168" t="str">
        <f>"All local target currency data adjusted to "&amp;D4</f>
        <v>All local target currency data adjusted to USD</v>
      </c>
      <c r="C226" s="75"/>
      <c r="D226" s="104"/>
      <c r="E226" s="104"/>
      <c r="F226" s="104"/>
      <c r="G226" s="104"/>
      <c r="H226" s="104"/>
      <c r="I226" s="104"/>
      <c r="J226" s="104"/>
      <c r="K226" s="104"/>
      <c r="L226" s="104"/>
      <c r="M226" s="153"/>
    </row>
    <row r="227" spans="2:13" s="1" customFormat="1">
      <c r="B227" s="169"/>
      <c r="C227" s="75"/>
      <c r="D227" s="104"/>
      <c r="E227" s="104"/>
      <c r="F227" s="104"/>
      <c r="G227" s="104"/>
      <c r="H227" s="104"/>
      <c r="I227" s="104"/>
      <c r="J227" s="104"/>
      <c r="K227" s="104"/>
      <c r="L227" s="104"/>
      <c r="M227" s="153"/>
    </row>
    <row r="228" spans="2:13" s="1" customFormat="1">
      <c r="B228" s="170" t="s">
        <v>112</v>
      </c>
      <c r="C228" s="117"/>
      <c r="D228" s="146" t="str">
        <f t="shared" ref="D228:M231" si="97">D10</f>
        <v>Foundry</v>
      </c>
      <c r="E228" s="146" t="str">
        <f t="shared" si="97"/>
        <v xml:space="preserve">Enterasys </v>
      </c>
      <c r="F228" s="146" t="str">
        <f t="shared" si="97"/>
        <v>3Com</v>
      </c>
      <c r="G228" s="146" t="str">
        <f t="shared" si="97"/>
        <v xml:space="preserve">Blue Coat Systems </v>
      </c>
      <c r="H228" s="146">
        <f t="shared" si="97"/>
        <v>0</v>
      </c>
      <c r="I228" s="146">
        <f t="shared" si="97"/>
        <v>0</v>
      </c>
      <c r="J228" s="146">
        <f t="shared" si="97"/>
        <v>0</v>
      </c>
      <c r="K228" s="146">
        <f t="shared" si="97"/>
        <v>0</v>
      </c>
      <c r="L228" s="146">
        <f t="shared" si="97"/>
        <v>0</v>
      </c>
      <c r="M228" s="154">
        <f t="shared" si="97"/>
        <v>0</v>
      </c>
    </row>
    <row r="229" spans="2:13" s="1" customFormat="1">
      <c r="B229" s="170" t="s">
        <v>113</v>
      </c>
      <c r="C229" s="117"/>
      <c r="D229" s="146" t="str">
        <f t="shared" si="97"/>
        <v>Brocade</v>
      </c>
      <c r="E229" s="146" t="str">
        <f t="shared" si="97"/>
        <v>Extreme</v>
      </c>
      <c r="F229" s="146" t="str">
        <f t="shared" si="97"/>
        <v>HP</v>
      </c>
      <c r="G229" s="146" t="str">
        <f t="shared" si="97"/>
        <v>Thoma Bravo</v>
      </c>
      <c r="H229" s="146">
        <f t="shared" si="97"/>
        <v>0</v>
      </c>
      <c r="I229" s="146">
        <f t="shared" si="97"/>
        <v>0</v>
      </c>
      <c r="J229" s="146">
        <f t="shared" si="97"/>
        <v>0</v>
      </c>
      <c r="K229" s="146">
        <f t="shared" si="97"/>
        <v>0</v>
      </c>
      <c r="L229" s="146">
        <f t="shared" si="97"/>
        <v>0</v>
      </c>
      <c r="M229" s="154">
        <f t="shared" si="97"/>
        <v>0</v>
      </c>
    </row>
    <row r="230" spans="2:13" s="1" customFormat="1">
      <c r="B230" s="170" t="s">
        <v>8</v>
      </c>
      <c r="C230" s="75"/>
      <c r="D230" s="118">
        <f t="shared" si="97"/>
        <v>39650</v>
      </c>
      <c r="E230" s="118">
        <f t="shared" si="97"/>
        <v>41529</v>
      </c>
      <c r="F230" s="118">
        <f t="shared" si="97"/>
        <v>40128</v>
      </c>
      <c r="G230" s="118">
        <f t="shared" si="97"/>
        <v>40886</v>
      </c>
      <c r="H230" s="118">
        <f t="shared" si="97"/>
        <v>0</v>
      </c>
      <c r="I230" s="118">
        <f t="shared" si="97"/>
        <v>0</v>
      </c>
      <c r="J230" s="118">
        <f t="shared" si="97"/>
        <v>0</v>
      </c>
      <c r="K230" s="118">
        <f t="shared" si="97"/>
        <v>0</v>
      </c>
      <c r="L230" s="118">
        <f t="shared" si="97"/>
        <v>0</v>
      </c>
      <c r="M230" s="155">
        <f t="shared" si="97"/>
        <v>0</v>
      </c>
    </row>
    <row r="231" spans="2:13" s="1" customFormat="1">
      <c r="B231" s="170" t="s">
        <v>9</v>
      </c>
      <c r="C231" s="75"/>
      <c r="D231" s="146" t="str">
        <f t="shared" si="97"/>
        <v>Completed</v>
      </c>
      <c r="E231" s="146" t="str">
        <f t="shared" si="97"/>
        <v>Completed</v>
      </c>
      <c r="F231" s="146" t="str">
        <f t="shared" si="97"/>
        <v>Completed</v>
      </c>
      <c r="G231" s="146" t="str">
        <f t="shared" si="97"/>
        <v>Completed</v>
      </c>
      <c r="H231" s="146">
        <f t="shared" si="97"/>
        <v>0</v>
      </c>
      <c r="I231" s="146">
        <f t="shared" si="97"/>
        <v>0</v>
      </c>
      <c r="J231" s="146">
        <f t="shared" si="97"/>
        <v>0</v>
      </c>
      <c r="K231" s="146">
        <f t="shared" si="97"/>
        <v>0</v>
      </c>
      <c r="L231" s="146">
        <f t="shared" si="97"/>
        <v>0</v>
      </c>
      <c r="M231" s="154">
        <f t="shared" si="97"/>
        <v>0</v>
      </c>
    </row>
    <row r="232" spans="2:13" s="1" customFormat="1">
      <c r="B232" s="170" t="s">
        <v>30</v>
      </c>
      <c r="C232" s="75"/>
      <c r="D232" s="124">
        <f t="shared" ref="D232:M232" si="98">D20</f>
        <v>1</v>
      </c>
      <c r="E232" s="124">
        <f t="shared" si="98"/>
        <v>1</v>
      </c>
      <c r="F232" s="124">
        <f t="shared" si="98"/>
        <v>1</v>
      </c>
      <c r="G232" s="124">
        <f t="shared" si="98"/>
        <v>1</v>
      </c>
      <c r="H232" s="124">
        <f t="shared" si="98"/>
        <v>0</v>
      </c>
      <c r="I232" s="124">
        <f t="shared" si="98"/>
        <v>0</v>
      </c>
      <c r="J232" s="124">
        <f t="shared" si="98"/>
        <v>0</v>
      </c>
      <c r="K232" s="124">
        <f t="shared" si="98"/>
        <v>0</v>
      </c>
      <c r="L232" s="124">
        <f t="shared" si="98"/>
        <v>0</v>
      </c>
      <c r="M232" s="156">
        <f t="shared" si="98"/>
        <v>0</v>
      </c>
    </row>
    <row r="233" spans="2:13" s="1" customFormat="1">
      <c r="B233" s="101" t="s">
        <v>103</v>
      </c>
      <c r="C233" s="13"/>
      <c r="D233" s="147">
        <f t="shared" ref="D233:M233" si="99">D21*D15</f>
        <v>45</v>
      </c>
      <c r="E233" s="147">
        <f t="shared" si="99"/>
        <v>35</v>
      </c>
      <c r="F233" s="147">
        <f t="shared" si="99"/>
        <v>0</v>
      </c>
      <c r="G233" s="147">
        <f t="shared" si="99"/>
        <v>0</v>
      </c>
      <c r="H233" s="147">
        <f t="shared" si="99"/>
        <v>0</v>
      </c>
      <c r="I233" s="147">
        <f t="shared" si="99"/>
        <v>0</v>
      </c>
      <c r="J233" s="147">
        <f t="shared" si="99"/>
        <v>0</v>
      </c>
      <c r="K233" s="147">
        <f t="shared" si="99"/>
        <v>0</v>
      </c>
      <c r="L233" s="147">
        <f t="shared" si="99"/>
        <v>0</v>
      </c>
      <c r="M233" s="157">
        <f t="shared" si="99"/>
        <v>0</v>
      </c>
    </row>
    <row r="234" spans="2:13" s="1" customFormat="1">
      <c r="B234" s="101" t="s">
        <v>121</v>
      </c>
      <c r="C234" s="75"/>
      <c r="D234" s="121">
        <f t="shared" ref="D234:M234" si="100">IFERROR(D19*D15, "NA")</f>
        <v>16.5</v>
      </c>
      <c r="E234" s="121" t="str">
        <f t="shared" si="100"/>
        <v>NA</v>
      </c>
      <c r="F234" s="121">
        <f t="shared" si="100"/>
        <v>7.9</v>
      </c>
      <c r="G234" s="121">
        <f t="shared" si="100"/>
        <v>25.81</v>
      </c>
      <c r="H234" s="121">
        <f t="shared" si="100"/>
        <v>0</v>
      </c>
      <c r="I234" s="121">
        <f t="shared" si="100"/>
        <v>0</v>
      </c>
      <c r="J234" s="121">
        <f t="shared" si="100"/>
        <v>0</v>
      </c>
      <c r="K234" s="121">
        <f t="shared" si="100"/>
        <v>0</v>
      </c>
      <c r="L234" s="121">
        <f t="shared" si="100"/>
        <v>0</v>
      </c>
      <c r="M234" s="158">
        <f t="shared" si="100"/>
        <v>0</v>
      </c>
    </row>
    <row r="235" spans="2:13" s="1" customFormat="1">
      <c r="B235" s="101" t="s">
        <v>20</v>
      </c>
      <c r="C235" s="75"/>
      <c r="D235" s="59">
        <f t="shared" ref="D235:M236" si="101">D28</f>
        <v>0.23502994011976064</v>
      </c>
      <c r="E235" s="57" t="str">
        <f t="shared" si="101"/>
        <v>NM</v>
      </c>
      <c r="F235" s="59">
        <f t="shared" si="101"/>
        <v>0.46025878003696863</v>
      </c>
      <c r="G235" s="59">
        <f t="shared" si="101"/>
        <v>0.47654462242562912</v>
      </c>
      <c r="H235" s="57" t="str">
        <f t="shared" si="101"/>
        <v>NM</v>
      </c>
      <c r="I235" s="57" t="str">
        <f t="shared" si="101"/>
        <v>NM</v>
      </c>
      <c r="J235" s="57" t="str">
        <f t="shared" si="101"/>
        <v>NM</v>
      </c>
      <c r="K235" s="57" t="str">
        <f t="shared" si="101"/>
        <v>NM</v>
      </c>
      <c r="L235" s="57" t="str">
        <f t="shared" si="101"/>
        <v>NM</v>
      </c>
      <c r="M235" s="159" t="str">
        <f t="shared" si="101"/>
        <v>NM</v>
      </c>
    </row>
    <row r="236" spans="2:13" s="1" customFormat="1">
      <c r="B236" s="101" t="s">
        <v>21</v>
      </c>
      <c r="C236" s="75"/>
      <c r="D236" s="59">
        <f t="shared" si="101"/>
        <v>0.42118863049095623</v>
      </c>
      <c r="E236" s="57" t="str">
        <f t="shared" si="101"/>
        <v>NM</v>
      </c>
      <c r="F236" s="59">
        <f t="shared" si="101"/>
        <v>0.50476190476190474</v>
      </c>
      <c r="G236" s="59">
        <f t="shared" si="101"/>
        <v>0.44918585064570471</v>
      </c>
      <c r="H236" s="57" t="str">
        <f t="shared" si="101"/>
        <v>NM</v>
      </c>
      <c r="I236" s="57" t="str">
        <f t="shared" si="101"/>
        <v>NM</v>
      </c>
      <c r="J236" s="57" t="str">
        <f t="shared" si="101"/>
        <v>NM</v>
      </c>
      <c r="K236" s="57" t="str">
        <f t="shared" si="101"/>
        <v>NM</v>
      </c>
      <c r="L236" s="57" t="str">
        <f t="shared" si="101"/>
        <v>NM</v>
      </c>
      <c r="M236" s="159" t="str">
        <f t="shared" si="101"/>
        <v>NM</v>
      </c>
    </row>
    <row r="237" spans="2:13" s="1" customFormat="1">
      <c r="B237" s="101" t="s">
        <v>13</v>
      </c>
      <c r="C237" s="13"/>
      <c r="D237" s="58">
        <f t="shared" ref="D237:M237" si="102">IFERROR(D78*D15, "NM")</f>
        <v>2430.7639085400001</v>
      </c>
      <c r="E237" s="58">
        <f t="shared" si="102"/>
        <v>180</v>
      </c>
      <c r="F237" s="58">
        <f t="shared" si="102"/>
        <v>3269.2563838999999</v>
      </c>
      <c r="G237" s="58">
        <f t="shared" si="102"/>
        <v>0</v>
      </c>
      <c r="H237" s="58" t="str">
        <f t="shared" si="102"/>
        <v>NM</v>
      </c>
      <c r="I237" s="58" t="str">
        <f t="shared" si="102"/>
        <v>NM</v>
      </c>
      <c r="J237" s="58" t="str">
        <f t="shared" si="102"/>
        <v>NM</v>
      </c>
      <c r="K237" s="58" t="str">
        <f t="shared" si="102"/>
        <v>NM</v>
      </c>
      <c r="L237" s="58" t="str">
        <f t="shared" si="102"/>
        <v>NM</v>
      </c>
      <c r="M237" s="210" t="str">
        <f t="shared" si="102"/>
        <v>NM</v>
      </c>
    </row>
    <row r="238" spans="2:13" s="1" customFormat="1">
      <c r="B238" s="101" t="s">
        <v>125</v>
      </c>
      <c r="C238" s="13"/>
      <c r="D238" s="58">
        <f t="shared" ref="D238:M238" si="103">IFERROR(D92*D15, "NM")</f>
        <v>1480.64490854</v>
      </c>
      <c r="E238" s="58">
        <f t="shared" si="103"/>
        <v>141.30000000000001</v>
      </c>
      <c r="F238" s="58">
        <f t="shared" si="103"/>
        <v>2778.5733839</v>
      </c>
      <c r="G238" s="58">
        <f t="shared" si="103"/>
        <v>0</v>
      </c>
      <c r="H238" s="58" t="str">
        <f t="shared" si="103"/>
        <v>NM</v>
      </c>
      <c r="I238" s="58" t="str">
        <f t="shared" si="103"/>
        <v>NM</v>
      </c>
      <c r="J238" s="58" t="str">
        <f t="shared" si="103"/>
        <v>NM</v>
      </c>
      <c r="K238" s="58" t="str">
        <f t="shared" si="103"/>
        <v>NM</v>
      </c>
      <c r="L238" s="58" t="str">
        <f t="shared" si="103"/>
        <v>NM</v>
      </c>
      <c r="M238" s="210" t="str">
        <f t="shared" si="103"/>
        <v>NM</v>
      </c>
    </row>
    <row r="239" spans="2:13" s="1" customFormat="1">
      <c r="B239" s="169"/>
      <c r="C239" s="75"/>
      <c r="D239" s="104"/>
      <c r="E239" s="104"/>
      <c r="F239" s="104"/>
      <c r="G239" s="104"/>
      <c r="H239" s="104"/>
      <c r="I239" s="104"/>
      <c r="J239" s="104"/>
      <c r="K239" s="104"/>
      <c r="L239" s="104"/>
      <c r="M239" s="153"/>
    </row>
    <row r="240" spans="2:13" s="1" customFormat="1">
      <c r="B240" s="171" t="s">
        <v>99</v>
      </c>
      <c r="C240" s="75"/>
      <c r="D240" s="104"/>
      <c r="E240" s="104"/>
      <c r="F240" s="104"/>
      <c r="G240" s="104"/>
      <c r="H240" s="104"/>
      <c r="I240" s="104"/>
      <c r="J240" s="104"/>
      <c r="K240" s="104"/>
      <c r="L240" s="104"/>
      <c r="M240" s="153"/>
    </row>
    <row r="241" spans="2:13" s="1" customFormat="1">
      <c r="B241" s="100" t="s">
        <v>69</v>
      </c>
      <c r="C241" s="75"/>
      <c r="D241" s="105">
        <f>D202</f>
        <v>39629</v>
      </c>
      <c r="E241" s="105">
        <f t="shared" ref="E241:M241" si="104">E202</f>
        <v>0</v>
      </c>
      <c r="F241" s="105">
        <f t="shared" si="104"/>
        <v>40056</v>
      </c>
      <c r="G241" s="105">
        <f t="shared" si="104"/>
        <v>0</v>
      </c>
      <c r="H241" s="105">
        <f t="shared" si="104"/>
        <v>0</v>
      </c>
      <c r="I241" s="105">
        <f t="shared" si="104"/>
        <v>0</v>
      </c>
      <c r="J241" s="105">
        <f t="shared" si="104"/>
        <v>0</v>
      </c>
      <c r="K241" s="105">
        <f t="shared" si="104"/>
        <v>0</v>
      </c>
      <c r="L241" s="105">
        <f t="shared" si="104"/>
        <v>0</v>
      </c>
      <c r="M241" s="160">
        <f t="shared" si="104"/>
        <v>0</v>
      </c>
    </row>
    <row r="242" spans="2:13" s="1" customFormat="1">
      <c r="B242" s="101" t="s">
        <v>50</v>
      </c>
      <c r="C242" s="75"/>
      <c r="D242" s="115">
        <f t="shared" ref="D242:M245" si="105">D203*D$15</f>
        <v>638.88600000000008</v>
      </c>
      <c r="E242" s="115">
        <f t="shared" si="105"/>
        <v>332.899</v>
      </c>
      <c r="F242" s="115">
        <f t="shared" si="105"/>
        <v>1264.83</v>
      </c>
      <c r="G242" s="115">
        <f t="shared" si="105"/>
        <v>0</v>
      </c>
      <c r="H242" s="115">
        <f t="shared" si="105"/>
        <v>0</v>
      </c>
      <c r="I242" s="115">
        <f t="shared" si="105"/>
        <v>0</v>
      </c>
      <c r="J242" s="115">
        <f t="shared" si="105"/>
        <v>0</v>
      </c>
      <c r="K242" s="115">
        <f t="shared" si="105"/>
        <v>0</v>
      </c>
      <c r="L242" s="115">
        <f t="shared" si="105"/>
        <v>0</v>
      </c>
      <c r="M242" s="161">
        <f t="shared" si="105"/>
        <v>0</v>
      </c>
    </row>
    <row r="243" spans="2:13" s="1" customFormat="1">
      <c r="B243" s="101" t="s">
        <v>51</v>
      </c>
      <c r="C243" s="75"/>
      <c r="D243" s="115">
        <f t="shared" si="105"/>
        <v>161.64000000000007</v>
      </c>
      <c r="E243" s="115">
        <f t="shared" si="105"/>
        <v>26.288000000000004</v>
      </c>
      <c r="F243" s="115">
        <f t="shared" si="105"/>
        <v>165.31400000000019</v>
      </c>
      <c r="G243" s="115">
        <f t="shared" si="105"/>
        <v>0</v>
      </c>
      <c r="H243" s="115">
        <f t="shared" si="105"/>
        <v>0</v>
      </c>
      <c r="I243" s="115">
        <f t="shared" si="105"/>
        <v>0</v>
      </c>
      <c r="J243" s="115">
        <f t="shared" si="105"/>
        <v>0</v>
      </c>
      <c r="K243" s="115">
        <f t="shared" si="105"/>
        <v>0</v>
      </c>
      <c r="L243" s="115">
        <f t="shared" si="105"/>
        <v>0</v>
      </c>
      <c r="M243" s="161">
        <f t="shared" si="105"/>
        <v>0</v>
      </c>
    </row>
    <row r="244" spans="2:13" s="1" customFormat="1">
      <c r="B244" s="101" t="s">
        <v>126</v>
      </c>
      <c r="C244" s="75"/>
      <c r="D244" s="115">
        <f t="shared" si="105"/>
        <v>151.02500000000009</v>
      </c>
      <c r="E244" s="115">
        <f t="shared" si="105"/>
        <v>21.155000000000005</v>
      </c>
      <c r="F244" s="115">
        <f t="shared" si="105"/>
        <v>138.91400000000021</v>
      </c>
      <c r="G244" s="115">
        <f t="shared" si="105"/>
        <v>0</v>
      </c>
      <c r="H244" s="115">
        <f t="shared" si="105"/>
        <v>0</v>
      </c>
      <c r="I244" s="115">
        <f t="shared" si="105"/>
        <v>0</v>
      </c>
      <c r="J244" s="115">
        <f t="shared" si="105"/>
        <v>0</v>
      </c>
      <c r="K244" s="115">
        <f t="shared" si="105"/>
        <v>0</v>
      </c>
      <c r="L244" s="115">
        <f t="shared" si="105"/>
        <v>0</v>
      </c>
      <c r="M244" s="161">
        <f t="shared" si="105"/>
        <v>0</v>
      </c>
    </row>
    <row r="245" spans="2:13" s="1" customFormat="1">
      <c r="B245" s="102" t="s">
        <v>52</v>
      </c>
      <c r="C245" s="75"/>
      <c r="D245" s="116">
        <f t="shared" si="105"/>
        <v>0.7934857430543687</v>
      </c>
      <c r="E245" s="116">
        <f t="shared" si="105"/>
        <v>0</v>
      </c>
      <c r="F245" s="116">
        <f t="shared" si="105"/>
        <v>0.41532042479632864</v>
      </c>
      <c r="G245" s="116">
        <f t="shared" si="105"/>
        <v>0</v>
      </c>
      <c r="H245" s="116">
        <f t="shared" si="105"/>
        <v>0</v>
      </c>
      <c r="I245" s="116">
        <f t="shared" si="105"/>
        <v>0</v>
      </c>
      <c r="J245" s="116">
        <f t="shared" si="105"/>
        <v>0</v>
      </c>
      <c r="K245" s="116">
        <f t="shared" si="105"/>
        <v>0</v>
      </c>
      <c r="L245" s="116">
        <f t="shared" si="105"/>
        <v>0</v>
      </c>
      <c r="M245" s="162">
        <f t="shared" si="105"/>
        <v>0</v>
      </c>
    </row>
    <row r="246" spans="2:13" s="1" customFormat="1">
      <c r="B246" s="172" t="s">
        <v>115</v>
      </c>
      <c r="C246" s="75"/>
      <c r="D246" s="125">
        <f t="shared" ref="D246:M246" si="106">IFERROR(D243/D242, "")</f>
        <v>0.25300288314347169</v>
      </c>
      <c r="E246" s="125">
        <f t="shared" si="106"/>
        <v>7.8966893862703114E-2</v>
      </c>
      <c r="F246" s="125">
        <f t="shared" si="106"/>
        <v>0.13070056845584008</v>
      </c>
      <c r="G246" s="125" t="str">
        <f t="shared" si="106"/>
        <v/>
      </c>
      <c r="H246" s="126" t="str">
        <f t="shared" si="106"/>
        <v/>
      </c>
      <c r="I246" s="126" t="str">
        <f t="shared" si="106"/>
        <v/>
      </c>
      <c r="J246" s="126" t="str">
        <f t="shared" si="106"/>
        <v/>
      </c>
      <c r="K246" s="126" t="str">
        <f t="shared" si="106"/>
        <v/>
      </c>
      <c r="L246" s="126" t="str">
        <f t="shared" si="106"/>
        <v/>
      </c>
      <c r="M246" s="163" t="str">
        <f t="shared" si="106"/>
        <v/>
      </c>
    </row>
    <row r="247" spans="2:13" s="1" customFormat="1">
      <c r="B247" s="172"/>
      <c r="C247" s="75"/>
      <c r="D247" s="104"/>
      <c r="E247" s="104"/>
      <c r="F247" s="104"/>
      <c r="G247" s="104"/>
      <c r="H247" s="113"/>
      <c r="I247" s="104"/>
      <c r="J247" s="104"/>
      <c r="K247" s="104"/>
      <c r="L247" s="104"/>
      <c r="M247" s="153"/>
    </row>
    <row r="248" spans="2:13" s="1" customFormat="1">
      <c r="B248" s="171" t="s">
        <v>101</v>
      </c>
      <c r="C248" s="75"/>
      <c r="D248" s="104"/>
      <c r="E248" s="104"/>
      <c r="F248" s="104"/>
      <c r="G248" s="104"/>
      <c r="H248" s="104"/>
      <c r="I248" s="104"/>
      <c r="J248" s="104"/>
      <c r="K248" s="104"/>
      <c r="L248" s="104"/>
      <c r="M248" s="153"/>
    </row>
    <row r="249" spans="2:13" s="1" customFormat="1">
      <c r="B249" s="100" t="s">
        <v>70</v>
      </c>
      <c r="C249" s="75"/>
      <c r="D249" s="105">
        <f>D210</f>
        <v>39813</v>
      </c>
      <c r="E249" s="105">
        <f t="shared" ref="E249:M249" si="107">E210</f>
        <v>366</v>
      </c>
      <c r="F249" s="105">
        <f t="shared" si="107"/>
        <v>366</v>
      </c>
      <c r="G249" s="105">
        <f t="shared" si="107"/>
        <v>366</v>
      </c>
      <c r="H249" s="105">
        <f t="shared" si="107"/>
        <v>366</v>
      </c>
      <c r="I249" s="105">
        <f t="shared" si="107"/>
        <v>366</v>
      </c>
      <c r="J249" s="105">
        <f t="shared" si="107"/>
        <v>366</v>
      </c>
      <c r="K249" s="105">
        <f t="shared" si="107"/>
        <v>366</v>
      </c>
      <c r="L249" s="105">
        <f t="shared" si="107"/>
        <v>366</v>
      </c>
      <c r="M249" s="160">
        <f t="shared" si="107"/>
        <v>366</v>
      </c>
    </row>
    <row r="250" spans="2:13" s="1" customFormat="1">
      <c r="B250" s="101" t="s">
        <v>127</v>
      </c>
      <c r="C250" s="75"/>
      <c r="D250" s="115">
        <f t="shared" ref="D250:M253" si="108">D211*D$15</f>
        <v>638.6</v>
      </c>
      <c r="E250" s="115">
        <f t="shared" si="108"/>
        <v>0</v>
      </c>
      <c r="F250" s="115">
        <f t="shared" si="108"/>
        <v>1250</v>
      </c>
      <c r="G250" s="115">
        <f t="shared" si="108"/>
        <v>0</v>
      </c>
      <c r="H250" s="115">
        <f t="shared" si="108"/>
        <v>0</v>
      </c>
      <c r="I250" s="115">
        <f t="shared" si="108"/>
        <v>0</v>
      </c>
      <c r="J250" s="115">
        <f t="shared" si="108"/>
        <v>0</v>
      </c>
      <c r="K250" s="115">
        <f t="shared" si="108"/>
        <v>0</v>
      </c>
      <c r="L250" s="115">
        <f t="shared" si="108"/>
        <v>0</v>
      </c>
      <c r="M250" s="161">
        <f t="shared" si="108"/>
        <v>0</v>
      </c>
    </row>
    <row r="251" spans="2:13" s="1" customFormat="1">
      <c r="B251" s="101" t="s">
        <v>128</v>
      </c>
      <c r="C251" s="75"/>
      <c r="D251" s="115">
        <f t="shared" si="108"/>
        <v>144.435</v>
      </c>
      <c r="E251" s="115">
        <f t="shared" si="108"/>
        <v>0</v>
      </c>
      <c r="F251" s="115">
        <f t="shared" si="108"/>
        <v>142.78100000000001</v>
      </c>
      <c r="G251" s="115">
        <f t="shared" si="108"/>
        <v>0</v>
      </c>
      <c r="H251" s="115">
        <f t="shared" si="108"/>
        <v>0</v>
      </c>
      <c r="I251" s="115">
        <f t="shared" si="108"/>
        <v>0</v>
      </c>
      <c r="J251" s="115">
        <f t="shared" si="108"/>
        <v>0</v>
      </c>
      <c r="K251" s="115">
        <f t="shared" si="108"/>
        <v>0</v>
      </c>
      <c r="L251" s="115">
        <f t="shared" si="108"/>
        <v>0</v>
      </c>
      <c r="M251" s="161">
        <f t="shared" si="108"/>
        <v>0</v>
      </c>
    </row>
    <row r="252" spans="2:13" s="1" customFormat="1">
      <c r="B252" s="101" t="s">
        <v>129</v>
      </c>
      <c r="C252" s="75"/>
      <c r="D252" s="115">
        <f t="shared" si="108"/>
        <v>133.30000000000001</v>
      </c>
      <c r="E252" s="115">
        <f t="shared" si="108"/>
        <v>0</v>
      </c>
      <c r="F252" s="115">
        <f t="shared" si="108"/>
        <v>113</v>
      </c>
      <c r="G252" s="115">
        <f t="shared" si="108"/>
        <v>0</v>
      </c>
      <c r="H252" s="115">
        <f t="shared" si="108"/>
        <v>0</v>
      </c>
      <c r="I252" s="115">
        <f t="shared" si="108"/>
        <v>0</v>
      </c>
      <c r="J252" s="115">
        <f t="shared" si="108"/>
        <v>0</v>
      </c>
      <c r="K252" s="115">
        <f t="shared" si="108"/>
        <v>0</v>
      </c>
      <c r="L252" s="115">
        <f t="shared" si="108"/>
        <v>0</v>
      </c>
      <c r="M252" s="161">
        <f t="shared" si="108"/>
        <v>0</v>
      </c>
    </row>
    <row r="253" spans="2:13" s="1" customFormat="1">
      <c r="B253" s="102" t="s">
        <v>130</v>
      </c>
      <c r="C253" s="75"/>
      <c r="D253" s="116">
        <f t="shared" si="108"/>
        <v>0.67</v>
      </c>
      <c r="E253" s="116">
        <f t="shared" si="108"/>
        <v>0</v>
      </c>
      <c r="F253" s="116">
        <f t="shared" si="108"/>
        <v>0.32</v>
      </c>
      <c r="G253" s="116">
        <f t="shared" si="108"/>
        <v>0</v>
      </c>
      <c r="H253" s="116">
        <f t="shared" si="108"/>
        <v>0</v>
      </c>
      <c r="I253" s="116">
        <f t="shared" si="108"/>
        <v>0</v>
      </c>
      <c r="J253" s="116">
        <f t="shared" si="108"/>
        <v>0</v>
      </c>
      <c r="K253" s="116">
        <f t="shared" si="108"/>
        <v>0</v>
      </c>
      <c r="L253" s="116">
        <f t="shared" si="108"/>
        <v>0</v>
      </c>
      <c r="M253" s="162">
        <f t="shared" si="108"/>
        <v>0</v>
      </c>
    </row>
    <row r="254" spans="2:13" s="1" customFormat="1">
      <c r="B254" s="172" t="s">
        <v>115</v>
      </c>
      <c r="C254" s="75"/>
      <c r="D254" s="125">
        <f t="shared" ref="D254:M254" si="109">IFERROR(D251/D250, "")</f>
        <v>0.22617444409646101</v>
      </c>
      <c r="E254" s="125" t="str">
        <f t="shared" si="109"/>
        <v/>
      </c>
      <c r="F254" s="125">
        <f t="shared" si="109"/>
        <v>0.1142248</v>
      </c>
      <c r="G254" s="125" t="str">
        <f t="shared" si="109"/>
        <v/>
      </c>
      <c r="H254" s="126" t="str">
        <f t="shared" si="109"/>
        <v/>
      </c>
      <c r="I254" s="126" t="str">
        <f t="shared" si="109"/>
        <v/>
      </c>
      <c r="J254" s="126" t="str">
        <f t="shared" si="109"/>
        <v/>
      </c>
      <c r="K254" s="126" t="str">
        <f t="shared" si="109"/>
        <v/>
      </c>
      <c r="L254" s="126" t="str">
        <f t="shared" si="109"/>
        <v/>
      </c>
      <c r="M254" s="163" t="str">
        <f t="shared" si="109"/>
        <v/>
      </c>
    </row>
    <row r="255" spans="2:13" s="1" customFormat="1">
      <c r="B255" s="172"/>
      <c r="C255" s="75"/>
      <c r="D255" s="125"/>
      <c r="E255" s="125"/>
      <c r="F255" s="125"/>
      <c r="G255" s="125"/>
      <c r="H255" s="126"/>
      <c r="I255" s="126"/>
      <c r="J255" s="126"/>
      <c r="K255" s="126"/>
      <c r="L255" s="126"/>
      <c r="M255" s="163"/>
    </row>
    <row r="256" spans="2:13" s="1" customFormat="1">
      <c r="B256" s="171" t="s">
        <v>102</v>
      </c>
      <c r="C256" s="75"/>
      <c r="D256" s="104"/>
      <c r="E256" s="104"/>
      <c r="F256" s="104"/>
      <c r="G256" s="104"/>
      <c r="H256" s="104"/>
      <c r="I256" s="104"/>
      <c r="J256" s="104"/>
      <c r="K256" s="104"/>
      <c r="L256" s="104"/>
      <c r="M256" s="153"/>
    </row>
    <row r="257" spans="2:13" s="1" customFormat="1">
      <c r="B257" s="100" t="s">
        <v>70</v>
      </c>
      <c r="C257" s="75"/>
      <c r="D257" s="105">
        <f>D217</f>
        <v>40178</v>
      </c>
      <c r="E257" s="105">
        <f t="shared" ref="E257:M257" si="110">E217</f>
        <v>731</v>
      </c>
      <c r="F257" s="105">
        <f t="shared" si="110"/>
        <v>731</v>
      </c>
      <c r="G257" s="105">
        <f t="shared" si="110"/>
        <v>731</v>
      </c>
      <c r="H257" s="105">
        <f t="shared" si="110"/>
        <v>731</v>
      </c>
      <c r="I257" s="105">
        <f t="shared" si="110"/>
        <v>731</v>
      </c>
      <c r="J257" s="105">
        <f t="shared" si="110"/>
        <v>731</v>
      </c>
      <c r="K257" s="105">
        <f t="shared" si="110"/>
        <v>731</v>
      </c>
      <c r="L257" s="105">
        <f t="shared" si="110"/>
        <v>731</v>
      </c>
      <c r="M257" s="160">
        <f t="shared" si="110"/>
        <v>731</v>
      </c>
    </row>
    <row r="258" spans="2:13" s="1" customFormat="1">
      <c r="B258" s="101" t="s">
        <v>131</v>
      </c>
      <c r="C258" s="75"/>
      <c r="D258" s="115">
        <f t="shared" ref="D258:M261" si="111">D218*D$15</f>
        <v>705</v>
      </c>
      <c r="E258" s="115">
        <f t="shared" si="111"/>
        <v>0</v>
      </c>
      <c r="F258" s="115">
        <f t="shared" si="111"/>
        <v>1391</v>
      </c>
      <c r="G258" s="115">
        <f t="shared" si="111"/>
        <v>0</v>
      </c>
      <c r="H258" s="115">
        <f t="shared" si="111"/>
        <v>0</v>
      </c>
      <c r="I258" s="115">
        <f t="shared" si="111"/>
        <v>0</v>
      </c>
      <c r="J258" s="115">
        <f t="shared" si="111"/>
        <v>0</v>
      </c>
      <c r="K258" s="115">
        <f t="shared" si="111"/>
        <v>0</v>
      </c>
      <c r="L258" s="115">
        <f t="shared" si="111"/>
        <v>0</v>
      </c>
      <c r="M258" s="161">
        <f t="shared" si="111"/>
        <v>0</v>
      </c>
    </row>
    <row r="259" spans="2:13" s="1" customFormat="1">
      <c r="B259" s="101" t="s">
        <v>132</v>
      </c>
      <c r="C259" s="75"/>
      <c r="D259" s="115">
        <f t="shared" si="111"/>
        <v>166.8</v>
      </c>
      <c r="E259" s="115">
        <f t="shared" si="111"/>
        <v>0</v>
      </c>
      <c r="F259" s="115">
        <f t="shared" si="111"/>
        <v>170.78100000000001</v>
      </c>
      <c r="G259" s="115">
        <f t="shared" si="111"/>
        <v>0</v>
      </c>
      <c r="H259" s="115">
        <f t="shared" si="111"/>
        <v>0</v>
      </c>
      <c r="I259" s="115">
        <f t="shared" si="111"/>
        <v>0</v>
      </c>
      <c r="J259" s="115">
        <f t="shared" si="111"/>
        <v>0</v>
      </c>
      <c r="K259" s="115">
        <f t="shared" si="111"/>
        <v>0</v>
      </c>
      <c r="L259" s="115">
        <f t="shared" si="111"/>
        <v>0</v>
      </c>
      <c r="M259" s="161">
        <f t="shared" si="111"/>
        <v>0</v>
      </c>
    </row>
    <row r="260" spans="2:13" s="1" customFormat="1">
      <c r="B260" s="101" t="s">
        <v>134</v>
      </c>
      <c r="C260" s="75"/>
      <c r="D260" s="115">
        <f t="shared" si="111"/>
        <v>155.5</v>
      </c>
      <c r="E260" s="115">
        <f t="shared" si="111"/>
        <v>0</v>
      </c>
      <c r="F260" s="115">
        <f t="shared" si="111"/>
        <v>141</v>
      </c>
      <c r="G260" s="115">
        <f t="shared" si="111"/>
        <v>0</v>
      </c>
      <c r="H260" s="115">
        <f t="shared" si="111"/>
        <v>0</v>
      </c>
      <c r="I260" s="115">
        <f t="shared" si="111"/>
        <v>0</v>
      </c>
      <c r="J260" s="115">
        <f t="shared" si="111"/>
        <v>0</v>
      </c>
      <c r="K260" s="115">
        <f t="shared" si="111"/>
        <v>0</v>
      </c>
      <c r="L260" s="115">
        <f t="shared" si="111"/>
        <v>0</v>
      </c>
      <c r="M260" s="161">
        <f t="shared" si="111"/>
        <v>0</v>
      </c>
    </row>
    <row r="261" spans="2:13" s="1" customFormat="1">
      <c r="B261" s="102" t="s">
        <v>133</v>
      </c>
      <c r="C261" s="75"/>
      <c r="D261" s="116">
        <f t="shared" si="111"/>
        <v>0.77</v>
      </c>
      <c r="E261" s="116">
        <f t="shared" si="111"/>
        <v>0</v>
      </c>
      <c r="F261" s="116">
        <f t="shared" si="111"/>
        <v>0.38</v>
      </c>
      <c r="G261" s="116">
        <f t="shared" si="111"/>
        <v>0</v>
      </c>
      <c r="H261" s="116">
        <f t="shared" si="111"/>
        <v>0</v>
      </c>
      <c r="I261" s="116">
        <f t="shared" si="111"/>
        <v>0</v>
      </c>
      <c r="J261" s="116">
        <f t="shared" si="111"/>
        <v>0</v>
      </c>
      <c r="K261" s="116">
        <f t="shared" si="111"/>
        <v>0</v>
      </c>
      <c r="L261" s="116">
        <f t="shared" si="111"/>
        <v>0</v>
      </c>
      <c r="M261" s="162">
        <f t="shared" si="111"/>
        <v>0</v>
      </c>
    </row>
    <row r="262" spans="2:13" s="1" customFormat="1">
      <c r="B262" s="172" t="s">
        <v>115</v>
      </c>
      <c r="C262" s="75"/>
      <c r="D262" s="125">
        <f t="shared" ref="D262:M262" si="112">IFERROR(D259/D258, "")</f>
        <v>0.23659574468085107</v>
      </c>
      <c r="E262" s="125" t="str">
        <f t="shared" si="112"/>
        <v/>
      </c>
      <c r="F262" s="125">
        <f t="shared" si="112"/>
        <v>0.12277570093457944</v>
      </c>
      <c r="G262" s="125" t="str">
        <f t="shared" si="112"/>
        <v/>
      </c>
      <c r="H262" s="126" t="str">
        <f t="shared" si="112"/>
        <v/>
      </c>
      <c r="I262" s="126" t="str">
        <f t="shared" si="112"/>
        <v/>
      </c>
      <c r="J262" s="126" t="str">
        <f t="shared" si="112"/>
        <v/>
      </c>
      <c r="K262" s="126" t="str">
        <f t="shared" si="112"/>
        <v/>
      </c>
      <c r="L262" s="126" t="str">
        <f t="shared" si="112"/>
        <v/>
      </c>
      <c r="M262" s="163" t="str">
        <f t="shared" si="112"/>
        <v/>
      </c>
    </row>
    <row r="263" spans="2:13" s="1" customFormat="1">
      <c r="B263" s="172"/>
      <c r="C263" s="75"/>
      <c r="D263" s="125"/>
      <c r="E263" s="125"/>
      <c r="F263" s="125"/>
      <c r="G263" s="125"/>
      <c r="H263" s="126"/>
      <c r="I263" s="126"/>
      <c r="J263" s="126"/>
      <c r="K263" s="126"/>
      <c r="L263" s="126"/>
      <c r="M263" s="163"/>
    </row>
    <row r="264" spans="2:13" s="1" customFormat="1">
      <c r="B264" s="171" t="s">
        <v>71</v>
      </c>
      <c r="C264" s="13"/>
      <c r="D264" s="148"/>
      <c r="E264" s="148"/>
      <c r="F264" s="148"/>
      <c r="G264" s="148"/>
      <c r="H264" s="148"/>
      <c r="I264" s="148"/>
      <c r="J264" s="148"/>
      <c r="K264" s="148"/>
      <c r="L264" s="148"/>
      <c r="M264" s="164"/>
    </row>
    <row r="265" spans="2:13" s="1" customFormat="1">
      <c r="B265" s="102" t="s">
        <v>135</v>
      </c>
      <c r="C265" s="13"/>
      <c r="D265" s="148">
        <f t="shared" ref="D265:M267" si="113">IFERROR(D$238/D242, "NM")</f>
        <v>2.3175416405117653</v>
      </c>
      <c r="E265" s="148">
        <f t="shared" si="113"/>
        <v>0.42445306234022934</v>
      </c>
      <c r="F265" s="148">
        <f t="shared" si="113"/>
        <v>2.1967959203213079</v>
      </c>
      <c r="G265" s="148" t="str">
        <f t="shared" si="113"/>
        <v>NM</v>
      </c>
      <c r="H265" s="148" t="str">
        <f t="shared" si="113"/>
        <v>NM</v>
      </c>
      <c r="I265" s="148" t="str">
        <f t="shared" si="113"/>
        <v>NM</v>
      </c>
      <c r="J265" s="148" t="str">
        <f t="shared" si="113"/>
        <v>NM</v>
      </c>
      <c r="K265" s="148" t="str">
        <f t="shared" si="113"/>
        <v>NM</v>
      </c>
      <c r="L265" s="148" t="str">
        <f t="shared" si="113"/>
        <v>NM</v>
      </c>
      <c r="M265" s="164" t="str">
        <f t="shared" si="113"/>
        <v>NM</v>
      </c>
    </row>
    <row r="266" spans="2:13" s="1" customFormat="1">
      <c r="B266" s="102" t="s">
        <v>136</v>
      </c>
      <c r="C266" s="13"/>
      <c r="D266" s="149">
        <f t="shared" si="113"/>
        <v>9.1601392510517154</v>
      </c>
      <c r="E266" s="149">
        <f t="shared" si="113"/>
        <v>5.3750760803408397</v>
      </c>
      <c r="F266" s="149">
        <f t="shared" si="113"/>
        <v>16.807852837025276</v>
      </c>
      <c r="G266" s="149" t="str">
        <f t="shared" si="113"/>
        <v>NM</v>
      </c>
      <c r="H266" s="149" t="str">
        <f t="shared" si="113"/>
        <v>NM</v>
      </c>
      <c r="I266" s="149" t="str">
        <f t="shared" si="113"/>
        <v>NM</v>
      </c>
      <c r="J266" s="149" t="str">
        <f t="shared" si="113"/>
        <v>NM</v>
      </c>
      <c r="K266" s="149" t="str">
        <f t="shared" si="113"/>
        <v>NM</v>
      </c>
      <c r="L266" s="149" t="str">
        <f t="shared" si="113"/>
        <v>NM</v>
      </c>
      <c r="M266" s="165" t="str">
        <f t="shared" si="113"/>
        <v>NM</v>
      </c>
    </row>
    <row r="267" spans="2:13" s="1" customFormat="1">
      <c r="B267" s="102" t="s">
        <v>137</v>
      </c>
      <c r="C267" s="13"/>
      <c r="D267" s="149">
        <f t="shared" si="113"/>
        <v>9.8039722465816848</v>
      </c>
      <c r="E267" s="149">
        <f t="shared" si="113"/>
        <v>6.6792720397069241</v>
      </c>
      <c r="F267" s="149">
        <f t="shared" si="113"/>
        <v>20.002111982233583</v>
      </c>
      <c r="G267" s="149" t="str">
        <f t="shared" si="113"/>
        <v>NM</v>
      </c>
      <c r="H267" s="149" t="str">
        <f t="shared" si="113"/>
        <v>NM</v>
      </c>
      <c r="I267" s="149" t="str">
        <f t="shared" si="113"/>
        <v>NM</v>
      </c>
      <c r="J267" s="149" t="str">
        <f t="shared" si="113"/>
        <v>NM</v>
      </c>
      <c r="K267" s="149" t="str">
        <f t="shared" si="113"/>
        <v>NM</v>
      </c>
      <c r="L267" s="149" t="str">
        <f t="shared" si="113"/>
        <v>NM</v>
      </c>
      <c r="M267" s="165" t="str">
        <f t="shared" si="113"/>
        <v>NM</v>
      </c>
    </row>
    <row r="268" spans="2:13" s="1" customFormat="1">
      <c r="B268" s="102" t="s">
        <v>138</v>
      </c>
      <c r="C268" s="13"/>
      <c r="D268" s="149">
        <f t="shared" ref="D268:M268" si="114">IFERROR(D234/D245, "NM")</f>
        <v>20.794324465725705</v>
      </c>
      <c r="E268" s="149" t="str">
        <f t="shared" si="114"/>
        <v>NM</v>
      </c>
      <c r="F268" s="149">
        <f t="shared" si="114"/>
        <v>19.021457959536004</v>
      </c>
      <c r="G268" s="149" t="str">
        <f t="shared" si="114"/>
        <v>NM</v>
      </c>
      <c r="H268" s="149" t="str">
        <f t="shared" si="114"/>
        <v>NM</v>
      </c>
      <c r="I268" s="149" t="str">
        <f t="shared" si="114"/>
        <v>NM</v>
      </c>
      <c r="J268" s="149" t="str">
        <f t="shared" si="114"/>
        <v>NM</v>
      </c>
      <c r="K268" s="149" t="str">
        <f t="shared" si="114"/>
        <v>NM</v>
      </c>
      <c r="L268" s="149" t="str">
        <f t="shared" si="114"/>
        <v>NM</v>
      </c>
      <c r="M268" s="165" t="str">
        <f t="shared" si="114"/>
        <v>NM</v>
      </c>
    </row>
    <row r="269" spans="2:13" s="1" customFormat="1">
      <c r="B269" s="102"/>
      <c r="C269" s="13"/>
      <c r="D269" s="149"/>
      <c r="E269" s="149"/>
      <c r="F269" s="149"/>
      <c r="G269" s="149"/>
      <c r="H269" s="149"/>
      <c r="I269" s="149"/>
      <c r="J269" s="149"/>
      <c r="K269" s="149"/>
      <c r="L269" s="149"/>
      <c r="M269" s="165"/>
    </row>
    <row r="270" spans="2:13" s="1" customFormat="1">
      <c r="B270" s="171" t="s">
        <v>72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07"/>
    </row>
    <row r="271" spans="2:13" s="1" customFormat="1">
      <c r="B271" s="102" t="s">
        <v>139</v>
      </c>
      <c r="C271" s="13"/>
      <c r="D271" s="148">
        <f t="shared" ref="D271:M273" si="115">IFERROR(D$238/D250, "NM")</f>
        <v>2.3185795623864704</v>
      </c>
      <c r="E271" s="148" t="str">
        <f t="shared" si="115"/>
        <v>NM</v>
      </c>
      <c r="F271" s="148">
        <f t="shared" si="115"/>
        <v>2.2228587071199999</v>
      </c>
      <c r="G271" s="148" t="str">
        <f t="shared" si="115"/>
        <v>NM</v>
      </c>
      <c r="H271" s="148" t="str">
        <f t="shared" si="115"/>
        <v>NM</v>
      </c>
      <c r="I271" s="148" t="str">
        <f t="shared" si="115"/>
        <v>NM</v>
      </c>
      <c r="J271" s="148" t="str">
        <f t="shared" si="115"/>
        <v>NM</v>
      </c>
      <c r="K271" s="148" t="str">
        <f t="shared" si="115"/>
        <v>NM</v>
      </c>
      <c r="L271" s="148" t="str">
        <f t="shared" si="115"/>
        <v>NM</v>
      </c>
      <c r="M271" s="164" t="str">
        <f t="shared" si="115"/>
        <v>NM</v>
      </c>
    </row>
    <row r="272" spans="2:13" s="1" customFormat="1">
      <c r="B272" s="102" t="s">
        <v>140</v>
      </c>
      <c r="C272" s="13"/>
      <c r="D272" s="149">
        <f t="shared" si="115"/>
        <v>10.25128887416485</v>
      </c>
      <c r="E272" s="149" t="str">
        <f t="shared" si="115"/>
        <v>NM</v>
      </c>
      <c r="F272" s="149">
        <f t="shared" si="115"/>
        <v>19.46038607307695</v>
      </c>
      <c r="G272" s="149" t="str">
        <f t="shared" si="115"/>
        <v>NM</v>
      </c>
      <c r="H272" s="149" t="str">
        <f t="shared" si="115"/>
        <v>NM</v>
      </c>
      <c r="I272" s="149" t="str">
        <f t="shared" si="115"/>
        <v>NM</v>
      </c>
      <c r="J272" s="149" t="str">
        <f t="shared" si="115"/>
        <v>NM</v>
      </c>
      <c r="K272" s="149" t="str">
        <f t="shared" si="115"/>
        <v>NM</v>
      </c>
      <c r="L272" s="149" t="str">
        <f t="shared" si="115"/>
        <v>NM</v>
      </c>
      <c r="M272" s="165" t="str">
        <f t="shared" si="115"/>
        <v>NM</v>
      </c>
    </row>
    <row r="273" spans="2:13" s="1" customFormat="1">
      <c r="B273" s="102" t="s">
        <v>141</v>
      </c>
      <c r="C273" s="13"/>
      <c r="D273" s="149">
        <f t="shared" si="115"/>
        <v>11.107613717479369</v>
      </c>
      <c r="E273" s="149" t="str">
        <f t="shared" si="115"/>
        <v>NM</v>
      </c>
      <c r="F273" s="149">
        <f t="shared" si="115"/>
        <v>24.589144990265485</v>
      </c>
      <c r="G273" s="149" t="str">
        <f t="shared" si="115"/>
        <v>NM</v>
      </c>
      <c r="H273" s="149" t="str">
        <f t="shared" si="115"/>
        <v>NM</v>
      </c>
      <c r="I273" s="149" t="str">
        <f t="shared" si="115"/>
        <v>NM</v>
      </c>
      <c r="J273" s="149" t="str">
        <f t="shared" si="115"/>
        <v>NM</v>
      </c>
      <c r="K273" s="149" t="str">
        <f t="shared" si="115"/>
        <v>NM</v>
      </c>
      <c r="L273" s="149" t="str">
        <f t="shared" si="115"/>
        <v>NM</v>
      </c>
      <c r="M273" s="165" t="str">
        <f t="shared" si="115"/>
        <v>NM</v>
      </c>
    </row>
    <row r="274" spans="2:13" s="1" customFormat="1">
      <c r="B274" s="102" t="s">
        <v>142</v>
      </c>
      <c r="C274" s="13"/>
      <c r="D274" s="149">
        <f t="shared" ref="D274:M274" si="116">IFERROR(D234/D253, "NM")</f>
        <v>24.626865671641788</v>
      </c>
      <c r="E274" s="149" t="str">
        <f t="shared" si="116"/>
        <v>NM</v>
      </c>
      <c r="F274" s="149">
        <f t="shared" si="116"/>
        <v>24.6875</v>
      </c>
      <c r="G274" s="149" t="str">
        <f t="shared" si="116"/>
        <v>NM</v>
      </c>
      <c r="H274" s="149" t="str">
        <f t="shared" si="116"/>
        <v>NM</v>
      </c>
      <c r="I274" s="149" t="str">
        <f t="shared" si="116"/>
        <v>NM</v>
      </c>
      <c r="J274" s="149" t="str">
        <f t="shared" si="116"/>
        <v>NM</v>
      </c>
      <c r="K274" s="149" t="str">
        <f t="shared" si="116"/>
        <v>NM</v>
      </c>
      <c r="L274" s="149" t="str">
        <f t="shared" si="116"/>
        <v>NM</v>
      </c>
      <c r="M274" s="165" t="str">
        <f t="shared" si="116"/>
        <v>NM</v>
      </c>
    </row>
    <row r="275" spans="2:13" s="1" customFormat="1">
      <c r="B275" s="102"/>
      <c r="C275" s="13"/>
      <c r="D275" s="149"/>
      <c r="E275" s="149"/>
      <c r="F275" s="149"/>
      <c r="G275" s="149"/>
      <c r="H275" s="149"/>
      <c r="I275" s="149"/>
      <c r="J275" s="149"/>
      <c r="K275" s="149"/>
      <c r="L275" s="149"/>
      <c r="M275" s="165"/>
    </row>
    <row r="276" spans="2:13" s="1" customFormat="1">
      <c r="B276" s="171" t="s">
        <v>73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07"/>
    </row>
    <row r="277" spans="2:13" s="1" customFormat="1">
      <c r="B277" s="102" t="s">
        <v>143</v>
      </c>
      <c r="C277" s="13"/>
      <c r="D277" s="148">
        <f t="shared" ref="D277:M279" si="117">IFERROR(D$238/D258, "NM")</f>
        <v>2.1002055440283689</v>
      </c>
      <c r="E277" s="148" t="str">
        <f t="shared" si="117"/>
        <v>NM</v>
      </c>
      <c r="F277" s="148">
        <f t="shared" si="117"/>
        <v>1.9975365808051762</v>
      </c>
      <c r="G277" s="148" t="str">
        <f t="shared" si="117"/>
        <v>NM</v>
      </c>
      <c r="H277" s="148" t="str">
        <f t="shared" si="117"/>
        <v>NM</v>
      </c>
      <c r="I277" s="148" t="str">
        <f t="shared" si="117"/>
        <v>NM</v>
      </c>
      <c r="J277" s="148" t="str">
        <f t="shared" si="117"/>
        <v>NM</v>
      </c>
      <c r="K277" s="148" t="str">
        <f t="shared" si="117"/>
        <v>NM</v>
      </c>
      <c r="L277" s="148" t="str">
        <f t="shared" si="117"/>
        <v>NM</v>
      </c>
      <c r="M277" s="164" t="str">
        <f t="shared" si="117"/>
        <v>NM</v>
      </c>
    </row>
    <row r="278" spans="2:13" s="1" customFormat="1">
      <c r="B278" s="102" t="s">
        <v>144</v>
      </c>
      <c r="C278" s="13"/>
      <c r="D278" s="149">
        <f t="shared" si="117"/>
        <v>8.8767680368105513</v>
      </c>
      <c r="E278" s="149" t="str">
        <f t="shared" si="117"/>
        <v>NM</v>
      </c>
      <c r="F278" s="149">
        <f t="shared" si="117"/>
        <v>16.269803923738589</v>
      </c>
      <c r="G278" s="149" t="str">
        <f t="shared" si="117"/>
        <v>NM</v>
      </c>
      <c r="H278" s="149" t="str">
        <f t="shared" si="117"/>
        <v>NM</v>
      </c>
      <c r="I278" s="149" t="str">
        <f t="shared" si="117"/>
        <v>NM</v>
      </c>
      <c r="J278" s="149" t="str">
        <f t="shared" si="117"/>
        <v>NM</v>
      </c>
      <c r="K278" s="149" t="str">
        <f t="shared" si="117"/>
        <v>NM</v>
      </c>
      <c r="L278" s="149" t="str">
        <f t="shared" si="117"/>
        <v>NM</v>
      </c>
      <c r="M278" s="165" t="str">
        <f t="shared" si="117"/>
        <v>NM</v>
      </c>
    </row>
    <row r="279" spans="2:13" s="1" customFormat="1">
      <c r="B279" s="102" t="s">
        <v>145</v>
      </c>
      <c r="C279" s="13"/>
      <c r="D279" s="149">
        <f t="shared" si="117"/>
        <v>9.5218322092604506</v>
      </c>
      <c r="E279" s="149" t="str">
        <f t="shared" si="117"/>
        <v>NM</v>
      </c>
      <c r="F279" s="149">
        <f t="shared" si="117"/>
        <v>19.706194212056737</v>
      </c>
      <c r="G279" s="149" t="str">
        <f t="shared" si="117"/>
        <v>NM</v>
      </c>
      <c r="H279" s="149" t="str">
        <f t="shared" si="117"/>
        <v>NM</v>
      </c>
      <c r="I279" s="149" t="str">
        <f t="shared" si="117"/>
        <v>NM</v>
      </c>
      <c r="J279" s="149" t="str">
        <f t="shared" si="117"/>
        <v>NM</v>
      </c>
      <c r="K279" s="149" t="str">
        <f t="shared" si="117"/>
        <v>NM</v>
      </c>
      <c r="L279" s="149" t="str">
        <f t="shared" si="117"/>
        <v>NM</v>
      </c>
      <c r="M279" s="165" t="str">
        <f t="shared" si="117"/>
        <v>NM</v>
      </c>
    </row>
    <row r="280" spans="2:13" s="1" customFormat="1">
      <c r="B280" s="102" t="s">
        <v>146</v>
      </c>
      <c r="C280" s="13"/>
      <c r="D280" s="149">
        <f t="shared" ref="D280:M280" si="118">IFERROR(D234/D261, "NM")</f>
        <v>21.428571428571427</v>
      </c>
      <c r="E280" s="149" t="str">
        <f t="shared" si="118"/>
        <v>NM</v>
      </c>
      <c r="F280" s="149">
        <f t="shared" si="118"/>
        <v>20.789473684210527</v>
      </c>
      <c r="G280" s="149" t="str">
        <f t="shared" si="118"/>
        <v>NM</v>
      </c>
      <c r="H280" s="149" t="str">
        <f t="shared" si="118"/>
        <v>NM</v>
      </c>
      <c r="I280" s="149" t="str">
        <f t="shared" si="118"/>
        <v>NM</v>
      </c>
      <c r="J280" s="149" t="str">
        <f t="shared" si="118"/>
        <v>NM</v>
      </c>
      <c r="K280" s="149" t="str">
        <f t="shared" si="118"/>
        <v>NM</v>
      </c>
      <c r="L280" s="149" t="str">
        <f t="shared" si="118"/>
        <v>NM</v>
      </c>
      <c r="M280" s="165" t="str">
        <f t="shared" si="118"/>
        <v>NM</v>
      </c>
    </row>
    <row r="281" spans="2:13" s="1" customFormat="1">
      <c r="B281" s="10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07"/>
    </row>
    <row r="282" spans="2:13" s="1" customFormat="1">
      <c r="B282" s="10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07"/>
    </row>
    <row r="283" spans="2:13" s="1" customFormat="1">
      <c r="B283" s="10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07"/>
    </row>
    <row r="284" spans="2:13" s="1" customFormat="1">
      <c r="B284" s="10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07"/>
    </row>
    <row r="285" spans="2:13" s="1" customFormat="1">
      <c r="B285" s="10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07"/>
    </row>
    <row r="286" spans="2:13" s="1" customFormat="1">
      <c r="B286" s="10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07"/>
    </row>
    <row r="287" spans="2:13" s="1" customFormat="1">
      <c r="B287" s="10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07"/>
    </row>
    <row r="288" spans="2:13" s="1" customFormat="1" ht="14.4" thickBot="1">
      <c r="B288" s="173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108"/>
    </row>
  </sheetData>
  <phoneticPr fontId="3" type="noConversion"/>
  <conditionalFormatting sqref="D143:M143">
    <cfRule type="cellIs" dxfId="10" priority="11" stopIfTrue="1" operator="equal">
      <formula>"OK "</formula>
    </cfRule>
  </conditionalFormatting>
  <conditionalFormatting sqref="D178:M178">
    <cfRule type="cellIs" dxfId="9" priority="10" stopIfTrue="1" operator="equal">
      <formula>"OK "</formula>
    </cfRule>
  </conditionalFormatting>
  <conditionalFormatting sqref="D108:M108">
    <cfRule type="cellIs" dxfId="8" priority="9" stopIfTrue="1" operator="equal">
      <formula>"OK "</formula>
    </cfRule>
  </conditionalFormatting>
  <conditionalFormatting sqref="D143">
    <cfRule type="cellIs" dxfId="7" priority="8" stopIfTrue="1" operator="equal">
      <formula>"OK "</formula>
    </cfRule>
  </conditionalFormatting>
  <conditionalFormatting sqref="D178">
    <cfRule type="cellIs" dxfId="6" priority="7" stopIfTrue="1" operator="equal">
      <formula>"OK "</formula>
    </cfRule>
  </conditionalFormatting>
  <conditionalFormatting sqref="F108">
    <cfRule type="cellIs" dxfId="5" priority="6" stopIfTrue="1" operator="equal">
      <formula>"OK "</formula>
    </cfRule>
  </conditionalFormatting>
  <conditionalFormatting sqref="F143">
    <cfRule type="cellIs" dxfId="4" priority="5" stopIfTrue="1" operator="equal">
      <formula>"OK "</formula>
    </cfRule>
  </conditionalFormatting>
  <conditionalFormatting sqref="F178">
    <cfRule type="cellIs" dxfId="3" priority="4" stopIfTrue="1" operator="equal">
      <formula>"OK "</formula>
    </cfRule>
  </conditionalFormatting>
  <conditionalFormatting sqref="G143">
    <cfRule type="cellIs" dxfId="2" priority="3" stopIfTrue="1" operator="equal">
      <formula>"OK "</formula>
    </cfRule>
  </conditionalFormatting>
  <conditionalFormatting sqref="G178">
    <cfRule type="cellIs" dxfId="1" priority="2" stopIfTrue="1" operator="equal">
      <formula>"OK "</formula>
    </cfRule>
  </conditionalFormatting>
  <conditionalFormatting sqref="G108">
    <cfRule type="cellIs" dxfId="0" priority="1" stopIfTrue="1" operator="equal">
      <formula>"OK "</formula>
    </cfRule>
  </conditionalFormatting>
  <dataValidations count="5">
    <dataValidation type="list" allowBlank="1" showInputMessage="1" showErrorMessage="1" sqref="H18:M19 D18:G18">
      <formula1>"--,Cash,Stock,Partial Cash/Stock"</formula1>
    </dataValidation>
    <dataValidation type="list" allowBlank="1" showInputMessage="1" showErrorMessage="1" sqref="D5">
      <formula1>"millions, thousands"</formula1>
    </dataValidation>
    <dataValidation type="list" allowBlank="1" showInputMessage="1" showErrorMessage="1" sqref="D13:M13">
      <formula1>"--,Announced,Cancelled,Completed"</formula1>
    </dataValidation>
    <dataValidation allowBlank="1" showInputMessage="1" showErrorMessage="1" promptTitle="Basic Shares" prompt="Look for basic share count on front cover of latest pre-deal 10Q/10K. If latest pre-deal 10Q/K is stale (&gt;1 mo) or target is private and acquirer is public, look for a merger agreement (in 8K or proxy) as this may include latest pre-deal actual shares. " sqref="E33:M33"/>
    <dataValidation allowBlank="1" showInputMessage="1" showErrorMessage="1" promptTitle="Basic Shares" prompt="Look for basic share count on front cover of the latest 10Q/10K. If target is private and acquirer is public, look for a merger agreement (in 8K or proxy) as this may include latest actual shares. " sqref="D33"/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2"/>
  <sheetViews>
    <sheetView zoomScaleNormal="100" workbookViewId="0"/>
  </sheetViews>
  <sheetFormatPr defaultColWidth="9.109375" defaultRowHeight="13.8" outlineLevelRow="1"/>
  <cols>
    <col min="1" max="1" width="2.6640625" style="1" customWidth="1"/>
    <col min="2" max="2" width="17.6640625" style="1" customWidth="1"/>
    <col min="3" max="3" width="17.44140625" style="1" customWidth="1"/>
    <col min="4" max="4" width="10" style="17" customWidth="1"/>
    <col min="5" max="9" width="9.88671875" style="1" customWidth="1"/>
    <col min="10" max="10" width="11.44140625" style="1" customWidth="1"/>
    <col min="11" max="20" width="9" style="1" customWidth="1"/>
    <col min="21" max="21" width="2.33203125" style="1" customWidth="1"/>
    <col min="22" max="25" width="9.109375" style="1"/>
    <col min="26" max="26" width="2.33203125" style="1" customWidth="1"/>
    <col min="27" max="16384" width="9.109375" style="1"/>
  </cols>
  <sheetData>
    <row r="1" spans="2:30" outlineLevel="1">
      <c r="B1" s="135" t="s">
        <v>148</v>
      </c>
      <c r="C1" s="132"/>
      <c r="D1" s="132"/>
      <c r="E1" s="132"/>
      <c r="F1" s="132"/>
      <c r="G1" s="132"/>
      <c r="H1" s="132"/>
      <c r="I1" s="132"/>
      <c r="J1" s="133"/>
      <c r="K1" s="132"/>
      <c r="L1" s="132"/>
      <c r="M1" s="132"/>
      <c r="N1" s="132"/>
      <c r="O1" s="132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</row>
    <row r="2" spans="2:30" outlineLevel="1">
      <c r="B2" s="134"/>
      <c r="C2" s="176" t="s">
        <v>113</v>
      </c>
      <c r="D2" s="176" t="s">
        <v>8</v>
      </c>
      <c r="E2" s="176" t="s">
        <v>9</v>
      </c>
      <c r="F2" s="176" t="s">
        <v>30</v>
      </c>
      <c r="G2" s="176" t="s">
        <v>103</v>
      </c>
      <c r="H2" s="176" t="s">
        <v>121</v>
      </c>
      <c r="I2" s="176" t="s">
        <v>13</v>
      </c>
      <c r="J2" s="176" t="s">
        <v>125</v>
      </c>
      <c r="K2" s="176" t="s">
        <v>50</v>
      </c>
      <c r="L2" s="176" t="s">
        <v>51</v>
      </c>
      <c r="M2" s="176" t="s">
        <v>115</v>
      </c>
      <c r="N2" s="176" t="s">
        <v>126</v>
      </c>
      <c r="O2" s="176" t="s">
        <v>52</v>
      </c>
      <c r="P2" s="176" t="s">
        <v>20</v>
      </c>
      <c r="Q2" s="176" t="s">
        <v>135</v>
      </c>
      <c r="R2" s="176" t="s">
        <v>136</v>
      </c>
      <c r="S2" s="176" t="s">
        <v>137</v>
      </c>
      <c r="T2" s="176" t="s">
        <v>138</v>
      </c>
      <c r="U2" s="176"/>
      <c r="V2" s="176" t="s">
        <v>139</v>
      </c>
      <c r="W2" s="176" t="s">
        <v>140</v>
      </c>
      <c r="X2" s="176" t="s">
        <v>141</v>
      </c>
      <c r="Y2" s="176" t="s">
        <v>142</v>
      </c>
      <c r="Z2" s="176"/>
      <c r="AA2" s="176" t="s">
        <v>143</v>
      </c>
      <c r="AB2" s="176" t="s">
        <v>144</v>
      </c>
      <c r="AC2" s="176" t="s">
        <v>145</v>
      </c>
      <c r="AD2" s="176" t="s">
        <v>146</v>
      </c>
    </row>
    <row r="4" spans="2:30" ht="27.9" customHeight="1">
      <c r="B4" s="69" t="s">
        <v>150</v>
      </c>
      <c r="C4" s="31"/>
      <c r="D4" s="60"/>
      <c r="E4" s="60"/>
      <c r="F4" s="60"/>
      <c r="G4" s="60"/>
      <c r="H4" s="60"/>
      <c r="I4" s="31"/>
      <c r="J4" s="31"/>
      <c r="K4" s="31"/>
      <c r="L4" s="31"/>
      <c r="M4" s="31"/>
      <c r="N4" s="32"/>
      <c r="O4" s="31"/>
      <c r="P4" s="31"/>
      <c r="Q4" s="31"/>
      <c r="R4" s="31"/>
      <c r="S4" s="31"/>
      <c r="T4" s="31"/>
      <c r="U4" s="13"/>
      <c r="V4" s="31"/>
      <c r="W4" s="31"/>
      <c r="X4" s="31"/>
      <c r="Y4" s="13"/>
      <c r="Z4" s="13"/>
      <c r="AA4" s="31"/>
      <c r="AB4" s="31"/>
      <c r="AC4" s="31"/>
      <c r="AD4" s="31"/>
    </row>
    <row r="5" spans="2:30">
      <c r="B5" s="177" t="str">
        <f>Input!B226</f>
        <v>All local target currency data adjusted to USD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2:30">
      <c r="B6" s="177" t="str">
        <f>Input!B6</f>
        <v>USD in millions, except per share data</v>
      </c>
      <c r="C6" s="6"/>
      <c r="D6" s="178"/>
      <c r="E6" s="178"/>
      <c r="F6" s="178"/>
      <c r="G6" s="178"/>
      <c r="H6" s="178"/>
      <c r="I6" s="6"/>
      <c r="J6" s="6"/>
      <c r="K6" s="61" t="s">
        <v>62</v>
      </c>
      <c r="L6" s="52"/>
      <c r="M6" s="52"/>
      <c r="N6" s="52"/>
      <c r="O6" s="52"/>
      <c r="P6" s="6"/>
      <c r="Q6" s="61" t="s">
        <v>63</v>
      </c>
      <c r="R6" s="52"/>
      <c r="S6" s="52"/>
      <c r="T6" s="52"/>
      <c r="U6" s="12"/>
      <c r="V6" s="137" t="s">
        <v>72</v>
      </c>
      <c r="W6" s="138"/>
      <c r="X6" s="138"/>
      <c r="Y6" s="138"/>
      <c r="Z6" s="12"/>
      <c r="AA6" s="61" t="s">
        <v>73</v>
      </c>
      <c r="AB6" s="52"/>
      <c r="AC6" s="52"/>
      <c r="AD6" s="52"/>
    </row>
    <row r="7" spans="2:30" ht="42" thickBot="1">
      <c r="B7" s="51" t="s">
        <v>114</v>
      </c>
      <c r="C7" s="103" t="s">
        <v>113</v>
      </c>
      <c r="D7" s="53" t="s">
        <v>149</v>
      </c>
      <c r="E7" s="53" t="s">
        <v>9</v>
      </c>
      <c r="F7" s="53" t="s">
        <v>65</v>
      </c>
      <c r="G7" s="53" t="s">
        <v>103</v>
      </c>
      <c r="H7" s="53" t="s">
        <v>121</v>
      </c>
      <c r="I7" s="53" t="s">
        <v>56</v>
      </c>
      <c r="J7" s="53" t="s">
        <v>57</v>
      </c>
      <c r="K7" s="179" t="s">
        <v>39</v>
      </c>
      <c r="L7" s="179" t="s">
        <v>0</v>
      </c>
      <c r="M7" s="179" t="s">
        <v>115</v>
      </c>
      <c r="N7" s="179" t="s">
        <v>1</v>
      </c>
      <c r="O7" s="53" t="s">
        <v>54</v>
      </c>
      <c r="P7" s="53" t="s">
        <v>64</v>
      </c>
      <c r="Q7" s="179" t="s">
        <v>58</v>
      </c>
      <c r="R7" s="179" t="s">
        <v>59</v>
      </c>
      <c r="S7" s="179" t="s">
        <v>60</v>
      </c>
      <c r="T7" s="179" t="s">
        <v>61</v>
      </c>
      <c r="U7" s="12"/>
      <c r="V7" s="179" t="s">
        <v>58</v>
      </c>
      <c r="W7" s="179" t="s">
        <v>59</v>
      </c>
      <c r="X7" s="179" t="s">
        <v>60</v>
      </c>
      <c r="Y7" s="179" t="s">
        <v>61</v>
      </c>
      <c r="Z7" s="12"/>
      <c r="AA7" s="179" t="s">
        <v>58</v>
      </c>
      <c r="AB7" s="179" t="s">
        <v>59</v>
      </c>
      <c r="AC7" s="179" t="s">
        <v>60</v>
      </c>
      <c r="AD7" s="179" t="s">
        <v>61</v>
      </c>
    </row>
    <row r="8" spans="2:30">
      <c r="B8" s="54"/>
      <c r="D8" s="54"/>
      <c r="E8" s="54"/>
      <c r="F8" s="54"/>
      <c r="G8" s="54"/>
      <c r="H8" s="54"/>
      <c r="I8" s="55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13"/>
      <c r="Z8" s="13"/>
    </row>
    <row r="9" spans="2:30">
      <c r="B9" s="62"/>
      <c r="C9" s="119" t="str">
        <f ca="1">IF(ISBLANK($B9),"",OFFSET(Input!$A$228,MATCH(C$2,Input!$B$229:$B$291,0),MATCH(Output!$B9,Input!$B$228:$M$228,0)))</f>
        <v/>
      </c>
      <c r="D9" s="122" t="str">
        <f ca="1">IF(ISBLANK($B9),"",OFFSET(Input!$A$228,MATCH(D$2,Input!$B$229:$B$291,0),MATCH(Output!$B9,Input!$B$228:$M$228,0)))</f>
        <v/>
      </c>
      <c r="E9" s="119" t="str">
        <f ca="1">IF(ISBLANK($B9),"",OFFSET(Input!$A$228,MATCH(E$2,Input!$B$229:$B$291,0),MATCH(Output!$B9,Input!$B$228:$M$228,0)))</f>
        <v/>
      </c>
      <c r="F9" s="123" t="str">
        <f ca="1">IF(ISBLANK($B9),"",OFFSET(Input!$A$228,MATCH(F$2,Input!$B$229:$B$291,0),MATCH(Output!$B9,Input!$B$228:$M$228,0)))</f>
        <v/>
      </c>
      <c r="G9" s="129" t="str">
        <f ca="1">IF(ISBLANK($B9),"",OFFSET(Input!$A$228,MATCH(G$2,Input!$B$229:$B$291,0),MATCH(Output!$B9,Input!$B$228:$M$228,0)))</f>
        <v/>
      </c>
      <c r="H9" s="136" t="str">
        <f ca="1">IF(ISBLANK($B9),"",OFFSET(Input!$A$228,MATCH(H$2,Input!$B$229:$B$291,0),MATCH(Output!$B9,Input!$B$228:$M$228,0)))</f>
        <v/>
      </c>
      <c r="I9" s="129" t="str">
        <f ca="1">IF(ISBLANK($B9),"",OFFSET(Input!$A$228,MATCH(I$2,Input!$B$229:$B$291,0),MATCH(Output!$B9,Input!$B$228:$M$228,0)))</f>
        <v/>
      </c>
      <c r="J9" s="129" t="str">
        <f ca="1">IF(ISBLANK($B9),"",OFFSET(Input!$A$228,MATCH(J$2,Input!$B$229:$B$291,0),MATCH(Output!$B9,Input!$B$228:$M$228,0)))</f>
        <v/>
      </c>
      <c r="K9" s="129" t="str">
        <f ca="1">IF(ISBLANK($B9),"",OFFSET(Input!$A$228,MATCH(K$2,Input!$B$229:$B$291,0),MATCH(Output!$B9,Input!$B$228:$M$228,0)))</f>
        <v/>
      </c>
      <c r="L9" s="129" t="str">
        <f ca="1">IF(ISBLANK($B9),"",OFFSET(Input!$A$228,MATCH(L$2,Input!$B$229:$B$291,0),MATCH(Output!$B9,Input!$B$228:$M$228,0)))</f>
        <v/>
      </c>
      <c r="M9" s="130" t="str">
        <f ca="1">IF(ISBLANK($B9),"",OFFSET(Input!$A$228,MATCH(M$2,Input!$B$229:$B$291,0),MATCH(Output!$B9,Input!$B$228:$M$228,0)))</f>
        <v/>
      </c>
      <c r="N9" s="129" t="str">
        <f ca="1">IF(ISBLANK($B9),"",OFFSET(Input!$A$228,MATCH(N$2,Input!$B$229:$B$291,0),MATCH(Output!$B9,Input!$B$228:$M$228,0)))</f>
        <v/>
      </c>
      <c r="O9" s="129" t="str">
        <f ca="1">IF(ISBLANK($B9),"",OFFSET(Input!$A$228,MATCH(O$2,Input!$B$229:$B$291,0),MATCH(Output!$B9,Input!$B$228:$M$228,0)))</f>
        <v/>
      </c>
      <c r="P9" s="130" t="str">
        <f ca="1">IF(ISBLANK($B9),"",OFFSET(Input!$A$228,MATCH(P$2,Input!$B$229:$B$291,0),MATCH(Output!$B9,Input!$B$228:$M$228,0)))</f>
        <v/>
      </c>
      <c r="Q9" s="129" t="str">
        <f ca="1">IF(ISBLANK($B9),"",OFFSET(Input!$A$228,MATCH(Q$2,Input!$B$229:$B$291,0),MATCH(Output!$B9,Input!$B$228:$M$228,0)))</f>
        <v/>
      </c>
      <c r="R9" s="129" t="str">
        <f ca="1">IF(ISBLANK($B9),"",OFFSET(Input!$A$228,MATCH(R$2,Input!$B$229:$B$291,0),MATCH(Output!$B9,Input!$B$228:$M$228,0)))</f>
        <v/>
      </c>
      <c r="S9" s="129" t="str">
        <f ca="1">IF(ISBLANK($B9),"",OFFSET(Input!$A$228,MATCH(S$2,Input!$B$229:$B$291,0),MATCH(Output!$B9,Input!$B$228:$M$228,0)))</f>
        <v/>
      </c>
      <c r="T9" s="129" t="str">
        <f ca="1">IF(ISBLANK($B9),"",OFFSET(Input!$A$228,MATCH(T$2,Input!$B$229:$B$291,0),MATCH(Output!$B9,Input!$B$228:$M$228,0)))</f>
        <v/>
      </c>
      <c r="U9" s="131"/>
      <c r="V9" s="129" t="str">
        <f ca="1">IF(ISBLANK($B9),"",OFFSET(Input!$A$228,MATCH(V$2,Input!$B$229:$B$291,0),MATCH(Output!$B9,Input!$B$228:$M$228,0)))</f>
        <v/>
      </c>
      <c r="W9" s="129" t="str">
        <f ca="1">IF(ISBLANK($B9),"",OFFSET(Input!$A$228,MATCH(W$2,Input!$B$229:$B$291,0),MATCH(Output!$B9,Input!$B$228:$M$228,0)))</f>
        <v/>
      </c>
      <c r="X9" s="129" t="str">
        <f ca="1">IF(ISBLANK($B9),"",OFFSET(Input!$A$228,MATCH(X$2,Input!$B$229:$B$291,0),MATCH(Output!$B9,Input!$B$228:$M$228,0)))</f>
        <v/>
      </c>
      <c r="Y9" s="129" t="str">
        <f ca="1">IF(ISBLANK($B9),"",OFFSET(Input!$A$228,MATCH(Y$2,Input!$B$229:$B$291,0),MATCH(Output!$B9,Input!$B$228:$M$228,0)))</f>
        <v/>
      </c>
      <c r="Z9" s="131"/>
      <c r="AA9" s="129" t="str">
        <f ca="1">IF(ISBLANK($B9),"",OFFSET(Input!$A$228,MATCH(AA$2,Input!$B$229:$B$291,0),MATCH(Output!$B9,Input!$B$228:$M$228,0)))</f>
        <v/>
      </c>
      <c r="AB9" s="129" t="str">
        <f ca="1">IF(ISBLANK($B9),"",OFFSET(Input!$A$228,MATCH(AB$2,Input!$B$229:$B$291,0),MATCH(Output!$B9,Input!$B$228:$M$228,0)))</f>
        <v/>
      </c>
      <c r="AC9" s="129" t="str">
        <f ca="1">IF(ISBLANK($B9),"",OFFSET(Input!$A$228,MATCH(AC$2,Input!$B$229:$B$291,0),MATCH(Output!$B9,Input!$B$228:$M$228,0)))</f>
        <v/>
      </c>
      <c r="AD9" s="129" t="str">
        <f ca="1">IF(ISBLANK($B9),"",OFFSET(Input!$A$228,MATCH(AD$2,Input!$B$229:$B$291,0),MATCH(Output!$B9,Input!$B$228:$M$228,0)))</f>
        <v/>
      </c>
    </row>
    <row r="10" spans="2:30">
      <c r="B10" s="62"/>
      <c r="C10" s="119" t="str">
        <f ca="1">IF(ISBLANK($B10),"",OFFSET(Input!$A$228,MATCH(C$2,Input!$B$229:$B$291,0),MATCH(Output!$B10,Input!$B$228:$M$228,0)))</f>
        <v/>
      </c>
      <c r="D10" s="122" t="str">
        <f ca="1">IF(ISBLANK($B10),"",OFFSET(Input!$A$228,MATCH(D$2,Input!$B$229:$B$291,0),MATCH(Output!$B10,Input!$B$228:$M$228,0)))</f>
        <v/>
      </c>
      <c r="E10" s="119" t="str">
        <f ca="1">IF(ISBLANK($B10),"",OFFSET(Input!$A$228,MATCH(E$2,Input!$B$229:$B$291,0),MATCH(Output!$B10,Input!$B$228:$M$228,0)))</f>
        <v/>
      </c>
      <c r="F10" s="123" t="str">
        <f ca="1">IF(ISBLANK($B10),"",OFFSET(Input!$A$228,MATCH(F$2,Input!$B$229:$B$291,0),MATCH(Output!$B10,Input!$B$228:$M$228,0)))</f>
        <v/>
      </c>
      <c r="G10" s="129" t="str">
        <f ca="1">IF(ISBLANK($B10),"",OFFSET(Input!$A$228,MATCH(G$2,Input!$B$229:$B$291,0),MATCH(Output!$B10,Input!$B$228:$M$228,0)))</f>
        <v/>
      </c>
      <c r="H10" s="136" t="str">
        <f ca="1">IF(ISBLANK($B10),"",OFFSET(Input!$A$228,MATCH(H$2,Input!$B$229:$B$291,0),MATCH(Output!$B10,Input!$B$228:$M$228,0)))</f>
        <v/>
      </c>
      <c r="I10" s="129" t="str">
        <f ca="1">IF(ISBLANK($B10),"",OFFSET(Input!$A$228,MATCH(I$2,Input!$B$229:$B$291,0),MATCH(Output!$B10,Input!$B$228:$M$228,0)))</f>
        <v/>
      </c>
      <c r="J10" s="129" t="str">
        <f ca="1">IF(ISBLANK($B10),"",OFFSET(Input!$A$228,MATCH(J$2,Input!$B$229:$B$291,0),MATCH(Output!$B10,Input!$B$228:$M$228,0)))</f>
        <v/>
      </c>
      <c r="K10" s="129" t="str">
        <f ca="1">IF(ISBLANK($B10),"",OFFSET(Input!$A$228,MATCH(K$2,Input!$B$229:$B$291,0),MATCH(Output!$B10,Input!$B$228:$M$228,0)))</f>
        <v/>
      </c>
      <c r="L10" s="129" t="str">
        <f ca="1">IF(ISBLANK($B10),"",OFFSET(Input!$A$228,MATCH(L$2,Input!$B$229:$B$291,0),MATCH(Output!$B10,Input!$B$228:$M$228,0)))</f>
        <v/>
      </c>
      <c r="M10" s="130" t="str">
        <f ca="1">IF(ISBLANK($B10),"",OFFSET(Input!$A$228,MATCH(M$2,Input!$B$229:$B$291,0),MATCH(Output!$B10,Input!$B$228:$M$228,0)))</f>
        <v/>
      </c>
      <c r="N10" s="129" t="str">
        <f ca="1">IF(ISBLANK($B10),"",OFFSET(Input!$A$228,MATCH(N$2,Input!$B$229:$B$291,0),MATCH(Output!$B10,Input!$B$228:$M$228,0)))</f>
        <v/>
      </c>
      <c r="O10" s="129" t="str">
        <f ca="1">IF(ISBLANK($B10),"",OFFSET(Input!$A$228,MATCH(O$2,Input!$B$229:$B$291,0),MATCH(Output!$B10,Input!$B$228:$M$228,0)))</f>
        <v/>
      </c>
      <c r="P10" s="130" t="str">
        <f ca="1">IF(ISBLANK($B10),"",OFFSET(Input!$A$228,MATCH(P$2,Input!$B$229:$B$291,0),MATCH(Output!$B10,Input!$B$228:$M$228,0)))</f>
        <v/>
      </c>
      <c r="Q10" s="129" t="str">
        <f ca="1">IF(ISBLANK($B10),"",OFFSET(Input!$A$228,MATCH(Q$2,Input!$B$229:$B$291,0),MATCH(Output!$B10,Input!$B$228:$M$228,0)))</f>
        <v/>
      </c>
      <c r="R10" s="129" t="str">
        <f ca="1">IF(ISBLANK($B10),"",OFFSET(Input!$A$228,MATCH(R$2,Input!$B$229:$B$291,0),MATCH(Output!$B10,Input!$B$228:$M$228,0)))</f>
        <v/>
      </c>
      <c r="S10" s="129" t="str">
        <f ca="1">IF(ISBLANK($B10),"",OFFSET(Input!$A$228,MATCH(S$2,Input!$B$229:$B$291,0),MATCH(Output!$B10,Input!$B$228:$M$228,0)))</f>
        <v/>
      </c>
      <c r="T10" s="129" t="str">
        <f ca="1">IF(ISBLANK($B10),"",OFFSET(Input!$A$228,MATCH(T$2,Input!$B$229:$B$291,0),MATCH(Output!$B10,Input!$B$228:$M$228,0)))</f>
        <v/>
      </c>
      <c r="U10" s="131"/>
      <c r="V10" s="129" t="str">
        <f ca="1">IF(ISBLANK($B10),"",OFFSET(Input!$A$228,MATCH(V$2,Input!$B$229:$B$291,0),MATCH(Output!$B10,Input!$B$228:$M$228,0)))</f>
        <v/>
      </c>
      <c r="W10" s="129" t="str">
        <f ca="1">IF(ISBLANK($B10),"",OFFSET(Input!$A$228,MATCH(W$2,Input!$B$229:$B$291,0),MATCH(Output!$B10,Input!$B$228:$M$228,0)))</f>
        <v/>
      </c>
      <c r="X10" s="129" t="str">
        <f ca="1">IF(ISBLANK($B10),"",OFFSET(Input!$A$228,MATCH(X$2,Input!$B$229:$B$291,0),MATCH(Output!$B10,Input!$B$228:$M$228,0)))</f>
        <v/>
      </c>
      <c r="Y10" s="129" t="str">
        <f ca="1">IF(ISBLANK($B10),"",OFFSET(Input!$A$228,MATCH(Y$2,Input!$B$229:$B$291,0),MATCH(Output!$B10,Input!$B$228:$M$228,0)))</f>
        <v/>
      </c>
      <c r="Z10" s="131"/>
      <c r="AA10" s="129" t="str">
        <f ca="1">IF(ISBLANK($B10),"",OFFSET(Input!$A$228,MATCH(AA$2,Input!$B$229:$B$291,0),MATCH(Output!$B10,Input!$B$228:$M$228,0)))</f>
        <v/>
      </c>
      <c r="AB10" s="129" t="str">
        <f ca="1">IF(ISBLANK($B10),"",OFFSET(Input!$A$228,MATCH(AB$2,Input!$B$229:$B$291,0),MATCH(Output!$B10,Input!$B$228:$M$228,0)))</f>
        <v/>
      </c>
      <c r="AC10" s="129" t="str">
        <f ca="1">IF(ISBLANK($B10),"",OFFSET(Input!$A$228,MATCH(AC$2,Input!$B$229:$B$291,0),MATCH(Output!$B10,Input!$B$228:$M$228,0)))</f>
        <v/>
      </c>
      <c r="AD10" s="129" t="str">
        <f ca="1">IF(ISBLANK($B10),"",OFFSET(Input!$A$228,MATCH(AD$2,Input!$B$229:$B$291,0),MATCH(Output!$B10,Input!$B$228:$M$228,0)))</f>
        <v/>
      </c>
    </row>
    <row r="11" spans="2:30">
      <c r="B11" s="62"/>
      <c r="C11" s="119" t="str">
        <f ca="1">IF(ISBLANK($B11),"",OFFSET(Input!$A$228,MATCH(C$2,Input!$B$229:$B$291,0),MATCH(Output!$B11,Input!$B$228:$M$228,0)))</f>
        <v/>
      </c>
      <c r="D11" s="122" t="str">
        <f ca="1">IF(ISBLANK($B11),"",OFFSET(Input!$A$228,MATCH(D$2,Input!$B$229:$B$291,0),MATCH(Output!$B11,Input!$B$228:$M$228,0)))</f>
        <v/>
      </c>
      <c r="E11" s="119" t="str">
        <f ca="1">IF(ISBLANK($B11),"",OFFSET(Input!$A$228,MATCH(E$2,Input!$B$229:$B$291,0),MATCH(Output!$B11,Input!$B$228:$M$228,0)))</f>
        <v/>
      </c>
      <c r="F11" s="123" t="str">
        <f ca="1">IF(ISBLANK($B11),"",OFFSET(Input!$A$228,MATCH(F$2,Input!$B$229:$B$291,0),MATCH(Output!$B11,Input!$B$228:$M$228,0)))</f>
        <v/>
      </c>
      <c r="G11" s="129" t="str">
        <f ca="1">IF(ISBLANK($B11),"",OFFSET(Input!$A$228,MATCH(G$2,Input!$B$229:$B$291,0),MATCH(Output!$B11,Input!$B$228:$M$228,0)))</f>
        <v/>
      </c>
      <c r="H11" s="136" t="str">
        <f ca="1">IF(ISBLANK($B11),"",OFFSET(Input!$A$228,MATCH(H$2,Input!$B$229:$B$291,0),MATCH(Output!$B11,Input!$B$228:$M$228,0)))</f>
        <v/>
      </c>
      <c r="I11" s="129" t="str">
        <f ca="1">IF(ISBLANK($B11),"",OFFSET(Input!$A$228,MATCH(I$2,Input!$B$229:$B$291,0),MATCH(Output!$B11,Input!$B$228:$M$228,0)))</f>
        <v/>
      </c>
      <c r="J11" s="129" t="str">
        <f ca="1">IF(ISBLANK($B11),"",OFFSET(Input!$A$228,MATCH(J$2,Input!$B$229:$B$291,0),MATCH(Output!$B11,Input!$B$228:$M$228,0)))</f>
        <v/>
      </c>
      <c r="K11" s="129" t="str">
        <f ca="1">IF(ISBLANK($B11),"",OFFSET(Input!$A$228,MATCH(K$2,Input!$B$229:$B$291,0),MATCH(Output!$B11,Input!$B$228:$M$228,0)))</f>
        <v/>
      </c>
      <c r="L11" s="129" t="str">
        <f ca="1">IF(ISBLANK($B11),"",OFFSET(Input!$A$228,MATCH(L$2,Input!$B$229:$B$291,0),MATCH(Output!$B11,Input!$B$228:$M$228,0)))</f>
        <v/>
      </c>
      <c r="M11" s="130" t="str">
        <f ca="1">IF(ISBLANK($B11),"",OFFSET(Input!$A$228,MATCH(M$2,Input!$B$229:$B$291,0),MATCH(Output!$B11,Input!$B$228:$M$228,0)))</f>
        <v/>
      </c>
      <c r="N11" s="129" t="str">
        <f ca="1">IF(ISBLANK($B11),"",OFFSET(Input!$A$228,MATCH(N$2,Input!$B$229:$B$291,0),MATCH(Output!$B11,Input!$B$228:$M$228,0)))</f>
        <v/>
      </c>
      <c r="O11" s="129" t="str">
        <f ca="1">IF(ISBLANK($B11),"",OFFSET(Input!$A$228,MATCH(O$2,Input!$B$229:$B$291,0),MATCH(Output!$B11,Input!$B$228:$M$228,0)))</f>
        <v/>
      </c>
      <c r="P11" s="130" t="str">
        <f ca="1">IF(ISBLANK($B11),"",OFFSET(Input!$A$228,MATCH(P$2,Input!$B$229:$B$291,0),MATCH(Output!$B11,Input!$B$228:$M$228,0)))</f>
        <v/>
      </c>
      <c r="Q11" s="129" t="str">
        <f ca="1">IF(ISBLANK($B11),"",OFFSET(Input!$A$228,MATCH(Q$2,Input!$B$229:$B$291,0),MATCH(Output!$B11,Input!$B$228:$M$228,0)))</f>
        <v/>
      </c>
      <c r="R11" s="129" t="str">
        <f ca="1">IF(ISBLANK($B11),"",OFFSET(Input!$A$228,MATCH(R$2,Input!$B$229:$B$291,0),MATCH(Output!$B11,Input!$B$228:$M$228,0)))</f>
        <v/>
      </c>
      <c r="S11" s="129" t="str">
        <f ca="1">IF(ISBLANK($B11),"",OFFSET(Input!$A$228,MATCH(S$2,Input!$B$229:$B$291,0),MATCH(Output!$B11,Input!$B$228:$M$228,0)))</f>
        <v/>
      </c>
      <c r="T11" s="129" t="str">
        <f ca="1">IF(ISBLANK($B11),"",OFFSET(Input!$A$228,MATCH(T$2,Input!$B$229:$B$291,0),MATCH(Output!$B11,Input!$B$228:$M$228,0)))</f>
        <v/>
      </c>
      <c r="U11" s="131"/>
      <c r="V11" s="129" t="str">
        <f ca="1">IF(ISBLANK($B11),"",OFFSET(Input!$A$228,MATCH(V$2,Input!$B$229:$B$291,0),MATCH(Output!$B11,Input!$B$228:$M$228,0)))</f>
        <v/>
      </c>
      <c r="W11" s="129" t="str">
        <f ca="1">IF(ISBLANK($B11),"",OFFSET(Input!$A$228,MATCH(W$2,Input!$B$229:$B$291,0),MATCH(Output!$B11,Input!$B$228:$M$228,0)))</f>
        <v/>
      </c>
      <c r="X11" s="129" t="str">
        <f ca="1">IF(ISBLANK($B11),"",OFFSET(Input!$A$228,MATCH(X$2,Input!$B$229:$B$291,0),MATCH(Output!$B11,Input!$B$228:$M$228,0)))</f>
        <v/>
      </c>
      <c r="Y11" s="129" t="str">
        <f ca="1">IF(ISBLANK($B11),"",OFFSET(Input!$A$228,MATCH(Y$2,Input!$B$229:$B$291,0),MATCH(Output!$B11,Input!$B$228:$M$228,0)))</f>
        <v/>
      </c>
      <c r="Z11" s="131"/>
      <c r="AA11" s="129" t="str">
        <f ca="1">IF(ISBLANK($B11),"",OFFSET(Input!$A$228,MATCH(AA$2,Input!$B$229:$B$291,0),MATCH(Output!$B11,Input!$B$228:$M$228,0)))</f>
        <v/>
      </c>
      <c r="AB11" s="129" t="str">
        <f ca="1">IF(ISBLANK($B11),"",OFFSET(Input!$A$228,MATCH(AB$2,Input!$B$229:$B$291,0),MATCH(Output!$B11,Input!$B$228:$M$228,0)))</f>
        <v/>
      </c>
      <c r="AC11" s="129" t="str">
        <f ca="1">IF(ISBLANK($B11),"",OFFSET(Input!$A$228,MATCH(AC$2,Input!$B$229:$B$291,0),MATCH(Output!$B11,Input!$B$228:$M$228,0)))</f>
        <v/>
      </c>
      <c r="AD11" s="129" t="str">
        <f ca="1">IF(ISBLANK($B11),"",OFFSET(Input!$A$228,MATCH(AD$2,Input!$B$229:$B$291,0),MATCH(Output!$B11,Input!$B$228:$M$228,0)))</f>
        <v/>
      </c>
    </row>
    <row r="12" spans="2:30">
      <c r="B12" s="62"/>
      <c r="C12" s="119" t="str">
        <f ca="1">IF(ISBLANK($B12),"",OFFSET(Input!$A$228,MATCH(C$2,Input!$B$229:$B$291,0),MATCH(Output!$B12,Input!$B$228:$M$228,0)))</f>
        <v/>
      </c>
      <c r="D12" s="122" t="str">
        <f ca="1">IF(ISBLANK($B12),"",OFFSET(Input!$A$228,MATCH(D$2,Input!$B$229:$B$291,0),MATCH(Output!$B12,Input!$B$228:$M$228,0)))</f>
        <v/>
      </c>
      <c r="E12" s="119" t="str">
        <f ca="1">IF(ISBLANK($B12),"",OFFSET(Input!$A$228,MATCH(E$2,Input!$B$229:$B$291,0),MATCH(Output!$B12,Input!$B$228:$M$228,0)))</f>
        <v/>
      </c>
      <c r="F12" s="123" t="str">
        <f ca="1">IF(ISBLANK($B12),"",OFFSET(Input!$A$228,MATCH(F$2,Input!$B$229:$B$291,0),MATCH(Output!$B12,Input!$B$228:$M$228,0)))</f>
        <v/>
      </c>
      <c r="G12" s="129" t="str">
        <f ca="1">IF(ISBLANK($B12),"",OFFSET(Input!$A$228,MATCH(G$2,Input!$B$229:$B$291,0),MATCH(Output!$B12,Input!$B$228:$M$228,0)))</f>
        <v/>
      </c>
      <c r="H12" s="136" t="str">
        <f ca="1">IF(ISBLANK($B12),"",OFFSET(Input!$A$228,MATCH(H$2,Input!$B$229:$B$291,0),MATCH(Output!$B12,Input!$B$228:$M$228,0)))</f>
        <v/>
      </c>
      <c r="I12" s="129" t="str">
        <f ca="1">IF(ISBLANK($B12),"",OFFSET(Input!$A$228,MATCH(I$2,Input!$B$229:$B$291,0),MATCH(Output!$B12,Input!$B$228:$M$228,0)))</f>
        <v/>
      </c>
      <c r="J12" s="129" t="str">
        <f ca="1">IF(ISBLANK($B12),"",OFFSET(Input!$A$228,MATCH(J$2,Input!$B$229:$B$291,0),MATCH(Output!$B12,Input!$B$228:$M$228,0)))</f>
        <v/>
      </c>
      <c r="K12" s="129" t="str">
        <f ca="1">IF(ISBLANK($B12),"",OFFSET(Input!$A$228,MATCH(K$2,Input!$B$229:$B$291,0),MATCH(Output!$B12,Input!$B$228:$M$228,0)))</f>
        <v/>
      </c>
      <c r="L12" s="129" t="str">
        <f ca="1">IF(ISBLANK($B12),"",OFFSET(Input!$A$228,MATCH(L$2,Input!$B$229:$B$291,0),MATCH(Output!$B12,Input!$B$228:$M$228,0)))</f>
        <v/>
      </c>
      <c r="M12" s="130" t="str">
        <f ca="1">IF(ISBLANK($B12),"",OFFSET(Input!$A$228,MATCH(M$2,Input!$B$229:$B$291,0),MATCH(Output!$B12,Input!$B$228:$M$228,0)))</f>
        <v/>
      </c>
      <c r="N12" s="129" t="str">
        <f ca="1">IF(ISBLANK($B12),"",OFFSET(Input!$A$228,MATCH(N$2,Input!$B$229:$B$291,0),MATCH(Output!$B12,Input!$B$228:$M$228,0)))</f>
        <v/>
      </c>
      <c r="O12" s="129" t="str">
        <f ca="1">IF(ISBLANK($B12),"",OFFSET(Input!$A$228,MATCH(O$2,Input!$B$229:$B$291,0),MATCH(Output!$B12,Input!$B$228:$M$228,0)))</f>
        <v/>
      </c>
      <c r="P12" s="130" t="str">
        <f ca="1">IF(ISBLANK($B12),"",OFFSET(Input!$A$228,MATCH(P$2,Input!$B$229:$B$291,0),MATCH(Output!$B12,Input!$B$228:$M$228,0)))</f>
        <v/>
      </c>
      <c r="Q12" s="129" t="str">
        <f ca="1">IF(ISBLANK($B12),"",OFFSET(Input!$A$228,MATCH(Q$2,Input!$B$229:$B$291,0),MATCH(Output!$B12,Input!$B$228:$M$228,0)))</f>
        <v/>
      </c>
      <c r="R12" s="129" t="str">
        <f ca="1">IF(ISBLANK($B12),"",OFFSET(Input!$A$228,MATCH(R$2,Input!$B$229:$B$291,0),MATCH(Output!$B12,Input!$B$228:$M$228,0)))</f>
        <v/>
      </c>
      <c r="S12" s="129" t="str">
        <f ca="1">IF(ISBLANK($B12),"",OFFSET(Input!$A$228,MATCH(S$2,Input!$B$229:$B$291,0),MATCH(Output!$B12,Input!$B$228:$M$228,0)))</f>
        <v/>
      </c>
      <c r="T12" s="129" t="str">
        <f ca="1">IF(ISBLANK($B12),"",OFFSET(Input!$A$228,MATCH(T$2,Input!$B$229:$B$291,0),MATCH(Output!$B12,Input!$B$228:$M$228,0)))</f>
        <v/>
      </c>
      <c r="U12" s="131"/>
      <c r="V12" s="129" t="str">
        <f ca="1">IF(ISBLANK($B12),"",OFFSET(Input!$A$228,MATCH(V$2,Input!$B$229:$B$291,0),MATCH(Output!$B12,Input!$B$228:$M$228,0)))</f>
        <v/>
      </c>
      <c r="W12" s="129" t="str">
        <f ca="1">IF(ISBLANK($B12),"",OFFSET(Input!$A$228,MATCH(W$2,Input!$B$229:$B$291,0),MATCH(Output!$B12,Input!$B$228:$M$228,0)))</f>
        <v/>
      </c>
      <c r="X12" s="129" t="str">
        <f ca="1">IF(ISBLANK($B12),"",OFFSET(Input!$A$228,MATCH(X$2,Input!$B$229:$B$291,0),MATCH(Output!$B12,Input!$B$228:$M$228,0)))</f>
        <v/>
      </c>
      <c r="Y12" s="129" t="str">
        <f ca="1">IF(ISBLANK($B12),"",OFFSET(Input!$A$228,MATCH(Y$2,Input!$B$229:$B$291,0),MATCH(Output!$B12,Input!$B$228:$M$228,0)))</f>
        <v/>
      </c>
      <c r="Z12" s="131"/>
      <c r="AA12" s="129" t="str">
        <f ca="1">IF(ISBLANK($B12),"",OFFSET(Input!$A$228,MATCH(AA$2,Input!$B$229:$B$291,0),MATCH(Output!$B12,Input!$B$228:$M$228,0)))</f>
        <v/>
      </c>
      <c r="AB12" s="129" t="str">
        <f ca="1">IF(ISBLANK($B12),"",OFFSET(Input!$A$228,MATCH(AB$2,Input!$B$229:$B$291,0),MATCH(Output!$B12,Input!$B$228:$M$228,0)))</f>
        <v/>
      </c>
      <c r="AC12" s="129" t="str">
        <f ca="1">IF(ISBLANK($B12),"",OFFSET(Input!$A$228,MATCH(AC$2,Input!$B$229:$B$291,0),MATCH(Output!$B12,Input!$B$228:$M$228,0)))</f>
        <v/>
      </c>
      <c r="AD12" s="129" t="str">
        <f ca="1">IF(ISBLANK($B12),"",OFFSET(Input!$A$228,MATCH(AD$2,Input!$B$229:$B$291,0),MATCH(Output!$B12,Input!$B$228:$M$228,0)))</f>
        <v/>
      </c>
    </row>
    <row r="13" spans="2:30">
      <c r="B13" s="62"/>
      <c r="C13" s="119" t="str">
        <f ca="1">IF(ISBLANK($B13),"",OFFSET(Input!$A$228,MATCH(C$2,Input!$B$229:$B$291,0),MATCH(Output!$B13,Input!$B$228:$M$228,0)))</f>
        <v/>
      </c>
      <c r="D13" s="122" t="str">
        <f ca="1">IF(ISBLANK($B13),"",OFFSET(Input!$A$228,MATCH(D$2,Input!$B$229:$B$291,0),MATCH(Output!$B13,Input!$B$228:$M$228,0)))</f>
        <v/>
      </c>
      <c r="E13" s="119" t="str">
        <f ca="1">IF(ISBLANK($B13),"",OFFSET(Input!$A$228,MATCH(E$2,Input!$B$229:$B$291,0),MATCH(Output!$B13,Input!$B$228:$M$228,0)))</f>
        <v/>
      </c>
      <c r="F13" s="123" t="str">
        <f ca="1">IF(ISBLANK($B13),"",OFFSET(Input!$A$228,MATCH(F$2,Input!$B$229:$B$291,0),MATCH(Output!$B13,Input!$B$228:$M$228,0)))</f>
        <v/>
      </c>
      <c r="G13" s="129" t="str">
        <f ca="1">IF(ISBLANK($B13),"",OFFSET(Input!$A$228,MATCH(G$2,Input!$B$229:$B$291,0),MATCH(Output!$B13,Input!$B$228:$M$228,0)))</f>
        <v/>
      </c>
      <c r="H13" s="136" t="str">
        <f ca="1">IF(ISBLANK($B13),"",OFFSET(Input!$A$228,MATCH(H$2,Input!$B$229:$B$291,0),MATCH(Output!$B13,Input!$B$228:$M$228,0)))</f>
        <v/>
      </c>
      <c r="I13" s="129" t="str">
        <f ca="1">IF(ISBLANK($B13),"",OFFSET(Input!$A$228,MATCH(I$2,Input!$B$229:$B$291,0),MATCH(Output!$B13,Input!$B$228:$M$228,0)))</f>
        <v/>
      </c>
      <c r="J13" s="129" t="str">
        <f ca="1">IF(ISBLANK($B13),"",OFFSET(Input!$A$228,MATCH(J$2,Input!$B$229:$B$291,0),MATCH(Output!$B13,Input!$B$228:$M$228,0)))</f>
        <v/>
      </c>
      <c r="K13" s="129" t="str">
        <f ca="1">IF(ISBLANK($B13),"",OFFSET(Input!$A$228,MATCH(K$2,Input!$B$229:$B$291,0),MATCH(Output!$B13,Input!$B$228:$M$228,0)))</f>
        <v/>
      </c>
      <c r="L13" s="129" t="str">
        <f ca="1">IF(ISBLANK($B13),"",OFFSET(Input!$A$228,MATCH(L$2,Input!$B$229:$B$291,0),MATCH(Output!$B13,Input!$B$228:$M$228,0)))</f>
        <v/>
      </c>
      <c r="M13" s="130" t="str">
        <f ca="1">IF(ISBLANK($B13),"",OFFSET(Input!$A$228,MATCH(M$2,Input!$B$229:$B$291,0),MATCH(Output!$B13,Input!$B$228:$M$228,0)))</f>
        <v/>
      </c>
      <c r="N13" s="129" t="str">
        <f ca="1">IF(ISBLANK($B13),"",OFFSET(Input!$A$228,MATCH(N$2,Input!$B$229:$B$291,0),MATCH(Output!$B13,Input!$B$228:$M$228,0)))</f>
        <v/>
      </c>
      <c r="O13" s="129" t="str">
        <f ca="1">IF(ISBLANK($B13),"",OFFSET(Input!$A$228,MATCH(O$2,Input!$B$229:$B$291,0),MATCH(Output!$B13,Input!$B$228:$M$228,0)))</f>
        <v/>
      </c>
      <c r="P13" s="130" t="str">
        <f ca="1">IF(ISBLANK($B13),"",OFFSET(Input!$A$228,MATCH(P$2,Input!$B$229:$B$291,0),MATCH(Output!$B13,Input!$B$228:$M$228,0)))</f>
        <v/>
      </c>
      <c r="Q13" s="129" t="str">
        <f ca="1">IF(ISBLANK($B13),"",OFFSET(Input!$A$228,MATCH(Q$2,Input!$B$229:$B$291,0),MATCH(Output!$B13,Input!$B$228:$M$228,0)))</f>
        <v/>
      </c>
      <c r="R13" s="129" t="str">
        <f ca="1">IF(ISBLANK($B13),"",OFFSET(Input!$A$228,MATCH(R$2,Input!$B$229:$B$291,0),MATCH(Output!$B13,Input!$B$228:$M$228,0)))</f>
        <v/>
      </c>
      <c r="S13" s="129" t="str">
        <f ca="1">IF(ISBLANK($B13),"",OFFSET(Input!$A$228,MATCH(S$2,Input!$B$229:$B$291,0),MATCH(Output!$B13,Input!$B$228:$M$228,0)))</f>
        <v/>
      </c>
      <c r="T13" s="129" t="str">
        <f ca="1">IF(ISBLANK($B13),"",OFFSET(Input!$A$228,MATCH(T$2,Input!$B$229:$B$291,0),MATCH(Output!$B13,Input!$B$228:$M$228,0)))</f>
        <v/>
      </c>
      <c r="U13" s="131"/>
      <c r="V13" s="129" t="str">
        <f ca="1">IF(ISBLANK($B13),"",OFFSET(Input!$A$228,MATCH(V$2,Input!$B$229:$B$291,0),MATCH(Output!$B13,Input!$B$228:$M$228,0)))</f>
        <v/>
      </c>
      <c r="W13" s="129" t="str">
        <f ca="1">IF(ISBLANK($B13),"",OFFSET(Input!$A$228,MATCH(W$2,Input!$B$229:$B$291,0),MATCH(Output!$B13,Input!$B$228:$M$228,0)))</f>
        <v/>
      </c>
      <c r="X13" s="129" t="str">
        <f ca="1">IF(ISBLANK($B13),"",OFFSET(Input!$A$228,MATCH(X$2,Input!$B$229:$B$291,0),MATCH(Output!$B13,Input!$B$228:$M$228,0)))</f>
        <v/>
      </c>
      <c r="Y13" s="129" t="str">
        <f ca="1">IF(ISBLANK($B13),"",OFFSET(Input!$A$228,MATCH(Y$2,Input!$B$229:$B$291,0),MATCH(Output!$B13,Input!$B$228:$M$228,0)))</f>
        <v/>
      </c>
      <c r="Z13" s="131"/>
      <c r="AA13" s="129" t="str">
        <f ca="1">IF(ISBLANK($B13),"",OFFSET(Input!$A$228,MATCH(AA$2,Input!$B$229:$B$291,0),MATCH(Output!$B13,Input!$B$228:$M$228,0)))</f>
        <v/>
      </c>
      <c r="AB13" s="129" t="str">
        <f ca="1">IF(ISBLANK($B13),"",OFFSET(Input!$A$228,MATCH(AB$2,Input!$B$229:$B$291,0),MATCH(Output!$B13,Input!$B$228:$M$228,0)))</f>
        <v/>
      </c>
      <c r="AC13" s="129" t="str">
        <f ca="1">IF(ISBLANK($B13),"",OFFSET(Input!$A$228,MATCH(AC$2,Input!$B$229:$B$291,0),MATCH(Output!$B13,Input!$B$228:$M$228,0)))</f>
        <v/>
      </c>
      <c r="AD13" s="129" t="str">
        <f ca="1">IF(ISBLANK($B13),"",OFFSET(Input!$A$228,MATCH(AD$2,Input!$B$229:$B$291,0),MATCH(Output!$B13,Input!$B$228:$M$228,0)))</f>
        <v/>
      </c>
    </row>
    <row r="14" spans="2:30">
      <c r="B14" s="62"/>
      <c r="C14" s="119" t="str">
        <f ca="1">IF(ISBLANK($B14),"",OFFSET(Input!$A$228,MATCH(C$2,Input!$B$229:$B$291,0),MATCH(Output!$B14,Input!$B$228:$M$228,0)))</f>
        <v/>
      </c>
      <c r="D14" s="122" t="str">
        <f ca="1">IF(ISBLANK($B14),"",OFFSET(Input!$A$228,MATCH(D$2,Input!$B$229:$B$291,0),MATCH(Output!$B14,Input!$B$228:$M$228,0)))</f>
        <v/>
      </c>
      <c r="E14" s="119" t="str">
        <f ca="1">IF(ISBLANK($B14),"",OFFSET(Input!$A$228,MATCH(E$2,Input!$B$229:$B$291,0),MATCH(Output!$B14,Input!$B$228:$M$228,0)))</f>
        <v/>
      </c>
      <c r="F14" s="123" t="str">
        <f ca="1">IF(ISBLANK($B14),"",OFFSET(Input!$A$228,MATCH(F$2,Input!$B$229:$B$291,0),MATCH(Output!$B14,Input!$B$228:$M$228,0)))</f>
        <v/>
      </c>
      <c r="G14" s="129" t="str">
        <f ca="1">IF(ISBLANK($B14),"",OFFSET(Input!$A$228,MATCH(G$2,Input!$B$229:$B$291,0),MATCH(Output!$B14,Input!$B$228:$M$228,0)))</f>
        <v/>
      </c>
      <c r="H14" s="136" t="str">
        <f ca="1">IF(ISBLANK($B14),"",OFFSET(Input!$A$228,MATCH(H$2,Input!$B$229:$B$291,0),MATCH(Output!$B14,Input!$B$228:$M$228,0)))</f>
        <v/>
      </c>
      <c r="I14" s="129" t="str">
        <f ca="1">IF(ISBLANK($B14),"",OFFSET(Input!$A$228,MATCH(I$2,Input!$B$229:$B$291,0),MATCH(Output!$B14,Input!$B$228:$M$228,0)))</f>
        <v/>
      </c>
      <c r="J14" s="129" t="str">
        <f ca="1">IF(ISBLANK($B14),"",OFFSET(Input!$A$228,MATCH(J$2,Input!$B$229:$B$291,0),MATCH(Output!$B14,Input!$B$228:$M$228,0)))</f>
        <v/>
      </c>
      <c r="K14" s="129" t="str">
        <f ca="1">IF(ISBLANK($B14),"",OFFSET(Input!$A$228,MATCH(K$2,Input!$B$229:$B$291,0),MATCH(Output!$B14,Input!$B$228:$M$228,0)))</f>
        <v/>
      </c>
      <c r="L14" s="129" t="str">
        <f ca="1">IF(ISBLANK($B14),"",OFFSET(Input!$A$228,MATCH(L$2,Input!$B$229:$B$291,0),MATCH(Output!$B14,Input!$B$228:$M$228,0)))</f>
        <v/>
      </c>
      <c r="M14" s="130" t="str">
        <f ca="1">IF(ISBLANK($B14),"",OFFSET(Input!$A$228,MATCH(M$2,Input!$B$229:$B$291,0),MATCH(Output!$B14,Input!$B$228:$M$228,0)))</f>
        <v/>
      </c>
      <c r="N14" s="129" t="str">
        <f ca="1">IF(ISBLANK($B14),"",OFFSET(Input!$A$228,MATCH(N$2,Input!$B$229:$B$291,0),MATCH(Output!$B14,Input!$B$228:$M$228,0)))</f>
        <v/>
      </c>
      <c r="O14" s="129" t="str">
        <f ca="1">IF(ISBLANK($B14),"",OFFSET(Input!$A$228,MATCH(O$2,Input!$B$229:$B$291,0),MATCH(Output!$B14,Input!$B$228:$M$228,0)))</f>
        <v/>
      </c>
      <c r="P14" s="130" t="str">
        <f ca="1">IF(ISBLANK($B14),"",OFFSET(Input!$A$228,MATCH(P$2,Input!$B$229:$B$291,0),MATCH(Output!$B14,Input!$B$228:$M$228,0)))</f>
        <v/>
      </c>
      <c r="Q14" s="129" t="str">
        <f ca="1">IF(ISBLANK($B14),"",OFFSET(Input!$A$228,MATCH(Q$2,Input!$B$229:$B$291,0),MATCH(Output!$B14,Input!$B$228:$M$228,0)))</f>
        <v/>
      </c>
      <c r="R14" s="129" t="str">
        <f ca="1">IF(ISBLANK($B14),"",OFFSET(Input!$A$228,MATCH(R$2,Input!$B$229:$B$291,0),MATCH(Output!$B14,Input!$B$228:$M$228,0)))</f>
        <v/>
      </c>
      <c r="S14" s="129" t="str">
        <f ca="1">IF(ISBLANK($B14),"",OFFSET(Input!$A$228,MATCH(S$2,Input!$B$229:$B$291,0),MATCH(Output!$B14,Input!$B$228:$M$228,0)))</f>
        <v/>
      </c>
      <c r="T14" s="129" t="str">
        <f ca="1">IF(ISBLANK($B14),"",OFFSET(Input!$A$228,MATCH(T$2,Input!$B$229:$B$291,0),MATCH(Output!$B14,Input!$B$228:$M$228,0)))</f>
        <v/>
      </c>
      <c r="U14" s="131"/>
      <c r="V14" s="129" t="str">
        <f ca="1">IF(ISBLANK($B14),"",OFFSET(Input!$A$228,MATCH(V$2,Input!$B$229:$B$291,0),MATCH(Output!$B14,Input!$B$228:$M$228,0)))</f>
        <v/>
      </c>
      <c r="W14" s="129" t="str">
        <f ca="1">IF(ISBLANK($B14),"",OFFSET(Input!$A$228,MATCH(W$2,Input!$B$229:$B$291,0),MATCH(Output!$B14,Input!$B$228:$M$228,0)))</f>
        <v/>
      </c>
      <c r="X14" s="129" t="str">
        <f ca="1">IF(ISBLANK($B14),"",OFFSET(Input!$A$228,MATCH(X$2,Input!$B$229:$B$291,0),MATCH(Output!$B14,Input!$B$228:$M$228,0)))</f>
        <v/>
      </c>
      <c r="Y14" s="129" t="str">
        <f ca="1">IF(ISBLANK($B14),"",OFFSET(Input!$A$228,MATCH(Y$2,Input!$B$229:$B$291,0),MATCH(Output!$B14,Input!$B$228:$M$228,0)))</f>
        <v/>
      </c>
      <c r="Z14" s="131"/>
      <c r="AA14" s="129" t="str">
        <f ca="1">IF(ISBLANK($B14),"",OFFSET(Input!$A$228,MATCH(AA$2,Input!$B$229:$B$291,0),MATCH(Output!$B14,Input!$B$228:$M$228,0)))</f>
        <v/>
      </c>
      <c r="AB14" s="129" t="str">
        <f ca="1">IF(ISBLANK($B14),"",OFFSET(Input!$A$228,MATCH(AB$2,Input!$B$229:$B$291,0),MATCH(Output!$B14,Input!$B$228:$M$228,0)))</f>
        <v/>
      </c>
      <c r="AC14" s="129" t="str">
        <f ca="1">IF(ISBLANK($B14),"",OFFSET(Input!$A$228,MATCH(AC$2,Input!$B$229:$B$291,0),MATCH(Output!$B14,Input!$B$228:$M$228,0)))</f>
        <v/>
      </c>
      <c r="AD14" s="129" t="str">
        <f ca="1">IF(ISBLANK($B14),"",OFFSET(Input!$A$228,MATCH(AD$2,Input!$B$229:$B$291,0),MATCH(Output!$B14,Input!$B$228:$M$228,0)))</f>
        <v/>
      </c>
    </row>
    <row r="15" spans="2:30">
      <c r="B15" s="62"/>
      <c r="C15" s="119" t="str">
        <f ca="1">IF(ISBLANK($B15),"",OFFSET(Input!$A$228,MATCH(C$2,Input!$B$229:$B$291,0),MATCH(Output!$B15,Input!$B$228:$M$228,0)))</f>
        <v/>
      </c>
      <c r="D15" s="122" t="str">
        <f ca="1">IF(ISBLANK($B15),"",OFFSET(Input!$A$228,MATCH(D$2,Input!$B$229:$B$291,0),MATCH(Output!$B15,Input!$B$228:$M$228,0)))</f>
        <v/>
      </c>
      <c r="E15" s="119" t="str">
        <f ca="1">IF(ISBLANK($B15),"",OFFSET(Input!$A$228,MATCH(E$2,Input!$B$229:$B$291,0),MATCH(Output!$B15,Input!$B$228:$M$228,0)))</f>
        <v/>
      </c>
      <c r="F15" s="123" t="str">
        <f ca="1">IF(ISBLANK($B15),"",OFFSET(Input!$A$228,MATCH(F$2,Input!$B$229:$B$291,0),MATCH(Output!$B15,Input!$B$228:$M$228,0)))</f>
        <v/>
      </c>
      <c r="G15" s="129" t="str">
        <f ca="1">IF(ISBLANK($B15),"",OFFSET(Input!$A$228,MATCH(G$2,Input!$B$229:$B$291,0),MATCH(Output!$B15,Input!$B$228:$M$228,0)))</f>
        <v/>
      </c>
      <c r="H15" s="136" t="str">
        <f ca="1">IF(ISBLANK($B15),"",OFFSET(Input!$A$228,MATCH(H$2,Input!$B$229:$B$291,0),MATCH(Output!$B15,Input!$B$228:$M$228,0)))</f>
        <v/>
      </c>
      <c r="I15" s="129" t="str">
        <f ca="1">IF(ISBLANK($B15),"",OFFSET(Input!$A$228,MATCH(I$2,Input!$B$229:$B$291,0),MATCH(Output!$B15,Input!$B$228:$M$228,0)))</f>
        <v/>
      </c>
      <c r="J15" s="129" t="str">
        <f ca="1">IF(ISBLANK($B15),"",OFFSET(Input!$A$228,MATCH(J$2,Input!$B$229:$B$291,0),MATCH(Output!$B15,Input!$B$228:$M$228,0)))</f>
        <v/>
      </c>
      <c r="K15" s="129" t="str">
        <f ca="1">IF(ISBLANK($B15),"",OFFSET(Input!$A$228,MATCH(K$2,Input!$B$229:$B$291,0),MATCH(Output!$B15,Input!$B$228:$M$228,0)))</f>
        <v/>
      </c>
      <c r="L15" s="129" t="str">
        <f ca="1">IF(ISBLANK($B15),"",OFFSET(Input!$A$228,MATCH(L$2,Input!$B$229:$B$291,0),MATCH(Output!$B15,Input!$B$228:$M$228,0)))</f>
        <v/>
      </c>
      <c r="M15" s="130" t="str">
        <f ca="1">IF(ISBLANK($B15),"",OFFSET(Input!$A$228,MATCH(M$2,Input!$B$229:$B$291,0),MATCH(Output!$B15,Input!$B$228:$M$228,0)))</f>
        <v/>
      </c>
      <c r="N15" s="129" t="str">
        <f ca="1">IF(ISBLANK($B15),"",OFFSET(Input!$A$228,MATCH(N$2,Input!$B$229:$B$291,0),MATCH(Output!$B15,Input!$B$228:$M$228,0)))</f>
        <v/>
      </c>
      <c r="O15" s="129" t="str">
        <f ca="1">IF(ISBLANK($B15),"",OFFSET(Input!$A$228,MATCH(O$2,Input!$B$229:$B$291,0),MATCH(Output!$B15,Input!$B$228:$M$228,0)))</f>
        <v/>
      </c>
      <c r="P15" s="130" t="str">
        <f ca="1">IF(ISBLANK($B15),"",OFFSET(Input!$A$228,MATCH(P$2,Input!$B$229:$B$291,0),MATCH(Output!$B15,Input!$B$228:$M$228,0)))</f>
        <v/>
      </c>
      <c r="Q15" s="129" t="str">
        <f ca="1">IF(ISBLANK($B15),"",OFFSET(Input!$A$228,MATCH(Q$2,Input!$B$229:$B$291,0),MATCH(Output!$B15,Input!$B$228:$M$228,0)))</f>
        <v/>
      </c>
      <c r="R15" s="129" t="str">
        <f ca="1">IF(ISBLANK($B15),"",OFFSET(Input!$A$228,MATCH(R$2,Input!$B$229:$B$291,0),MATCH(Output!$B15,Input!$B$228:$M$228,0)))</f>
        <v/>
      </c>
      <c r="S15" s="129" t="str">
        <f ca="1">IF(ISBLANK($B15),"",OFFSET(Input!$A$228,MATCH(S$2,Input!$B$229:$B$291,0),MATCH(Output!$B15,Input!$B$228:$M$228,0)))</f>
        <v/>
      </c>
      <c r="T15" s="129" t="str">
        <f ca="1">IF(ISBLANK($B15),"",OFFSET(Input!$A$228,MATCH(T$2,Input!$B$229:$B$291,0),MATCH(Output!$B15,Input!$B$228:$M$228,0)))</f>
        <v/>
      </c>
      <c r="U15" s="131"/>
      <c r="V15" s="129" t="str">
        <f ca="1">IF(ISBLANK($B15),"",OFFSET(Input!$A$228,MATCH(V$2,Input!$B$229:$B$291,0),MATCH(Output!$B15,Input!$B$228:$M$228,0)))</f>
        <v/>
      </c>
      <c r="W15" s="129" t="str">
        <f ca="1">IF(ISBLANK($B15),"",OFFSET(Input!$A$228,MATCH(W$2,Input!$B$229:$B$291,0),MATCH(Output!$B15,Input!$B$228:$M$228,0)))</f>
        <v/>
      </c>
      <c r="X15" s="129" t="str">
        <f ca="1">IF(ISBLANK($B15),"",OFFSET(Input!$A$228,MATCH(X$2,Input!$B$229:$B$291,0),MATCH(Output!$B15,Input!$B$228:$M$228,0)))</f>
        <v/>
      </c>
      <c r="Y15" s="129" t="str">
        <f ca="1">IF(ISBLANK($B15),"",OFFSET(Input!$A$228,MATCH(Y$2,Input!$B$229:$B$291,0),MATCH(Output!$B15,Input!$B$228:$M$228,0)))</f>
        <v/>
      </c>
      <c r="Z15" s="131"/>
      <c r="AA15" s="129" t="str">
        <f ca="1">IF(ISBLANK($B15),"",OFFSET(Input!$A$228,MATCH(AA$2,Input!$B$229:$B$291,0),MATCH(Output!$B15,Input!$B$228:$M$228,0)))</f>
        <v/>
      </c>
      <c r="AB15" s="129" t="str">
        <f ca="1">IF(ISBLANK($B15),"",OFFSET(Input!$A$228,MATCH(AB$2,Input!$B$229:$B$291,0),MATCH(Output!$B15,Input!$B$228:$M$228,0)))</f>
        <v/>
      </c>
      <c r="AC15" s="129" t="str">
        <f ca="1">IF(ISBLANK($B15),"",OFFSET(Input!$A$228,MATCH(AC$2,Input!$B$229:$B$291,0),MATCH(Output!$B15,Input!$B$228:$M$228,0)))</f>
        <v/>
      </c>
      <c r="AD15" s="129" t="str">
        <f ca="1">IF(ISBLANK($B15),"",OFFSET(Input!$A$228,MATCH(AD$2,Input!$B$229:$B$291,0),MATCH(Output!$B15,Input!$B$228:$M$228,0)))</f>
        <v/>
      </c>
    </row>
    <row r="16" spans="2:30">
      <c r="B16" s="62"/>
      <c r="C16" s="119" t="str">
        <f ca="1">IF(ISBLANK($B16),"",OFFSET(Input!$A$228,MATCH(C$2,Input!$B$229:$B$291,0),MATCH(Output!$B16,Input!$B$228:$M$228,0)))</f>
        <v/>
      </c>
      <c r="D16" s="122" t="str">
        <f ca="1">IF(ISBLANK($B16),"",OFFSET(Input!$A$228,MATCH(D$2,Input!$B$229:$B$291,0),MATCH(Output!$B16,Input!$B$228:$M$228,0)))</f>
        <v/>
      </c>
      <c r="E16" s="119" t="str">
        <f ca="1">IF(ISBLANK($B16),"",OFFSET(Input!$A$228,MATCH(E$2,Input!$B$229:$B$291,0),MATCH(Output!$B16,Input!$B$228:$M$228,0)))</f>
        <v/>
      </c>
      <c r="F16" s="123" t="str">
        <f ca="1">IF(ISBLANK($B16),"",OFFSET(Input!$A$228,MATCH(F$2,Input!$B$229:$B$291,0),MATCH(Output!$B16,Input!$B$228:$M$228,0)))</f>
        <v/>
      </c>
      <c r="G16" s="129" t="str">
        <f ca="1">IF(ISBLANK($B16),"",OFFSET(Input!$A$228,MATCH(G$2,Input!$B$229:$B$291,0),MATCH(Output!$B16,Input!$B$228:$M$228,0)))</f>
        <v/>
      </c>
      <c r="H16" s="136" t="str">
        <f ca="1">IF(ISBLANK($B16),"",OFFSET(Input!$A$228,MATCH(H$2,Input!$B$229:$B$291,0),MATCH(Output!$B16,Input!$B$228:$M$228,0)))</f>
        <v/>
      </c>
      <c r="I16" s="129" t="str">
        <f ca="1">IF(ISBLANK($B16),"",OFFSET(Input!$A$228,MATCH(I$2,Input!$B$229:$B$291,0),MATCH(Output!$B16,Input!$B$228:$M$228,0)))</f>
        <v/>
      </c>
      <c r="J16" s="129" t="str">
        <f ca="1">IF(ISBLANK($B16),"",OFFSET(Input!$A$228,MATCH(J$2,Input!$B$229:$B$291,0),MATCH(Output!$B16,Input!$B$228:$M$228,0)))</f>
        <v/>
      </c>
      <c r="K16" s="129" t="str">
        <f ca="1">IF(ISBLANK($B16),"",OFFSET(Input!$A$228,MATCH(K$2,Input!$B$229:$B$291,0),MATCH(Output!$B16,Input!$B$228:$M$228,0)))</f>
        <v/>
      </c>
      <c r="L16" s="129" t="str">
        <f ca="1">IF(ISBLANK($B16),"",OFFSET(Input!$A$228,MATCH(L$2,Input!$B$229:$B$291,0),MATCH(Output!$B16,Input!$B$228:$M$228,0)))</f>
        <v/>
      </c>
      <c r="M16" s="130" t="str">
        <f ca="1">IF(ISBLANK($B16),"",OFFSET(Input!$A$228,MATCH(M$2,Input!$B$229:$B$291,0),MATCH(Output!$B16,Input!$B$228:$M$228,0)))</f>
        <v/>
      </c>
      <c r="N16" s="129" t="str">
        <f ca="1">IF(ISBLANK($B16),"",OFFSET(Input!$A$228,MATCH(N$2,Input!$B$229:$B$291,0),MATCH(Output!$B16,Input!$B$228:$M$228,0)))</f>
        <v/>
      </c>
      <c r="O16" s="129" t="str">
        <f ca="1">IF(ISBLANK($B16),"",OFFSET(Input!$A$228,MATCH(O$2,Input!$B$229:$B$291,0),MATCH(Output!$B16,Input!$B$228:$M$228,0)))</f>
        <v/>
      </c>
      <c r="P16" s="130" t="str">
        <f ca="1">IF(ISBLANK($B16),"",OFFSET(Input!$A$228,MATCH(P$2,Input!$B$229:$B$291,0),MATCH(Output!$B16,Input!$B$228:$M$228,0)))</f>
        <v/>
      </c>
      <c r="Q16" s="129" t="str">
        <f ca="1">IF(ISBLANK($B16),"",OFFSET(Input!$A$228,MATCH(Q$2,Input!$B$229:$B$291,0),MATCH(Output!$B16,Input!$B$228:$M$228,0)))</f>
        <v/>
      </c>
      <c r="R16" s="129" t="str">
        <f ca="1">IF(ISBLANK($B16),"",OFFSET(Input!$A$228,MATCH(R$2,Input!$B$229:$B$291,0),MATCH(Output!$B16,Input!$B$228:$M$228,0)))</f>
        <v/>
      </c>
      <c r="S16" s="129" t="str">
        <f ca="1">IF(ISBLANK($B16),"",OFFSET(Input!$A$228,MATCH(S$2,Input!$B$229:$B$291,0),MATCH(Output!$B16,Input!$B$228:$M$228,0)))</f>
        <v/>
      </c>
      <c r="T16" s="129" t="str">
        <f ca="1">IF(ISBLANK($B16),"",OFFSET(Input!$A$228,MATCH(T$2,Input!$B$229:$B$291,0),MATCH(Output!$B16,Input!$B$228:$M$228,0)))</f>
        <v/>
      </c>
      <c r="U16" s="131"/>
      <c r="V16" s="129" t="str">
        <f ca="1">IF(ISBLANK($B16),"",OFFSET(Input!$A$228,MATCH(V$2,Input!$B$229:$B$291,0),MATCH(Output!$B16,Input!$B$228:$M$228,0)))</f>
        <v/>
      </c>
      <c r="W16" s="129" t="str">
        <f ca="1">IF(ISBLANK($B16),"",OFFSET(Input!$A$228,MATCH(W$2,Input!$B$229:$B$291,0),MATCH(Output!$B16,Input!$B$228:$M$228,0)))</f>
        <v/>
      </c>
      <c r="X16" s="129" t="str">
        <f ca="1">IF(ISBLANK($B16),"",OFFSET(Input!$A$228,MATCH(X$2,Input!$B$229:$B$291,0),MATCH(Output!$B16,Input!$B$228:$M$228,0)))</f>
        <v/>
      </c>
      <c r="Y16" s="129" t="str">
        <f ca="1">IF(ISBLANK($B16),"",OFFSET(Input!$A$228,MATCH(Y$2,Input!$B$229:$B$291,0),MATCH(Output!$B16,Input!$B$228:$M$228,0)))</f>
        <v/>
      </c>
      <c r="Z16" s="131"/>
      <c r="AA16" s="129" t="str">
        <f ca="1">IF(ISBLANK($B16),"",OFFSET(Input!$A$228,MATCH(AA$2,Input!$B$229:$B$291,0),MATCH(Output!$B16,Input!$B$228:$M$228,0)))</f>
        <v/>
      </c>
      <c r="AB16" s="129" t="str">
        <f ca="1">IF(ISBLANK($B16),"",OFFSET(Input!$A$228,MATCH(AB$2,Input!$B$229:$B$291,0),MATCH(Output!$B16,Input!$B$228:$M$228,0)))</f>
        <v/>
      </c>
      <c r="AC16" s="129" t="str">
        <f ca="1">IF(ISBLANK($B16),"",OFFSET(Input!$A$228,MATCH(AC$2,Input!$B$229:$B$291,0),MATCH(Output!$B16,Input!$B$228:$M$228,0)))</f>
        <v/>
      </c>
      <c r="AD16" s="129" t="str">
        <f ca="1">IF(ISBLANK($B16),"",OFFSET(Input!$A$228,MATCH(AD$2,Input!$B$229:$B$291,0),MATCH(Output!$B16,Input!$B$228:$M$228,0)))</f>
        <v/>
      </c>
    </row>
    <row r="17" spans="2:30">
      <c r="B17" s="62"/>
      <c r="C17" s="119" t="str">
        <f ca="1">IF(ISBLANK($B17),"",OFFSET(Input!$A$228,MATCH(C$2,Input!$B$229:$B$291,0),MATCH(Output!$B17,Input!$B$228:$M$228,0)))</f>
        <v/>
      </c>
      <c r="D17" s="122" t="str">
        <f ca="1">IF(ISBLANK($B17),"",OFFSET(Input!$A$228,MATCH(D$2,Input!$B$229:$B$291,0),MATCH(Output!$B17,Input!$B$228:$M$228,0)))</f>
        <v/>
      </c>
      <c r="E17" s="119" t="str">
        <f ca="1">IF(ISBLANK($B17),"",OFFSET(Input!$A$228,MATCH(E$2,Input!$B$229:$B$291,0),MATCH(Output!$B17,Input!$B$228:$M$228,0)))</f>
        <v/>
      </c>
      <c r="F17" s="123" t="str">
        <f ca="1">IF(ISBLANK($B17),"",OFFSET(Input!$A$228,MATCH(F$2,Input!$B$229:$B$291,0),MATCH(Output!$B17,Input!$B$228:$M$228,0)))</f>
        <v/>
      </c>
      <c r="G17" s="129" t="str">
        <f ca="1">IF(ISBLANK($B17),"",OFFSET(Input!$A$228,MATCH(G$2,Input!$B$229:$B$291,0),MATCH(Output!$B17,Input!$B$228:$M$228,0)))</f>
        <v/>
      </c>
      <c r="H17" s="136" t="str">
        <f ca="1">IF(ISBLANK($B17),"",OFFSET(Input!$A$228,MATCH(H$2,Input!$B$229:$B$291,0),MATCH(Output!$B17,Input!$B$228:$M$228,0)))</f>
        <v/>
      </c>
      <c r="I17" s="129" t="str">
        <f ca="1">IF(ISBLANK($B17),"",OFFSET(Input!$A$228,MATCH(I$2,Input!$B$229:$B$291,0),MATCH(Output!$B17,Input!$B$228:$M$228,0)))</f>
        <v/>
      </c>
      <c r="J17" s="129" t="str">
        <f ca="1">IF(ISBLANK($B17),"",OFFSET(Input!$A$228,MATCH(J$2,Input!$B$229:$B$291,0),MATCH(Output!$B17,Input!$B$228:$M$228,0)))</f>
        <v/>
      </c>
      <c r="K17" s="129" t="str">
        <f ca="1">IF(ISBLANK($B17),"",OFFSET(Input!$A$228,MATCH(K$2,Input!$B$229:$B$291,0),MATCH(Output!$B17,Input!$B$228:$M$228,0)))</f>
        <v/>
      </c>
      <c r="L17" s="129" t="str">
        <f ca="1">IF(ISBLANK($B17),"",OFFSET(Input!$A$228,MATCH(L$2,Input!$B$229:$B$291,0),MATCH(Output!$B17,Input!$B$228:$M$228,0)))</f>
        <v/>
      </c>
      <c r="M17" s="130" t="str">
        <f ca="1">IF(ISBLANK($B17),"",OFFSET(Input!$A$228,MATCH(M$2,Input!$B$229:$B$291,0),MATCH(Output!$B17,Input!$B$228:$M$228,0)))</f>
        <v/>
      </c>
      <c r="N17" s="129" t="str">
        <f ca="1">IF(ISBLANK($B17),"",OFFSET(Input!$A$228,MATCH(N$2,Input!$B$229:$B$291,0),MATCH(Output!$B17,Input!$B$228:$M$228,0)))</f>
        <v/>
      </c>
      <c r="O17" s="129" t="str">
        <f ca="1">IF(ISBLANK($B17),"",OFFSET(Input!$A$228,MATCH(O$2,Input!$B$229:$B$291,0),MATCH(Output!$B17,Input!$B$228:$M$228,0)))</f>
        <v/>
      </c>
      <c r="P17" s="130" t="str">
        <f ca="1">IF(ISBLANK($B17),"",OFFSET(Input!$A$228,MATCH(P$2,Input!$B$229:$B$291,0),MATCH(Output!$B17,Input!$B$228:$M$228,0)))</f>
        <v/>
      </c>
      <c r="Q17" s="129" t="str">
        <f ca="1">IF(ISBLANK($B17),"",OFFSET(Input!$A$228,MATCH(Q$2,Input!$B$229:$B$291,0),MATCH(Output!$B17,Input!$B$228:$M$228,0)))</f>
        <v/>
      </c>
      <c r="R17" s="129" t="str">
        <f ca="1">IF(ISBLANK($B17),"",OFFSET(Input!$A$228,MATCH(R$2,Input!$B$229:$B$291,0),MATCH(Output!$B17,Input!$B$228:$M$228,0)))</f>
        <v/>
      </c>
      <c r="S17" s="129" t="str">
        <f ca="1">IF(ISBLANK($B17),"",OFFSET(Input!$A$228,MATCH(S$2,Input!$B$229:$B$291,0),MATCH(Output!$B17,Input!$B$228:$M$228,0)))</f>
        <v/>
      </c>
      <c r="T17" s="129" t="str">
        <f ca="1">IF(ISBLANK($B17),"",OFFSET(Input!$A$228,MATCH(T$2,Input!$B$229:$B$291,0),MATCH(Output!$B17,Input!$B$228:$M$228,0)))</f>
        <v/>
      </c>
      <c r="U17" s="131"/>
      <c r="V17" s="129" t="str">
        <f ca="1">IF(ISBLANK($B17),"",OFFSET(Input!$A$228,MATCH(V$2,Input!$B$229:$B$291,0),MATCH(Output!$B17,Input!$B$228:$M$228,0)))</f>
        <v/>
      </c>
      <c r="W17" s="129" t="str">
        <f ca="1">IF(ISBLANK($B17),"",OFFSET(Input!$A$228,MATCH(W$2,Input!$B$229:$B$291,0),MATCH(Output!$B17,Input!$B$228:$M$228,0)))</f>
        <v/>
      </c>
      <c r="X17" s="129" t="str">
        <f ca="1">IF(ISBLANK($B17),"",OFFSET(Input!$A$228,MATCH(X$2,Input!$B$229:$B$291,0),MATCH(Output!$B17,Input!$B$228:$M$228,0)))</f>
        <v/>
      </c>
      <c r="Y17" s="129" t="str">
        <f ca="1">IF(ISBLANK($B17),"",OFFSET(Input!$A$228,MATCH(Y$2,Input!$B$229:$B$291,0),MATCH(Output!$B17,Input!$B$228:$M$228,0)))</f>
        <v/>
      </c>
      <c r="Z17" s="131"/>
      <c r="AA17" s="129" t="str">
        <f ca="1">IF(ISBLANK($B17),"",OFFSET(Input!$A$228,MATCH(AA$2,Input!$B$229:$B$291,0),MATCH(Output!$B17,Input!$B$228:$M$228,0)))</f>
        <v/>
      </c>
      <c r="AB17" s="129" t="str">
        <f ca="1">IF(ISBLANK($B17),"",OFFSET(Input!$A$228,MATCH(AB$2,Input!$B$229:$B$291,0),MATCH(Output!$B17,Input!$B$228:$M$228,0)))</f>
        <v/>
      </c>
      <c r="AC17" s="129" t="str">
        <f ca="1">IF(ISBLANK($B17),"",OFFSET(Input!$A$228,MATCH(AC$2,Input!$B$229:$B$291,0),MATCH(Output!$B17,Input!$B$228:$M$228,0)))</f>
        <v/>
      </c>
      <c r="AD17" s="129" t="str">
        <f ca="1">IF(ISBLANK($B17),"",OFFSET(Input!$A$228,MATCH(AD$2,Input!$B$229:$B$291,0),MATCH(Output!$B17,Input!$B$228:$M$228,0)))</f>
        <v/>
      </c>
    </row>
    <row r="18" spans="2:30" ht="14.4" thickBot="1">
      <c r="B18" s="127"/>
      <c r="C18" s="128" t="str">
        <f ca="1">IF(ISBLANK($B18),"",OFFSET(Input!$A$228,MATCH(C$2,Input!$B$229:$B$291,0),MATCH(Output!$B18,Input!$B$228:$M$228,0)))</f>
        <v/>
      </c>
      <c r="D18" s="122" t="str">
        <f ca="1">IF(ISBLANK($B18),"",OFFSET(Input!$A$228,MATCH(D$2,Input!$B$229:$B$291,0),MATCH(Output!$B18,Input!$B$228:$M$228,0)))</f>
        <v/>
      </c>
      <c r="E18" s="119" t="str">
        <f ca="1">IF(ISBLANK($B18),"",OFFSET(Input!$A$228,MATCH(E$2,Input!$B$229:$B$291,0),MATCH(Output!$B18,Input!$B$228:$M$228,0)))</f>
        <v/>
      </c>
      <c r="F18" s="123" t="str">
        <f ca="1">IF(ISBLANK($B18),"",OFFSET(Input!$A$228,MATCH(F$2,Input!$B$229:$B$291,0),MATCH(Output!$B18,Input!$B$228:$M$228,0)))</f>
        <v/>
      </c>
      <c r="G18" s="129" t="str">
        <f ca="1">IF(ISBLANK($B18),"",OFFSET(Input!$A$228,MATCH(G$2,Input!$B$229:$B$291,0),MATCH(Output!$B18,Input!$B$228:$M$228,0)))</f>
        <v/>
      </c>
      <c r="H18" s="136" t="str">
        <f ca="1">IF(ISBLANK($B18),"",OFFSET(Input!$A$228,MATCH(H$2,Input!$B$229:$B$291,0),MATCH(Output!$B18,Input!$B$228:$M$228,0)))</f>
        <v/>
      </c>
      <c r="I18" s="129" t="str">
        <f ca="1">IF(ISBLANK($B18),"",OFFSET(Input!$A$228,MATCH(I$2,Input!$B$229:$B$291,0),MATCH(Output!$B18,Input!$B$228:$M$228,0)))</f>
        <v/>
      </c>
      <c r="J18" s="129" t="str">
        <f ca="1">IF(ISBLANK($B18),"",OFFSET(Input!$A$228,MATCH(J$2,Input!$B$229:$B$291,0),MATCH(Output!$B18,Input!$B$228:$M$228,0)))</f>
        <v/>
      </c>
      <c r="K18" s="129" t="str">
        <f ca="1">IF(ISBLANK($B18),"",OFFSET(Input!$A$228,MATCH(K$2,Input!$B$229:$B$291,0),MATCH(Output!$B18,Input!$B$228:$M$228,0)))</f>
        <v/>
      </c>
      <c r="L18" s="129" t="str">
        <f ca="1">IF(ISBLANK($B18),"",OFFSET(Input!$A$228,MATCH(L$2,Input!$B$229:$B$291,0),MATCH(Output!$B18,Input!$B$228:$M$228,0)))</f>
        <v/>
      </c>
      <c r="M18" s="130" t="str">
        <f ca="1">IF(ISBLANK($B18),"",OFFSET(Input!$A$228,MATCH(M$2,Input!$B$229:$B$291,0),MATCH(Output!$B18,Input!$B$228:$M$228,0)))</f>
        <v/>
      </c>
      <c r="N18" s="129" t="str">
        <f ca="1">IF(ISBLANK($B18),"",OFFSET(Input!$A$228,MATCH(N$2,Input!$B$229:$B$291,0),MATCH(Output!$B18,Input!$B$228:$M$228,0)))</f>
        <v/>
      </c>
      <c r="O18" s="129" t="str">
        <f ca="1">IF(ISBLANK($B18),"",OFFSET(Input!$A$228,MATCH(O$2,Input!$B$229:$B$291,0),MATCH(Output!$B18,Input!$B$228:$M$228,0)))</f>
        <v/>
      </c>
      <c r="P18" s="130" t="str">
        <f ca="1">IF(ISBLANK($B18),"",OFFSET(Input!$A$228,MATCH(P$2,Input!$B$229:$B$291,0),MATCH(Output!$B18,Input!$B$228:$M$228,0)))</f>
        <v/>
      </c>
      <c r="Q18" s="129" t="str">
        <f ca="1">IF(ISBLANK($B18),"",OFFSET(Input!$A$228,MATCH(Q$2,Input!$B$229:$B$291,0),MATCH(Output!$B18,Input!$B$228:$M$228,0)))</f>
        <v/>
      </c>
      <c r="R18" s="129" t="str">
        <f ca="1">IF(ISBLANK($B18),"",OFFSET(Input!$A$228,MATCH(R$2,Input!$B$229:$B$291,0),MATCH(Output!$B18,Input!$B$228:$M$228,0)))</f>
        <v/>
      </c>
      <c r="S18" s="129" t="str">
        <f ca="1">IF(ISBLANK($B18),"",OFFSET(Input!$A$228,MATCH(S$2,Input!$B$229:$B$291,0),MATCH(Output!$B18,Input!$B$228:$M$228,0)))</f>
        <v/>
      </c>
      <c r="T18" s="129" t="str">
        <f ca="1">IF(ISBLANK($B18),"",OFFSET(Input!$A$228,MATCH(T$2,Input!$B$229:$B$291,0),MATCH(Output!$B18,Input!$B$228:$M$228,0)))</f>
        <v/>
      </c>
      <c r="U18" s="131"/>
      <c r="V18" s="129" t="str">
        <f ca="1">IF(ISBLANK($B18),"",OFFSET(Input!$A$228,MATCH(V$2,Input!$B$229:$B$291,0),MATCH(Output!$B18,Input!$B$228:$M$228,0)))</f>
        <v/>
      </c>
      <c r="W18" s="129" t="str">
        <f ca="1">IF(ISBLANK($B18),"",OFFSET(Input!$A$228,MATCH(W$2,Input!$B$229:$B$291,0),MATCH(Output!$B18,Input!$B$228:$M$228,0)))</f>
        <v/>
      </c>
      <c r="X18" s="129" t="str">
        <f ca="1">IF(ISBLANK($B18),"",OFFSET(Input!$A$228,MATCH(X$2,Input!$B$229:$B$291,0),MATCH(Output!$B18,Input!$B$228:$M$228,0)))</f>
        <v/>
      </c>
      <c r="Y18" s="139" t="str">
        <f ca="1">IF(ISBLANK($B18),"",OFFSET(Input!$A$228,MATCH(Y$2,Input!$B$229:$B$291,0),MATCH(Output!$B18,Input!$B$228:$M$228,0)))</f>
        <v/>
      </c>
      <c r="Z18" s="131"/>
      <c r="AA18" s="129" t="str">
        <f ca="1">IF(ISBLANK($B18),"",OFFSET(Input!$A$228,MATCH(AA$2,Input!$B$229:$B$291,0),MATCH(Output!$B18,Input!$B$228:$M$228,0)))</f>
        <v/>
      </c>
      <c r="AB18" s="129" t="str">
        <f ca="1">IF(ISBLANK($B18),"",OFFSET(Input!$A$228,MATCH(AB$2,Input!$B$229:$B$291,0),MATCH(Output!$B18,Input!$B$228:$M$228,0)))</f>
        <v/>
      </c>
      <c r="AC18" s="129" t="str">
        <f ca="1">IF(ISBLANK($B18),"",OFFSET(Input!$A$228,MATCH(AC$2,Input!$B$229:$B$291,0),MATCH(Output!$B18,Input!$B$228:$M$228,0)))</f>
        <v/>
      </c>
      <c r="AD18" s="129" t="str">
        <f ca="1">IF(ISBLANK($B18),"",OFFSET(Input!$A$228,MATCH(AD$2,Input!$B$229:$B$291,0),MATCH(Output!$B18,Input!$B$228:$M$228,0)))</f>
        <v/>
      </c>
    </row>
    <row r="19" spans="2:30" ht="14.4" thickBot="1">
      <c r="D19" s="63"/>
      <c r="E19" s="63"/>
      <c r="F19" s="64"/>
      <c r="G19" s="64"/>
      <c r="H19" s="64"/>
      <c r="I19" s="65"/>
      <c r="J19" s="65"/>
      <c r="K19" s="65"/>
      <c r="L19" s="65"/>
      <c r="M19" s="65"/>
      <c r="N19" s="65"/>
      <c r="O19" s="65"/>
      <c r="P19" s="66"/>
      <c r="Q19" s="65"/>
      <c r="R19" s="65"/>
      <c r="S19" s="65"/>
      <c r="T19" s="65"/>
      <c r="U19" s="13"/>
      <c r="V19" s="65"/>
      <c r="W19" s="65"/>
      <c r="X19" s="65"/>
      <c r="Y19" s="58"/>
      <c r="Z19" s="13"/>
      <c r="AA19" s="65"/>
      <c r="AB19" s="65"/>
      <c r="AC19" s="65"/>
      <c r="AD19" s="65"/>
    </row>
    <row r="20" spans="2:30">
      <c r="D20" s="56"/>
      <c r="E20" s="56"/>
      <c r="F20" s="57"/>
      <c r="G20" s="57"/>
      <c r="H20" s="57"/>
      <c r="I20" s="58"/>
      <c r="J20" s="58"/>
      <c r="K20" s="58"/>
      <c r="L20" s="58"/>
      <c r="M20" s="58"/>
      <c r="N20" s="58"/>
      <c r="O20" s="180"/>
      <c r="P20" s="140"/>
      <c r="Q20" s="141" t="s">
        <v>63</v>
      </c>
      <c r="R20" s="142"/>
      <c r="S20" s="142"/>
      <c r="T20" s="142"/>
      <c r="U20" s="140"/>
      <c r="V20" s="141" t="s">
        <v>72</v>
      </c>
      <c r="W20" s="142"/>
      <c r="X20" s="142"/>
      <c r="Y20" s="143"/>
      <c r="Z20" s="140"/>
      <c r="AA20" s="141" t="s">
        <v>73</v>
      </c>
      <c r="AB20" s="142"/>
      <c r="AC20" s="142"/>
      <c r="AD20" s="144"/>
    </row>
    <row r="21" spans="2:30" ht="42" thickBot="1">
      <c r="D21" s="56"/>
      <c r="E21" s="56"/>
      <c r="F21" s="57"/>
      <c r="G21" s="57"/>
      <c r="H21" s="57"/>
      <c r="I21" s="58"/>
      <c r="J21" s="58"/>
      <c r="K21" s="58"/>
      <c r="L21" s="58"/>
      <c r="M21" s="58"/>
      <c r="N21" s="58"/>
      <c r="O21" s="181"/>
      <c r="P21" s="53" t="s">
        <v>64</v>
      </c>
      <c r="Q21" s="179" t="s">
        <v>58</v>
      </c>
      <c r="R21" s="179" t="s">
        <v>59</v>
      </c>
      <c r="S21" s="179" t="s">
        <v>60</v>
      </c>
      <c r="T21" s="179" t="s">
        <v>61</v>
      </c>
      <c r="U21" s="103"/>
      <c r="V21" s="179" t="s">
        <v>58</v>
      </c>
      <c r="W21" s="179" t="s">
        <v>59</v>
      </c>
      <c r="X21" s="179" t="s">
        <v>60</v>
      </c>
      <c r="Y21" s="179" t="s">
        <v>61</v>
      </c>
      <c r="Z21" s="103"/>
      <c r="AA21" s="179" t="s">
        <v>58</v>
      </c>
      <c r="AB21" s="179" t="s">
        <v>59</v>
      </c>
      <c r="AC21" s="179" t="s">
        <v>60</v>
      </c>
      <c r="AD21" s="182" t="s">
        <v>61</v>
      </c>
    </row>
    <row r="22" spans="2:30">
      <c r="D22" s="1"/>
      <c r="O22" s="102" t="s">
        <v>3</v>
      </c>
      <c r="P22" s="183">
        <f ca="1">MAX(P9:P18)</f>
        <v>0</v>
      </c>
      <c r="Q22" s="184">
        <f ca="1">MAX(Q9:Q18)</f>
        <v>0</v>
      </c>
      <c r="R22" s="184">
        <f ca="1">MAX(R9:R18)</f>
        <v>0</v>
      </c>
      <c r="S22" s="184">
        <f ca="1">MAX(S9:S18)</f>
        <v>0</v>
      </c>
      <c r="T22" s="184">
        <f ca="1">MAX(T9:T18)</f>
        <v>0</v>
      </c>
      <c r="U22" s="184"/>
      <c r="V22" s="184">
        <f ca="1">MAX(V9:V18)</f>
        <v>0</v>
      </c>
      <c r="W22" s="184">
        <f ca="1">MAX(W9:W18)</f>
        <v>0</v>
      </c>
      <c r="X22" s="184">
        <f ca="1">MAX(X9:X18)</f>
        <v>0</v>
      </c>
      <c r="Y22" s="184">
        <f ca="1">MAX(Y9:Y18)</f>
        <v>0</v>
      </c>
      <c r="Z22" s="184"/>
      <c r="AA22" s="184">
        <f ca="1">MAX(AA9:AA18)</f>
        <v>0</v>
      </c>
      <c r="AB22" s="184">
        <f ca="1">MAX(AB9:AB18)</f>
        <v>0</v>
      </c>
      <c r="AC22" s="184">
        <f ca="1">MAX(AC9:AC18)</f>
        <v>0</v>
      </c>
      <c r="AD22" s="185">
        <f ca="1">MAX(AD9:AD18)</f>
        <v>0</v>
      </c>
    </row>
    <row r="23" spans="2:30">
      <c r="D23" s="1"/>
      <c r="O23" s="102" t="s">
        <v>4</v>
      </c>
      <c r="P23" s="186">
        <f ca="1">MIN(P9:P18)</f>
        <v>0</v>
      </c>
      <c r="Q23" s="187">
        <f ca="1">MIN(Q9:Q18)</f>
        <v>0</v>
      </c>
      <c r="R23" s="187">
        <f ca="1">MIN(R9:R18)</f>
        <v>0</v>
      </c>
      <c r="S23" s="187">
        <f ca="1">MIN(S9:S18)</f>
        <v>0</v>
      </c>
      <c r="T23" s="187">
        <f ca="1">MIN(T9:T18)</f>
        <v>0</v>
      </c>
      <c r="U23" s="187"/>
      <c r="V23" s="187">
        <f ca="1">MIN(V9:V18)</f>
        <v>0</v>
      </c>
      <c r="W23" s="187">
        <f ca="1">MIN(W9:W18)</f>
        <v>0</v>
      </c>
      <c r="X23" s="187">
        <f ca="1">MIN(X9:X18)</f>
        <v>0</v>
      </c>
      <c r="Y23" s="187">
        <f ca="1">MIN(Y9:Y18)</f>
        <v>0</v>
      </c>
      <c r="Z23" s="187"/>
      <c r="AA23" s="187">
        <f ca="1">MIN(AA9:AA18)</f>
        <v>0</v>
      </c>
      <c r="AB23" s="187">
        <f ca="1">MIN(AB9:AB18)</f>
        <v>0</v>
      </c>
      <c r="AC23" s="187">
        <f ca="1">MIN(AC9:AC18)</f>
        <v>0</v>
      </c>
      <c r="AD23" s="188">
        <f ca="1">MIN(AD9:AD18)</f>
        <v>0</v>
      </c>
    </row>
    <row r="24" spans="2:30">
      <c r="D24" s="1"/>
      <c r="O24" s="102" t="s">
        <v>14</v>
      </c>
      <c r="P24" s="183" t="str">
        <f ca="1">IFERROR(MEDIAN(P9:P18), "NM")</f>
        <v>NM</v>
      </c>
      <c r="Q24" s="189" t="str">
        <f ca="1">IFERROR(MEDIAN(Q9:Q18), "NM")</f>
        <v>NM</v>
      </c>
      <c r="R24" s="189" t="str">
        <f ca="1">IFERROR(MEDIAN(R9:R18), "NM")</f>
        <v>NM</v>
      </c>
      <c r="S24" s="189" t="str">
        <f ca="1">IFERROR(MEDIAN(S9:S18), "NM")</f>
        <v>NM</v>
      </c>
      <c r="T24" s="189" t="str">
        <f ca="1">IFERROR(MEDIAN(T9:T18), "NM")</f>
        <v>NM</v>
      </c>
      <c r="U24" s="187"/>
      <c r="V24" s="189" t="str">
        <f ca="1">IFERROR(MEDIAN(V9:V18), "NM")</f>
        <v>NM</v>
      </c>
      <c r="W24" s="189" t="str">
        <f ca="1">IFERROR(MEDIAN(W9:W18), "NM")</f>
        <v>NM</v>
      </c>
      <c r="X24" s="189" t="str">
        <f ca="1">IFERROR(MEDIAN(X9:X18), "NM")</f>
        <v>NM</v>
      </c>
      <c r="Y24" s="189" t="str">
        <f ca="1">IFERROR(MEDIAN(Y9:Y18), "NM")</f>
        <v>NM</v>
      </c>
      <c r="Z24" s="187"/>
      <c r="AA24" s="189" t="str">
        <f ca="1">IFERROR(MEDIAN(AA9:AA18), "NM")</f>
        <v>NM</v>
      </c>
      <c r="AB24" s="189" t="str">
        <f ca="1">IFERROR(MEDIAN(AB9:AB18), "NM")</f>
        <v>NM</v>
      </c>
      <c r="AC24" s="189" t="str">
        <f ca="1">IFERROR(MEDIAN(AC9:AC18), "NM")</f>
        <v>NM</v>
      </c>
      <c r="AD24" s="190" t="str">
        <f ca="1">IFERROR(MEDIAN(AD9:AD18), "NM")</f>
        <v>NM</v>
      </c>
    </row>
    <row r="25" spans="2:30" ht="14.4" thickBot="1">
      <c r="D25" s="1"/>
      <c r="O25" s="191" t="s">
        <v>5</v>
      </c>
      <c r="P25" s="192" t="str">
        <f ca="1">IFERROR(AVERAGE(P9:P18), "NM")</f>
        <v>NM</v>
      </c>
      <c r="Q25" s="193" t="str">
        <f ca="1">IFERROR(AVERAGE(Q9:Q18), "NM")</f>
        <v>NM</v>
      </c>
      <c r="R25" s="193" t="str">
        <f ca="1">IFERROR(AVERAGE(R9:R18), "NM")</f>
        <v>NM</v>
      </c>
      <c r="S25" s="193" t="str">
        <f ca="1">IFERROR(AVERAGE(S9:S18), "NM")</f>
        <v>NM</v>
      </c>
      <c r="T25" s="193" t="str">
        <f ca="1">IFERROR(AVERAGE(T9:T18), "NM")</f>
        <v>NM</v>
      </c>
      <c r="U25" s="194"/>
      <c r="V25" s="193" t="str">
        <f ca="1">IFERROR(AVERAGE(V9:V18), "NM")</f>
        <v>NM</v>
      </c>
      <c r="W25" s="193" t="str">
        <f ca="1">IFERROR(AVERAGE(W9:W18), "NM")</f>
        <v>NM</v>
      </c>
      <c r="X25" s="193" t="str">
        <f ca="1">IFERROR(AVERAGE(X9:X18), "NM")</f>
        <v>NM</v>
      </c>
      <c r="Y25" s="193" t="str">
        <f ca="1">IFERROR(AVERAGE(Y9:Y18), "NM")</f>
        <v>NM</v>
      </c>
      <c r="Z25" s="194"/>
      <c r="AA25" s="193" t="str">
        <f ca="1">IFERROR(AVERAGE(AA9:AA18), "NM")</f>
        <v>NM</v>
      </c>
      <c r="AB25" s="193" t="str">
        <f ca="1">IFERROR(AVERAGE(AB9:AB18), "NM")</f>
        <v>NM</v>
      </c>
      <c r="AC25" s="193" t="str">
        <f ca="1">IFERROR(AVERAGE(AC9:AC18), "NM")</f>
        <v>NM</v>
      </c>
      <c r="AD25" s="195" t="str">
        <f ca="1">IFERROR(AVERAGE(AD9:AD18), "NM")</f>
        <v>NM</v>
      </c>
    </row>
    <row r="31" spans="2:30">
      <c r="D31" s="1"/>
    </row>
    <row r="32" spans="2:30">
      <c r="D32" s="1"/>
    </row>
  </sheetData>
  <phoneticPr fontId="3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transaction">
          <x14:formula1>
            <xm:f>Input!$D$10:$M$10</xm:f>
          </x14:formula1>
          <xm:sqref>B9:B18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Prep, LLC</dc:creator>
  <cp:lastModifiedBy>Mary Roberts</cp:lastModifiedBy>
  <dcterms:created xsi:type="dcterms:W3CDTF">2006-06-15T18:32:30Z</dcterms:created>
  <dcterms:modified xsi:type="dcterms:W3CDTF">2017-06-30T14:05:40Z</dcterms:modified>
</cp:coreProperties>
</file>