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codeName="ThisWorkbook" defaultThemeVersion="124226"/>
  <mc:AlternateContent xmlns:mc="http://schemas.openxmlformats.org/markup-compatibility/2006">
    <mc:Choice Requires="x15">
      <x15ac:absPath xmlns:x15ac="http://schemas.microsoft.com/office/spreadsheetml/2010/11/ac" url="C:\Users\Mary\Desktop\WSP Models\"/>
    </mc:Choice>
  </mc:AlternateContent>
  <bookViews>
    <workbookView xWindow="120" yWindow="336" windowWidth="14628" windowHeight="7632" firstSheet="1" activeTab="2"/>
  </bookViews>
  <sheets>
    <sheet name="BoostToolkitClipBoard2010" sheetId="11" state="veryHidden" r:id="rId1"/>
    <sheet name="Input" sheetId="14" r:id="rId2"/>
    <sheet name="Output" sheetId="15" r:id="rId3"/>
    <sheet name="Valuation Matrix" sheetId="17" r:id="rId4"/>
    <sheet name="Football Field" sheetId="18" r:id="rId5"/>
  </sheets>
  <externalReferences>
    <externalReference r:id="rId6"/>
    <externalReference r:id="rId7"/>
  </externalReferences>
  <definedNames>
    <definedName name="CIQWBGuid" hidden="1">"a611639b-bab1-425e-aaa5-008c326fdfdb"</definedName>
    <definedName name="Inv_Cap">[1]Results!$E$182:$AD$182</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41451.5654050926</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NOPLAT">[1]Results!$E$145:$AD$145</definedName>
    <definedName name="One">'[1]Forecast Drivers'!$D$330</definedName>
    <definedName name="Products">[2]Array0!$B$5:$C$7</definedName>
    <definedName name="Rev">'[1]Forecast Drivers'!$E$25:$S$25</definedName>
  </definedNames>
  <calcPr calcId="171027" calcMode="autoNoTable" iterate="1"/>
</workbook>
</file>

<file path=xl/calcChain.xml><?xml version="1.0" encoding="utf-8"?>
<calcChain xmlns="http://schemas.openxmlformats.org/spreadsheetml/2006/main">
  <c r="B9" i="15" l="1"/>
  <c r="C181" i="14"/>
  <c r="C182" i="14" s="1"/>
  <c r="C141" i="14"/>
  <c r="C117" i="14"/>
  <c r="C103" i="14"/>
  <c r="C102" i="14"/>
  <c r="C98" i="14"/>
  <c r="C108" i="14"/>
  <c r="C107" i="14"/>
  <c r="C74" i="14"/>
  <c r="C73" i="14"/>
  <c r="C135" i="14"/>
  <c r="C131" i="14"/>
  <c r="G176" i="14"/>
  <c r="F136" i="14"/>
  <c r="G136" i="14"/>
  <c r="G131" i="14"/>
  <c r="G129" i="14"/>
  <c r="G96" i="14"/>
  <c r="G69" i="14"/>
  <c r="G64" i="14"/>
  <c r="G62" i="14"/>
  <c r="F129" i="14"/>
  <c r="F131" i="14"/>
  <c r="F96" i="14"/>
  <c r="F98" i="14"/>
  <c r="F69" i="14"/>
  <c r="F62" i="14"/>
  <c r="F64" i="14"/>
  <c r="E114" i="14"/>
  <c r="E117" i="14"/>
  <c r="E129" i="14"/>
  <c r="E96" i="14"/>
  <c r="E102" i="14"/>
  <c r="E98" i="14"/>
  <c r="E83" i="14"/>
  <c r="E69" i="14"/>
  <c r="E68" i="14"/>
  <c r="E62" i="14"/>
  <c r="E12" i="14"/>
  <c r="D176" i="14"/>
  <c r="D150" i="14"/>
  <c r="D129" i="14"/>
  <c r="D142" i="14"/>
  <c r="D117" i="14"/>
  <c r="D103" i="14"/>
  <c r="D96" i="14"/>
  <c r="D83" i="14"/>
  <c r="D75" i="14"/>
  <c r="D74" i="14"/>
  <c r="D62" i="14" l="1"/>
  <c r="C68" i="14" l="1"/>
  <c r="C64" i="14"/>
  <c r="T32" i="15" l="1"/>
  <c r="S32" i="15"/>
  <c r="R32" i="15"/>
  <c r="Q32" i="15"/>
  <c r="P32" i="15"/>
  <c r="O32" i="15"/>
  <c r="N32" i="15"/>
  <c r="M32" i="15"/>
  <c r="L32" i="15"/>
  <c r="K32" i="15"/>
  <c r="J32" i="15"/>
  <c r="I32" i="15"/>
  <c r="H32" i="15"/>
  <c r="G32" i="15"/>
  <c r="F32" i="15"/>
  <c r="T31" i="15"/>
  <c r="S31" i="15"/>
  <c r="R31" i="15"/>
  <c r="Q31" i="15"/>
  <c r="P31" i="15"/>
  <c r="O31" i="15"/>
  <c r="N31" i="15"/>
  <c r="M31" i="15"/>
  <c r="L31" i="15"/>
  <c r="K31" i="15"/>
  <c r="J31" i="15"/>
  <c r="I31" i="15"/>
  <c r="H31" i="15"/>
  <c r="G31" i="15"/>
  <c r="F31" i="15"/>
  <c r="T30" i="15"/>
  <c r="S30" i="15"/>
  <c r="R30" i="15"/>
  <c r="Q30" i="15"/>
  <c r="P30" i="15"/>
  <c r="O30" i="15"/>
  <c r="N30" i="15"/>
  <c r="M30" i="15"/>
  <c r="L30" i="15"/>
  <c r="K30" i="15"/>
  <c r="J30" i="15"/>
  <c r="I30" i="15"/>
  <c r="H30" i="15"/>
  <c r="G30" i="15"/>
  <c r="F30" i="15"/>
  <c r="T29" i="15"/>
  <c r="S29" i="15"/>
  <c r="R29" i="15"/>
  <c r="Q29" i="15"/>
  <c r="P29" i="15"/>
  <c r="N29" i="15"/>
  <c r="M29" i="15"/>
  <c r="L29" i="15"/>
  <c r="K29" i="15"/>
  <c r="I29" i="15"/>
  <c r="H29" i="15"/>
  <c r="G29" i="15"/>
  <c r="F29" i="15"/>
  <c r="T28" i="15"/>
  <c r="S28" i="15"/>
  <c r="R28" i="15"/>
  <c r="Q28" i="15"/>
  <c r="P28" i="15"/>
  <c r="N28" i="15"/>
  <c r="M28" i="15"/>
  <c r="L28" i="15"/>
  <c r="K28" i="15"/>
  <c r="I28" i="15"/>
  <c r="H28" i="15"/>
  <c r="G28" i="15"/>
  <c r="F28" i="15"/>
  <c r="A26" i="15"/>
  <c r="A24" i="15"/>
  <c r="A25" i="15"/>
  <c r="A27" i="15"/>
  <c r="A28" i="15"/>
  <c r="A29" i="15"/>
  <c r="A30" i="15"/>
  <c r="A31" i="15"/>
  <c r="A32" i="15"/>
  <c r="A23" i="15"/>
  <c r="H213" i="14"/>
  <c r="H204" i="14"/>
  <c r="H195" i="14"/>
  <c r="G213" i="14"/>
  <c r="G204" i="14"/>
  <c r="G195" i="14"/>
  <c r="A1" i="17" l="1"/>
  <c r="W19" i="15"/>
  <c r="V19" i="15"/>
  <c r="T19" i="15"/>
  <c r="S19" i="15"/>
  <c r="R19" i="15"/>
  <c r="Q19" i="15"/>
  <c r="P19" i="15"/>
  <c r="N19" i="15"/>
  <c r="M19" i="15"/>
  <c r="L19" i="15"/>
  <c r="K19" i="15"/>
  <c r="I19" i="15"/>
  <c r="H19" i="15"/>
  <c r="G19" i="15"/>
  <c r="F19" i="15"/>
  <c r="D19" i="15"/>
  <c r="C19" i="15"/>
  <c r="B19" i="15"/>
  <c r="W18" i="15"/>
  <c r="V18" i="15"/>
  <c r="T18" i="15"/>
  <c r="S18" i="15"/>
  <c r="R18" i="15"/>
  <c r="Q18" i="15"/>
  <c r="P18" i="15"/>
  <c r="N18" i="15"/>
  <c r="M18" i="15"/>
  <c r="L18" i="15"/>
  <c r="K18" i="15"/>
  <c r="I18" i="15"/>
  <c r="H18" i="15"/>
  <c r="G18" i="15"/>
  <c r="F18" i="15"/>
  <c r="D18" i="15"/>
  <c r="C18" i="15"/>
  <c r="B18" i="15"/>
  <c r="W17" i="15"/>
  <c r="V17" i="15"/>
  <c r="T17" i="15"/>
  <c r="S17" i="15"/>
  <c r="R17" i="15"/>
  <c r="Q17" i="15"/>
  <c r="P17" i="15"/>
  <c r="N17" i="15"/>
  <c r="M17" i="15"/>
  <c r="L17" i="15"/>
  <c r="K17" i="15"/>
  <c r="I17" i="15"/>
  <c r="H17" i="15"/>
  <c r="G17" i="15"/>
  <c r="F17" i="15"/>
  <c r="D17" i="15"/>
  <c r="C17" i="15"/>
  <c r="B17" i="15"/>
  <c r="W16" i="15"/>
  <c r="V16" i="15"/>
  <c r="T16" i="15"/>
  <c r="S16" i="15"/>
  <c r="R16" i="15"/>
  <c r="Q16" i="15"/>
  <c r="P16" i="15"/>
  <c r="N16" i="15"/>
  <c r="M16" i="15"/>
  <c r="L16" i="15"/>
  <c r="K16" i="15"/>
  <c r="I16" i="15"/>
  <c r="H16" i="15"/>
  <c r="G16" i="15"/>
  <c r="F16" i="15"/>
  <c r="D16" i="15"/>
  <c r="C16" i="15"/>
  <c r="B16" i="15"/>
  <c r="W15" i="15"/>
  <c r="V15" i="15"/>
  <c r="T15" i="15"/>
  <c r="S15" i="15"/>
  <c r="R15" i="15"/>
  <c r="Q15" i="15"/>
  <c r="P15" i="15"/>
  <c r="N15" i="15"/>
  <c r="M15" i="15"/>
  <c r="L15" i="15"/>
  <c r="K15" i="15"/>
  <c r="I15" i="15"/>
  <c r="H15" i="15"/>
  <c r="G15" i="15"/>
  <c r="F15" i="15"/>
  <c r="D15" i="15"/>
  <c r="C15" i="15"/>
  <c r="B15" i="15"/>
  <c r="W14" i="15"/>
  <c r="T14" i="15"/>
  <c r="I14" i="15"/>
  <c r="H14" i="15"/>
  <c r="G14" i="15"/>
  <c r="F14" i="15"/>
  <c r="C14" i="15"/>
  <c r="B14" i="15"/>
  <c r="B13" i="15"/>
  <c r="B12" i="15"/>
  <c r="B11" i="15"/>
  <c r="B10" i="15"/>
  <c r="F213" i="14"/>
  <c r="F204" i="14"/>
  <c r="F195" i="14"/>
  <c r="F180" i="14"/>
  <c r="F128" i="14"/>
  <c r="F130" i="14" s="1"/>
  <c r="F145" i="14" s="1"/>
  <c r="F95" i="14"/>
  <c r="F97" i="14" s="1"/>
  <c r="F99" i="14" s="1"/>
  <c r="F101" i="14" s="1"/>
  <c r="F61" i="14"/>
  <c r="F63" i="14" s="1"/>
  <c r="F65" i="14" s="1"/>
  <c r="F67" i="14" s="1"/>
  <c r="E204" i="14"/>
  <c r="E195" i="14"/>
  <c r="E128" i="14"/>
  <c r="E130" i="14" s="1"/>
  <c r="E132" i="14" s="1"/>
  <c r="E134" i="14" s="1"/>
  <c r="E136" i="14" s="1"/>
  <c r="E95" i="14"/>
  <c r="E97" i="14" s="1"/>
  <c r="E99" i="14" s="1"/>
  <c r="E101" i="14" s="1"/>
  <c r="E103" i="14" s="1"/>
  <c r="E61" i="14"/>
  <c r="E63" i="14" s="1"/>
  <c r="E65" i="14" s="1"/>
  <c r="E67" i="14" s="1"/>
  <c r="L234" i="14"/>
  <c r="K234" i="14"/>
  <c r="J234" i="14"/>
  <c r="I234" i="14"/>
  <c r="H234" i="14"/>
  <c r="G234" i="14"/>
  <c r="F234" i="14"/>
  <c r="E234" i="14"/>
  <c r="D234" i="14"/>
  <c r="C234" i="14"/>
  <c r="D180" i="14"/>
  <c r="D128" i="14"/>
  <c r="D130" i="14" s="1"/>
  <c r="D132" i="14" s="1"/>
  <c r="D134" i="14" s="1"/>
  <c r="D136" i="14" s="1"/>
  <c r="D95" i="14"/>
  <c r="D97" i="14" s="1"/>
  <c r="D99" i="14" s="1"/>
  <c r="D101" i="14" s="1"/>
  <c r="D61" i="14"/>
  <c r="D63" i="14" s="1"/>
  <c r="D65" i="14" s="1"/>
  <c r="D67" i="14" s="1"/>
  <c r="D69" i="14" s="1"/>
  <c r="F112" i="14" l="1"/>
  <c r="F132" i="14"/>
  <c r="F134" i="14" s="1"/>
  <c r="C220" i="14"/>
  <c r="C228" i="14" s="1"/>
  <c r="C235" i="14" s="1"/>
  <c r="C128" i="14"/>
  <c r="C130" i="14" s="1"/>
  <c r="C132" i="14" s="1"/>
  <c r="C134" i="14" s="1"/>
  <c r="C136" i="14" s="1"/>
  <c r="C95" i="14"/>
  <c r="C97" i="14" s="1"/>
  <c r="C61" i="14"/>
  <c r="C63" i="14" s="1"/>
  <c r="C65" i="14" s="1"/>
  <c r="C67" i="14" s="1"/>
  <c r="C69" i="14" s="1"/>
  <c r="C31" i="14"/>
  <c r="C99" i="14" l="1"/>
  <c r="C101" i="14" s="1"/>
  <c r="C180" i="14"/>
  <c r="F12" i="14" l="1"/>
  <c r="D168" i="14"/>
  <c r="E168" i="14"/>
  <c r="F168" i="14"/>
  <c r="G168" i="14"/>
  <c r="H168" i="14"/>
  <c r="I168" i="14"/>
  <c r="J168" i="14"/>
  <c r="K168" i="14"/>
  <c r="L168" i="14"/>
  <c r="C168" i="14"/>
  <c r="C160" i="14"/>
  <c r="D160" i="14"/>
  <c r="E160" i="14"/>
  <c r="F160" i="14"/>
  <c r="G160" i="14"/>
  <c r="H160" i="14"/>
  <c r="I160" i="14"/>
  <c r="J160" i="14"/>
  <c r="K160" i="14"/>
  <c r="L160" i="14"/>
  <c r="L149" i="14"/>
  <c r="K149" i="14"/>
  <c r="J149" i="14"/>
  <c r="I149" i="14"/>
  <c r="H149" i="14"/>
  <c r="G149" i="14"/>
  <c r="F149" i="14"/>
  <c r="E149" i="14"/>
  <c r="D149" i="14"/>
  <c r="C149" i="14"/>
  <c r="L128" i="14"/>
  <c r="L130" i="14" s="1"/>
  <c r="K128" i="14"/>
  <c r="K130" i="14" s="1"/>
  <c r="J128" i="14"/>
  <c r="J130" i="14" s="1"/>
  <c r="I128" i="14"/>
  <c r="I130" i="14" s="1"/>
  <c r="H128" i="14"/>
  <c r="H130" i="14" s="1"/>
  <c r="G128" i="14"/>
  <c r="G130" i="14" s="1"/>
  <c r="L116" i="14"/>
  <c r="K116" i="14"/>
  <c r="J116" i="14"/>
  <c r="I116" i="14"/>
  <c r="H116" i="14"/>
  <c r="G116" i="14"/>
  <c r="F116" i="14"/>
  <c r="E116" i="14"/>
  <c r="D116" i="14"/>
  <c r="C116" i="14"/>
  <c r="L82" i="14"/>
  <c r="K82" i="14"/>
  <c r="J82" i="14"/>
  <c r="I82" i="14"/>
  <c r="H82" i="14"/>
  <c r="G82" i="14"/>
  <c r="F82" i="14"/>
  <c r="E82" i="14"/>
  <c r="D82" i="14"/>
  <c r="C82" i="14"/>
  <c r="L132" i="14" l="1"/>
  <c r="L145" i="14"/>
  <c r="L147" i="14" s="1"/>
  <c r="C145" i="14"/>
  <c r="C147" i="14" s="1"/>
  <c r="G132" i="14"/>
  <c r="G145" i="14"/>
  <c r="G147" i="14" s="1"/>
  <c r="K132" i="14"/>
  <c r="K145" i="14"/>
  <c r="K147" i="14" s="1"/>
  <c r="D145" i="14"/>
  <c r="D147" i="14" s="1"/>
  <c r="E145" i="14"/>
  <c r="E147" i="14" s="1"/>
  <c r="I145" i="14"/>
  <c r="I147" i="14" s="1"/>
  <c r="I132" i="14"/>
  <c r="H132" i="14"/>
  <c r="H145" i="14"/>
  <c r="H147" i="14" s="1"/>
  <c r="F147" i="14"/>
  <c r="J145" i="14"/>
  <c r="J147" i="14" s="1"/>
  <c r="J132" i="14"/>
  <c r="G148" i="14" l="1"/>
  <c r="G150" i="14" s="1"/>
  <c r="G155" i="14" s="1"/>
  <c r="G134" i="14"/>
  <c r="F148" i="14"/>
  <c r="F150" i="14" s="1"/>
  <c r="F155" i="14" s="1"/>
  <c r="H148" i="14"/>
  <c r="H150" i="14" s="1"/>
  <c r="H155" i="14" s="1"/>
  <c r="H134" i="14"/>
  <c r="K148" i="14"/>
  <c r="K150" i="14" s="1"/>
  <c r="K155" i="14" s="1"/>
  <c r="K134" i="14"/>
  <c r="J148" i="14"/>
  <c r="J150" i="14" s="1"/>
  <c r="J155" i="14" s="1"/>
  <c r="J134" i="14"/>
  <c r="E148" i="14"/>
  <c r="D148" i="14"/>
  <c r="D155" i="14" s="1"/>
  <c r="L148" i="14"/>
  <c r="L150" i="14" s="1"/>
  <c r="L155" i="14" s="1"/>
  <c r="L134" i="14"/>
  <c r="I148" i="14"/>
  <c r="I150" i="14" s="1"/>
  <c r="I155" i="14" s="1"/>
  <c r="I134" i="14"/>
  <c r="C148" i="14"/>
  <c r="C150" i="14" l="1"/>
  <c r="C155" i="14" s="1"/>
  <c r="E150" i="14"/>
  <c r="E155" i="14" s="1"/>
  <c r="D49" i="14"/>
  <c r="E49" i="14"/>
  <c r="F49" i="14"/>
  <c r="G49" i="14"/>
  <c r="H49" i="14"/>
  <c r="I49" i="14"/>
  <c r="J49" i="14"/>
  <c r="K49" i="14"/>
  <c r="L49" i="14"/>
  <c r="C49" i="14"/>
  <c r="A6" i="17" l="1"/>
  <c r="L180" i="14" l="1"/>
  <c r="L182" i="14" s="1"/>
  <c r="K180" i="14"/>
  <c r="K182" i="14" s="1"/>
  <c r="J180" i="14"/>
  <c r="J182" i="14" s="1"/>
  <c r="I180" i="14"/>
  <c r="I182" i="14" s="1"/>
  <c r="H180" i="14"/>
  <c r="H182" i="14" s="1"/>
  <c r="V14" i="15" s="1"/>
  <c r="G180" i="14"/>
  <c r="G182" i="14" s="1"/>
  <c r="L175" i="14" l="1"/>
  <c r="K175" i="14"/>
  <c r="J175" i="14"/>
  <c r="I175" i="14"/>
  <c r="H175" i="14"/>
  <c r="G175" i="14"/>
  <c r="F175" i="14"/>
  <c r="E175" i="14"/>
  <c r="D175" i="14"/>
  <c r="C175" i="14"/>
  <c r="L159" i="14"/>
  <c r="K159" i="14"/>
  <c r="J159" i="14"/>
  <c r="I159" i="14"/>
  <c r="H159" i="14"/>
  <c r="G159" i="14"/>
  <c r="F159" i="14"/>
  <c r="E159" i="14"/>
  <c r="D159" i="14"/>
  <c r="C159" i="14"/>
  <c r="L227" i="14"/>
  <c r="K227" i="14"/>
  <c r="J227" i="14"/>
  <c r="I227" i="14"/>
  <c r="H227" i="14"/>
  <c r="G227" i="14"/>
  <c r="F227" i="14"/>
  <c r="E227" i="14"/>
  <c r="D227" i="14"/>
  <c r="C227" i="14"/>
  <c r="L204" i="14"/>
  <c r="K204" i="14"/>
  <c r="J204" i="14"/>
  <c r="I204" i="14"/>
  <c r="D204" i="14"/>
  <c r="C204" i="14"/>
  <c r="D167" i="14"/>
  <c r="D188" i="14" s="1"/>
  <c r="L218" i="14"/>
  <c r="K218" i="14"/>
  <c r="J218" i="14"/>
  <c r="I218" i="14"/>
  <c r="H218" i="14"/>
  <c r="G218" i="14"/>
  <c r="F218" i="14"/>
  <c r="E218" i="14"/>
  <c r="D218" i="14"/>
  <c r="C218" i="14"/>
  <c r="D197" i="14" l="1"/>
  <c r="D206" i="14" s="1"/>
  <c r="B32" i="15" l="1"/>
  <c r="B24" i="15"/>
  <c r="B23" i="15" l="1"/>
  <c r="C39" i="15"/>
  <c r="A11" i="17" s="1"/>
  <c r="B30" i="15"/>
  <c r="B26" i="15"/>
  <c r="B28" i="15"/>
  <c r="B25" i="15"/>
  <c r="B29" i="15"/>
  <c r="B27" i="15"/>
  <c r="B31" i="15"/>
  <c r="L12" i="14"/>
  <c r="L220" i="14" s="1"/>
  <c r="L228" i="14" s="1"/>
  <c r="L235" i="14" s="1"/>
  <c r="K12" i="14"/>
  <c r="K220" i="14" s="1"/>
  <c r="K228" i="14" s="1"/>
  <c r="K235" i="14" s="1"/>
  <c r="J12" i="14"/>
  <c r="J220" i="14" s="1"/>
  <c r="J228" i="14" s="1"/>
  <c r="J235" i="14" s="1"/>
  <c r="I12" i="14"/>
  <c r="I220" i="14" s="1"/>
  <c r="I228" i="14" s="1"/>
  <c r="I235" i="14" s="1"/>
  <c r="H12" i="14"/>
  <c r="H220" i="14" s="1"/>
  <c r="H228" i="14" s="1"/>
  <c r="H235" i="14" s="1"/>
  <c r="G12" i="14"/>
  <c r="G220" i="14" s="1"/>
  <c r="G228" i="14" s="1"/>
  <c r="G235" i="14" s="1"/>
  <c r="F220" i="14"/>
  <c r="F228" i="14" s="1"/>
  <c r="F235" i="14" s="1"/>
  <c r="E220" i="14"/>
  <c r="E228" i="14" s="1"/>
  <c r="E235" i="14" s="1"/>
  <c r="D12" i="14"/>
  <c r="D220" i="14" s="1"/>
  <c r="D228" i="14" s="1"/>
  <c r="D235" i="14" s="1"/>
  <c r="C38" i="15" l="1"/>
  <c r="D221" i="14"/>
  <c r="D222" i="14"/>
  <c r="D223" i="14" s="1"/>
  <c r="D91" i="14"/>
  <c r="E91" i="14"/>
  <c r="F91" i="14"/>
  <c r="G91" i="14"/>
  <c r="H91" i="14"/>
  <c r="I91" i="14"/>
  <c r="J91" i="14"/>
  <c r="K91" i="14"/>
  <c r="L91" i="14"/>
  <c r="C91" i="14"/>
  <c r="D92" i="14"/>
  <c r="E92" i="14"/>
  <c r="F92" i="14"/>
  <c r="G92" i="14"/>
  <c r="H92" i="14"/>
  <c r="I92" i="14"/>
  <c r="J92" i="14"/>
  <c r="K92" i="14"/>
  <c r="L92" i="14"/>
  <c r="C92" i="14"/>
  <c r="L125" i="14"/>
  <c r="K125" i="14"/>
  <c r="J125" i="14"/>
  <c r="I125" i="14"/>
  <c r="H125" i="14"/>
  <c r="G125" i="14"/>
  <c r="F125" i="14"/>
  <c r="E125" i="14"/>
  <c r="D125" i="14"/>
  <c r="C125" i="14"/>
  <c r="C58" i="14"/>
  <c r="D58" i="14"/>
  <c r="E58" i="14"/>
  <c r="F58" i="14"/>
  <c r="G58" i="14"/>
  <c r="H58" i="14"/>
  <c r="I58" i="14"/>
  <c r="J58" i="14"/>
  <c r="K58" i="14"/>
  <c r="L58" i="14"/>
  <c r="D224" i="14" l="1"/>
  <c r="D225" i="14" s="1"/>
  <c r="D31" i="14"/>
  <c r="E31" i="14"/>
  <c r="F31" i="14"/>
  <c r="G31" i="14"/>
  <c r="H31" i="14"/>
  <c r="I31" i="14"/>
  <c r="J31" i="14"/>
  <c r="K31" i="14"/>
  <c r="L31" i="14"/>
  <c r="D48" i="14"/>
  <c r="D50" i="14" s="1"/>
  <c r="E48" i="14"/>
  <c r="E50" i="14" s="1"/>
  <c r="F48" i="14"/>
  <c r="F50" i="14" s="1"/>
  <c r="G48" i="14"/>
  <c r="G50" i="14" s="1"/>
  <c r="H48" i="14"/>
  <c r="H50" i="14" s="1"/>
  <c r="I48" i="14"/>
  <c r="I50" i="14" s="1"/>
  <c r="J48" i="14"/>
  <c r="J50" i="14" s="1"/>
  <c r="K48" i="14"/>
  <c r="K50" i="14" s="1"/>
  <c r="L48" i="14"/>
  <c r="L50" i="14" s="1"/>
  <c r="C48" i="14"/>
  <c r="C50" i="14" s="1"/>
  <c r="A34" i="14"/>
  <c r="A35" i="14" s="1"/>
  <c r="A36" i="14" s="1"/>
  <c r="A37" i="14" s="1"/>
  <c r="A38" i="14" s="1"/>
  <c r="A39" i="14" s="1"/>
  <c r="A40" i="14" s="1"/>
  <c r="A41" i="14" s="1"/>
  <c r="A42" i="14" s="1"/>
  <c r="A43" i="14" s="1"/>
  <c r="A44" i="14" s="1"/>
  <c r="A45" i="14" s="1"/>
  <c r="A46" i="14" s="1"/>
  <c r="A18" i="14"/>
  <c r="A19" i="14" l="1"/>
  <c r="A20" i="14" s="1"/>
  <c r="D229" i="14"/>
  <c r="D236" i="14"/>
  <c r="D237" i="14"/>
  <c r="D238" i="14"/>
  <c r="D239" i="14"/>
  <c r="L53" i="14"/>
  <c r="H53" i="14"/>
  <c r="K53" i="14"/>
  <c r="G53" i="14"/>
  <c r="J53" i="14"/>
  <c r="F53" i="14"/>
  <c r="I53" i="14"/>
  <c r="E53" i="14"/>
  <c r="D53" i="14"/>
  <c r="C53" i="14"/>
  <c r="A21" i="14" l="1"/>
  <c r="C112" i="14" l="1"/>
  <c r="C114" i="14" s="1"/>
  <c r="A22" i="14"/>
  <c r="C115" i="14" l="1"/>
  <c r="C122" i="14" s="1"/>
  <c r="A23" i="14"/>
  <c r="G246" i="14"/>
  <c r="H246" i="14"/>
  <c r="I247" i="14"/>
  <c r="I250" i="14" s="1"/>
  <c r="J247" i="14"/>
  <c r="J250" i="14" s="1"/>
  <c r="K246" i="14"/>
  <c r="L246" i="14"/>
  <c r="G57" i="14"/>
  <c r="H57" i="14"/>
  <c r="I57" i="14"/>
  <c r="J57" i="14"/>
  <c r="K57" i="14"/>
  <c r="L57" i="14"/>
  <c r="G61" i="14"/>
  <c r="G63" i="14" s="1"/>
  <c r="G78" i="14" s="1"/>
  <c r="H61" i="14"/>
  <c r="H63" i="14" s="1"/>
  <c r="H78" i="14" s="1"/>
  <c r="I61" i="14"/>
  <c r="I63" i="14" s="1"/>
  <c r="I78" i="14" s="1"/>
  <c r="J61" i="14"/>
  <c r="J63" i="14" s="1"/>
  <c r="J78" i="14" s="1"/>
  <c r="K61" i="14"/>
  <c r="K63" i="14" s="1"/>
  <c r="K78" i="14" s="1"/>
  <c r="L61" i="14"/>
  <c r="L63" i="14" s="1"/>
  <c r="L78" i="14" s="1"/>
  <c r="G90" i="14"/>
  <c r="H90" i="14"/>
  <c r="I90" i="14"/>
  <c r="J90" i="14"/>
  <c r="K90" i="14"/>
  <c r="L90" i="14"/>
  <c r="G95" i="14"/>
  <c r="G97" i="14" s="1"/>
  <c r="H95" i="14"/>
  <c r="H97" i="14" s="1"/>
  <c r="I95" i="14"/>
  <c r="I97" i="14" s="1"/>
  <c r="J95" i="14"/>
  <c r="J97" i="14" s="1"/>
  <c r="K95" i="14"/>
  <c r="K97" i="14" s="1"/>
  <c r="L95" i="14"/>
  <c r="L97" i="14" s="1"/>
  <c r="G124" i="14"/>
  <c r="H124" i="14"/>
  <c r="I124" i="14"/>
  <c r="J124" i="14"/>
  <c r="K124" i="14"/>
  <c r="L124" i="14"/>
  <c r="G157" i="14"/>
  <c r="H157" i="14"/>
  <c r="I157" i="14"/>
  <c r="J157" i="14"/>
  <c r="K157" i="14"/>
  <c r="L157" i="14"/>
  <c r="G165" i="14"/>
  <c r="H165" i="14"/>
  <c r="I165" i="14"/>
  <c r="J165" i="14"/>
  <c r="K165" i="14"/>
  <c r="L165" i="14"/>
  <c r="G167" i="14"/>
  <c r="G188" i="14" s="1"/>
  <c r="G197" i="14" s="1"/>
  <c r="G206" i="14" s="1"/>
  <c r="H167" i="14"/>
  <c r="H188" i="14" s="1"/>
  <c r="H197" i="14" s="1"/>
  <c r="H206" i="14" s="1"/>
  <c r="I167" i="14"/>
  <c r="I188" i="14" s="1"/>
  <c r="J167" i="14"/>
  <c r="J188" i="14" s="1"/>
  <c r="K167" i="14"/>
  <c r="K188" i="14" s="1"/>
  <c r="L167" i="14"/>
  <c r="L188" i="14" s="1"/>
  <c r="G186" i="14"/>
  <c r="H186" i="14"/>
  <c r="I186" i="14"/>
  <c r="J186" i="14"/>
  <c r="K186" i="14"/>
  <c r="L186" i="14"/>
  <c r="I195" i="14"/>
  <c r="J195" i="14"/>
  <c r="K195" i="14"/>
  <c r="L195" i="14"/>
  <c r="I213" i="14"/>
  <c r="J213" i="14"/>
  <c r="K213" i="14"/>
  <c r="L213" i="14"/>
  <c r="G243" i="14"/>
  <c r="H243" i="14"/>
  <c r="I243" i="14"/>
  <c r="J243" i="14"/>
  <c r="K243" i="14"/>
  <c r="L243" i="14"/>
  <c r="G245" i="14"/>
  <c r="H245" i="14"/>
  <c r="I245" i="14"/>
  <c r="J245" i="14"/>
  <c r="K245" i="14"/>
  <c r="L245" i="14"/>
  <c r="G247" i="14"/>
  <c r="G249" i="14"/>
  <c r="H249" i="14"/>
  <c r="I249" i="14"/>
  <c r="J249" i="14"/>
  <c r="K249" i="14"/>
  <c r="L249" i="14"/>
  <c r="G252" i="14"/>
  <c r="H252" i="14"/>
  <c r="I252" i="14"/>
  <c r="J252" i="14"/>
  <c r="K252" i="14"/>
  <c r="L252" i="14"/>
  <c r="F252" i="14"/>
  <c r="E252" i="14"/>
  <c r="D252" i="14"/>
  <c r="C252" i="14"/>
  <c r="F243" i="14"/>
  <c r="E243" i="14"/>
  <c r="D243" i="14"/>
  <c r="C243" i="14"/>
  <c r="E213" i="14"/>
  <c r="D213" i="14"/>
  <c r="C213" i="14"/>
  <c r="D195" i="14"/>
  <c r="C195" i="14"/>
  <c r="F186" i="14"/>
  <c r="E186" i="14"/>
  <c r="D186" i="14"/>
  <c r="C186" i="14"/>
  <c r="F165" i="14"/>
  <c r="E165" i="14"/>
  <c r="D165" i="14"/>
  <c r="C165" i="14"/>
  <c r="F157" i="14"/>
  <c r="E157" i="14"/>
  <c r="D157" i="14"/>
  <c r="C157" i="14"/>
  <c r="F124" i="14"/>
  <c r="E124" i="14"/>
  <c r="D124" i="14"/>
  <c r="C124" i="14"/>
  <c r="F90" i="14"/>
  <c r="E90" i="14"/>
  <c r="D90" i="14"/>
  <c r="C90" i="14"/>
  <c r="F57" i="14"/>
  <c r="E57" i="14"/>
  <c r="D57" i="14"/>
  <c r="C57" i="14"/>
  <c r="F245" i="14"/>
  <c r="D245" i="14"/>
  <c r="E245" i="14"/>
  <c r="C245" i="14"/>
  <c r="C167" i="14"/>
  <c r="C188" i="14" s="1"/>
  <c r="E180" i="14"/>
  <c r="D246" i="14"/>
  <c r="E246" i="14"/>
  <c r="F246" i="14"/>
  <c r="C246" i="14"/>
  <c r="F167" i="14"/>
  <c r="F188" i="14" s="1"/>
  <c r="F197" i="14" s="1"/>
  <c r="F206" i="14" s="1"/>
  <c r="E167" i="14"/>
  <c r="E188" i="14" s="1"/>
  <c r="E197" i="14" s="1"/>
  <c r="E206" i="14" s="1"/>
  <c r="G250" i="14" l="1"/>
  <c r="G255" i="14" s="1"/>
  <c r="C221" i="14"/>
  <c r="C222" i="14"/>
  <c r="C223" i="14" s="1"/>
  <c r="G80" i="14"/>
  <c r="G170" i="14"/>
  <c r="J80" i="14"/>
  <c r="J170" i="14"/>
  <c r="K80" i="14"/>
  <c r="K170" i="14"/>
  <c r="I80" i="14"/>
  <c r="I170" i="14"/>
  <c r="L80" i="14"/>
  <c r="L170" i="14"/>
  <c r="H80" i="14"/>
  <c r="H170" i="14"/>
  <c r="K112" i="14"/>
  <c r="K114" i="14" s="1"/>
  <c r="G112" i="14"/>
  <c r="G114" i="14" s="1"/>
  <c r="I112" i="14"/>
  <c r="I114" i="14" s="1"/>
  <c r="J112" i="14"/>
  <c r="J114" i="14" s="1"/>
  <c r="L112" i="14"/>
  <c r="L114" i="14" s="1"/>
  <c r="H112" i="14"/>
  <c r="H114" i="14" s="1"/>
  <c r="C81" i="14"/>
  <c r="C83" i="14" s="1"/>
  <c r="C78" i="14"/>
  <c r="C197" i="14"/>
  <c r="C206" i="14" s="1"/>
  <c r="L197" i="14"/>
  <c r="L206" i="14" s="1"/>
  <c r="L222" i="14"/>
  <c r="L223" i="14" s="1"/>
  <c r="L221" i="14"/>
  <c r="F221" i="14"/>
  <c r="F222" i="14"/>
  <c r="F223" i="14" s="1"/>
  <c r="K197" i="14"/>
  <c r="K206" i="14" s="1"/>
  <c r="K222" i="14"/>
  <c r="K223" i="14" s="1"/>
  <c r="K221" i="14"/>
  <c r="J197" i="14"/>
  <c r="J206" i="14" s="1"/>
  <c r="J221" i="14"/>
  <c r="J222" i="14"/>
  <c r="J223" i="14" s="1"/>
  <c r="E222" i="14"/>
  <c r="E223" i="14" s="1"/>
  <c r="E221" i="14"/>
  <c r="H222" i="14"/>
  <c r="H223" i="14" s="1"/>
  <c r="H221" i="14"/>
  <c r="G221" i="14"/>
  <c r="G224" i="14" s="1"/>
  <c r="G222" i="14"/>
  <c r="G223" i="14" s="1"/>
  <c r="I197" i="14"/>
  <c r="I206" i="14" s="1"/>
  <c r="I222" i="14"/>
  <c r="I223" i="14" s="1"/>
  <c r="I221" i="14"/>
  <c r="A24" i="14"/>
  <c r="J246" i="14"/>
  <c r="K247" i="14"/>
  <c r="K250" i="14" s="1"/>
  <c r="I65" i="14"/>
  <c r="I81" i="14" s="1"/>
  <c r="I83" i="14" s="1"/>
  <c r="I88" i="14" s="1"/>
  <c r="L99" i="14"/>
  <c r="J99" i="14"/>
  <c r="J65" i="14"/>
  <c r="J81" i="14" s="1"/>
  <c r="J83" i="14" s="1"/>
  <c r="J88" i="14" s="1"/>
  <c r="I99" i="14"/>
  <c r="F78" i="14"/>
  <c r="H247" i="14"/>
  <c r="H250" i="14" s="1"/>
  <c r="D14" i="15" s="1"/>
  <c r="I246" i="14"/>
  <c r="L65" i="14"/>
  <c r="L81" i="14" s="1"/>
  <c r="L83" i="14" s="1"/>
  <c r="L88" i="14" s="1"/>
  <c r="H65" i="14"/>
  <c r="H81" i="14" s="1"/>
  <c r="H83" i="14" s="1"/>
  <c r="H88" i="14" s="1"/>
  <c r="L247" i="14"/>
  <c r="L250" i="14" s="1"/>
  <c r="J255" i="14"/>
  <c r="I255" i="14"/>
  <c r="H99" i="14"/>
  <c r="K99" i="14"/>
  <c r="G99" i="14"/>
  <c r="K65" i="14"/>
  <c r="K81" i="14" s="1"/>
  <c r="K83" i="14" s="1"/>
  <c r="K88" i="14" s="1"/>
  <c r="G65" i="14"/>
  <c r="G81" i="14" s="1"/>
  <c r="G83" i="14" s="1"/>
  <c r="G88" i="14" s="1"/>
  <c r="F182" i="14"/>
  <c r="D182" i="14"/>
  <c r="E182" i="14"/>
  <c r="E78" i="14"/>
  <c r="D78" i="14"/>
  <c r="F224" i="14" l="1"/>
  <c r="F225" i="14" s="1"/>
  <c r="F238" i="14" s="1"/>
  <c r="H224" i="14"/>
  <c r="H225" i="14" s="1"/>
  <c r="L224" i="14"/>
  <c r="L225" i="14" s="1"/>
  <c r="F249" i="14"/>
  <c r="E249" i="14"/>
  <c r="D249" i="14"/>
  <c r="J224" i="14"/>
  <c r="J225" i="14" s="1"/>
  <c r="L238" i="14"/>
  <c r="I224" i="14"/>
  <c r="I225" i="14" s="1"/>
  <c r="K224" i="14"/>
  <c r="H238" i="14"/>
  <c r="R14" i="15" s="1"/>
  <c r="H239" i="14"/>
  <c r="S14" i="15" s="1"/>
  <c r="H237" i="14"/>
  <c r="Q14" i="15" s="1"/>
  <c r="G225" i="14"/>
  <c r="G237" i="14" s="1"/>
  <c r="E224" i="14"/>
  <c r="E225" i="14" s="1"/>
  <c r="E236" i="14" s="1"/>
  <c r="C224" i="14"/>
  <c r="C225" i="14" s="1"/>
  <c r="C249" i="14"/>
  <c r="K162" i="14"/>
  <c r="K257" i="14" s="1"/>
  <c r="K171" i="14"/>
  <c r="H171" i="14"/>
  <c r="F80" i="14"/>
  <c r="F170" i="14"/>
  <c r="I162" i="14"/>
  <c r="I257" i="14" s="1"/>
  <c r="K169" i="14"/>
  <c r="K161" i="14"/>
  <c r="E80" i="14"/>
  <c r="E170" i="14"/>
  <c r="L171" i="14"/>
  <c r="I171" i="14"/>
  <c r="C80" i="14"/>
  <c r="C170" i="14"/>
  <c r="C162" i="14"/>
  <c r="L162" i="14"/>
  <c r="L257" i="14" s="1"/>
  <c r="I161" i="14"/>
  <c r="I256" i="14" s="1"/>
  <c r="I169" i="14"/>
  <c r="J162" i="14"/>
  <c r="J257" i="14" s="1"/>
  <c r="G162" i="14"/>
  <c r="G171" i="14"/>
  <c r="H169" i="14"/>
  <c r="H230" i="14" s="1"/>
  <c r="L14" i="15" s="1"/>
  <c r="H161" i="14"/>
  <c r="H256" i="14" s="1"/>
  <c r="J169" i="14"/>
  <c r="J161" i="14"/>
  <c r="J256" i="14" s="1"/>
  <c r="J171" i="14"/>
  <c r="J232" i="14" s="1"/>
  <c r="H162" i="14"/>
  <c r="H257" i="14" s="1"/>
  <c r="L169" i="14"/>
  <c r="L161" i="14"/>
  <c r="L256" i="14" s="1"/>
  <c r="G169" i="14"/>
  <c r="G161" i="14"/>
  <c r="D80" i="14"/>
  <c r="D170" i="14"/>
  <c r="D231" i="14" s="1"/>
  <c r="E112" i="14"/>
  <c r="D112" i="14"/>
  <c r="D114" i="14" s="1"/>
  <c r="K101" i="14"/>
  <c r="K115" i="14"/>
  <c r="K117" i="14" s="1"/>
  <c r="K122" i="14" s="1"/>
  <c r="K163" i="14" s="1"/>
  <c r="H101" i="14"/>
  <c r="H115" i="14"/>
  <c r="H117" i="14" s="1"/>
  <c r="H122" i="14" s="1"/>
  <c r="H163" i="14" s="1"/>
  <c r="I101" i="14"/>
  <c r="I115" i="14"/>
  <c r="I117" i="14" s="1"/>
  <c r="I122" i="14" s="1"/>
  <c r="I163" i="14" s="1"/>
  <c r="L101" i="14"/>
  <c r="L115" i="14"/>
  <c r="L117" i="14" s="1"/>
  <c r="L122" i="14" s="1"/>
  <c r="L163" i="14" s="1"/>
  <c r="F114" i="14"/>
  <c r="G101" i="14"/>
  <c r="G115" i="14"/>
  <c r="G117" i="14" s="1"/>
  <c r="G122" i="14" s="1"/>
  <c r="G163" i="14" s="1"/>
  <c r="J101" i="14"/>
  <c r="J115" i="14"/>
  <c r="J117" i="14" s="1"/>
  <c r="J122" i="14" s="1"/>
  <c r="J163" i="14" s="1"/>
  <c r="C88" i="14"/>
  <c r="J67" i="14"/>
  <c r="K67" i="14"/>
  <c r="H67" i="14"/>
  <c r="I67" i="14"/>
  <c r="G67" i="14"/>
  <c r="L67" i="14"/>
  <c r="A25" i="14"/>
  <c r="K255" i="14"/>
  <c r="H255" i="14"/>
  <c r="L255" i="14"/>
  <c r="K256" i="14"/>
  <c r="D81" i="14"/>
  <c r="D88" i="14" s="1"/>
  <c r="D115" i="14"/>
  <c r="D122" i="14" s="1"/>
  <c r="F81" i="14"/>
  <c r="F83" i="14" s="1"/>
  <c r="F88" i="14" s="1"/>
  <c r="E81" i="14"/>
  <c r="E88" i="14" s="1"/>
  <c r="C247" i="14"/>
  <c r="E247" i="14"/>
  <c r="F247" i="14"/>
  <c r="D247" i="14"/>
  <c r="J238" i="14" l="1"/>
  <c r="F231" i="14"/>
  <c r="F236" i="14"/>
  <c r="F239" i="14"/>
  <c r="F268" i="14" s="1"/>
  <c r="F229" i="14"/>
  <c r="J229" i="14"/>
  <c r="J239" i="14"/>
  <c r="J268" i="14" s="1"/>
  <c r="L239" i="14"/>
  <c r="L268" i="14" s="1"/>
  <c r="L230" i="14"/>
  <c r="J230" i="14"/>
  <c r="F237" i="14"/>
  <c r="H231" i="14"/>
  <c r="M14" i="15" s="1"/>
  <c r="J236" i="14"/>
  <c r="L236" i="14"/>
  <c r="L229" i="14"/>
  <c r="L260" i="14" s="1"/>
  <c r="J231" i="14"/>
  <c r="J262" i="14" s="1"/>
  <c r="L232" i="14"/>
  <c r="L263" i="14" s="1"/>
  <c r="L270" i="14" s="1"/>
  <c r="H232" i="14"/>
  <c r="N14" i="15" s="1"/>
  <c r="H229" i="14"/>
  <c r="K14" i="15" s="1"/>
  <c r="H236" i="14"/>
  <c r="P14" i="15" s="1"/>
  <c r="J237" i="14"/>
  <c r="J266" i="14" s="1"/>
  <c r="L237" i="14"/>
  <c r="L231" i="14"/>
  <c r="L262" i="14" s="1"/>
  <c r="I229" i="14"/>
  <c r="I260" i="14" s="1"/>
  <c r="I236" i="14"/>
  <c r="I265" i="14" s="1"/>
  <c r="G256" i="14"/>
  <c r="G257" i="14"/>
  <c r="G232" i="14"/>
  <c r="G263" i="14" s="1"/>
  <c r="K225" i="14"/>
  <c r="K237" i="14" s="1"/>
  <c r="K266" i="14" s="1"/>
  <c r="I238" i="14"/>
  <c r="I267" i="14" s="1"/>
  <c r="I232" i="14"/>
  <c r="I263" i="14" s="1"/>
  <c r="I270" i="14" s="1"/>
  <c r="I237" i="14"/>
  <c r="I266" i="14" s="1"/>
  <c r="I230" i="14"/>
  <c r="G236" i="14"/>
  <c r="G265" i="14" s="1"/>
  <c r="I231" i="14"/>
  <c r="I262" i="14" s="1"/>
  <c r="I239" i="14"/>
  <c r="C236" i="14"/>
  <c r="C229" i="14"/>
  <c r="G230" i="14"/>
  <c r="E231" i="14"/>
  <c r="E239" i="14"/>
  <c r="E268" i="14" s="1"/>
  <c r="G238" i="14"/>
  <c r="C238" i="14"/>
  <c r="E237" i="14"/>
  <c r="G231" i="14"/>
  <c r="G239" i="14"/>
  <c r="C237" i="14"/>
  <c r="E229" i="14"/>
  <c r="G229" i="14"/>
  <c r="C231" i="14"/>
  <c r="C239" i="14"/>
  <c r="E238" i="14"/>
  <c r="D162" i="14"/>
  <c r="E171" i="14"/>
  <c r="E232" i="14" s="1"/>
  <c r="L258" i="14"/>
  <c r="E169" i="14"/>
  <c r="E230" i="14" s="1"/>
  <c r="E161" i="14"/>
  <c r="F162" i="14"/>
  <c r="F171" i="14"/>
  <c r="F232" i="14" s="1"/>
  <c r="G258" i="14"/>
  <c r="C161" i="14"/>
  <c r="C169" i="14"/>
  <c r="C230" i="14" s="1"/>
  <c r="E162" i="14"/>
  <c r="F169" i="14"/>
  <c r="F230" i="14" s="1"/>
  <c r="F161" i="14"/>
  <c r="C163" i="14"/>
  <c r="C171" i="14"/>
  <c r="C232" i="14" s="1"/>
  <c r="D163" i="14"/>
  <c r="D171" i="14"/>
  <c r="D232" i="14" s="1"/>
  <c r="D169" i="14"/>
  <c r="D230" i="14" s="1"/>
  <c r="D161" i="14"/>
  <c r="F115" i="14"/>
  <c r="F117" i="14" s="1"/>
  <c r="F122" i="14" s="1"/>
  <c r="F163" i="14" s="1"/>
  <c r="E115" i="14"/>
  <c r="E122" i="14" s="1"/>
  <c r="E163" i="14" s="1"/>
  <c r="K258" i="14"/>
  <c r="J258" i="14"/>
  <c r="H258" i="14"/>
  <c r="I258" i="14"/>
  <c r="I261" i="14"/>
  <c r="J265" i="14"/>
  <c r="H263" i="14"/>
  <c r="J263" i="14"/>
  <c r="J270" i="14" s="1"/>
  <c r="H261" i="14"/>
  <c r="L265" i="14"/>
  <c r="H267" i="14"/>
  <c r="H268" i="14"/>
  <c r="J260" i="14"/>
  <c r="G266" i="14"/>
  <c r="I268" i="14"/>
  <c r="J267" i="14"/>
  <c r="H266" i="14"/>
  <c r="L267" i="14"/>
  <c r="L261" i="14"/>
  <c r="J261" i="14"/>
  <c r="H265" i="14"/>
  <c r="L266" i="14"/>
  <c r="D268" i="14"/>
  <c r="A26" i="14"/>
  <c r="E250" i="14"/>
  <c r="C250" i="14"/>
  <c r="D250" i="14"/>
  <c r="F250" i="14"/>
  <c r="K231" i="14" l="1"/>
  <c r="K262" i="14" s="1"/>
  <c r="K238" i="14"/>
  <c r="K267" i="14" s="1"/>
  <c r="K229" i="14"/>
  <c r="K239" i="14"/>
  <c r="K268" i="14" s="1"/>
  <c r="H260" i="14"/>
  <c r="H262" i="14"/>
  <c r="K230" i="14"/>
  <c r="K261" i="14" s="1"/>
  <c r="K232" i="14"/>
  <c r="K263" i="14" s="1"/>
  <c r="K270" i="14" s="1"/>
  <c r="K236" i="14"/>
  <c r="K265" i="14" s="1"/>
  <c r="G268" i="14"/>
  <c r="C268" i="14"/>
  <c r="G260" i="14"/>
  <c r="G261" i="14"/>
  <c r="D255" i="14"/>
  <c r="G267" i="14"/>
  <c r="G262" i="14"/>
  <c r="G270" i="14"/>
  <c r="H270" i="14"/>
  <c r="K260" i="14"/>
  <c r="D263" i="14"/>
  <c r="D258" i="14"/>
  <c r="F266" i="14"/>
  <c r="F261" i="14"/>
  <c r="F265" i="14"/>
  <c r="F260" i="14"/>
  <c r="F262" i="14"/>
  <c r="F267" i="14"/>
  <c r="D267" i="14"/>
  <c r="D262" i="14"/>
  <c r="D266" i="14"/>
  <c r="D261" i="14"/>
  <c r="D265" i="14"/>
  <c r="D260" i="14"/>
  <c r="E267" i="14"/>
  <c r="E262" i="14"/>
  <c r="E266" i="14"/>
  <c r="E261" i="14"/>
  <c r="E265" i="14"/>
  <c r="E260" i="14"/>
  <c r="C267" i="14"/>
  <c r="C262" i="14"/>
  <c r="C265" i="14"/>
  <c r="C261" i="14"/>
  <c r="C260" i="14"/>
  <c r="C266" i="14"/>
  <c r="A27" i="14"/>
  <c r="E256" i="14"/>
  <c r="D257" i="14"/>
  <c r="C257" i="14"/>
  <c r="E257" i="14"/>
  <c r="F257" i="14"/>
  <c r="C256" i="14"/>
  <c r="D256" i="14"/>
  <c r="F256" i="14"/>
  <c r="F255" i="14"/>
  <c r="C255" i="14"/>
  <c r="E255" i="14"/>
  <c r="E263" i="14"/>
  <c r="F263" i="14"/>
  <c r="D270" i="14" l="1"/>
  <c r="F270" i="14"/>
  <c r="E270" i="14"/>
  <c r="C263" i="14"/>
  <c r="A28" i="14"/>
  <c r="C258" i="14"/>
  <c r="E258" i="14"/>
  <c r="F258" i="14"/>
  <c r="C270" i="14" l="1"/>
  <c r="A29" i="14"/>
  <c r="P9" i="15" l="1"/>
  <c r="L11" i="15"/>
  <c r="A30" i="14"/>
  <c r="T10" i="15" s="1"/>
  <c r="Q27" i="15" l="1"/>
  <c r="S10" i="15"/>
  <c r="R11" i="15"/>
  <c r="D10" i="15"/>
  <c r="T12" i="15"/>
  <c r="H11" i="15"/>
  <c r="K9" i="15"/>
  <c r="M12" i="15"/>
  <c r="R27" i="15"/>
  <c r="H24" i="15"/>
  <c r="N26" i="15"/>
  <c r="H12" i="15"/>
  <c r="V12" i="15"/>
  <c r="I10" i="15"/>
  <c r="P10" i="15"/>
  <c r="Q25" i="15"/>
  <c r="I12" i="15"/>
  <c r="L13" i="15"/>
  <c r="V11" i="15"/>
  <c r="T9" i="15"/>
  <c r="S9" i="15"/>
  <c r="C12" i="15"/>
  <c r="H26" i="15"/>
  <c r="L10" i="15"/>
  <c r="Q11" i="15"/>
  <c r="S25" i="15"/>
  <c r="G11" i="15"/>
  <c r="G13" i="15"/>
  <c r="S23" i="15"/>
  <c r="R26" i="15"/>
  <c r="L23" i="15"/>
  <c r="P26" i="15"/>
  <c r="F23" i="15"/>
  <c r="N23" i="15"/>
  <c r="N27" i="15"/>
  <c r="M24" i="15"/>
  <c r="P24" i="15"/>
  <c r="T26" i="15"/>
  <c r="N10" i="15"/>
  <c r="Q13" i="15"/>
  <c r="S24" i="15"/>
  <c r="N11" i="15"/>
  <c r="H13" i="15"/>
  <c r="S27" i="15"/>
  <c r="Q24" i="15"/>
  <c r="I11" i="15"/>
  <c r="P13" i="15"/>
  <c r="P12" i="15"/>
  <c r="V13" i="15"/>
  <c r="Q9" i="15"/>
  <c r="W11" i="15"/>
  <c r="I25" i="15"/>
  <c r="L24" i="15"/>
  <c r="G25" i="15"/>
  <c r="P23" i="15"/>
  <c r="N24" i="15"/>
  <c r="I9" i="15"/>
  <c r="N13" i="15"/>
  <c r="H9" i="15"/>
  <c r="W12" i="15"/>
  <c r="M13" i="15"/>
  <c r="C13" i="15"/>
  <c r="Q26" i="15"/>
  <c r="N9" i="15"/>
  <c r="K10" i="15"/>
  <c r="W9" i="15"/>
  <c r="B17" i="17" s="1"/>
  <c r="F9" i="15"/>
  <c r="G9" i="15"/>
  <c r="S12" i="15"/>
  <c r="D11" i="15"/>
  <c r="L25" i="15"/>
  <c r="G24" i="15"/>
  <c r="P25" i="15"/>
  <c r="T23" i="15"/>
  <c r="T24" i="15"/>
  <c r="L9" i="15"/>
  <c r="G27" i="15"/>
  <c r="D12" i="15"/>
  <c r="T11" i="15"/>
  <c r="R13" i="15"/>
  <c r="V10" i="15"/>
  <c r="M26" i="15"/>
  <c r="D9" i="15"/>
  <c r="Q10" i="15"/>
  <c r="S26" i="15"/>
  <c r="S11" i="15"/>
  <c r="M10" i="15"/>
  <c r="M11" i="15"/>
  <c r="K26" i="15"/>
  <c r="M23" i="15"/>
  <c r="F24" i="15"/>
  <c r="G23" i="15"/>
  <c r="D13" i="15"/>
  <c r="K12" i="15"/>
  <c r="F13" i="15"/>
  <c r="K13" i="15"/>
  <c r="C10" i="15"/>
  <c r="T27" i="15"/>
  <c r="G26" i="15"/>
  <c r="R10" i="15"/>
  <c r="Q12" i="15"/>
  <c r="P27" i="15"/>
  <c r="G12" i="15"/>
  <c r="P11" i="15"/>
  <c r="L27" i="15"/>
  <c r="M25" i="15"/>
  <c r="Q23" i="15"/>
  <c r="R25" i="15"/>
  <c r="V9" i="15"/>
  <c r="B15" i="17" s="1"/>
  <c r="N25" i="15"/>
  <c r="M9" i="15"/>
  <c r="I13" i="15"/>
  <c r="F11" i="15"/>
  <c r="H10" i="15"/>
  <c r="F27" i="15"/>
  <c r="K27" i="15"/>
  <c r="R23" i="15"/>
  <c r="L12" i="15"/>
  <c r="H27" i="15"/>
  <c r="C9" i="15"/>
  <c r="F12" i="15"/>
  <c r="R9" i="15"/>
  <c r="R12" i="15"/>
  <c r="L26" i="15"/>
  <c r="K24" i="15"/>
  <c r="F26" i="15"/>
  <c r="H25" i="15"/>
  <c r="I26" i="15"/>
  <c r="T25" i="15"/>
  <c r="S13" i="15"/>
  <c r="C11" i="15"/>
  <c r="T13" i="15"/>
  <c r="N12" i="15"/>
  <c r="W10" i="15"/>
  <c r="F25" i="15"/>
  <c r="K23" i="15"/>
  <c r="I27" i="15"/>
  <c r="W13" i="15"/>
  <c r="F10" i="15"/>
  <c r="G10" i="15"/>
  <c r="K11" i="15"/>
  <c r="M27" i="15"/>
  <c r="K25" i="15"/>
  <c r="H23" i="15"/>
  <c r="H39" i="15" s="1"/>
  <c r="R24" i="15"/>
  <c r="I24" i="15"/>
  <c r="I23" i="15"/>
  <c r="I39" i="15" s="1"/>
  <c r="G39" i="15"/>
  <c r="E29" i="17" l="1"/>
  <c r="D15" i="17"/>
  <c r="L29" i="17"/>
  <c r="L15" i="17"/>
  <c r="C22" i="17"/>
  <c r="N22" i="17"/>
  <c r="H29" i="17"/>
  <c r="I22" i="17"/>
  <c r="H22" i="17"/>
  <c r="J15" i="17"/>
  <c r="O29" i="17"/>
  <c r="M29" i="17"/>
  <c r="B22" i="17"/>
  <c r="L22" i="17"/>
  <c r="O15" i="17"/>
  <c r="N15" i="17"/>
  <c r="B29" i="17"/>
  <c r="M15" i="17"/>
  <c r="D29" i="17"/>
  <c r="C29" i="17"/>
  <c r="E15" i="17"/>
  <c r="I15" i="17"/>
  <c r="G29" i="17"/>
  <c r="D22" i="17"/>
  <c r="C15" i="17"/>
  <c r="N29" i="17"/>
  <c r="H15" i="17"/>
  <c r="J22" i="17"/>
  <c r="E22" i="17"/>
  <c r="P22" i="17"/>
  <c r="P15" i="17"/>
  <c r="I29" i="17"/>
  <c r="P29" i="17"/>
  <c r="M22" i="17"/>
  <c r="J29" i="17"/>
  <c r="O22" i="17"/>
  <c r="G22" i="17"/>
  <c r="G15" i="17"/>
  <c r="O31" i="17"/>
  <c r="M31" i="17"/>
  <c r="G31" i="17"/>
  <c r="D17" i="17"/>
  <c r="I24" i="17"/>
  <c r="C24" i="17"/>
  <c r="H24" i="17"/>
  <c r="H17" i="17"/>
  <c r="P17" i="17"/>
  <c r="D31" i="17"/>
  <c r="J31" i="17"/>
  <c r="H31" i="17"/>
  <c r="N24" i="17"/>
  <c r="M17" i="17"/>
  <c r="E24" i="17"/>
  <c r="M24" i="17"/>
  <c r="D24" i="17"/>
  <c r="C17" i="17"/>
  <c r="L24" i="17"/>
  <c r="N31" i="17"/>
  <c r="P31" i="17"/>
  <c r="I17" i="17"/>
  <c r="P24" i="17"/>
  <c r="E31" i="17"/>
  <c r="O17" i="17"/>
  <c r="C31" i="17"/>
  <c r="G24" i="17"/>
  <c r="L17" i="17"/>
  <c r="J17" i="17"/>
  <c r="I31" i="17"/>
  <c r="L31" i="17"/>
  <c r="N17" i="17"/>
  <c r="B24" i="17"/>
  <c r="G17" i="17"/>
  <c r="B31" i="17"/>
  <c r="J24" i="17"/>
  <c r="E17" i="17"/>
  <c r="O24" i="17"/>
  <c r="H38" i="15"/>
  <c r="F38" i="15"/>
  <c r="T38" i="15"/>
  <c r="N38" i="15"/>
  <c r="S38" i="15"/>
  <c r="I38" i="15"/>
  <c r="L38" i="15"/>
  <c r="G38" i="15"/>
  <c r="R38" i="15"/>
  <c r="P38" i="15"/>
  <c r="Q38" i="15"/>
  <c r="K38" i="15"/>
  <c r="M38" i="15"/>
  <c r="F39" i="15"/>
  <c r="F37" i="15"/>
  <c r="B6" i="17" s="1"/>
  <c r="B14" i="17" s="1"/>
  <c r="F34" i="15"/>
  <c r="B7" i="17" s="1"/>
  <c r="B21" i="17" s="1"/>
  <c r="I36" i="15"/>
  <c r="F35" i="15"/>
  <c r="B8" i="17" s="1"/>
  <c r="B28" i="17" s="1"/>
  <c r="G35" i="15"/>
  <c r="C8" i="17" s="1"/>
  <c r="C28" i="17" s="1"/>
  <c r="H35" i="15"/>
  <c r="D8" i="17" s="1"/>
  <c r="D28" i="17" s="1"/>
  <c r="I37" i="15"/>
  <c r="E6" i="17" s="1"/>
  <c r="E16" i="17" s="1"/>
  <c r="H34" i="15"/>
  <c r="D7" i="17" s="1"/>
  <c r="D21" i="17" s="1"/>
  <c r="Q37" i="15"/>
  <c r="M6" i="17" s="1"/>
  <c r="M14" i="17" s="1"/>
  <c r="Q35" i="15"/>
  <c r="M8" i="17" s="1"/>
  <c r="M28" i="17" s="1"/>
  <c r="Q34" i="15"/>
  <c r="M7" i="17" s="1"/>
  <c r="M21" i="17" s="1"/>
  <c r="Q39" i="15"/>
  <c r="Q36" i="15"/>
  <c r="P35" i="15"/>
  <c r="L8" i="17" s="1"/>
  <c r="L28" i="17" s="1"/>
  <c r="P37" i="15"/>
  <c r="L6" i="17" s="1"/>
  <c r="L14" i="17" s="1"/>
  <c r="P39" i="15"/>
  <c r="P34" i="15"/>
  <c r="L7" i="17" s="1"/>
  <c r="L21" i="17" s="1"/>
  <c r="P36" i="15"/>
  <c r="H37" i="15"/>
  <c r="F36" i="15"/>
  <c r="S35" i="15"/>
  <c r="O8" i="17" s="1"/>
  <c r="O30" i="17" s="1"/>
  <c r="S34" i="15"/>
  <c r="O7" i="17" s="1"/>
  <c r="O23" i="17" s="1"/>
  <c r="S39" i="15"/>
  <c r="S37" i="15"/>
  <c r="O6" i="17" s="1"/>
  <c r="O16" i="17" s="1"/>
  <c r="S36" i="15"/>
  <c r="K34" i="15"/>
  <c r="G7" i="17" s="1"/>
  <c r="G21" i="17" s="1"/>
  <c r="K39" i="15"/>
  <c r="K35" i="15"/>
  <c r="G8" i="17" s="1"/>
  <c r="G28" i="17" s="1"/>
  <c r="K37" i="15"/>
  <c r="G6" i="17" s="1"/>
  <c r="G14" i="17" s="1"/>
  <c r="K36" i="15"/>
  <c r="H36" i="15"/>
  <c r="I34" i="15"/>
  <c r="E7" i="17" s="1"/>
  <c r="E23" i="17" s="1"/>
  <c r="I35" i="15"/>
  <c r="E8" i="17" s="1"/>
  <c r="E30" i="17" s="1"/>
  <c r="G34" i="15"/>
  <c r="C7" i="17" s="1"/>
  <c r="C21" i="17" s="1"/>
  <c r="L36" i="15"/>
  <c r="L34" i="15"/>
  <c r="H7" i="17" s="1"/>
  <c r="H21" i="17" s="1"/>
  <c r="L39" i="15"/>
  <c r="L35" i="15"/>
  <c r="H8" i="17" s="1"/>
  <c r="H28" i="17" s="1"/>
  <c r="L37" i="15"/>
  <c r="H6" i="17" s="1"/>
  <c r="H14" i="17" s="1"/>
  <c r="G36" i="15"/>
  <c r="R36" i="15"/>
  <c r="R34" i="15"/>
  <c r="N7" i="17" s="1"/>
  <c r="N21" i="17" s="1"/>
  <c r="R35" i="15"/>
  <c r="N8" i="17" s="1"/>
  <c r="N28" i="17" s="1"/>
  <c r="R39" i="15"/>
  <c r="R37" i="15"/>
  <c r="N6" i="17" s="1"/>
  <c r="N14" i="17" s="1"/>
  <c r="N36" i="15"/>
  <c r="N39" i="15"/>
  <c r="N34" i="15"/>
  <c r="J7" i="17" s="1"/>
  <c r="J23" i="17" s="1"/>
  <c r="N35" i="15"/>
  <c r="J8" i="17" s="1"/>
  <c r="J30" i="17" s="1"/>
  <c r="N37" i="15"/>
  <c r="J6" i="17" s="1"/>
  <c r="J16" i="17" s="1"/>
  <c r="T39" i="15"/>
  <c r="T35" i="15"/>
  <c r="P8" i="17" s="1"/>
  <c r="P30" i="17" s="1"/>
  <c r="T36" i="15"/>
  <c r="T37" i="15"/>
  <c r="P6" i="17" s="1"/>
  <c r="P16" i="17" s="1"/>
  <c r="T34" i="15"/>
  <c r="P7" i="17" s="1"/>
  <c r="P23" i="17" s="1"/>
  <c r="M39" i="15"/>
  <c r="M36" i="15"/>
  <c r="M35" i="15"/>
  <c r="I8" i="17" s="1"/>
  <c r="I28" i="17" s="1"/>
  <c r="M34" i="15"/>
  <c r="I7" i="17" s="1"/>
  <c r="I21" i="17" s="1"/>
  <c r="M37" i="15"/>
  <c r="I6" i="17" s="1"/>
  <c r="I14" i="17" s="1"/>
  <c r="G37" i="15"/>
  <c r="E28" i="17" l="1"/>
  <c r="M23" i="17"/>
  <c r="G23" i="17"/>
  <c r="G25" i="17" s="1"/>
  <c r="B23" i="17"/>
  <c r="B25" i="17" s="1"/>
  <c r="N16" i="17"/>
  <c r="N18" i="17" s="1"/>
  <c r="C30" i="17"/>
  <c r="C32" i="17" s="1"/>
  <c r="B3" i="18" s="1"/>
  <c r="H23" i="17"/>
  <c r="H25" i="17" s="1"/>
  <c r="E25" i="17"/>
  <c r="D5" i="18" s="1"/>
  <c r="B30" i="17"/>
  <c r="B32" i="17" s="1"/>
  <c r="D23" i="17"/>
  <c r="D25" i="17" s="1"/>
  <c r="D4" i="18" s="1"/>
  <c r="I23" i="17"/>
  <c r="I25" i="17" s="1"/>
  <c r="D2" i="18" s="1"/>
  <c r="C23" i="17"/>
  <c r="C25" i="17" s="1"/>
  <c r="D3" i="18" s="1"/>
  <c r="L16" i="17"/>
  <c r="L18" i="17" s="1"/>
  <c r="M25" i="17"/>
  <c r="D30" i="17"/>
  <c r="D32" i="17" s="1"/>
  <c r="B4" i="18" s="1"/>
  <c r="N23" i="17"/>
  <c r="N25" i="17" s="1"/>
  <c r="G16" i="17"/>
  <c r="G18" i="17" s="1"/>
  <c r="L23" i="17"/>
  <c r="L25" i="17" s="1"/>
  <c r="M16" i="17"/>
  <c r="M18" i="17" s="1"/>
  <c r="P25" i="17"/>
  <c r="D7" i="18" s="1"/>
  <c r="P21" i="17"/>
  <c r="I16" i="17"/>
  <c r="I18" i="17" s="1"/>
  <c r="O14" i="17"/>
  <c r="O18" i="17"/>
  <c r="H16" i="17"/>
  <c r="H18" i="17" s="1"/>
  <c r="P14" i="17"/>
  <c r="P18" i="17"/>
  <c r="J18" i="17"/>
  <c r="J14" i="17"/>
  <c r="O21" i="17"/>
  <c r="O25" i="17"/>
  <c r="I30" i="17"/>
  <c r="I32" i="17" s="1"/>
  <c r="B2" i="18" s="1"/>
  <c r="N30" i="17"/>
  <c r="N32" i="17" s="1"/>
  <c r="G30" i="17"/>
  <c r="G32" i="17" s="1"/>
  <c r="H30" i="17"/>
  <c r="H32" i="17" s="1"/>
  <c r="L30" i="17"/>
  <c r="L32" i="17" s="1"/>
  <c r="M30" i="17"/>
  <c r="M32" i="17" s="1"/>
  <c r="C6" i="17"/>
  <c r="C14" i="17" s="1"/>
  <c r="C16" i="17" s="1"/>
  <c r="C18" i="17" s="1"/>
  <c r="J28" i="17"/>
  <c r="J32" i="17"/>
  <c r="B6" i="18" s="1"/>
  <c r="E32" i="17"/>
  <c r="B5" i="18" s="1"/>
  <c r="O28" i="17"/>
  <c r="O32" i="17"/>
  <c r="B16" i="17"/>
  <c r="B18" i="17" s="1"/>
  <c r="D6" i="17"/>
  <c r="D14" i="17" s="1"/>
  <c r="D16" i="17" s="1"/>
  <c r="D18" i="17" s="1"/>
  <c r="P32" i="17"/>
  <c r="B7" i="18" s="1"/>
  <c r="P28" i="17"/>
  <c r="J25" i="17"/>
  <c r="D6" i="18" s="1"/>
  <c r="C6" i="18" s="1"/>
  <c r="J21" i="17"/>
  <c r="E21" i="17"/>
  <c r="E18" i="17"/>
  <c r="E14" i="17"/>
  <c r="C2" i="18" l="1"/>
  <c r="C3" i="18"/>
  <c r="C4" i="18"/>
  <c r="C5" i="18"/>
  <c r="C7" i="18"/>
</calcChain>
</file>

<file path=xl/comments1.xml><?xml version="1.0" encoding="utf-8"?>
<comments xmlns="http://schemas.openxmlformats.org/spreadsheetml/2006/main">
  <authors>
    <author>Mary Roberts</author>
  </authors>
  <commentList>
    <comment ref="D15" authorId="0" shapeId="0">
      <text>
        <r>
          <rPr>
            <b/>
            <sz val="9"/>
            <color indexed="81"/>
            <rFont val="Tahoma"/>
            <family val="2"/>
          </rPr>
          <t>From 2Q 10-Q</t>
        </r>
      </text>
    </comment>
    <comment ref="D74" authorId="0" shapeId="0">
      <text>
        <r>
          <rPr>
            <b/>
            <sz val="9"/>
            <color indexed="81"/>
            <rFont val="Tahoma"/>
            <family val="2"/>
          </rPr>
          <t>10 K PR, Table 9. Restructuring, gain on sale, litigation.</t>
        </r>
      </text>
    </comment>
    <comment ref="D83" authorId="0" shapeId="0">
      <text>
        <r>
          <rPr>
            <b/>
            <sz val="9"/>
            <color indexed="81"/>
            <rFont val="Tahoma"/>
            <family val="2"/>
          </rPr>
          <t>Less non-controlling interest</t>
        </r>
      </text>
    </comment>
    <comment ref="D107" authorId="0" shapeId="0">
      <text>
        <r>
          <rPr>
            <b/>
            <sz val="9"/>
            <color indexed="81"/>
            <rFont val="Tahoma"/>
            <family val="2"/>
          </rPr>
          <t>10-Q PR, Table 8. Restructuring</t>
        </r>
      </text>
    </comment>
  </commentList>
</comments>
</file>

<file path=xl/sharedStrings.xml><?xml version="1.0" encoding="utf-8"?>
<sst xmlns="http://schemas.openxmlformats.org/spreadsheetml/2006/main" count="358" uniqueCount="190">
  <si>
    <t>Comments</t>
  </si>
  <si>
    <t>Ticker</t>
  </si>
  <si>
    <t>Company name</t>
  </si>
  <si>
    <t>Stock price on current date</t>
  </si>
  <si>
    <t xml:space="preserve">Basic shares outstanding </t>
  </si>
  <si>
    <t>LAST FISCAL YEAR</t>
  </si>
  <si>
    <t>Revenues</t>
  </si>
  <si>
    <t>EBIT</t>
  </si>
  <si>
    <t>EBITDA</t>
  </si>
  <si>
    <t>Depreciation and amortization expense</t>
  </si>
  <si>
    <t>EPS</t>
  </si>
  <si>
    <t>ST debt (incl. current portion of LT debt)</t>
  </si>
  <si>
    <t>LT debt</t>
  </si>
  <si>
    <t>Preferred stock</t>
  </si>
  <si>
    <t>Less: Cash &amp; Cash equivalents</t>
  </si>
  <si>
    <t>Net debt</t>
  </si>
  <si>
    <t>Enter as a negative #</t>
  </si>
  <si>
    <t>EPS - latest FYE</t>
  </si>
  <si>
    <t>EBIT - latest FYE</t>
  </si>
  <si>
    <t>EBITDA - latest FYE</t>
  </si>
  <si>
    <t>Revenues - latest FYE</t>
  </si>
  <si>
    <t xml:space="preserve">Date of latest fiscal year end (FYE) </t>
  </si>
  <si>
    <t>COMPARABLE COMPANY ANALYSIS OUTPUT</t>
  </si>
  <si>
    <t>Last Twelve Months (LTM)</t>
  </si>
  <si>
    <t>Year 1</t>
  </si>
  <si>
    <t>Year 2</t>
  </si>
  <si>
    <t>Long-term growth rate</t>
  </si>
  <si>
    <t>Mean</t>
  </si>
  <si>
    <t>High</t>
  </si>
  <si>
    <t>Low</t>
  </si>
  <si>
    <t>Median</t>
  </si>
  <si>
    <t>P/E</t>
  </si>
  <si>
    <t>Note: If your company has amortization related to bond discounts / premiums, do not include that in this line item.  Such amortization is accounted for in interest expense</t>
  </si>
  <si>
    <t>Pretax income</t>
  </si>
  <si>
    <t>Noncontrolling interests</t>
  </si>
  <si>
    <t>Gross debt</t>
  </si>
  <si>
    <t>LAST TWELVE MONTHS (LTM)</t>
  </si>
  <si>
    <t>Diluted EPS</t>
  </si>
  <si>
    <t>YEAR 1 FORECAST - CALENDAR YEAR</t>
  </si>
  <si>
    <t>YEAR 2 FORECAST - CALENDAR YEAR</t>
  </si>
  <si>
    <t>Source for estimates:</t>
  </si>
  <si>
    <t>Year ending date</t>
  </si>
  <si>
    <t>LTM ending date:</t>
  </si>
  <si>
    <t>Revenues - LTM</t>
  </si>
  <si>
    <t>EBITDA - LTM</t>
  </si>
  <si>
    <t>EBIT - LTM</t>
  </si>
  <si>
    <t>EPS - LTM</t>
  </si>
  <si>
    <t>LONG TERM (5 YEAR) GROWTH RATE</t>
  </si>
  <si>
    <t xml:space="preserve">EV / Revenues - LTM </t>
  </si>
  <si>
    <t xml:space="preserve">EV / EBITDA - LTM </t>
  </si>
  <si>
    <t xml:space="preserve">EV / EBIT - LTM </t>
  </si>
  <si>
    <t xml:space="preserve">P/E - LTM </t>
  </si>
  <si>
    <t>EV / Revenues - Year 1</t>
  </si>
  <si>
    <t>EV / EBITDA - Year 1</t>
  </si>
  <si>
    <t>EV / EBIT - Year 1</t>
  </si>
  <si>
    <t>P/E - Year 1</t>
  </si>
  <si>
    <t>EV / Revenues - Year 2</t>
  </si>
  <si>
    <t>EV / EBITDA - Year 2</t>
  </si>
  <si>
    <t>EV / EBIT - Year 2</t>
  </si>
  <si>
    <t>P/E - Year 2</t>
  </si>
  <si>
    <t>PE/LTG (PEG ratio)</t>
  </si>
  <si>
    <t>Enterprise value (EV)</t>
  </si>
  <si>
    <t>Share price</t>
  </si>
  <si>
    <t>Diluted shares outstanding (mm)</t>
  </si>
  <si>
    <t>Market capitalization (mm)</t>
  </si>
  <si>
    <t>MARKET VALUATION</t>
  </si>
  <si>
    <t>MULTIPLES SUMMARY</t>
  </si>
  <si>
    <t>Last twelve month (LTM)</t>
  </si>
  <si>
    <t xml:space="preserve">Revenues </t>
  </si>
  <si>
    <t>EV / Revenues</t>
  </si>
  <si>
    <t>EV / EBITDA</t>
  </si>
  <si>
    <t>EV / EBIT</t>
  </si>
  <si>
    <t xml:space="preserve">P/E </t>
  </si>
  <si>
    <t>LT growth rate</t>
  </si>
  <si>
    <t>PEG ratio</t>
  </si>
  <si>
    <t>Year 1 Forecast - Calendar Year</t>
  </si>
  <si>
    <t>Year 2 Forecast - Calendar Year</t>
  </si>
  <si>
    <t>Name</t>
  </si>
  <si>
    <t xml:space="preserve">Gross Profit </t>
  </si>
  <si>
    <t xml:space="preserve">Net Income </t>
  </si>
  <si>
    <t>Share price date</t>
  </si>
  <si>
    <t>Date of latest quarter</t>
  </si>
  <si>
    <t>Diluted weighted average shares out.</t>
  </si>
  <si>
    <t xml:space="preserve">Tax benefit / (expense) </t>
  </si>
  <si>
    <t>COGS (enter as -)</t>
  </si>
  <si>
    <t>LATEST FISCAL YEAR</t>
  </si>
  <si>
    <t>LATEST FISCAL YEAR QUARTERS</t>
  </si>
  <si>
    <t>LATEST FISCAL YEAR QUARTERS MINUS 1 YEAR</t>
  </si>
  <si>
    <t>Options exercisable</t>
  </si>
  <si>
    <t>Exercise price</t>
  </si>
  <si>
    <t>Gross proceeds from exercise of options</t>
  </si>
  <si>
    <t>Dilution from exercisable options</t>
  </si>
  <si>
    <t>Dilution from convertible debt</t>
  </si>
  <si>
    <t>Latest quarter</t>
  </si>
  <si>
    <t>Select:</t>
  </si>
  <si>
    <t>Actuals through:</t>
  </si>
  <si>
    <t>Date ending:</t>
  </si>
  <si>
    <t>DO NOT MODIFY</t>
  </si>
  <si>
    <t>Calendar yr 1</t>
  </si>
  <si>
    <t>Multiply last historical year by:</t>
  </si>
  <si>
    <t>Multiply fiscal Yr 1 by:</t>
  </si>
  <si>
    <t>Multiply fiscal Yr 2 by:</t>
  </si>
  <si>
    <t>YEAR 1 FORECAST - FISCAL YEAR</t>
  </si>
  <si>
    <t>YEAR 2 FORECAST - FISCAL YEAR</t>
  </si>
  <si>
    <t>YEAR 3 FORECAST - FISCAL YEAR</t>
  </si>
  <si>
    <t>CALENDARIZATION FORMULAS</t>
  </si>
  <si>
    <t>Data as of:</t>
  </si>
  <si>
    <t>Year ending date:</t>
  </si>
  <si>
    <t>Revenues - Fiscal year 1</t>
  </si>
  <si>
    <t>EBITDA - Fiscal year 1</t>
  </si>
  <si>
    <t>EBIT - Fiscal year 1</t>
  </si>
  <si>
    <t>EPS - Fiscal year 1</t>
  </si>
  <si>
    <t>Revenues - Fiscal year 2</t>
  </si>
  <si>
    <t>EBITDA - Fiscal year 2</t>
  </si>
  <si>
    <t>EBIT - Fiscal year 2</t>
  </si>
  <si>
    <t>EPS - Fiscal year 2</t>
  </si>
  <si>
    <t>Revenues - Fiscal year 3</t>
  </si>
  <si>
    <t>EBITDA - Fiscal year 3</t>
  </si>
  <si>
    <t>EBIT - Fiscal year 3</t>
  </si>
  <si>
    <t>EPS - Fiscal year 3</t>
  </si>
  <si>
    <t>Revenues - Calendar year 1</t>
  </si>
  <si>
    <t>EBITDA - Calendar year 1</t>
  </si>
  <si>
    <t>EBIT - Calendar year 1</t>
  </si>
  <si>
    <t>EPS - Calendar year 1</t>
  </si>
  <si>
    <t>Revenues - Calendar year 2</t>
  </si>
  <si>
    <t>EBITDA - Calendar year 2</t>
  </si>
  <si>
    <t>EBIT - Calendar year 2</t>
  </si>
  <si>
    <t>EPS - Calendar year 2</t>
  </si>
  <si>
    <t># of days that fiscal yr 1 is behind calendar yr 1</t>
  </si>
  <si>
    <t># of days that fiscal yr 1 is ahead of calendar yr 1</t>
  </si>
  <si>
    <t>($ in millions, except per share data)</t>
  </si>
  <si>
    <t>Equity value</t>
  </si>
  <si>
    <t>Enterprise value</t>
  </si>
  <si>
    <t>Shares outstanding</t>
  </si>
  <si>
    <t>Lower Value</t>
  </si>
  <si>
    <t>Column Value</t>
  </si>
  <si>
    <t>Upper Value</t>
  </si>
  <si>
    <t>Gross dilution</t>
  </si>
  <si>
    <t xml:space="preserve">PEG </t>
  </si>
  <si>
    <t>LTM EV / EBITDA</t>
  </si>
  <si>
    <t>LTM EV / EBIT</t>
  </si>
  <si>
    <t xml:space="preserve">LTM P/E </t>
  </si>
  <si>
    <t>Methodology</t>
  </si>
  <si>
    <t>Dilution from convertible preferred stock / other</t>
  </si>
  <si>
    <t>Diluted shares outstanding</t>
  </si>
  <si>
    <t>Normalized (Non-GAAP) financials</t>
  </si>
  <si>
    <t xml:space="preserve">Net income </t>
  </si>
  <si>
    <t>Diluted EPS calculation</t>
  </si>
  <si>
    <t>Numerator adjustment</t>
  </si>
  <si>
    <t>Denominator adjustment</t>
  </si>
  <si>
    <t>SG&amp;A/Other operating expenses (enter as -)</t>
  </si>
  <si>
    <t>Operating income (EBIT)</t>
  </si>
  <si>
    <t>Enter non-GAAP expenses as positive #, income as negative #</t>
  </si>
  <si>
    <t>Excluded operating expense / (income)</t>
  </si>
  <si>
    <t>Excluded nonoperating expense / (income)</t>
  </si>
  <si>
    <t>MARKET DATA INPUTS</t>
  </si>
  <si>
    <t>SHARES DATA</t>
  </si>
  <si>
    <t xml:space="preserve">FINANCIALS </t>
  </si>
  <si>
    <t>BALANCE SHEET DATA</t>
  </si>
  <si>
    <t>FORECASTS</t>
  </si>
  <si>
    <t>MULTIPLES</t>
  </si>
  <si>
    <t>Nonoperating income / (expense)</t>
  </si>
  <si>
    <t>Tax effect of non-GAAP exclusions</t>
  </si>
  <si>
    <t>Non-GAAP exclusions</t>
  </si>
  <si>
    <t>LTM = annual + latest current FY quarters - equivalent last FY quarters</t>
  </si>
  <si>
    <t>Place target in first position</t>
  </si>
  <si>
    <t>1 YR P/E</t>
  </si>
  <si>
    <t>1 YR EV/EBIT</t>
  </si>
  <si>
    <t>Procter &amp; Gamble</t>
  </si>
  <si>
    <t>PG</t>
  </si>
  <si>
    <t>P&amp;G Comparable Analysis</t>
  </si>
  <si>
    <t>Net Income attributable</t>
  </si>
  <si>
    <t>Q4</t>
  </si>
  <si>
    <t>NCI &amp; discontinued ops</t>
  </si>
  <si>
    <t>Colgate Palmlive Co</t>
  </si>
  <si>
    <t>CL</t>
  </si>
  <si>
    <t>Q2</t>
  </si>
  <si>
    <t>Noncontrolling Interests</t>
  </si>
  <si>
    <t>Net Income to Company</t>
  </si>
  <si>
    <t>Noncontrolling Interest</t>
  </si>
  <si>
    <t>Kimberly Clark Corp</t>
  </si>
  <si>
    <t>KMB</t>
  </si>
  <si>
    <t>Church &amp; Dwight Co.</t>
  </si>
  <si>
    <t>CHD</t>
  </si>
  <si>
    <t>Q1</t>
  </si>
  <si>
    <t>The Chlorox Company</t>
  </si>
  <si>
    <t>CLX</t>
  </si>
  <si>
    <t>Q3</t>
  </si>
  <si>
    <t>EL</t>
  </si>
  <si>
    <t>Estee Lauder Companies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</si>
</sst>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8">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0.00_);\(#,##0\)"/>
    <numFmt numFmtId="165" formatCode="#,##0.0%_);\(#,##0.0%\)"/>
    <numFmt numFmtId="166" formatCode="0.0\ \x"/>
    <numFmt numFmtId="167" formatCode="#,##0.00\ ;\(#,##0.00\)"/>
    <numFmt numFmtId="168" formatCode="&quot;$&quot;#,##0.00\ ;\(&quot;$&quot;#,##0.00\)"/>
    <numFmt numFmtId="169" formatCode="0.0%_);\(0.0%\)"/>
    <numFmt numFmtId="170" formatCode="0.000\ \x&quot;rate&quot;"/>
    <numFmt numFmtId="171" formatCode="#,##0.000_);[Red]\(#,##0.000\)"/>
    <numFmt numFmtId="172" formatCode="0.00_);\(0.00\);0.00"/>
    <numFmt numFmtId="173" formatCode="\C&quot;$&quot;#,##0.00_);[Red]\(&quot;$&quot;#,##0.00\)"/>
    <numFmt numFmtId="174" formatCode="#,##0%_);\(#,##0.0%\)"/>
    <numFmt numFmtId="175" formatCode="_(* #,##0.00000000_);_(* \(#,##0.00000000\);_(* &quot;-&quot;?_);_(@_)"/>
    <numFmt numFmtId="176" formatCode="mmm\-d\-yyyy"/>
    <numFmt numFmtId="177" formatCode="mmm\-yyyy"/>
    <numFmt numFmtId="178" formatCode="yyyy"/>
    <numFmt numFmtId="179" formatCode="0.00\x&quot;rate&quot;"/>
    <numFmt numFmtId="180" formatCode="0.0&quot;  &quot;"/>
    <numFmt numFmtId="181" formatCode="&quot;$&quot;#,##0.0\ ;[Red]\(&quot;$&quot;#,##0\)"/>
    <numFmt numFmtId="182" formatCode="_(&quot;$&quot;* #,##0.00_);_(&quot;$&quot;* \(#,##0.00\);_(&quot;$&quot;* &quot;-&quot;?_);_(@_)"/>
    <numFmt numFmtId="183" formatCode="&quot;$&quot;#,##0.000_);[Red]\(&quot;$&quot;#,##0.000\)"/>
    <numFmt numFmtId="184" formatCode="&quot;$&quot;#,##0.00&quot;A&quot;;[Red]\(&quot;$&quot;#,##0.00\)&quot;A&quot;"/>
    <numFmt numFmtId="185" formatCode="#,##0.0\ ;[Red]\(&quot;$&quot;#,##0\)"/>
    <numFmt numFmtId="186" formatCode="&quot;$&quot;#,##0.00&quot;E&quot;;[Red]\(&quot;$&quot;#,##0.00\)&quot;E&quot;"/>
    <numFmt numFmtId="187" formatCode="_([$€-2]* #,##0.00_);_([$€-2]* \(#,##0.00\);_([$€-2]* &quot;-&quot;??_)"/>
    <numFmt numFmtId="188" formatCode="#,##0.00;\(#,##0.00\)"/>
    <numFmt numFmtId="189" formatCode=".%\,\(0.0%%;\t"/>
    <numFmt numFmtId="190" formatCode="#,##0.0_);[Red]\(#,##0.0\)"/>
    <numFmt numFmtId="191" formatCode="0.0%_);[Red]\(0.0%\)"/>
    <numFmt numFmtId="192" formatCode="0.00_);\(0.00\);0.00_)"/>
    <numFmt numFmtId="193" formatCode="0.0%"/>
    <numFmt numFmtId="194" formatCode="#,##0\x"/>
    <numFmt numFmtId="195" formatCode="&quot;TKR&quot;\ 0"/>
    <numFmt numFmtId="196" formatCode=".%\,\(0.%%;\t"/>
    <numFmt numFmtId="197" formatCode="&quot;$&quot;#,###.0\ \ "/>
    <numFmt numFmtId="198" formatCode="#,##0.00\x_);[Red]\(#,##0.00\x\)"/>
    <numFmt numFmtId="199" formatCode="#,##0.0_);\(#,##0.0\)"/>
    <numFmt numFmtId="200" formatCode="#,##0.000_);\(#,##0.000\)"/>
    <numFmt numFmtId="201" formatCode="#,##0.00\x_);[Red]\(#,##0.00\x\);&quot;--  &quot;"/>
    <numFmt numFmtId="202" formatCode="_(* #,##0.0_);_(* \(#,##0.0\);_(* &quot;-&quot;??_);_(@_)"/>
    <numFmt numFmtId="203" formatCode="0.0\x_);[Red]\(0.0\x\)"/>
    <numFmt numFmtId="204" formatCode="0.0\ "/>
    <numFmt numFmtId="205" formatCode="&quot;$&quot;#,##0.0;\(&quot;$&quot;#,##0.00\)"/>
    <numFmt numFmtId="206" formatCode="#,##0.00%_);\(#,##0.00%\)"/>
    <numFmt numFmtId="207" formatCode="0.00\%;\-0.00\%;0.00\%"/>
    <numFmt numFmtId="208" formatCode="0.0%\ ;\(0.0%\)"/>
    <numFmt numFmtId="209" formatCode="_(&quot;$&quot;* #,##0_);_(&quot;$&quot;* \(#,##0\);_(&quot;$&quot;* &quot;-&quot;??_);_(@_)"/>
    <numFmt numFmtId="210" formatCode="&quot;$&quot;0.00\ "/>
    <numFmt numFmtId="211" formatCode="0.0\ \ \ \ \ "/>
    <numFmt numFmtId="212" formatCode="0.00\x;\-0.00\x;0.00\x"/>
    <numFmt numFmtId="213" formatCode="&quot;$&quot;#,##0.000_);\(&quot;$&quot;#,##0.000\)"/>
    <numFmt numFmtId="214" formatCode="#,##0.0_);\(#,##0.0\);_(* &quot;-&quot;_)"/>
    <numFmt numFmtId="215" formatCode="_(&quot;$&quot;* #,##0.00_);_(&quot;$&quot;* \(#,##0.00\);_(* &quot;-&quot;_);_(@_)"/>
    <numFmt numFmtId="216" formatCode="0.00%_);[Red]\(0.00%\)"/>
    <numFmt numFmtId="217" formatCode="#,##0.0\x_);\(#,##0.0\x\)"/>
    <numFmt numFmtId="218" formatCode="#,##0.00\x_);\(#,##0.00\x\)"/>
    <numFmt numFmtId="219" formatCode="###0&quot;E&quot;_)"/>
    <numFmt numFmtId="220" formatCode="m/d/yyyy;@"/>
    <numFmt numFmtId="221" formatCode="&quot;$&quot;#,##0.0_);\(&quot;$&quot;#,##0.0\)"/>
    <numFmt numFmtId="222" formatCode="0.0\x;\ \(0.0\x\)"/>
    <numFmt numFmtId="223" formatCode="0.000%"/>
    <numFmt numFmtId="224" formatCode="#,##0.0_);\(#,##0.0\);@_)"/>
    <numFmt numFmtId="225" formatCode="&quot;$&quot;#,##0.00000_);\(&quot;$&quot;#,##0.00000\)"/>
    <numFmt numFmtId="226" formatCode="#,##0.0_);\(#,##0.0\);\-_);@_)"/>
    <numFmt numFmtId="227" formatCode="0.0%_);\(0.0%\);@_)"/>
    <numFmt numFmtId="228" formatCode="0.0\x_);\(0.0\x\);@_)"/>
    <numFmt numFmtId="229" formatCode="&quot;Comp&quot;\ 0"/>
    <numFmt numFmtId="230" formatCode="m/d/yy;@"/>
    <numFmt numFmtId="231" formatCode="&quot;$&quot;#,##0.00_);\(&quot;$&quot;#,##0.00\);@_)"/>
    <numFmt numFmtId="232" formatCode="#,##0.000_);\(#,##0.000\);@_)"/>
    <numFmt numFmtId="233" formatCode="&quot;Tranche &quot;0"/>
    <numFmt numFmtId="234" formatCode="#,##0.0\ \ _);\(#,##0.0\ \ \)"/>
    <numFmt numFmtId="235" formatCode="#,##0_);\(#,##0\);@_)"/>
    <numFmt numFmtId="236" formatCode="0.000"/>
    <numFmt numFmtId="237" formatCode="0.0"/>
    <numFmt numFmtId="238" formatCode="&quot;$&quot;#,##0.00;\(&quot;$&quot;#,##0.00\);&quot;–&quot;;@"/>
    <numFmt numFmtId="239" formatCode="&quot;$&quot;#,##0.000_);\(&quot;$&quot;#,##0.000\);@_)"/>
    <numFmt numFmtId="240" formatCode="[&gt;1]&quot;10Q: &quot;0&quot; qtrs&quot;;&quot;10Q: &quot;0&quot; qtr&quot;"/>
    <numFmt numFmtId="241" formatCode="&quot;$&quot;#,##0.00_);[Red]\(&quot;$&quot;#,##0.00\);&quot;--  &quot;;_(@_)"/>
    <numFmt numFmtId="242" formatCode="mmm\-dd\-yy"/>
    <numFmt numFmtId="243" formatCode="mmm\-dd\-yyyy"/>
    <numFmt numFmtId="244" formatCode="#,##0.0_);[Red]\(#,##0.0\);&quot;--  &quot;"/>
    <numFmt numFmtId="245" formatCode="0.00\x"/>
    <numFmt numFmtId="246" formatCode="0.0&quot; years&quot;"/>
  </numFmts>
  <fonts count="105">
    <font>
      <sz val="11"/>
      <color theme="1"/>
      <name val="Calibri"/>
      <family val="2"/>
      <scheme val="minor"/>
    </font>
    <font>
      <sz val="11"/>
      <color rgb="FF0000FF"/>
      <name val="Calibri"/>
      <family val="2"/>
      <scheme val="minor"/>
    </font>
    <font>
      <sz val="13"/>
      <color theme="1"/>
      <name val="Calibri"/>
      <family val="2"/>
      <scheme val="minor"/>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8"/>
      <color theme="1"/>
      <name val="Calibri"/>
      <family val="2"/>
      <scheme val="minor"/>
    </font>
    <font>
      <b/>
      <u/>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indexed="8"/>
      <name val="Calibri"/>
      <family val="2"/>
      <scheme val="minor"/>
    </font>
    <font>
      <sz val="11"/>
      <color rgb="FF000000"/>
      <name val="Calibri"/>
      <family val="2"/>
      <scheme val="minor"/>
    </font>
    <font>
      <sz val="11"/>
      <color indexed="12"/>
      <name val="Calibri"/>
      <family val="2"/>
      <scheme val="minor"/>
    </font>
    <font>
      <sz val="10"/>
      <color theme="1"/>
      <name val="Calibri"/>
      <family val="2"/>
      <scheme val="minor"/>
    </font>
    <font>
      <b/>
      <sz val="11"/>
      <color indexed="9"/>
      <name val="Calibri"/>
      <family val="2"/>
      <scheme val="minor"/>
    </font>
    <font>
      <b/>
      <sz val="11"/>
      <color indexed="12"/>
      <name val="Calibri"/>
      <family val="2"/>
      <scheme val="minor"/>
    </font>
    <font>
      <i/>
      <sz val="10"/>
      <color theme="1"/>
      <name val="Calibri"/>
      <family val="2"/>
      <scheme val="minor"/>
    </font>
    <font>
      <i/>
      <sz val="9"/>
      <color theme="1"/>
      <name val="Calibri"/>
      <family val="2"/>
      <scheme val="minor"/>
    </font>
    <font>
      <i/>
      <sz val="9"/>
      <color indexed="8"/>
      <name val="Calibri"/>
      <family val="2"/>
      <scheme val="minor"/>
    </font>
    <font>
      <b/>
      <sz val="16"/>
      <color theme="1"/>
      <name val="Calibri"/>
      <family val="2"/>
      <scheme val="minor"/>
    </font>
    <font>
      <i/>
      <sz val="11"/>
      <color theme="1"/>
      <name val="Calibri"/>
      <family val="2"/>
      <scheme val="minor"/>
    </font>
    <font>
      <sz val="5"/>
      <color rgb="FF008000"/>
      <name val="Calibri"/>
      <family val="2"/>
      <scheme val="minor"/>
    </font>
    <font>
      <sz val="11"/>
      <color rgb="FF008000"/>
      <name val="Calibri"/>
      <family val="2"/>
      <scheme val="minor"/>
    </font>
    <font>
      <i/>
      <sz val="10"/>
      <name val="Arial"/>
      <family val="2"/>
    </font>
    <font>
      <sz val="10"/>
      <name val="Calibri"/>
      <family val="2"/>
      <scheme val="minor"/>
    </font>
    <font>
      <sz val="11"/>
      <color rgb="FFFFFFFF"/>
      <name val="Calibri"/>
      <family val="2"/>
      <scheme val="minor"/>
    </font>
    <font>
      <i/>
      <sz val="11"/>
      <name val="Calibri"/>
      <family val="2"/>
      <scheme val="minor"/>
    </font>
    <font>
      <u/>
      <sz val="10"/>
      <color indexed="12"/>
      <name val="Arial"/>
      <family val="2"/>
    </font>
    <font>
      <sz val="10"/>
      <color indexed="8"/>
      <name val="Arial"/>
      <family val="2"/>
    </font>
    <font>
      <b/>
      <sz val="8"/>
      <color indexed="8"/>
      <name val="Verdana"/>
      <family val="2"/>
    </font>
    <font>
      <sz val="8"/>
      <color indexed="12"/>
      <name val="Arial"/>
      <family val="2"/>
    </font>
    <font>
      <sz val="1"/>
      <color indexed="9"/>
      <name val="Symbol"/>
      <family val="1"/>
      <charset val="2"/>
    </font>
    <font>
      <b/>
      <u val="singleAccounting"/>
      <sz val="8"/>
      <color indexed="8"/>
      <name val="Verdana"/>
      <family val="2"/>
    </font>
    <font>
      <b/>
      <sz val="10"/>
      <color indexed="9"/>
      <name val="Arial"/>
      <family val="2"/>
    </font>
    <font>
      <b/>
      <sz val="12"/>
      <color indexed="8"/>
      <name val="Verdana"/>
      <family val="2"/>
    </font>
    <font>
      <sz val="8"/>
      <color indexed="10"/>
      <name val="Arial"/>
      <family val="2"/>
    </font>
    <font>
      <b/>
      <sz val="8"/>
      <color indexed="9"/>
      <name val="Verdana"/>
      <family val="2"/>
    </font>
    <font>
      <vertAlign val="subscript"/>
      <sz val="8"/>
      <color indexed="8"/>
      <name val="Arial"/>
      <family val="2"/>
    </font>
    <font>
      <vertAlign val="superscript"/>
      <sz val="8"/>
      <color indexed="8"/>
      <name val="Arial"/>
      <family val="2"/>
    </font>
    <font>
      <b/>
      <sz val="8"/>
      <color indexed="8"/>
      <name val="Arial"/>
      <family val="2"/>
    </font>
    <font>
      <i/>
      <sz val="8"/>
      <color indexed="8"/>
      <name val="Arial"/>
      <family val="2"/>
    </font>
    <font>
      <b/>
      <sz val="13"/>
      <color indexed="8"/>
      <name val="Verdana"/>
      <family val="2"/>
    </font>
    <font>
      <i/>
      <sz val="11"/>
      <color indexed="12"/>
      <name val="Calibri"/>
      <family val="2"/>
      <scheme val="minor"/>
    </font>
    <font>
      <b/>
      <i/>
      <sz val="9"/>
      <color rgb="FF0000FF"/>
      <name val="Calibri"/>
      <family val="2"/>
      <scheme val="minor"/>
    </font>
    <font>
      <u val="singleAccounting"/>
      <sz val="11"/>
      <color theme="1"/>
      <name val="Calibri"/>
      <family val="2"/>
      <scheme val="minor"/>
    </font>
    <font>
      <sz val="10"/>
      <color rgb="FF008000"/>
      <name val="Calibri"/>
      <family val="2"/>
      <scheme val="minor"/>
    </font>
    <font>
      <b/>
      <sz val="11"/>
      <color rgb="FF0000FF"/>
      <name val="Calibri"/>
      <family val="2"/>
      <scheme val="minor"/>
    </font>
    <font>
      <i/>
      <sz val="9"/>
      <name val="Calibri"/>
      <family val="2"/>
      <scheme val="minor"/>
    </font>
    <font>
      <i/>
      <sz val="10"/>
      <name val="Calibri"/>
      <family val="2"/>
      <scheme val="minor"/>
    </font>
    <font>
      <b/>
      <sz val="9"/>
      <color indexed="81"/>
      <name val="Tahoma"/>
      <family val="2"/>
    </font>
  </fonts>
  <fills count="41">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indexed="12"/>
        <bgColor indexed="64"/>
      </patternFill>
    </fill>
    <fill>
      <patternFill patternType="solid">
        <fgColor rgb="FFFFFF99"/>
        <bgColor indexed="64"/>
      </patternFill>
    </fill>
    <fill>
      <patternFill patternType="solid">
        <fgColor theme="4" tint="0.79998168889431442"/>
        <bgColor indexed="64"/>
      </patternFill>
    </fill>
    <fill>
      <patternFill patternType="solid">
        <fgColor indexed="43"/>
        <bgColor indexed="64"/>
      </patternFill>
    </fill>
    <fill>
      <patternFill patternType="solid">
        <fgColor rgb="FFCCFFFF"/>
        <bgColor indexed="64"/>
      </patternFill>
    </fill>
    <fill>
      <patternFill patternType="solid">
        <fgColor rgb="FF808080"/>
        <bgColor indexed="64"/>
      </patternFill>
    </fill>
    <fill>
      <patternFill patternType="solid">
        <fgColor indexed="60"/>
        <bgColor indexed="64"/>
      </patternFill>
    </fill>
    <fill>
      <patternFill patternType="solid">
        <fgColor indexed="62"/>
        <bgColor indexed="64"/>
      </patternFill>
    </fill>
    <fill>
      <patternFill patternType="solid">
        <fgColor indexed="63"/>
        <bgColor indexed="64"/>
      </patternFill>
    </fill>
    <fill>
      <patternFill patternType="solid">
        <fgColor indexed="56"/>
        <bgColor indexed="64"/>
      </patternFill>
    </fill>
  </fills>
  <borders count="32">
    <border>
      <left/>
      <right/>
      <top/>
      <bottom/>
      <diagonal/>
    </border>
    <border>
      <left/>
      <right/>
      <top/>
      <bottom style="thin">
        <color rgb="FF000000"/>
      </bottom>
      <diagonal/>
    </border>
    <border>
      <left/>
      <right/>
      <top style="thin">
        <color rgb="FF000000"/>
      </top>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right/>
      <top/>
      <bottom style="medium">
        <color indexed="64"/>
      </bottom>
      <diagonal/>
    </border>
    <border>
      <left/>
      <right/>
      <top/>
      <bottom style="medium">
        <color rgb="FF000000"/>
      </bottom>
      <diagonal/>
    </border>
    <border>
      <left/>
      <right/>
      <top/>
      <bottom style="thin">
        <color indexed="8"/>
      </bottom>
      <diagonal/>
    </border>
    <border>
      <left/>
      <right/>
      <top style="thin">
        <color rgb="FF000000"/>
      </top>
      <bottom style="thin">
        <color rgb="FF000000"/>
      </bottom>
      <diagonal/>
    </border>
    <border>
      <left/>
      <right/>
      <top style="medium">
        <color indexed="64"/>
      </top>
      <bottom/>
      <diagonal/>
    </border>
    <border>
      <left style="thin">
        <color rgb="FF000000"/>
      </left>
      <right style="thin">
        <color rgb="FF000000"/>
      </right>
      <top style="thin">
        <color rgb="FF000000"/>
      </top>
      <bottom style="thin">
        <color rgb="FF000000"/>
      </bottom>
      <diagonal/>
    </border>
    <border>
      <left/>
      <right/>
      <top style="medium">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hair">
        <color rgb="FF000000"/>
      </right>
      <top/>
      <bottom/>
      <diagonal/>
    </border>
    <border>
      <left style="thin">
        <color indexed="23"/>
      </left>
      <right style="thin">
        <color indexed="23"/>
      </right>
      <top/>
      <bottom/>
      <diagonal/>
    </border>
    <border>
      <left style="thin">
        <color indexed="64"/>
      </left>
      <right style="thin">
        <color indexed="64"/>
      </right>
      <top/>
      <bottom style="thin">
        <color indexed="64"/>
      </bottom>
      <diagonal/>
    </border>
  </borders>
  <cellStyleXfs count="212">
    <xf numFmtId="0" fontId="0" fillId="0" borderId="0"/>
    <xf numFmtId="0" fontId="3" fillId="0" borderId="0"/>
    <xf numFmtId="164" fontId="3" fillId="0" borderId="0">
      <alignment horizontal="right"/>
    </xf>
    <xf numFmtId="165" fontId="3" fillId="2" borderId="0"/>
    <xf numFmtId="166" fontId="3" fillId="2" borderId="0"/>
    <xf numFmtId="165" fontId="3" fillId="2" borderId="0"/>
    <xf numFmtId="167" fontId="3" fillId="2" borderId="0"/>
    <xf numFmtId="168" fontId="3" fillId="2" borderId="0">
      <alignment horizontal="right"/>
    </xf>
    <xf numFmtId="169" fontId="4" fillId="0" borderId="0" applyFont="0" applyFill="0" applyBorder="0" applyAlignment="0" applyProtection="0"/>
    <xf numFmtId="0" fontId="5" fillId="0" borderId="0" applyNumberFormat="0" applyFont="0" applyFill="0" applyBorder="0" applyAlignment="0" applyProtection="0"/>
    <xf numFmtId="170" fontId="6" fillId="0" borderId="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9"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20" borderId="0" applyNumberFormat="0" applyBorder="0" applyAlignment="0" applyProtection="0"/>
    <xf numFmtId="0" fontId="6" fillId="0" borderId="0"/>
    <xf numFmtId="0" fontId="9" fillId="4" borderId="0" applyNumberFormat="0" applyBorder="0" applyAlignment="0" applyProtection="0"/>
    <xf numFmtId="171" fontId="10" fillId="0" borderId="0" applyFont="0" applyFill="0" applyBorder="0" applyAlignment="0" applyProtection="0"/>
    <xf numFmtId="38" fontId="10" fillId="0" borderId="0" applyFill="0" applyBorder="0" applyAlignment="0" applyProtection="0">
      <protection locked="0"/>
    </xf>
    <xf numFmtId="0" fontId="11" fillId="0" borderId="0"/>
    <xf numFmtId="37" fontId="12" fillId="0" borderId="0">
      <alignment horizontal="centerContinuous"/>
    </xf>
    <xf numFmtId="0" fontId="13" fillId="21" borderId="3" applyNumberFormat="0" applyAlignment="0" applyProtection="0"/>
    <xf numFmtId="171" fontId="10" fillId="0" borderId="0" applyFont="0" applyFill="0" applyBorder="0" applyAlignment="0" applyProtection="0">
      <protection locked="0"/>
    </xf>
    <xf numFmtId="171" fontId="10" fillId="0" borderId="4" applyFont="0" applyFill="0" applyAlignment="0" applyProtection="0"/>
    <xf numFmtId="0" fontId="14" fillId="22" borderId="5" applyNumberFormat="0" applyAlignment="0" applyProtection="0"/>
    <xf numFmtId="0" fontId="5" fillId="0" borderId="0">
      <alignment horizontal="center" wrapText="1"/>
      <protection hidden="1"/>
    </xf>
    <xf numFmtId="0" fontId="15" fillId="0" borderId="6" applyNumberFormat="0" applyFill="0" applyBorder="0" applyProtection="0">
      <alignment horizontal="left" vertical="center"/>
    </xf>
    <xf numFmtId="0" fontId="15" fillId="0" borderId="6" applyNumberFormat="0" applyFill="0" applyBorder="0" applyProtection="0">
      <alignment horizontal="right" vertical="center"/>
    </xf>
    <xf numFmtId="43" fontId="5" fillId="0" borderId="0" applyFont="0" applyFill="0" applyBorder="0" applyAlignment="0" applyProtection="0"/>
    <xf numFmtId="37" fontId="16" fillId="0" borderId="0" applyFont="0" applyFill="0" applyBorder="0" applyAlignment="0" applyProtection="0"/>
    <xf numFmtId="39" fontId="16" fillId="0" borderId="0" applyFont="0" applyFill="0" applyBorder="0" applyAlignment="0" applyProtection="0"/>
    <xf numFmtId="0" fontId="17" fillId="23" borderId="0">
      <alignment horizontal="center" vertical="center" wrapText="1"/>
    </xf>
    <xf numFmtId="172" fontId="5" fillId="0" borderId="0" applyFill="0" applyBorder="0">
      <alignment horizontal="right"/>
      <protection locked="0"/>
    </xf>
    <xf numFmtId="0" fontId="18" fillId="0" borderId="0" applyFont="0" applyFill="0" applyBorder="0" applyAlignment="0"/>
    <xf numFmtId="7" fontId="19" fillId="0" borderId="0" applyFont="0" applyFill="0" applyBorder="0" applyAlignment="0" applyProtection="0"/>
    <xf numFmtId="5" fontId="16" fillId="0" borderId="0" applyFont="0" applyFill="0" applyBorder="0" applyAlignment="0" applyProtection="0"/>
    <xf numFmtId="173" fontId="6" fillId="0" borderId="0" applyFill="0" applyBorder="0" applyProtection="0">
      <alignment horizontal="right"/>
    </xf>
    <xf numFmtId="174" fontId="3" fillId="2" borderId="7">
      <alignment horizontal="right"/>
    </xf>
    <xf numFmtId="175" fontId="3" fillId="2" borderId="7">
      <alignment horizontal="right"/>
    </xf>
    <xf numFmtId="174" fontId="3" fillId="2" borderId="7">
      <alignment horizontal="right"/>
    </xf>
    <xf numFmtId="15" fontId="20" fillId="0" borderId="0" applyFill="0" applyBorder="0" applyAlignment="0"/>
    <xf numFmtId="176" fontId="18" fillId="24" borderId="0" applyFont="0" applyFill="0" applyBorder="0" applyAlignment="0" applyProtection="0"/>
    <xf numFmtId="177" fontId="20" fillId="0" borderId="6"/>
    <xf numFmtId="14" fontId="21" fillId="0" borderId="0" applyFont="0" applyFill="0" applyBorder="0" applyAlignment="0" applyProtection="0">
      <alignment horizontal="center"/>
    </xf>
    <xf numFmtId="178" fontId="21" fillId="0" borderId="0" applyFont="0" applyFill="0" applyBorder="0" applyAlignment="0" applyProtection="0">
      <alignment horizontal="center"/>
    </xf>
    <xf numFmtId="179" fontId="6" fillId="0" borderId="0" applyFont="0" applyFill="0" applyBorder="0" applyAlignment="0" applyProtection="0"/>
    <xf numFmtId="8" fontId="10" fillId="0" borderId="0" applyFont="0" applyFill="0" applyBorder="0" applyAlignment="0" applyProtection="0"/>
    <xf numFmtId="6" fontId="10" fillId="0" borderId="0" applyFont="0" applyFill="0" applyBorder="0" applyAlignment="0" applyProtection="0">
      <alignment horizontal="right"/>
    </xf>
    <xf numFmtId="6" fontId="10" fillId="0" borderId="0" applyFont="0" applyFill="0" applyBorder="0" applyAlignment="0" applyProtection="0"/>
    <xf numFmtId="39" fontId="3" fillId="25" borderId="0"/>
    <xf numFmtId="7" fontId="3" fillId="25" borderId="0" applyBorder="0"/>
    <xf numFmtId="180" fontId="3" fillId="25" borderId="0"/>
    <xf numFmtId="181" fontId="3" fillId="0" borderId="0"/>
    <xf numFmtId="182" fontId="3" fillId="25" borderId="0"/>
    <xf numFmtId="183" fontId="3" fillId="25" borderId="0"/>
    <xf numFmtId="184" fontId="11" fillId="0" borderId="0" applyFont="0" applyFill="0" applyBorder="0" applyProtection="0">
      <alignment horizontal="left"/>
      <protection locked="0"/>
    </xf>
    <xf numFmtId="185" fontId="3" fillId="0" borderId="0"/>
    <xf numFmtId="186" fontId="11" fillId="0" borderId="0" applyFont="0" applyFill="0" applyBorder="0" applyProtection="0">
      <alignment horizontal="left"/>
      <protection locked="0"/>
    </xf>
    <xf numFmtId="187" fontId="5" fillId="0" borderId="0" applyFont="0" applyFill="0" applyBorder="0" applyAlignment="0" applyProtection="0"/>
    <xf numFmtId="0" fontId="22" fillId="0" borderId="0" applyNumberFormat="0" applyFill="0" applyBorder="0" applyAlignment="0" applyProtection="0"/>
    <xf numFmtId="169" fontId="3" fillId="0" borderId="8"/>
    <xf numFmtId="188" fontId="3" fillId="2" borderId="7">
      <alignment horizontal="right"/>
    </xf>
    <xf numFmtId="189" fontId="3" fillId="2" borderId="7">
      <alignment horizontal="right"/>
    </xf>
    <xf numFmtId="188" fontId="3" fillId="2" borderId="7">
      <alignment horizontal="right"/>
    </xf>
    <xf numFmtId="190" fontId="10" fillId="0" borderId="0" applyFill="0" applyBorder="0" applyAlignment="0" applyProtection="0">
      <protection locked="0"/>
    </xf>
    <xf numFmtId="0" fontId="23" fillId="5" borderId="0" applyNumberFormat="0" applyBorder="0" applyAlignment="0" applyProtection="0"/>
    <xf numFmtId="191" fontId="24" fillId="0" borderId="0" applyFill="0" applyBorder="0" applyAlignment="0" applyProtection="0"/>
    <xf numFmtId="169" fontId="25" fillId="0" borderId="0" applyAlignment="0">
      <alignment horizontal="left"/>
      <protection locked="0"/>
    </xf>
    <xf numFmtId="190" fontId="6" fillId="26" borderId="9" applyNumberFormat="0" applyFon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190" fontId="29" fillId="0" borderId="0" applyNumberFormat="0" applyFill="0" applyBorder="0" applyAlignment="0" applyProtection="0"/>
    <xf numFmtId="0" fontId="30" fillId="0" borderId="0"/>
    <xf numFmtId="171" fontId="10" fillId="0" borderId="0" applyFont="0" applyFill="0" applyBorder="0" applyAlignment="0" applyProtection="0"/>
    <xf numFmtId="38" fontId="10" fillId="0" borderId="0" applyFill="0" applyBorder="0" applyAlignment="0" applyProtection="0">
      <alignment horizontal="right"/>
      <protection locked="0"/>
    </xf>
    <xf numFmtId="0" fontId="31" fillId="8" borderId="3" applyNumberFormat="0" applyAlignment="0" applyProtection="0"/>
    <xf numFmtId="0" fontId="18" fillId="24" borderId="0" applyFont="0" applyBorder="0" applyAlignment="0">
      <protection locked="0"/>
    </xf>
    <xf numFmtId="0" fontId="5" fillId="0" borderId="0" applyFill="0" applyBorder="0">
      <alignment horizontal="right"/>
      <protection locked="0"/>
    </xf>
    <xf numFmtId="17" fontId="32" fillId="27" borderId="0"/>
    <xf numFmtId="192" fontId="5" fillId="0" borderId="0" applyFill="0" applyBorder="0">
      <alignment horizontal="right"/>
      <protection locked="0"/>
    </xf>
    <xf numFmtId="0" fontId="33" fillId="28" borderId="13">
      <alignment horizontal="left" vertical="center" wrapText="1"/>
    </xf>
    <xf numFmtId="0" fontId="34" fillId="0" borderId="14" applyNumberFormat="0" applyFill="0" applyAlignment="0" applyProtection="0"/>
    <xf numFmtId="193" fontId="10" fillId="0" borderId="0" applyFont="0" applyFill="0" applyBorder="0" applyAlignment="0" applyProtection="0">
      <alignment horizontal="right"/>
    </xf>
    <xf numFmtId="194" fontId="3" fillId="0" borderId="0">
      <alignment horizontal="right"/>
    </xf>
    <xf numFmtId="195" fontId="3" fillId="25" borderId="0">
      <alignment horizontal="right"/>
    </xf>
    <xf numFmtId="196" fontId="3" fillId="0" borderId="0">
      <alignment horizontal="right"/>
    </xf>
    <xf numFmtId="194" fontId="3" fillId="0" borderId="0">
      <alignment horizontal="right"/>
    </xf>
    <xf numFmtId="169" fontId="35" fillId="0" borderId="0" applyFill="0" applyBorder="0" applyAlignment="0" applyProtection="0">
      <alignment horizontal="right"/>
    </xf>
    <xf numFmtId="169" fontId="35" fillId="0" borderId="0" applyFill="0" applyBorder="0" applyAlignment="0" applyProtection="0"/>
    <xf numFmtId="197" fontId="3" fillId="2" borderId="7">
      <alignment horizontal="right"/>
    </xf>
    <xf numFmtId="198" fontId="10" fillId="0" borderId="0" applyFont="0" applyFill="0" applyBorder="0" applyAlignment="0" applyProtection="0"/>
    <xf numFmtId="0" fontId="16" fillId="2" borderId="0" applyFont="0" applyBorder="0" applyAlignment="0" applyProtection="0">
      <alignment horizontal="right"/>
      <protection hidden="1"/>
    </xf>
    <xf numFmtId="0" fontId="36" fillId="26" borderId="0" applyNumberFormat="0" applyBorder="0" applyAlignment="0" applyProtection="0"/>
    <xf numFmtId="37" fontId="19" fillId="0" borderId="0" applyFont="0" applyFill="0" applyBorder="0" applyAlignment="0" applyProtection="0"/>
    <xf numFmtId="199" fontId="5" fillId="0" borderId="0" applyFont="0" applyFill="0" applyBorder="0" applyAlignment="0" applyProtection="0"/>
    <xf numFmtId="39" fontId="5" fillId="0" borderId="0" applyFont="0" applyFill="0" applyBorder="0" applyAlignment="0" applyProtection="0"/>
    <xf numFmtId="200" fontId="5" fillId="0" borderId="0" applyFont="0" applyFill="0" applyBorder="0" applyAlignment="0" applyProtection="0"/>
    <xf numFmtId="0" fontId="5" fillId="0" borderId="0"/>
    <xf numFmtId="0" fontId="20" fillId="0" borderId="0" applyNumberFormat="0" applyFill="0" applyBorder="0" applyAlignment="0" applyProtection="0"/>
    <xf numFmtId="0" fontId="18" fillId="0" borderId="0" applyFont="0" applyFill="0" applyBorder="0" applyAlignment="0" applyProtection="0"/>
    <xf numFmtId="201" fontId="18" fillId="0" borderId="0" applyFont="0" applyFill="0" applyBorder="0" applyAlignment="0" applyProtection="0"/>
    <xf numFmtId="0" fontId="7" fillId="29" borderId="15" applyNumberFormat="0" applyFont="0" applyAlignment="0" applyProtection="0"/>
    <xf numFmtId="0" fontId="16" fillId="0" borderId="0" applyFont="0" applyFill="0" applyBorder="0" applyAlignment="0" applyProtection="0"/>
    <xf numFmtId="202" fontId="5" fillId="0" borderId="0" applyFont="0" applyFill="0" applyBorder="0" applyAlignment="0" applyProtection="0"/>
    <xf numFmtId="0" fontId="16" fillId="0" borderId="0" applyFont="0" applyFill="0" applyBorder="0" applyAlignment="0" applyProtection="0"/>
    <xf numFmtId="0" fontId="37" fillId="21" borderId="16" applyNumberFormat="0" applyAlignment="0" applyProtection="0"/>
    <xf numFmtId="203" fontId="10" fillId="0" borderId="0" applyFont="0" applyFill="0" applyBorder="0" applyAlignment="0" applyProtection="0">
      <alignment horizontal="right"/>
    </xf>
    <xf numFmtId="0" fontId="38" fillId="0" borderId="0" applyNumberFormat="0" applyFill="0" applyBorder="0" applyAlignment="0" applyProtection="0"/>
    <xf numFmtId="0" fontId="18" fillId="0" borderId="0"/>
    <xf numFmtId="204" fontId="3" fillId="25" borderId="0"/>
    <xf numFmtId="9" fontId="10" fillId="0" borderId="0" applyFont="0" applyFill="0" applyBorder="0" applyAlignment="0" applyProtection="0">
      <alignment horizontal="right"/>
    </xf>
    <xf numFmtId="205" fontId="3" fillId="0" borderId="0"/>
    <xf numFmtId="0" fontId="5" fillId="0" borderId="0" applyFont="0" applyFill="0" applyBorder="0" applyAlignment="0"/>
    <xf numFmtId="165" fontId="5" fillId="0" borderId="0" applyFont="0" applyFill="0" applyBorder="0" applyAlignment="0" applyProtection="0"/>
    <xf numFmtId="206" fontId="5" fillId="0" borderId="0" applyFont="0" applyFill="0" applyBorder="0" applyAlignment="0" applyProtection="0"/>
    <xf numFmtId="207" fontId="5" fillId="0" borderId="0" applyFill="0" applyBorder="0">
      <alignment horizontal="right"/>
      <protection locked="0"/>
    </xf>
    <xf numFmtId="191" fontId="10" fillId="0" borderId="0" applyFont="0" applyFill="0" applyBorder="0" applyAlignment="0" applyProtection="0"/>
    <xf numFmtId="8" fontId="10" fillId="0" borderId="0" applyFont="0" applyFill="0" applyBorder="0" applyAlignment="0" applyProtection="0"/>
    <xf numFmtId="171" fontId="10" fillId="0" borderId="0" applyFont="0" applyFill="0" applyBorder="0" applyAlignment="0" applyProtection="0">
      <protection locked="0"/>
    </xf>
    <xf numFmtId="190" fontId="10" fillId="0" borderId="0" applyFill="0" applyBorder="0" applyAlignment="0" applyProtection="0"/>
    <xf numFmtId="38" fontId="10" fillId="0" borderId="0" applyFont="0" applyFill="0" applyBorder="0" applyAlignment="0" applyProtection="0"/>
    <xf numFmtId="167" fontId="3" fillId="2" borderId="17">
      <alignment horizontal="right"/>
    </xf>
    <xf numFmtId="208" fontId="39" fillId="2" borderId="0"/>
    <xf numFmtId="209" fontId="3" fillId="2" borderId="0"/>
    <xf numFmtId="0" fontId="40" fillId="0" borderId="0">
      <alignment horizontal="center"/>
    </xf>
    <xf numFmtId="0" fontId="3" fillId="0" borderId="6">
      <alignment horizontal="centerContinuous"/>
    </xf>
    <xf numFmtId="210" fontId="3" fillId="2" borderId="0">
      <alignment horizontal="right"/>
    </xf>
    <xf numFmtId="211" fontId="3" fillId="2" borderId="7">
      <alignment horizontal="right"/>
    </xf>
    <xf numFmtId="212" fontId="5" fillId="0" borderId="0">
      <alignment horizontal="right"/>
      <protection locked="0"/>
    </xf>
    <xf numFmtId="190" fontId="21" fillId="0" borderId="0" applyFont="0" applyFill="0" applyBorder="0" applyAlignment="0" applyProtection="0"/>
    <xf numFmtId="0" fontId="41" fillId="0" borderId="0" applyNumberFormat="0" applyFill="0" applyBorder="0" applyProtection="0">
      <alignment horizontal="right" vertical="center"/>
    </xf>
    <xf numFmtId="0" fontId="42" fillId="23" borderId="9">
      <alignment horizontal="center" vertical="center" wrapText="1"/>
      <protection hidden="1"/>
    </xf>
    <xf numFmtId="171" fontId="10" fillId="0" borderId="0" applyFill="0" applyBorder="0" applyAlignment="0" applyProtection="0">
      <protection locked="0"/>
    </xf>
    <xf numFmtId="213" fontId="21" fillId="0" borderId="0" applyFont="0" applyFill="0" applyBorder="0" applyAlignment="0" applyProtection="0">
      <alignment horizontal="right"/>
    </xf>
    <xf numFmtId="38" fontId="5" fillId="0" borderId="0" applyFont="0" applyFill="0" applyBorder="0" applyAlignment="0" applyProtection="0"/>
    <xf numFmtId="0" fontId="43" fillId="0" borderId="18" applyNumberFormat="0" applyFill="0" applyProtection="0">
      <alignment horizontal="left" vertical="top" wrapText="1"/>
    </xf>
    <xf numFmtId="0" fontId="30" fillId="0" borderId="0" applyNumberFormat="0" applyFill="0" applyBorder="0" applyProtection="0">
      <alignment horizontal="left" vertical="top" wrapText="1"/>
    </xf>
    <xf numFmtId="0" fontId="44" fillId="0" borderId="0" applyNumberFormat="0" applyFill="0" applyProtection="0">
      <alignment horizontal="left" vertical="top" wrapText="1"/>
    </xf>
    <xf numFmtId="0" fontId="45" fillId="0" borderId="0" applyNumberFormat="0" applyFill="0" applyBorder="0" applyProtection="0"/>
    <xf numFmtId="0" fontId="46" fillId="30" borderId="0" applyNumberFormat="0" applyBorder="0" applyProtection="0"/>
    <xf numFmtId="0" fontId="47" fillId="0" borderId="0" applyNumberFormat="0" applyFill="0" applyBorder="0" applyProtection="0">
      <alignment vertical="top"/>
    </xf>
    <xf numFmtId="214" fontId="48" fillId="0" borderId="0" applyFill="0" applyBorder="0" applyProtection="0">
      <alignment horizontal="right" wrapText="1"/>
    </xf>
    <xf numFmtId="215" fontId="48" fillId="0" borderId="0" applyFill="0" applyBorder="0" applyProtection="0">
      <alignment horizontal="right"/>
    </xf>
    <xf numFmtId="4" fontId="18" fillId="0" borderId="0" applyFill="0" applyBorder="0" applyProtection="0">
      <alignment horizontal="right"/>
    </xf>
    <xf numFmtId="183" fontId="49" fillId="0" borderId="0" applyFill="0" applyBorder="0" applyAlignment="0" applyProtection="0"/>
    <xf numFmtId="216" fontId="50" fillId="0" borderId="0" applyFill="0" applyBorder="0" applyAlignment="0" applyProtection="0">
      <alignment horizontal="left"/>
      <protection locked="0"/>
    </xf>
    <xf numFmtId="216" fontId="50" fillId="0" borderId="0" applyFill="0" applyBorder="0" applyAlignment="0" applyProtection="0"/>
    <xf numFmtId="216" fontId="51" fillId="0" borderId="0" applyFill="0" applyBorder="0" applyAlignment="0" applyProtection="0">
      <alignment horizontal="left"/>
      <protection locked="0"/>
    </xf>
    <xf numFmtId="216" fontId="51" fillId="0" borderId="0" applyFill="0" applyBorder="0" applyAlignment="0" applyProtection="0">
      <protection locked="0"/>
    </xf>
    <xf numFmtId="190" fontId="10" fillId="0" borderId="0" applyFill="0" applyBorder="0" applyAlignment="0" applyProtection="0">
      <protection locked="0"/>
    </xf>
    <xf numFmtId="190" fontId="49" fillId="0" borderId="0" applyFill="0" applyBorder="0" applyAlignment="0" applyProtection="0"/>
    <xf numFmtId="49" fontId="52" fillId="0" borderId="0"/>
    <xf numFmtId="217" fontId="5" fillId="0" borderId="0" applyFont="0" applyFill="0" applyBorder="0" applyAlignment="0" applyProtection="0"/>
    <xf numFmtId="218" fontId="5" fillId="0" borderId="0" applyFont="0" applyFill="0" applyBorder="0" applyAlignment="0" applyProtection="0"/>
    <xf numFmtId="0" fontId="53" fillId="0" borderId="0" applyNumberFormat="0" applyFill="0" applyBorder="0" applyAlignment="0" applyProtection="0"/>
    <xf numFmtId="0" fontId="54" fillId="1" borderId="0" applyNumberFormat="0" applyBorder="0" applyProtection="0">
      <alignment horizontal="left" vertical="center"/>
    </xf>
    <xf numFmtId="190" fontId="55" fillId="0" borderId="0" applyNumberFormat="0" applyFill="0" applyBorder="0" applyAlignment="0" applyProtection="0"/>
    <xf numFmtId="0" fontId="5" fillId="0" borderId="0" applyBorder="0"/>
    <xf numFmtId="38" fontId="56" fillId="0" borderId="0" applyFill="0" applyBorder="0" applyAlignment="0" applyProtection="0">
      <alignment horizontal="left"/>
    </xf>
    <xf numFmtId="0" fontId="57" fillId="0" borderId="0"/>
    <xf numFmtId="0" fontId="58" fillId="0" borderId="19" applyNumberFormat="0" applyFill="0" applyAlignment="0" applyProtection="0"/>
    <xf numFmtId="0" fontId="59" fillId="0" borderId="0" applyNumberFormat="0" applyFill="0" applyBorder="0" applyAlignment="0" applyProtection="0"/>
    <xf numFmtId="1" fontId="10" fillId="0" borderId="0" applyFont="0" applyFill="0" applyBorder="0" applyAlignment="0" applyProtection="0"/>
    <xf numFmtId="219" fontId="19" fillId="0" borderId="0" applyFont="0" applyFill="0" applyBorder="0" applyAlignment="0" applyProtection="0"/>
    <xf numFmtId="0" fontId="65" fillId="36" borderId="29"/>
    <xf numFmtId="0" fontId="82" fillId="0" borderId="0" applyNumberFormat="0" applyFill="0" applyBorder="0" applyAlignment="0" applyProtection="0">
      <alignment vertical="top"/>
      <protection locked="0"/>
    </xf>
    <xf numFmtId="240" fontId="20" fillId="0" borderId="0" applyFill="0" applyBorder="0" applyAlignment="0" applyProtection="0">
      <alignment horizontal="right"/>
    </xf>
    <xf numFmtId="0" fontId="83" fillId="0" borderId="0" applyAlignment="0"/>
    <xf numFmtId="0" fontId="84" fillId="0" borderId="0" applyAlignment="0"/>
    <xf numFmtId="0" fontId="46" fillId="37" borderId="0" applyAlignment="0"/>
    <xf numFmtId="241" fontId="18" fillId="0" borderId="30" applyFont="0" applyFill="0" applyBorder="0" applyAlignment="0" applyProtection="0"/>
    <xf numFmtId="242" fontId="20" fillId="0" borderId="0" applyFont="0" applyFill="0" applyBorder="0" applyAlignment="0" applyProtection="0"/>
    <xf numFmtId="243" fontId="18" fillId="0" borderId="0" applyFont="0" applyFill="0" applyBorder="0" applyAlignment="0" applyProtection="0"/>
    <xf numFmtId="176" fontId="85" fillId="24" borderId="31" applyFont="0" applyFill="0" applyBorder="0" applyAlignment="0" applyProtection="0"/>
    <xf numFmtId="0" fontId="86" fillId="0" borderId="0" applyAlignment="0"/>
    <xf numFmtId="14" fontId="20" fillId="0" borderId="6" applyFont="0" applyFill="0" applyBorder="0" applyAlignment="0" applyProtection="0"/>
    <xf numFmtId="0" fontId="87" fillId="38" borderId="0" applyAlignment="0"/>
    <xf numFmtId="0" fontId="88" fillId="39" borderId="0" applyAlignment="0"/>
    <xf numFmtId="0" fontId="89" fillId="0" borderId="0" applyAlignment="0"/>
    <xf numFmtId="244" fontId="18" fillId="0" borderId="0" applyFont="0" applyFill="0" applyBorder="0" applyAlignment="0" applyProtection="0">
      <alignment horizontal="right"/>
    </xf>
    <xf numFmtId="190" fontId="90" fillId="0" borderId="0" applyNumberFormat="0" applyFill="0" applyBorder="0" applyAlignment="0" applyProtection="0">
      <alignment horizontal="left"/>
    </xf>
    <xf numFmtId="0" fontId="91" fillId="40" borderId="0" applyAlignment="0"/>
    <xf numFmtId="0" fontId="92" fillId="0" borderId="0" applyAlignment="0"/>
    <xf numFmtId="0" fontId="93" fillId="0" borderId="0" applyAlignment="0"/>
    <xf numFmtId="0" fontId="94" fillId="0" borderId="0" applyAlignment="0"/>
    <xf numFmtId="0" fontId="95" fillId="0" borderId="0" applyAlignment="0"/>
    <xf numFmtId="0" fontId="47" fillId="0" borderId="0" applyAlignment="0"/>
    <xf numFmtId="245" fontId="18" fillId="0" borderId="0" applyFont="0" applyFill="0" applyBorder="0" applyAlignment="0" applyProtection="0">
      <alignment horizontal="right"/>
    </xf>
    <xf numFmtId="0" fontId="96" fillId="0" borderId="0" applyAlignment="0"/>
    <xf numFmtId="246" fontId="18" fillId="0" borderId="0" applyFont="0" applyFill="0" applyBorder="0" applyAlignment="0"/>
  </cellStyleXfs>
  <cellXfs count="199">
    <xf numFmtId="0" fontId="0" fillId="0" borderId="0" xfId="0"/>
    <xf numFmtId="0" fontId="0" fillId="0" borderId="0" xfId="0" applyBorder="1"/>
    <xf numFmtId="0" fontId="2" fillId="0" borderId="1" xfId="0" applyFont="1" applyBorder="1"/>
    <xf numFmtId="0" fontId="0" fillId="0" borderId="1" xfId="0" applyBorder="1"/>
    <xf numFmtId="0" fontId="60" fillId="0" borderId="1" xfId="0" applyFont="1" applyBorder="1"/>
    <xf numFmtId="0" fontId="0" fillId="0" borderId="1" xfId="0" applyFill="1" applyBorder="1"/>
    <xf numFmtId="0" fontId="62" fillId="0" borderId="0" xfId="0" applyFont="1" applyFill="1" applyBorder="1"/>
    <xf numFmtId="0" fontId="61" fillId="0" borderId="0" xfId="0" applyFont="1"/>
    <xf numFmtId="0" fontId="0" fillId="0" borderId="0" xfId="0" applyFont="1" applyBorder="1"/>
    <xf numFmtId="0" fontId="62" fillId="0" borderId="0" xfId="0" applyFont="1" applyBorder="1"/>
    <xf numFmtId="0" fontId="0" fillId="0" borderId="0" xfId="0" applyFont="1" applyFill="1" applyBorder="1"/>
    <xf numFmtId="0" fontId="0" fillId="0" borderId="0" xfId="0" applyFont="1"/>
    <xf numFmtId="0" fontId="63" fillId="33" borderId="0" xfId="0" applyFont="1" applyFill="1"/>
    <xf numFmtId="0" fontId="65" fillId="0" borderId="0" xfId="0" applyNumberFormat="1" applyFont="1" applyFill="1" applyBorder="1" applyAlignment="1"/>
    <xf numFmtId="0" fontId="65" fillId="0" borderId="21" xfId="0" applyNumberFormat="1" applyFont="1" applyFill="1" applyBorder="1" applyAlignment="1">
      <alignment horizontal="right"/>
    </xf>
    <xf numFmtId="0" fontId="65" fillId="0" borderId="21" xfId="0" applyNumberFormat="1" applyFont="1" applyFill="1" applyBorder="1" applyAlignment="1">
      <alignment horizontal="right" wrapText="1"/>
    </xf>
    <xf numFmtId="224" fontId="0" fillId="0" borderId="0" xfId="0" applyNumberFormat="1" applyFont="1" applyBorder="1"/>
    <xf numFmtId="221" fontId="67" fillId="0" borderId="0" xfId="0" applyNumberFormat="1" applyFont="1"/>
    <xf numFmtId="224" fontId="0" fillId="0" borderId="0" xfId="0" applyNumberFormat="1" applyFont="1"/>
    <xf numFmtId="0" fontId="0" fillId="0" borderId="1" xfId="0" applyFont="1" applyBorder="1"/>
    <xf numFmtId="0" fontId="0" fillId="0" borderId="1" xfId="0" applyFont="1" applyFill="1" applyBorder="1"/>
    <xf numFmtId="0" fontId="62" fillId="35" borderId="1" xfId="0" applyFont="1" applyFill="1" applyBorder="1"/>
    <xf numFmtId="0" fontId="0" fillId="35" borderId="1" xfId="0" applyFont="1" applyFill="1" applyBorder="1"/>
    <xf numFmtId="226" fontId="62" fillId="35" borderId="1" xfId="0" applyNumberFormat="1" applyFont="1" applyFill="1" applyBorder="1" applyAlignment="1">
      <alignment horizontal="right"/>
    </xf>
    <xf numFmtId="0" fontId="0" fillId="0" borderId="0" xfId="0" applyFont="1" applyBorder="1" applyAlignment="1">
      <alignment horizontal="left" indent="1"/>
    </xf>
    <xf numFmtId="0" fontId="0" fillId="0" borderId="0" xfId="0" applyFont="1" applyFill="1" applyBorder="1" applyAlignment="1">
      <alignment horizontal="left" indent="1"/>
    </xf>
    <xf numFmtId="0" fontId="62" fillId="35" borderId="0" xfId="0" applyFont="1" applyFill="1"/>
    <xf numFmtId="0" fontId="69" fillId="31" borderId="20" xfId="0" applyFont="1" applyFill="1" applyBorder="1"/>
    <xf numFmtId="221" fontId="0" fillId="0" borderId="0" xfId="0" applyNumberFormat="1" applyFont="1" applyBorder="1"/>
    <xf numFmtId="0" fontId="0" fillId="0" borderId="2" xfId="0" applyFont="1" applyBorder="1"/>
    <xf numFmtId="225" fontId="0" fillId="0" borderId="0" xfId="0" applyNumberFormat="1" applyFont="1"/>
    <xf numFmtId="213" fontId="0" fillId="0" borderId="0" xfId="0" applyNumberFormat="1" applyFont="1"/>
    <xf numFmtId="200" fontId="0" fillId="0" borderId="0" xfId="0" applyNumberFormat="1" applyFont="1"/>
    <xf numFmtId="0" fontId="0" fillId="0" borderId="0" xfId="0" applyFont="1" applyAlignment="1">
      <alignment horizontal="left" indent="1"/>
    </xf>
    <xf numFmtId="0" fontId="0" fillId="0" borderId="0" xfId="0" applyFont="1" applyBorder="1" applyAlignment="1">
      <alignment horizontal="left"/>
    </xf>
    <xf numFmtId="0" fontId="0" fillId="35" borderId="0" xfId="0" applyFont="1" applyFill="1"/>
    <xf numFmtId="0" fontId="0" fillId="0" borderId="0" xfId="0" applyFont="1" applyFill="1"/>
    <xf numFmtId="0" fontId="71" fillId="0" borderId="0" xfId="0" applyFont="1" applyFill="1" applyBorder="1"/>
    <xf numFmtId="0" fontId="71" fillId="0" borderId="0" xfId="0" applyFont="1"/>
    <xf numFmtId="0" fontId="72" fillId="0" borderId="0" xfId="0" applyFont="1" applyFill="1" applyBorder="1"/>
    <xf numFmtId="0" fontId="72" fillId="0" borderId="0" xfId="0" applyFont="1"/>
    <xf numFmtId="0" fontId="62" fillId="0" borderId="0" xfId="0" applyFont="1"/>
    <xf numFmtId="226" fontId="62" fillId="35" borderId="1" xfId="0" applyNumberFormat="1" applyFont="1" applyFill="1" applyBorder="1" applyAlignment="1">
      <alignment horizontal="left"/>
    </xf>
    <xf numFmtId="228" fontId="0" fillId="0" borderId="0" xfId="0" applyNumberFormat="1" applyFont="1" applyAlignment="1">
      <alignment horizontal="right"/>
    </xf>
    <xf numFmtId="0" fontId="61" fillId="0" borderId="0" xfId="0" applyFont="1" applyFill="1" applyBorder="1"/>
    <xf numFmtId="0" fontId="68" fillId="0" borderId="21" xfId="0" applyFont="1" applyBorder="1" applyAlignment="1">
      <alignment horizontal="right" wrapText="1"/>
    </xf>
    <xf numFmtId="226" fontId="0" fillId="0" borderId="0" xfId="0" applyNumberFormat="1" applyFont="1" applyFill="1" applyBorder="1" applyAlignment="1">
      <alignment horizontal="left"/>
    </xf>
    <xf numFmtId="228" fontId="64" fillId="33" borderId="0" xfId="0" applyNumberFormat="1" applyFont="1" applyFill="1" applyAlignment="1">
      <alignment horizontal="right"/>
    </xf>
    <xf numFmtId="0" fontId="64" fillId="33" borderId="0" xfId="0" applyFont="1" applyFill="1"/>
    <xf numFmtId="0" fontId="68" fillId="0" borderId="21" xfId="0" applyFont="1" applyFill="1" applyBorder="1" applyAlignment="1">
      <alignment horizontal="right" wrapText="1"/>
    </xf>
    <xf numFmtId="0" fontId="62" fillId="0" borderId="1" xfId="0" applyFont="1" applyFill="1" applyBorder="1" applyAlignment="1">
      <alignment horizontal="centerContinuous"/>
    </xf>
    <xf numFmtId="228" fontId="0" fillId="0" borderId="1" xfId="0" applyNumberFormat="1" applyFont="1" applyFill="1" applyBorder="1" applyAlignment="1">
      <alignment horizontal="centerContinuous"/>
    </xf>
    <xf numFmtId="0" fontId="68" fillId="0" borderId="21" xfId="0" applyFont="1" applyFill="1" applyBorder="1" applyAlignment="1">
      <alignment horizontal="left" wrapText="1"/>
    </xf>
    <xf numFmtId="0" fontId="74" fillId="0" borderId="1" xfId="0" applyFont="1" applyBorder="1"/>
    <xf numFmtId="0" fontId="0" fillId="0" borderId="0" xfId="0" applyFont="1" applyFill="1" applyBorder="1" applyAlignment="1">
      <alignment horizontal="left"/>
    </xf>
    <xf numFmtId="0" fontId="62" fillId="0" borderId="0" xfId="0" applyFont="1" applyBorder="1" applyAlignment="1">
      <alignment horizontal="left" indent="1"/>
    </xf>
    <xf numFmtId="232" fontId="0" fillId="0" borderId="0" xfId="0" applyNumberFormat="1" applyFont="1" applyBorder="1"/>
    <xf numFmtId="232" fontId="66" fillId="0" borderId="0" xfId="0" applyNumberFormat="1" applyFont="1"/>
    <xf numFmtId="232" fontId="0" fillId="0" borderId="0" xfId="0" applyNumberFormat="1" applyFont="1"/>
    <xf numFmtId="233" fontId="0" fillId="0" borderId="0" xfId="0" applyNumberFormat="1" applyFont="1" applyFill="1" applyBorder="1" applyAlignment="1">
      <alignment horizontal="left" indent="1"/>
    </xf>
    <xf numFmtId="232" fontId="66" fillId="0" borderId="0" xfId="0" applyNumberFormat="1" applyFont="1" applyBorder="1"/>
    <xf numFmtId="230" fontId="75" fillId="0" borderId="23" xfId="0" applyNumberFormat="1" applyFont="1" applyFill="1" applyBorder="1" applyAlignment="1">
      <alignment horizontal="right"/>
    </xf>
    <xf numFmtId="0" fontId="75" fillId="0" borderId="0" xfId="0" applyFont="1" applyFill="1" applyBorder="1"/>
    <xf numFmtId="0" fontId="0" fillId="0" borderId="24" xfId="0" applyFont="1" applyBorder="1"/>
    <xf numFmtId="0" fontId="0" fillId="0" borderId="0" xfId="0" quotePrefix="1" applyFont="1"/>
    <xf numFmtId="224" fontId="0" fillId="0" borderId="0" xfId="0" applyNumberFormat="1" applyFont="1" applyBorder="1" applyAlignment="1">
      <alignment horizontal="right"/>
    </xf>
    <xf numFmtId="234" fontId="64" fillId="33" borderId="0" xfId="0" applyNumberFormat="1" applyFont="1" applyFill="1" applyAlignment="1"/>
    <xf numFmtId="234" fontId="63" fillId="33" borderId="0" xfId="0" applyNumberFormat="1" applyFont="1" applyFill="1" applyAlignment="1"/>
    <xf numFmtId="0" fontId="76" fillId="35" borderId="0" xfId="0" applyFont="1" applyFill="1" applyAlignment="1">
      <alignment horizontal="left"/>
    </xf>
    <xf numFmtId="0" fontId="76" fillId="35" borderId="0" xfId="0" applyFont="1" applyFill="1" applyAlignment="1">
      <alignment horizontal="right"/>
    </xf>
    <xf numFmtId="0" fontId="77" fillId="35" borderId="0" xfId="0" applyFont="1" applyFill="1"/>
    <xf numFmtId="0" fontId="76" fillId="35" borderId="0" xfId="0" applyFont="1" applyFill="1" applyBorder="1" applyAlignment="1">
      <alignment horizontal="right"/>
    </xf>
    <xf numFmtId="0" fontId="77" fillId="35" borderId="0" xfId="0" applyFont="1" applyFill="1" applyAlignment="1">
      <alignment horizontal="left"/>
    </xf>
    <xf numFmtId="0" fontId="62" fillId="35" borderId="0" xfId="0" applyFont="1" applyFill="1" applyBorder="1"/>
    <xf numFmtId="0" fontId="0" fillId="35" borderId="0" xfId="0" applyFont="1" applyFill="1" applyBorder="1"/>
    <xf numFmtId="9" fontId="78" fillId="0" borderId="0" xfId="0" applyNumberFormat="1" applyFont="1" applyFill="1"/>
    <xf numFmtId="227" fontId="79" fillId="0" borderId="0" xfId="0" applyNumberFormat="1" applyFont="1" applyFill="1"/>
    <xf numFmtId="0" fontId="80" fillId="0" borderId="0" xfId="0" quotePrefix="1" applyFont="1"/>
    <xf numFmtId="0" fontId="75" fillId="0" borderId="0" xfId="0" applyFont="1"/>
    <xf numFmtId="226" fontId="63" fillId="33" borderId="0" xfId="0" applyNumberFormat="1" applyFont="1" applyFill="1"/>
    <xf numFmtId="0" fontId="0" fillId="0" borderId="26" xfId="0" applyFont="1" applyBorder="1"/>
    <xf numFmtId="199" fontId="0" fillId="0" borderId="26" xfId="0" applyNumberFormat="1" applyFont="1" applyBorder="1"/>
    <xf numFmtId="0" fontId="0" fillId="0" borderId="26" xfId="0" applyFont="1" applyFill="1" applyBorder="1"/>
    <xf numFmtId="224" fontId="0" fillId="0" borderId="23" xfId="0" applyNumberFormat="1" applyFont="1" applyBorder="1"/>
    <xf numFmtId="0" fontId="0" fillId="0" borderId="23" xfId="0" applyFont="1" applyBorder="1"/>
    <xf numFmtId="224" fontId="0" fillId="0" borderId="28" xfId="0" applyNumberFormat="1" applyFont="1" applyBorder="1"/>
    <xf numFmtId="0" fontId="0" fillId="0" borderId="26" xfId="0" applyBorder="1"/>
    <xf numFmtId="226" fontId="0" fillId="0" borderId="27" xfId="0" applyNumberFormat="1" applyFont="1" applyFill="1" applyBorder="1" applyAlignment="1">
      <alignment horizontal="left"/>
    </xf>
    <xf numFmtId="226" fontId="0" fillId="0" borderId="23" xfId="0" applyNumberFormat="1" applyFont="1" applyFill="1" applyBorder="1" applyAlignment="1">
      <alignment horizontal="left"/>
    </xf>
    <xf numFmtId="0" fontId="0" fillId="0" borderId="23" xfId="0" applyBorder="1"/>
    <xf numFmtId="224" fontId="0" fillId="0" borderId="23" xfId="0" applyNumberFormat="1" applyFont="1" applyBorder="1" applyAlignment="1">
      <alignment horizontal="right"/>
    </xf>
    <xf numFmtId="0" fontId="81" fillId="33" borderId="0" xfId="0" applyFont="1" applyFill="1"/>
    <xf numFmtId="0" fontId="68" fillId="0" borderId="0" xfId="0" applyFont="1" applyFill="1" applyBorder="1" applyAlignment="1">
      <alignment horizontal="right" wrapText="1"/>
    </xf>
    <xf numFmtId="224" fontId="0" fillId="0" borderId="0" xfId="0" applyNumberFormat="1"/>
    <xf numFmtId="226" fontId="0" fillId="0" borderId="0" xfId="0" applyNumberFormat="1" applyFont="1"/>
    <xf numFmtId="237" fontId="0" fillId="0" borderId="0" xfId="0" applyNumberFormat="1" applyFont="1"/>
    <xf numFmtId="231" fontId="62" fillId="0" borderId="0" xfId="0" applyNumberFormat="1" applyFont="1"/>
    <xf numFmtId="0" fontId="0" fillId="0" borderId="0" xfId="0" applyAlignment="1">
      <alignment horizontal="left" indent="1"/>
    </xf>
    <xf numFmtId="0" fontId="62" fillId="0" borderId="0" xfId="0" applyFont="1" applyAlignment="1">
      <alignment horizontal="left" indent="1"/>
    </xf>
    <xf numFmtId="234" fontId="63" fillId="33" borderId="0" xfId="0" applyNumberFormat="1" applyFont="1" applyFill="1" applyAlignment="1">
      <alignment horizontal="right"/>
    </xf>
    <xf numFmtId="0" fontId="74" fillId="0" borderId="21" xfId="0" applyFont="1" applyBorder="1"/>
    <xf numFmtId="0" fontId="0" fillId="0" borderId="21" xfId="0" applyBorder="1"/>
    <xf numFmtId="228" fontId="0" fillId="0" borderId="0" xfId="0" applyNumberFormat="1" applyFont="1"/>
    <xf numFmtId="0" fontId="68" fillId="0" borderId="0" xfId="0" applyFont="1" applyBorder="1" applyAlignment="1">
      <alignment horizontal="right" wrapText="1"/>
    </xf>
    <xf numFmtId="0" fontId="0" fillId="0" borderId="0" xfId="0" applyFill="1"/>
    <xf numFmtId="228" fontId="64" fillId="0" borderId="0" xfId="0" applyNumberFormat="1" applyFont="1" applyFill="1" applyAlignment="1">
      <alignment horizontal="right"/>
    </xf>
    <xf numFmtId="0" fontId="64" fillId="0" borderId="0" xfId="0" applyFont="1" applyFill="1"/>
    <xf numFmtId="234" fontId="64" fillId="0" borderId="0" xfId="0" applyNumberFormat="1" applyFont="1" applyFill="1" applyAlignment="1"/>
    <xf numFmtId="0" fontId="62" fillId="0" borderId="0" xfId="0" applyFont="1" applyAlignment="1">
      <alignment horizontal="left"/>
    </xf>
    <xf numFmtId="238" fontId="66" fillId="0" borderId="0" xfId="0" applyNumberFormat="1" applyFont="1"/>
    <xf numFmtId="239" fontId="66" fillId="0" borderId="0" xfId="0" applyNumberFormat="1" applyFont="1"/>
    <xf numFmtId="224" fontId="62" fillId="0" borderId="0" xfId="0" applyNumberFormat="1" applyFont="1"/>
    <xf numFmtId="0" fontId="68" fillId="0" borderId="0" xfId="0" applyFont="1" applyFill="1" applyBorder="1" applyAlignment="1">
      <alignment horizontal="left" wrapText="1"/>
    </xf>
    <xf numFmtId="0" fontId="0" fillId="0" borderId="0" xfId="0" applyFont="1" applyAlignment="1">
      <alignment horizontal="left"/>
    </xf>
    <xf numFmtId="200" fontId="66" fillId="0" borderId="0" xfId="0" applyNumberFormat="1" applyFont="1" applyFill="1" applyBorder="1" applyAlignment="1">
      <alignment horizontal="right"/>
    </xf>
    <xf numFmtId="200" fontId="62" fillId="0" borderId="0" xfId="0" applyNumberFormat="1" applyFont="1" applyBorder="1"/>
    <xf numFmtId="0" fontId="61" fillId="0" borderId="0" xfId="0" applyFont="1" applyBorder="1"/>
    <xf numFmtId="0" fontId="61" fillId="0" borderId="0" xfId="0" applyFont="1" applyFill="1" applyBorder="1" applyAlignment="1">
      <alignment horizontal="left"/>
    </xf>
    <xf numFmtId="0" fontId="66" fillId="35" borderId="9" xfId="0" applyNumberFormat="1" applyFont="1" applyFill="1" applyBorder="1" applyAlignment="1">
      <alignment horizontal="center"/>
    </xf>
    <xf numFmtId="2" fontId="0" fillId="0" borderId="0" xfId="0" applyNumberFormat="1" applyFont="1"/>
    <xf numFmtId="229" fontId="73" fillId="0" borderId="1" xfId="0" applyNumberFormat="1" applyFont="1" applyFill="1" applyBorder="1" applyAlignment="1">
      <alignment horizontal="center"/>
    </xf>
    <xf numFmtId="0" fontId="98" fillId="0" borderId="26" xfId="0" applyFont="1" applyBorder="1"/>
    <xf numFmtId="0" fontId="99" fillId="0" borderId="0" xfId="0" applyFont="1" applyBorder="1"/>
    <xf numFmtId="230" fontId="0" fillId="0" borderId="0" xfId="0" applyNumberFormat="1" applyFill="1" applyAlignment="1">
      <alignment horizontal="center"/>
    </xf>
    <xf numFmtId="0" fontId="97" fillId="32" borderId="0" xfId="0" applyNumberFormat="1" applyFont="1" applyFill="1" applyBorder="1" applyAlignment="1">
      <alignment horizontal="center" wrapText="1"/>
    </xf>
    <xf numFmtId="0" fontId="67" fillId="32" borderId="0" xfId="0" applyNumberFormat="1" applyFont="1" applyFill="1" applyBorder="1" applyAlignment="1">
      <alignment horizontal="center" wrapText="1"/>
    </xf>
    <xf numFmtId="0" fontId="70" fillId="32" borderId="0" xfId="0" applyNumberFormat="1" applyFont="1" applyFill="1" applyBorder="1" applyAlignment="1">
      <alignment horizontal="center"/>
    </xf>
    <xf numFmtId="0" fontId="67" fillId="32" borderId="0" xfId="0" applyNumberFormat="1" applyFont="1" applyFill="1" applyBorder="1" applyAlignment="1">
      <alignment horizontal="center"/>
    </xf>
    <xf numFmtId="230" fontId="67" fillId="32" borderId="0" xfId="0" applyNumberFormat="1" applyFont="1" applyFill="1" applyBorder="1" applyAlignment="1">
      <alignment horizontal="center"/>
    </xf>
    <xf numFmtId="7" fontId="70" fillId="32" borderId="0" xfId="0" applyNumberFormat="1" applyFont="1" applyFill="1" applyBorder="1" applyAlignment="1">
      <alignment horizontal="center"/>
    </xf>
    <xf numFmtId="0" fontId="100" fillId="35" borderId="0" xfId="0" applyFont="1" applyFill="1" applyAlignment="1">
      <alignment horizontal="left"/>
    </xf>
    <xf numFmtId="0" fontId="100" fillId="35" borderId="0" xfId="0" applyFont="1" applyFill="1" applyAlignment="1">
      <alignment horizontal="right"/>
    </xf>
    <xf numFmtId="0" fontId="100" fillId="35" borderId="0" xfId="0" applyFont="1" applyFill="1"/>
    <xf numFmtId="0" fontId="100" fillId="35" borderId="0" xfId="0" applyFont="1" applyFill="1" applyBorder="1" applyAlignment="1">
      <alignment horizontal="right"/>
    </xf>
    <xf numFmtId="0" fontId="100" fillId="35" borderId="0" xfId="0" applyFont="1" applyFill="1" applyBorder="1"/>
    <xf numFmtId="236" fontId="100" fillId="35" borderId="0" xfId="0" applyNumberFormat="1" applyFont="1" applyFill="1" applyBorder="1" applyAlignment="1">
      <alignment horizontal="right"/>
    </xf>
    <xf numFmtId="231" fontId="77" fillId="0" borderId="0" xfId="0" applyNumberFormat="1" applyFont="1" applyBorder="1"/>
    <xf numFmtId="231" fontId="77" fillId="0" borderId="0" xfId="0" applyNumberFormat="1" applyFont="1"/>
    <xf numFmtId="7" fontId="101" fillId="32" borderId="0" xfId="0" applyNumberFormat="1" applyFont="1" applyFill="1" applyBorder="1" applyAlignment="1">
      <alignment horizontal="center"/>
    </xf>
    <xf numFmtId="0" fontId="64" fillId="32" borderId="0" xfId="0" applyNumberFormat="1" applyFont="1" applyFill="1" applyBorder="1"/>
    <xf numFmtId="232" fontId="64" fillId="0" borderId="0" xfId="0" applyNumberFormat="1" applyFont="1" applyBorder="1"/>
    <xf numFmtId="0" fontId="64" fillId="0" borderId="0" xfId="0" applyFont="1" applyBorder="1"/>
    <xf numFmtId="0" fontId="64" fillId="32" borderId="0" xfId="0" applyNumberFormat="1" applyFont="1" applyFill="1"/>
    <xf numFmtId="0" fontId="64" fillId="32" borderId="1" xfId="0" applyNumberFormat="1" applyFont="1" applyFill="1" applyBorder="1"/>
    <xf numFmtId="0" fontId="0" fillId="32" borderId="0" xfId="0" applyFill="1"/>
    <xf numFmtId="0" fontId="0" fillId="32" borderId="0" xfId="0" applyFill="1" applyBorder="1"/>
    <xf numFmtId="0" fontId="0" fillId="32" borderId="1" xfId="0" applyFill="1" applyBorder="1"/>
    <xf numFmtId="232" fontId="63" fillId="0" borderId="0" xfId="0" applyNumberFormat="1" applyFont="1" applyBorder="1"/>
    <xf numFmtId="232" fontId="64" fillId="32" borderId="0" xfId="0" applyNumberFormat="1" applyFont="1" applyFill="1" applyBorder="1"/>
    <xf numFmtId="231" fontId="64" fillId="0" borderId="0" xfId="0" applyNumberFormat="1" applyFont="1" applyBorder="1"/>
    <xf numFmtId="200" fontId="64" fillId="0" borderId="0" xfId="0" applyNumberFormat="1" applyFont="1" applyBorder="1"/>
    <xf numFmtId="231" fontId="63" fillId="0" borderId="0" xfId="0" applyNumberFormat="1" applyFont="1" applyFill="1" applyBorder="1" applyAlignment="1">
      <alignment horizontal="right"/>
    </xf>
    <xf numFmtId="226" fontId="63" fillId="35" borderId="1" xfId="0" applyNumberFormat="1" applyFont="1" applyFill="1" applyBorder="1" applyAlignment="1">
      <alignment horizontal="right"/>
    </xf>
    <xf numFmtId="226" fontId="81" fillId="0" borderId="1" xfId="0" applyNumberFormat="1" applyFont="1" applyFill="1" applyBorder="1" applyAlignment="1">
      <alignment horizontal="right"/>
    </xf>
    <xf numFmtId="230" fontId="81" fillId="0" borderId="23" xfId="0" applyNumberFormat="1" applyFont="1" applyFill="1" applyBorder="1" applyAlignment="1">
      <alignment horizontal="right"/>
    </xf>
    <xf numFmtId="0" fontId="64" fillId="0" borderId="0" xfId="0" applyFont="1"/>
    <xf numFmtId="226" fontId="63" fillId="35" borderId="0" xfId="0" applyNumberFormat="1" applyFont="1" applyFill="1" applyBorder="1" applyAlignment="1">
      <alignment horizontal="right"/>
    </xf>
    <xf numFmtId="14" fontId="81" fillId="0" borderId="23" xfId="0" applyNumberFormat="1" applyFont="1" applyFill="1" applyBorder="1" applyAlignment="1">
      <alignment horizontal="right"/>
    </xf>
    <xf numFmtId="220" fontId="64" fillId="0" borderId="0" xfId="0" applyNumberFormat="1" applyFont="1"/>
    <xf numFmtId="230" fontId="102" fillId="0" borderId="1" xfId="0" applyNumberFormat="1" applyFont="1" applyBorder="1"/>
    <xf numFmtId="221" fontId="64" fillId="0" borderId="0" xfId="0" applyNumberFormat="1" applyFont="1" applyBorder="1"/>
    <xf numFmtId="199" fontId="64" fillId="0" borderId="0" xfId="0" applyNumberFormat="1" applyFont="1"/>
    <xf numFmtId="7" fontId="64" fillId="0" borderId="0" xfId="0" applyNumberFormat="1" applyFont="1" applyFill="1"/>
    <xf numFmtId="221" fontId="64" fillId="0" borderId="0" xfId="0" applyNumberFormat="1" applyFont="1"/>
    <xf numFmtId="7" fontId="64" fillId="0" borderId="0" xfId="0" applyNumberFormat="1" applyFont="1"/>
    <xf numFmtId="0" fontId="63" fillId="31" borderId="20" xfId="0" applyFont="1" applyFill="1" applyBorder="1"/>
    <xf numFmtId="200" fontId="64" fillId="0" borderId="0" xfId="0" applyNumberFormat="1" applyFont="1" applyFill="1" applyBorder="1"/>
    <xf numFmtId="213" fontId="63" fillId="0" borderId="2" xfId="0" applyNumberFormat="1" applyFont="1" applyBorder="1"/>
    <xf numFmtId="221" fontId="63" fillId="0" borderId="0" xfId="0" applyNumberFormat="1" applyFont="1" applyBorder="1"/>
    <xf numFmtId="220" fontId="64" fillId="0" borderId="0" xfId="0" applyNumberFormat="1" applyFont="1" applyBorder="1"/>
    <xf numFmtId="230" fontId="102" fillId="0" borderId="22" xfId="0" applyNumberFormat="1" applyFont="1" applyFill="1" applyBorder="1" applyAlignment="1"/>
    <xf numFmtId="7" fontId="103" fillId="0" borderId="0" xfId="0" applyNumberFormat="1" applyFont="1" applyFill="1"/>
    <xf numFmtId="223" fontId="64" fillId="0" borderId="0" xfId="0" applyNumberFormat="1" applyFont="1"/>
    <xf numFmtId="230" fontId="103" fillId="0" borderId="0" xfId="0" applyNumberFormat="1" applyFont="1" applyFill="1"/>
    <xf numFmtId="235" fontId="79" fillId="0" borderId="0" xfId="0" applyNumberFormat="1" applyFont="1" applyFill="1"/>
    <xf numFmtId="224" fontId="64" fillId="0" borderId="0" xfId="0" applyNumberFormat="1" applyFont="1" applyFill="1"/>
    <xf numFmtId="231" fontId="64" fillId="0" borderId="0" xfId="0" applyNumberFormat="1" applyFont="1" applyFill="1"/>
    <xf numFmtId="231" fontId="64" fillId="0" borderId="0" xfId="0" applyNumberFormat="1" applyFont="1"/>
    <xf numFmtId="231" fontId="64" fillId="0" borderId="0" xfId="0" applyNumberFormat="1" applyFont="1" applyFill="1" applyBorder="1" applyAlignment="1"/>
    <xf numFmtId="232" fontId="64" fillId="0" borderId="1" xfId="0" applyNumberFormat="1" applyFont="1" applyBorder="1"/>
    <xf numFmtId="232" fontId="64" fillId="0" borderId="1" xfId="0" applyNumberFormat="1" applyFont="1" applyFill="1" applyBorder="1" applyAlignment="1"/>
    <xf numFmtId="224" fontId="63" fillId="0" borderId="0" xfId="0" applyNumberFormat="1" applyFont="1" applyBorder="1"/>
    <xf numFmtId="213" fontId="63" fillId="0" borderId="0" xfId="0" applyNumberFormat="1" applyFont="1" applyBorder="1"/>
    <xf numFmtId="222" fontId="64" fillId="0" borderId="0" xfId="0" applyNumberFormat="1" applyFont="1"/>
    <xf numFmtId="228" fontId="64" fillId="0" borderId="0" xfId="0" applyNumberFormat="1" applyFont="1" applyAlignment="1">
      <alignment horizontal="right"/>
    </xf>
    <xf numFmtId="3" fontId="64" fillId="32" borderId="0" xfId="0" applyNumberFormat="1" applyFont="1" applyFill="1" applyBorder="1"/>
    <xf numFmtId="3" fontId="64" fillId="32" borderId="0" xfId="0" applyNumberFormat="1" applyFont="1" applyFill="1"/>
    <xf numFmtId="224" fontId="66" fillId="0" borderId="0" xfId="0" applyNumberFormat="1" applyFont="1"/>
    <xf numFmtId="224" fontId="0" fillId="32" borderId="0" xfId="0" applyNumberFormat="1" applyFont="1" applyFill="1"/>
    <xf numFmtId="231" fontId="0" fillId="32" borderId="0" xfId="0" applyNumberFormat="1" applyFont="1" applyFill="1"/>
    <xf numFmtId="224" fontId="64" fillId="32" borderId="0" xfId="0" applyNumberFormat="1" applyFont="1" applyFill="1" applyBorder="1"/>
    <xf numFmtId="224" fontId="64" fillId="32" borderId="0" xfId="0" applyNumberFormat="1" applyFont="1" applyFill="1"/>
    <xf numFmtId="224" fontId="64" fillId="0" borderId="0" xfId="0" applyNumberFormat="1" applyFont="1" applyBorder="1"/>
    <xf numFmtId="4" fontId="64" fillId="32" borderId="0" xfId="0" applyNumberFormat="1" applyFont="1" applyFill="1" applyBorder="1"/>
    <xf numFmtId="224" fontId="64" fillId="0" borderId="0" xfId="0" applyNumberFormat="1" applyFont="1" applyFill="1" applyBorder="1"/>
    <xf numFmtId="227" fontId="81" fillId="32" borderId="0" xfId="0" applyNumberFormat="1" applyFont="1" applyFill="1"/>
    <xf numFmtId="3" fontId="64" fillId="34" borderId="0" xfId="0" applyNumberFormat="1" applyFont="1" applyFill="1" applyBorder="1" applyAlignment="1"/>
    <xf numFmtId="230" fontId="1" fillId="0" borderId="25" xfId="0" applyNumberFormat="1" applyFont="1" applyFill="1" applyBorder="1" applyAlignment="1">
      <alignment horizontal="center"/>
    </xf>
    <xf numFmtId="224" fontId="64" fillId="32" borderId="1" xfId="0" applyNumberFormat="1" applyFont="1" applyFill="1" applyBorder="1"/>
  </cellXfs>
  <cellStyles count="212">
    <cellStyle name="$" xfId="1"/>
    <cellStyle name="$m" xfId="2"/>
    <cellStyle name="$q" xfId="3"/>
    <cellStyle name="$q*" xfId="4"/>
    <cellStyle name="$q_valuation" xfId="5"/>
    <cellStyle name="$qA" xfId="6"/>
    <cellStyle name="$qRange" xfId="7"/>
    <cellStyle name="%" xfId="8"/>
    <cellStyle name="******************************************" xfId="9"/>
    <cellStyle name="10Q" xfId="188"/>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artingText" xfId="189"/>
    <cellStyle name="Check" xfId="43"/>
    <cellStyle name="Check Cell 2" xfId="44"/>
    <cellStyle name="CHPTop" xfId="190"/>
    <cellStyle name="ColHeading" xfId="45"/>
    <cellStyle name="colheadleft" xfId="46"/>
    <cellStyle name="colheadright" xfId="47"/>
    <cellStyle name="ColumnHeaderNormal" xfId="191"/>
    <cellStyle name="Comma 2" xfId="48"/>
    <cellStyle name="Comma0" xfId="49"/>
    <cellStyle name="Comma2" xfId="50"/>
    <cellStyle name="Company" xfId="51"/>
    <cellStyle name="CurRatio" xfId="52"/>
    <cellStyle name="Currency--" xfId="19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dd-yy]" xfId="193"/>
    <cellStyle name="Date [mm-dd-yyyy]" xfId="194"/>
    <cellStyle name="Date [mm-d-yyyy]" xfId="195"/>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Hyperlink_Accretion Dilution Training Unprotected" xfId="187"/>
    <cellStyle name="iemens" xfId="94"/>
    <cellStyle name="Income" xfId="95"/>
    <cellStyle name="IncomeStatement" xfId="96"/>
    <cellStyle name="Input 2" xfId="97"/>
    <cellStyle name="Input Fixed [0]" xfId="98"/>
    <cellStyle name="Integer" xfId="99"/>
    <cellStyle name="Inverse Header" xfId="100"/>
    <cellStyle name="Invisible" xfId="196"/>
    <cellStyle name="Item" xfId="101"/>
    <cellStyle name="ItemTypeClass" xfId="102"/>
    <cellStyle name="Linked Cell 2" xfId="103"/>
    <cellStyle name="LTGR" xfId="104"/>
    <cellStyle name="m" xfId="105"/>
    <cellStyle name="m$" xfId="106"/>
    <cellStyle name="m/d/yy" xfId="197"/>
    <cellStyle name="m_CW's MAKER MODEL" xfId="107"/>
    <cellStyle name="m_valuation" xfId="108"/>
    <cellStyle name="Margin" xfId="109"/>
    <cellStyle name="Margins" xfId="110"/>
    <cellStyle name="mm" xfId="111"/>
    <cellStyle name="Multiple" xfId="112"/>
    <cellStyle name="MyStyle" xfId="186"/>
    <cellStyle name="NA is zero" xfId="113"/>
    <cellStyle name="Neutral 2" xfId="114"/>
    <cellStyle name="NewColumnHeaderNormal" xfId="198"/>
    <cellStyle name="NewSectionHeaderNormal" xfId="199"/>
    <cellStyle name="NewTitleNormal" xfId="200"/>
    <cellStyle name="Normal" xfId="0" builtinId="0"/>
    <cellStyle name="Normal--" xfId="201"/>
    <cellStyle name="Normal [0]" xfId="115"/>
    <cellStyle name="Normal [1]" xfId="116"/>
    <cellStyle name="Normal [2]" xfId="117"/>
    <cellStyle name="Normal [3]" xfId="118"/>
    <cellStyle name="Normal 2" xfId="119"/>
    <cellStyle name="Normal Bold" xfId="120"/>
    <cellStyle name="Normal Pct" xfId="121"/>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d font" xfId="202"/>
    <cellStyle name="Report" xfId="151"/>
    <cellStyle name="Right" xfId="152"/>
    <cellStyle name="SectionHeaderNormal" xfId="203"/>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Script" xfId="204"/>
    <cellStyle name="SubVariable" xfId="172"/>
    <cellStyle name="SuperScript" xfId="205"/>
    <cellStyle name="tcn" xfId="173"/>
    <cellStyle name="TextBold" xfId="206"/>
    <cellStyle name="TextItalic" xfId="207"/>
    <cellStyle name="TextNormal" xfId="208"/>
    <cellStyle name="Times" xfId="209"/>
    <cellStyle name="Times [1]" xfId="174"/>
    <cellStyle name="Times [2]" xfId="175"/>
    <cellStyle name="Title 2" xfId="176"/>
    <cellStyle name="title2" xfId="177"/>
    <cellStyle name="TitleII" xfId="178"/>
    <cellStyle name="TitleNormal" xfId="210"/>
    <cellStyle name="Titles" xfId="179"/>
    <cellStyle name="TitleSub" xfId="180"/>
    <cellStyle name="tn" xfId="181"/>
    <cellStyle name="Total 2" xfId="182"/>
    <cellStyle name="Warning Text 2" xfId="183"/>
    <cellStyle name="WholeNumber" xfId="184"/>
    <cellStyle name="Year&quot;E&quot;" xfId="185"/>
    <cellStyle name="Years" xfId="211"/>
  </cellStyles>
  <dxfs count="0"/>
  <tableStyles count="0" defaultTableStyle="TableStyleMedium2" defaultPivotStyle="PivotStyleLight16"/>
  <colors>
    <mruColors>
      <color rgb="FF008000"/>
      <color rgb="FF0000FF"/>
      <color rgb="FFFFFF99"/>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barChart>
        <c:barDir val="col"/>
        <c:grouping val="stacked"/>
        <c:varyColors val="0"/>
        <c:ser>
          <c:idx val="0"/>
          <c:order val="0"/>
          <c:tx>
            <c:strRef>
              <c:f>'Football Field'!$B$1</c:f>
              <c:strCache>
                <c:ptCount val="1"/>
                <c:pt idx="0">
                  <c:v>Lower Value</c:v>
                </c:pt>
              </c:strCache>
            </c:strRef>
          </c:tx>
          <c:spPr>
            <a:noFill/>
            <a:ln>
              <a:noFill/>
            </a:ln>
          </c:spPr>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'Football Field'!$A$2:$A$4</c:f>
              <c:strCache>
                <c:ptCount val="3"/>
                <c:pt idx="0">
                  <c:v>1 YR EV/EBIT</c:v>
                </c:pt>
                <c:pt idx="1">
                  <c:v>LTM EV / EBITDA</c:v>
                </c:pt>
                <c:pt idx="2">
                  <c:v>LTM EV / EBIT</c:v>
                </c:pt>
              </c:strCache>
            </c:strRef>
          </c:cat>
          <c:val>
            <c:numRef>
              <c:f>'Football Field'!$B$2:$B$4</c:f>
              <c:numCache>
                <c:formatCode>"$"#,##0.00_);\("$"#,##0.00\);@_)</c:formatCode>
                <c:ptCount val="3"/>
                <c:pt idx="0">
                  <c:v>57.641951181863227</c:v>
                </c:pt>
                <c:pt idx="1">
                  <c:v>26.626285313009411</c:v>
                </c:pt>
                <c:pt idx="2">
                  <c:v>19.639650247282102</c:v>
                </c:pt>
              </c:numCache>
            </c:numRef>
          </c:val>
          <c:extLst>
            <c:ext xmlns:c16="http://schemas.microsoft.com/office/drawing/2014/chart" uri="{C3380CC4-5D6E-409C-BE32-E72D297353CC}">
              <c16:uniqueId val="{00000000-649E-455A-A529-E126211D721B}"/>
            </c:ext>
          </c:extLst>
        </c:ser>
        <c:ser>
          <c:idx val="1"/>
          <c:order val="1"/>
          <c:tx>
            <c:strRef>
              <c:f>'Football Field'!$C$1</c:f>
              <c:strCache>
                <c:ptCount val="1"/>
                <c:pt idx="0">
                  <c:v>Column Value</c:v>
                </c:pt>
              </c:strCache>
            </c:strRef>
          </c:tx>
          <c:spPr>
            <a:solidFill>
              <a:srgbClr val="8790BC"/>
            </a:solidFill>
          </c:spPr>
          <c:invertIfNegative val="0"/>
          <c:dLbls>
            <c:numFmt formatCode=";;;"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'Football Field'!$A$2:$A$4</c:f>
              <c:strCache>
                <c:ptCount val="3"/>
                <c:pt idx="0">
                  <c:v>1 YR EV/EBIT</c:v>
                </c:pt>
                <c:pt idx="1">
                  <c:v>LTM EV / EBITDA</c:v>
                </c:pt>
                <c:pt idx="2">
                  <c:v>LTM EV / EBIT</c:v>
                </c:pt>
              </c:strCache>
            </c:strRef>
          </c:cat>
          <c:val>
            <c:numRef>
              <c:f>'Football Field'!$C$2:$C$4</c:f>
              <c:numCache>
                <c:formatCode>"$"#,##0.000_);\("$"#,##0.000\);@_)</c:formatCode>
                <c:ptCount val="3"/>
                <c:pt idx="0">
                  <c:v>31.608048818136773</c:v>
                </c:pt>
                <c:pt idx="1">
                  <c:v>62.623714686990589</c:v>
                </c:pt>
                <c:pt idx="2">
                  <c:v>69.610349752717894</c:v>
                </c:pt>
              </c:numCache>
            </c:numRef>
          </c:val>
          <c:extLst>
            <c:ext xmlns:c16="http://schemas.microsoft.com/office/drawing/2014/chart" uri="{C3380CC4-5D6E-409C-BE32-E72D297353CC}">
              <c16:uniqueId val="{00000001-649E-455A-A529-E126211D721B}"/>
            </c:ext>
          </c:extLst>
        </c:ser>
        <c:ser>
          <c:idx val="2"/>
          <c:order val="2"/>
          <c:tx>
            <c:strRef>
              <c:f>'Football Field'!$D$1</c:f>
              <c:strCache>
                <c:ptCount val="1"/>
                <c:pt idx="0">
                  <c:v>Upper Value</c:v>
                </c:pt>
              </c:strCache>
            </c:strRef>
          </c:tx>
          <c:spPr>
            <a:noFill/>
            <a:ln>
              <a:noFill/>
            </a:ln>
          </c:spPr>
          <c:invertIfNegative val="0"/>
          <c:dLbls>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'Football Field'!$A$2:$A$4</c:f>
              <c:strCache>
                <c:ptCount val="3"/>
                <c:pt idx="0">
                  <c:v>1 YR EV/EBIT</c:v>
                </c:pt>
                <c:pt idx="1">
                  <c:v>LTM EV / EBITDA</c:v>
                </c:pt>
                <c:pt idx="2">
                  <c:v>LTM EV / EBIT</c:v>
                </c:pt>
              </c:strCache>
            </c:strRef>
          </c:cat>
          <c:val>
            <c:numRef>
              <c:f>'Football Field'!$D$2:$D$4</c:f>
              <c:numCache>
                <c:formatCode>"$"#,##0.00_);\("$"#,##0.00\);@_)</c:formatCode>
                <c:ptCount val="3"/>
                <c:pt idx="0">
                  <c:v>89.25</c:v>
                </c:pt>
                <c:pt idx="1">
                  <c:v>89.25</c:v>
                </c:pt>
                <c:pt idx="2">
                  <c:v>89.25</c:v>
                </c:pt>
              </c:numCache>
            </c:numRef>
          </c:val>
          <c:extLst>
            <c:ext xmlns:c16="http://schemas.microsoft.com/office/drawing/2014/chart" uri="{C3380CC4-5D6E-409C-BE32-E72D297353CC}">
              <c16:uniqueId val="{00000002-649E-455A-A529-E126211D721B}"/>
            </c:ext>
          </c:extLst>
        </c:ser>
        <c:dLbls>
          <c:showLegendKey val="0"/>
          <c:showVal val="0"/>
          <c:showCatName val="0"/>
          <c:showSerName val="0"/>
          <c:showPercent val="0"/>
          <c:showBubbleSize val="0"/>
        </c:dLbls>
        <c:gapWidth val="75"/>
        <c:overlap val="100"/>
        <c:axId val="291755664"/>
        <c:axId val="291759976"/>
      </c:barChart>
      <c:catAx>
        <c:axId val="291755664"/>
        <c:scaling>
          <c:orientation val="minMax"/>
        </c:scaling>
        <c:delete val="0"/>
        <c:axPos val="b"/>
        <c:numFmt formatCode="General" sourceLinked="1"/>
        <c:majorTickMark val="none"/>
        <c:minorTickMark val="none"/>
        <c:tickLblPos val="nextTo"/>
        <c:crossAx val="291759976"/>
        <c:crosses val="autoZero"/>
        <c:auto val="1"/>
        <c:lblAlgn val="ctr"/>
        <c:lblOffset val="100"/>
        <c:noMultiLvlLbl val="0"/>
      </c:catAx>
      <c:valAx>
        <c:axId val="291759976"/>
        <c:scaling>
          <c:orientation val="minMax"/>
          <c:max val="100"/>
          <c:min val="10"/>
        </c:scaling>
        <c:delete val="0"/>
        <c:axPos val="l"/>
        <c:numFmt formatCode="&quot;$&quot;#,##0.00_);\(&quot;$&quot;#,##0.00\);@_)" sourceLinked="1"/>
        <c:majorTickMark val="none"/>
        <c:minorTickMark val="none"/>
        <c:tickLblPos val="nextTo"/>
        <c:spPr>
          <a:ln>
            <a:noFill/>
          </a:ln>
        </c:spPr>
        <c:crossAx val="291755664"/>
        <c:crosses val="autoZero"/>
        <c:crossBetween val="between"/>
      </c:valAx>
    </c:plotArea>
    <c:plotVisOnly val="1"/>
    <c:dispBlanksAs val="gap"/>
    <c:showDLblsOverMax val="0"/>
  </c:chart>
  <c:spPr>
    <a:ln w="0">
      <a:noFill/>
    </a:ln>
  </c:spPr>
  <c:txPr>
    <a:bodyPr/>
    <a:lstStyle/>
    <a:p>
      <a:pPr>
        <a:defRPr>
          <a:latin typeface="Bookman Old Style" pitchFamily="18"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66675</xdr:colOff>
      <xdr:row>7</xdr:row>
      <xdr:rowOff>171450</xdr:rowOff>
    </xdr:from>
    <xdr:to>
      <xdr:col>9</xdr:col>
      <xdr:colOff>409575</xdr:colOff>
      <xdr:row>29</xdr:row>
      <xdr:rowOff>133350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9</xdr:col>
      <xdr:colOff>542925</xdr:colOff>
      <xdr:row>0</xdr:row>
      <xdr:rowOff>85725</xdr:rowOff>
    </xdr:from>
    <xdr:ext cx="6467475" cy="5524500"/>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8877300" y="85725"/>
          <a:ext cx="6467475" cy="55245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r>
            <a:rPr lang="en-US" sz="1100" b="1">
              <a:latin typeface="Bookman Old Style" pitchFamily="18" charset="0"/>
            </a:rPr>
            <a:t>How to use and modify this chart</a:t>
          </a:r>
        </a:p>
        <a:p>
          <a:r>
            <a:rPr lang="en-US" sz="1100" b="0" u="none">
              <a:latin typeface="Bookman Old Style" pitchFamily="18" charset="0"/>
            </a:rPr>
            <a:t>This</a:t>
          </a:r>
          <a:r>
            <a:rPr lang="en-US" sz="1100" b="0" u="none" baseline="0">
              <a:latin typeface="Bookman Old Style" pitchFamily="18" charset="0"/>
            </a:rPr>
            <a:t> is an industry standard presentation of a floating bar chart. When modifying the data, users should be aware of the following:</a:t>
          </a:r>
        </a:p>
        <a:p>
          <a:endParaRPr lang="en-US" sz="1100" b="0" u="none">
            <a:latin typeface="Bookman Old Style" pitchFamily="18" charset="0"/>
          </a:endParaRPr>
        </a:p>
        <a:p>
          <a:r>
            <a:rPr lang="en-US" sz="1100" b="0" u="sng">
              <a:latin typeface="Bookman Old Style" pitchFamily="18" charset="0"/>
            </a:rPr>
            <a:t>Values </a:t>
          </a:r>
          <a:r>
            <a:rPr lang="en-US" sz="1100" b="0" u="sng" baseline="0">
              <a:latin typeface="Bookman Old Style" pitchFamily="18" charset="0"/>
            </a:rPr>
            <a:t>on top of each bar</a:t>
          </a:r>
        </a:p>
        <a:p>
          <a:r>
            <a:rPr lang="en-US" sz="1100" b="0" u="none" baseline="0">
              <a:latin typeface="Bookman Old Style" pitchFamily="18" charset="0"/>
            </a:rPr>
            <a:t>Notice there are upper values on the top of each bar.  Accomplishing this required that the 'Upper Value' column is included in the source data. The color fill in the 'Upper Value' stack in the chart has been removed, and the data label  alignment for the 'Upper Value' stack was selected to be 'Inside Base' to create the appearance of a floating bar chart with the upper value range on the top of each bar.</a:t>
          </a:r>
        </a:p>
        <a:p>
          <a:endParaRPr lang="en-US" sz="1100" b="0" u="none" baseline="0">
            <a:latin typeface="Bookman Old Style" pitchFamily="18" charset="0"/>
          </a:endParaRPr>
        </a:p>
        <a:p>
          <a:r>
            <a:rPr lang="en-US" sz="1100" b="0" u="none" baseline="0">
              <a:latin typeface="Bookman Old Style" pitchFamily="18" charset="0"/>
            </a:rPr>
            <a:t>The same has been done for the lower value.  No labels were required for the 'Column Value' stack.</a:t>
          </a:r>
        </a:p>
        <a:p>
          <a:endParaRPr lang="en-US" sz="1100" b="0" u="none" baseline="0">
            <a:latin typeface="Bookman Old Style" pitchFamily="18" charset="0"/>
          </a:endParaRPr>
        </a:p>
        <a:p>
          <a:r>
            <a:rPr lang="en-US" sz="1100" b="0" u="sng">
              <a:latin typeface="Bookman Old Style" pitchFamily="18" charset="0"/>
            </a:rPr>
            <a:t>Hardcode maximum on Y axis</a:t>
          </a:r>
          <a:endParaRPr lang="en-US" sz="1100" b="0" u="none">
            <a:latin typeface="Bookman Old Style" pitchFamily="18" charset="0"/>
          </a:endParaRPr>
        </a:p>
        <a:p>
          <a:r>
            <a:rPr lang="en-US" sz="1100" b="0" u="none">
              <a:latin typeface="Bookman Old Style" pitchFamily="18" charset="0"/>
            </a:rPr>
            <a:t>When replacing the dummy data with your own data, you'll notice </a:t>
          </a:r>
          <a:r>
            <a:rPr lang="en-US" sz="1100" b="0">
              <a:latin typeface="Bookman Old Style" pitchFamily="18" charset="0"/>
            </a:rPr>
            <a:t>that there is a hard coded maximum y axis limit of 25. the reason for this is that</a:t>
          </a:r>
          <a:r>
            <a:rPr lang="en-US" sz="1100" b="0" baseline="0">
              <a:latin typeface="Bookman Old Style" pitchFamily="18" charset="0"/>
            </a:rPr>
            <a:t> since the </a:t>
          </a:r>
          <a:r>
            <a:rPr lang="en-US" sz="1100" b="0">
              <a:latin typeface="Bookman Old Style" pitchFamily="18" charset="0"/>
            </a:rPr>
            <a:t>'Upper Value' stack was required for the upper range labels, it requires us to hard code a maximum axis limit, rather than rely on 'auto.' In</a:t>
          </a:r>
          <a:r>
            <a:rPr lang="en-US" sz="1100" b="0" baseline="0">
              <a:latin typeface="Bookman Old Style" pitchFamily="18" charset="0"/>
            </a:rPr>
            <a:t> order to change the maximum axis limit, right click on the y axis &gt; Format Axis &gt; Axis Options &gt; Maximum &gt; Input the new desired Maximum.</a:t>
          </a:r>
        </a:p>
        <a:p>
          <a:endParaRPr lang="en-US" sz="1100" b="0" baseline="0">
            <a:latin typeface="Bookman Old Style" pitchFamily="18" charset="0"/>
          </a:endParaRPr>
        </a:p>
        <a:p>
          <a:r>
            <a:rPr lang="en-US" sz="1100" b="0" u="sng" baseline="0">
              <a:latin typeface="Bookman Old Style" pitchFamily="18" charset="0"/>
            </a:rPr>
            <a:t>Y-axis format</a:t>
          </a:r>
        </a:p>
        <a:p>
          <a:r>
            <a:rPr lang="en-US" sz="1100" b="0" baseline="0">
              <a:latin typeface="Bookman Old Style" pitchFamily="18" charset="0"/>
            </a:rPr>
            <a:t>Sometimes it is desirable to remove the $ signs from all the y-axis labels except for the top one.  In order to do this, </a:t>
          </a:r>
          <a:r>
            <a:rPr lang="en-US" sz="1100" b="0" baseline="0">
              <a:solidFill>
                <a:schemeClr val="tx1"/>
              </a:solidFill>
              <a:effectLst/>
              <a:latin typeface="Bookman Old Style" pitchFamily="18" charset="0"/>
              <a:ea typeface="+mn-ea"/>
              <a:cs typeface="+mn-cs"/>
            </a:rPr>
            <a:t>right click on the y axis &gt; Format Axis &gt; Number &gt; Custom &gt; Input the following custom code:</a:t>
          </a:r>
        </a:p>
        <a:p>
          <a:endParaRPr lang="en-US" sz="1100" b="0" baseline="0">
            <a:solidFill>
              <a:schemeClr val="tx1"/>
            </a:solidFill>
            <a:effectLst/>
            <a:latin typeface="Bookman Old Style"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effectLst/>
              <a:latin typeface="Bookman Old Style" pitchFamily="18" charset="0"/>
              <a:ea typeface="+mn-ea"/>
              <a:cs typeface="+mn-cs"/>
            </a:rPr>
            <a:t>[=XXX]_($#,##0.0_);(#,##0.0);_(#,##0.0_)</a:t>
          </a:r>
          <a:endParaRPr lang="en-US">
            <a:effectLst/>
            <a:latin typeface="Bookman Old Style" pitchFamily="18" charset="0"/>
          </a:endParaRPr>
        </a:p>
        <a:p>
          <a:endParaRPr lang="en-US" sz="1100" b="0" baseline="0">
            <a:latin typeface="Bookman Old Style" pitchFamily="18" charset="0"/>
          </a:endParaRPr>
        </a:p>
        <a:p>
          <a:r>
            <a:rPr lang="en-US" sz="1100" b="0" baseline="0">
              <a:latin typeface="Bookman Old Style" pitchFamily="18" charset="0"/>
            </a:rPr>
            <a:t>Where XXX is the value of the top y-axis label (usually the maximum axis limit). For the dummy chart, the syntax would be:</a:t>
          </a:r>
        </a:p>
        <a:p>
          <a:endParaRPr lang="en-US" sz="1100" b="0" baseline="0">
            <a:latin typeface="Bookman Old Style"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effectLst/>
              <a:latin typeface="Bookman Old Style" pitchFamily="18" charset="0"/>
              <a:ea typeface="+mn-ea"/>
              <a:cs typeface="+mn-cs"/>
            </a:rPr>
            <a:t>[=25]_($#,##0.0_);(#,##0.0);_(#,##0.0_)</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4.4"/>
  <sheetData>
    <row r="1" spans="1:1">
      <c r="A1">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95"/>
  <sheetViews>
    <sheetView zoomScaleNormal="100" workbookViewId="0">
      <pane xSplit="2" ySplit="7" topLeftCell="C8" activePane="bottomRight" state="frozen"/>
      <selection activeCell="C209" sqref="C209:L209"/>
      <selection pane="topRight" activeCell="C209" sqref="C209:L209"/>
      <selection pane="bottomLeft" activeCell="C209" sqref="C209:L209"/>
      <selection pane="bottomRight" activeCell="C13" sqref="C13"/>
    </sheetView>
  </sheetViews>
  <sheetFormatPr defaultColWidth="9.109375" defaultRowHeight="14.4"/>
  <cols>
    <col min="1" max="1" width="42.109375" style="11" customWidth="1"/>
    <col min="2" max="2" width="3" style="11" customWidth="1"/>
    <col min="3" max="3" width="12.88671875" style="11" customWidth="1"/>
    <col min="4" max="12" width="13" style="11" customWidth="1"/>
    <col min="13" max="13" width="2.109375" style="11" customWidth="1"/>
    <col min="14" max="14" width="45" style="11" customWidth="1"/>
    <col min="15" max="22" width="9.109375" style="11"/>
    <col min="23" max="23" width="18" style="11" bestFit="1" customWidth="1"/>
    <col min="24" max="24" width="6.88671875" style="11" bestFit="1" customWidth="1"/>
    <col min="25" max="25" width="14.88671875" style="11" bestFit="1" customWidth="1"/>
    <col min="26" max="16384" width="9.109375" style="11"/>
  </cols>
  <sheetData>
    <row r="1" spans="1:26" ht="21">
      <c r="A1" s="53" t="s">
        <v>170</v>
      </c>
      <c r="B1" s="19"/>
      <c r="C1" s="19"/>
      <c r="D1" s="19"/>
      <c r="E1" s="20"/>
      <c r="F1" s="19"/>
      <c r="G1" s="19"/>
      <c r="H1" s="19"/>
      <c r="I1" s="19"/>
      <c r="J1" s="19"/>
      <c r="K1" s="19"/>
      <c r="L1" s="19"/>
      <c r="M1" s="8"/>
    </row>
    <row r="2" spans="1:26" ht="16.2">
      <c r="M2" s="8"/>
      <c r="N2" s="122" t="s">
        <v>0</v>
      </c>
    </row>
    <row r="3" spans="1:26" ht="18.75" customHeight="1" thickBot="1">
      <c r="A3" s="27" t="s">
        <v>155</v>
      </c>
      <c r="B3" s="27"/>
      <c r="C3" s="27"/>
      <c r="D3" s="27"/>
      <c r="E3" s="27"/>
      <c r="F3" s="27"/>
      <c r="G3" s="27"/>
      <c r="H3" s="27"/>
      <c r="I3" s="27"/>
      <c r="J3" s="27"/>
      <c r="K3" s="27"/>
      <c r="L3" s="27"/>
    </row>
    <row r="4" spans="1:26" ht="15.9" customHeight="1">
      <c r="A4" s="78" t="s">
        <v>130</v>
      </c>
      <c r="C4" s="63"/>
    </row>
    <row r="5" spans="1:26" ht="15.9" customHeight="1">
      <c r="B5" s="28"/>
      <c r="C5" s="120"/>
      <c r="D5" s="120"/>
      <c r="E5" s="120"/>
      <c r="F5" s="120"/>
      <c r="G5" s="120"/>
      <c r="H5" s="120"/>
      <c r="I5" s="120"/>
      <c r="J5" s="120"/>
      <c r="K5" s="120"/>
      <c r="L5" s="120"/>
    </row>
    <row r="6" spans="1:26" ht="28.8">
      <c r="A6" s="11" t="s">
        <v>2</v>
      </c>
      <c r="B6" s="77"/>
      <c r="C6" s="124" t="s">
        <v>168</v>
      </c>
      <c r="D6" s="124" t="s">
        <v>174</v>
      </c>
      <c r="E6" s="124" t="s">
        <v>180</v>
      </c>
      <c r="F6" s="124" t="s">
        <v>182</v>
      </c>
      <c r="G6" s="124" t="s">
        <v>185</v>
      </c>
      <c r="H6" s="124" t="s">
        <v>189</v>
      </c>
      <c r="I6" s="124"/>
      <c r="J6" s="124"/>
      <c r="K6" s="124"/>
      <c r="L6" s="125"/>
    </row>
    <row r="7" spans="1:26" ht="15.9" customHeight="1">
      <c r="A7" s="11" t="s">
        <v>1</v>
      </c>
      <c r="B7" s="64"/>
      <c r="C7" s="126" t="s">
        <v>169</v>
      </c>
      <c r="D7" s="126" t="s">
        <v>175</v>
      </c>
      <c r="E7" s="126" t="s">
        <v>181</v>
      </c>
      <c r="F7" s="126" t="s">
        <v>183</v>
      </c>
      <c r="G7" s="126" t="s">
        <v>186</v>
      </c>
      <c r="H7" s="126" t="s">
        <v>188</v>
      </c>
      <c r="I7" s="126"/>
      <c r="J7" s="126"/>
      <c r="K7" s="126"/>
      <c r="L7" s="127"/>
    </row>
    <row r="8" spans="1:26" ht="15.9" customHeight="1">
      <c r="A8" s="11" t="s">
        <v>81</v>
      </c>
      <c r="C8" s="128">
        <v>42916</v>
      </c>
      <c r="D8" s="128">
        <v>42916</v>
      </c>
      <c r="E8" s="128">
        <v>42916</v>
      </c>
      <c r="F8" s="128">
        <v>42825</v>
      </c>
      <c r="G8" s="128">
        <v>42825</v>
      </c>
      <c r="H8" s="128"/>
      <c r="I8" s="128"/>
      <c r="J8" s="128"/>
      <c r="K8" s="128"/>
      <c r="L8" s="128"/>
    </row>
    <row r="9" spans="1:26" ht="15.9" customHeight="1">
      <c r="A9" s="11" t="s">
        <v>21</v>
      </c>
      <c r="B9" s="17"/>
      <c r="C9" s="128">
        <v>42916</v>
      </c>
      <c r="D9" s="128">
        <v>42735</v>
      </c>
      <c r="E9" s="128">
        <v>42735</v>
      </c>
      <c r="F9" s="128">
        <v>42735</v>
      </c>
      <c r="G9" s="128">
        <v>42551</v>
      </c>
      <c r="H9" s="128"/>
      <c r="I9" s="128"/>
      <c r="J9" s="128"/>
      <c r="K9" s="128"/>
      <c r="L9" s="128"/>
    </row>
    <row r="10" spans="1:26" ht="15.9" customHeight="1">
      <c r="A10" s="11" t="s">
        <v>93</v>
      </c>
      <c r="B10" s="8"/>
      <c r="C10" s="118" t="s">
        <v>172</v>
      </c>
      <c r="D10" s="118" t="s">
        <v>176</v>
      </c>
      <c r="E10" s="118" t="s">
        <v>176</v>
      </c>
      <c r="F10" s="118" t="s">
        <v>184</v>
      </c>
      <c r="G10" s="118" t="s">
        <v>187</v>
      </c>
      <c r="H10" s="118" t="s">
        <v>94</v>
      </c>
      <c r="I10" s="118" t="s">
        <v>94</v>
      </c>
      <c r="J10" s="118" t="s">
        <v>94</v>
      </c>
      <c r="K10" s="118" t="s">
        <v>94</v>
      </c>
      <c r="L10" s="118" t="s">
        <v>94</v>
      </c>
    </row>
    <row r="11" spans="1:26" ht="15.9" customHeight="1">
      <c r="A11" s="11" t="s">
        <v>3</v>
      </c>
      <c r="C11" s="129">
        <v>89.25</v>
      </c>
      <c r="D11" s="129">
        <v>73</v>
      </c>
      <c r="E11" s="129">
        <v>122.23</v>
      </c>
      <c r="F11" s="129">
        <v>53.66</v>
      </c>
      <c r="G11" s="138">
        <v>133.43</v>
      </c>
      <c r="H11" s="138">
        <v>98.86</v>
      </c>
      <c r="I11" s="138"/>
      <c r="J11" s="138"/>
      <c r="K11" s="138"/>
      <c r="L11" s="129"/>
    </row>
    <row r="12" spans="1:26" customFormat="1" ht="15.9" customHeight="1">
      <c r="A12" t="s">
        <v>80</v>
      </c>
      <c r="C12" s="197">
        <v>42942</v>
      </c>
      <c r="D12" s="123">
        <f>$C$12</f>
        <v>42942</v>
      </c>
      <c r="E12" s="123">
        <f>$C$12</f>
        <v>42942</v>
      </c>
      <c r="F12" s="123">
        <f t="shared" ref="E12:L12" si="0">$C$12</f>
        <v>42942</v>
      </c>
      <c r="G12" s="123">
        <f t="shared" si="0"/>
        <v>42942</v>
      </c>
      <c r="H12" s="123">
        <f t="shared" si="0"/>
        <v>42942</v>
      </c>
      <c r="I12" s="123">
        <f t="shared" si="0"/>
        <v>42942</v>
      </c>
      <c r="J12" s="123">
        <f t="shared" si="0"/>
        <v>42942</v>
      </c>
      <c r="K12" s="123">
        <f t="shared" si="0"/>
        <v>42942</v>
      </c>
      <c r="L12" s="123">
        <f t="shared" si="0"/>
        <v>42942</v>
      </c>
      <c r="U12" s="11"/>
      <c r="V12" s="11"/>
      <c r="W12" s="11"/>
      <c r="X12" s="11"/>
      <c r="Y12" s="11"/>
      <c r="Z12" s="11"/>
    </row>
    <row r="13" spans="1:26" ht="15.9" customHeight="1">
      <c r="C13" s="119"/>
      <c r="D13" s="119"/>
      <c r="E13" s="119"/>
      <c r="F13" s="119"/>
    </row>
    <row r="14" spans="1:26" ht="18.75" customHeight="1" thickBot="1">
      <c r="A14" s="27" t="s">
        <v>156</v>
      </c>
      <c r="B14" s="27"/>
      <c r="C14" s="27"/>
      <c r="D14" s="27"/>
      <c r="E14" s="27"/>
      <c r="F14" s="27"/>
      <c r="G14" s="27"/>
      <c r="H14" s="27"/>
      <c r="I14" s="27"/>
      <c r="J14" s="27"/>
      <c r="K14" s="27"/>
      <c r="L14" s="27"/>
    </row>
    <row r="15" spans="1:26" ht="15.9" customHeight="1">
      <c r="A15" s="8" t="s">
        <v>4</v>
      </c>
      <c r="B15" s="8"/>
      <c r="C15" s="185">
        <v>2557.6143880000004</v>
      </c>
      <c r="D15" s="196">
        <v>880.84197699999982</v>
      </c>
      <c r="E15" s="196">
        <v>353.302843</v>
      </c>
      <c r="F15" s="196">
        <v>249.25489999999999</v>
      </c>
      <c r="G15" s="185">
        <v>128.79823900000002</v>
      </c>
      <c r="H15" s="139"/>
      <c r="I15" s="139"/>
      <c r="J15" s="139"/>
      <c r="K15" s="139"/>
      <c r="L15" s="139"/>
    </row>
    <row r="16" spans="1:26" ht="15.9" customHeight="1">
      <c r="A16" s="55" t="s">
        <v>88</v>
      </c>
      <c r="B16" s="8"/>
      <c r="C16" s="140"/>
      <c r="D16" s="141"/>
      <c r="E16" s="141"/>
      <c r="F16" s="141"/>
      <c r="G16" s="141"/>
      <c r="H16" s="141"/>
      <c r="I16" s="141"/>
      <c r="J16" s="141"/>
      <c r="K16" s="141"/>
      <c r="L16" s="141"/>
    </row>
    <row r="17" spans="1:12" ht="15.9" customHeight="1">
      <c r="A17" s="59">
        <v>1</v>
      </c>
      <c r="B17" s="8"/>
      <c r="C17" s="186">
        <v>164.578</v>
      </c>
      <c r="D17" s="186">
        <v>26.395999999999997</v>
      </c>
      <c r="E17" s="186">
        <v>3.6670000000000003</v>
      </c>
      <c r="F17" s="142">
        <v>2.2000000000000002</v>
      </c>
      <c r="G17" s="186">
        <v>3.5549999999999997</v>
      </c>
      <c r="H17" s="142"/>
      <c r="I17" s="142"/>
      <c r="J17" s="142"/>
      <c r="K17" s="142"/>
      <c r="L17" s="142"/>
    </row>
    <row r="18" spans="1:12" ht="15.9" customHeight="1">
      <c r="A18" s="59">
        <f>A17+1</f>
        <v>2</v>
      </c>
      <c r="B18" s="8"/>
      <c r="C18" s="142"/>
      <c r="D18" s="142"/>
      <c r="E18" s="142"/>
      <c r="F18" s="142">
        <v>1.2</v>
      </c>
      <c r="G18" s="142"/>
      <c r="H18" s="142"/>
      <c r="I18" s="142"/>
      <c r="J18" s="142"/>
      <c r="K18" s="142"/>
      <c r="L18" s="142"/>
    </row>
    <row r="19" spans="1:12" ht="15.9" customHeight="1">
      <c r="A19" s="59">
        <f t="shared" ref="A19:A30" si="1">A18+1</f>
        <v>3</v>
      </c>
      <c r="B19" s="8"/>
      <c r="C19" s="142"/>
      <c r="D19" s="142"/>
      <c r="E19" s="142"/>
      <c r="F19" s="142">
        <v>1.4</v>
      </c>
      <c r="G19" s="142"/>
      <c r="H19" s="142"/>
      <c r="I19" s="142"/>
      <c r="J19" s="142"/>
      <c r="K19" s="142"/>
      <c r="L19" s="142"/>
    </row>
    <row r="20" spans="1:12" ht="15.9" customHeight="1">
      <c r="A20" s="59">
        <f t="shared" si="1"/>
        <v>4</v>
      </c>
      <c r="B20" s="8"/>
      <c r="C20" s="142"/>
      <c r="D20" s="142"/>
      <c r="E20" s="142"/>
      <c r="F20" s="142">
        <v>2.2999999999999998</v>
      </c>
      <c r="G20" s="142"/>
      <c r="H20" s="142"/>
      <c r="I20" s="142"/>
      <c r="J20" s="142"/>
      <c r="K20" s="142"/>
      <c r="L20" s="142"/>
    </row>
    <row r="21" spans="1:12" ht="15.9" customHeight="1">
      <c r="A21" s="59">
        <f t="shared" si="1"/>
        <v>5</v>
      </c>
      <c r="B21" s="8"/>
      <c r="C21" s="142"/>
      <c r="D21" s="142"/>
      <c r="E21" s="142"/>
      <c r="F21" s="142">
        <v>2.6</v>
      </c>
      <c r="G21" s="142"/>
      <c r="H21" s="142"/>
      <c r="I21" s="142"/>
      <c r="J21" s="142"/>
      <c r="K21" s="142"/>
      <c r="L21" s="142"/>
    </row>
    <row r="22" spans="1:12" ht="15.9" customHeight="1">
      <c r="A22" s="59">
        <f t="shared" si="1"/>
        <v>6</v>
      </c>
      <c r="B22" s="8"/>
      <c r="C22" s="142"/>
      <c r="D22" s="142"/>
      <c r="E22" s="142"/>
      <c r="F22" s="142"/>
      <c r="G22" s="142"/>
      <c r="H22" s="142"/>
      <c r="I22" s="142"/>
      <c r="J22" s="142"/>
      <c r="K22" s="142"/>
      <c r="L22" s="142"/>
    </row>
    <row r="23" spans="1:12" ht="15.9" customHeight="1">
      <c r="A23" s="59">
        <f t="shared" si="1"/>
        <v>7</v>
      </c>
      <c r="B23" s="8"/>
      <c r="C23" s="142"/>
      <c r="D23" s="142"/>
      <c r="E23" s="142"/>
      <c r="F23" s="142"/>
      <c r="G23" s="142"/>
      <c r="H23" s="142"/>
      <c r="I23" s="142"/>
      <c r="J23" s="142"/>
      <c r="K23" s="142"/>
      <c r="L23" s="142"/>
    </row>
    <row r="24" spans="1:12" ht="15.9" customHeight="1">
      <c r="A24" s="59">
        <f t="shared" si="1"/>
        <v>8</v>
      </c>
      <c r="B24" s="8"/>
      <c r="C24" s="142"/>
      <c r="D24" s="142"/>
      <c r="E24" s="142"/>
      <c r="F24" s="142"/>
      <c r="G24" s="142"/>
      <c r="H24" s="142"/>
      <c r="I24" s="142"/>
      <c r="J24" s="142"/>
      <c r="K24" s="142"/>
      <c r="L24" s="142"/>
    </row>
    <row r="25" spans="1:12" ht="15.9" customHeight="1">
      <c r="A25" s="59">
        <f t="shared" si="1"/>
        <v>9</v>
      </c>
      <c r="B25" s="8"/>
      <c r="C25" s="142"/>
      <c r="D25" s="142"/>
      <c r="E25" s="142"/>
      <c r="F25" s="142"/>
      <c r="G25" s="142"/>
      <c r="H25" s="142"/>
      <c r="I25" s="142"/>
      <c r="J25" s="142"/>
      <c r="K25" s="142"/>
      <c r="L25" s="142"/>
    </row>
    <row r="26" spans="1:12" ht="15.9" customHeight="1">
      <c r="A26" s="59">
        <f t="shared" si="1"/>
        <v>10</v>
      </c>
      <c r="B26" s="8"/>
      <c r="C26" s="142"/>
      <c r="D26" s="142"/>
      <c r="E26" s="142"/>
      <c r="F26" s="142"/>
      <c r="G26" s="142"/>
      <c r="H26" s="142"/>
      <c r="I26" s="142"/>
      <c r="J26" s="142"/>
      <c r="K26" s="142"/>
      <c r="L26" s="142"/>
    </row>
    <row r="27" spans="1:12" ht="15.9" customHeight="1">
      <c r="A27" s="59">
        <f t="shared" si="1"/>
        <v>11</v>
      </c>
      <c r="B27" s="8"/>
      <c r="C27" s="142"/>
      <c r="D27" s="142"/>
      <c r="E27" s="142"/>
      <c r="F27" s="142"/>
      <c r="G27" s="142"/>
      <c r="H27" s="142"/>
      <c r="I27" s="142"/>
      <c r="J27" s="142"/>
      <c r="K27" s="142"/>
      <c r="L27" s="142"/>
    </row>
    <row r="28" spans="1:12" ht="15.9" customHeight="1">
      <c r="A28" s="59">
        <f t="shared" si="1"/>
        <v>12</v>
      </c>
      <c r="B28" s="8"/>
      <c r="C28" s="142"/>
      <c r="D28" s="142"/>
      <c r="E28" s="142"/>
      <c r="F28" s="142"/>
      <c r="G28" s="142"/>
      <c r="H28" s="142"/>
      <c r="I28" s="142"/>
      <c r="J28" s="142"/>
      <c r="K28" s="142"/>
      <c r="L28" s="142"/>
    </row>
    <row r="29" spans="1:12" ht="15.9" customHeight="1">
      <c r="A29" s="59">
        <f t="shared" si="1"/>
        <v>13</v>
      </c>
      <c r="B29" s="8"/>
      <c r="C29" s="142"/>
      <c r="D29" s="142"/>
      <c r="E29" s="142"/>
      <c r="F29" s="142"/>
      <c r="G29" s="142"/>
      <c r="H29" s="142"/>
      <c r="I29" s="142"/>
      <c r="J29" s="142"/>
      <c r="K29" s="142"/>
      <c r="L29" s="142"/>
    </row>
    <row r="30" spans="1:12" ht="15.9" customHeight="1">
      <c r="A30" s="59">
        <f t="shared" si="1"/>
        <v>14</v>
      </c>
      <c r="B30" s="8"/>
      <c r="C30" s="143"/>
      <c r="D30" s="143"/>
      <c r="E30" s="143"/>
      <c r="F30" s="143"/>
      <c r="G30" s="143"/>
      <c r="H30" s="143"/>
      <c r="I30" s="143"/>
      <c r="J30" s="143"/>
      <c r="K30" s="143"/>
      <c r="L30" s="143"/>
    </row>
    <row r="31" spans="1:12" ht="15.9" customHeight="1">
      <c r="A31" s="33"/>
      <c r="B31" s="8"/>
      <c r="C31" s="60">
        <f>SUM(C17:C30)</f>
        <v>164.578</v>
      </c>
      <c r="D31" s="60">
        <f t="shared" ref="D31:L31" si="2">SUM(D17:D30)</f>
        <v>26.395999999999997</v>
      </c>
      <c r="E31" s="60">
        <f t="shared" si="2"/>
        <v>3.6670000000000003</v>
      </c>
      <c r="F31" s="60">
        <f t="shared" si="2"/>
        <v>9.7000000000000011</v>
      </c>
      <c r="G31" s="60">
        <f t="shared" si="2"/>
        <v>3.5549999999999997</v>
      </c>
      <c r="H31" s="60">
        <f t="shared" si="2"/>
        <v>0</v>
      </c>
      <c r="I31" s="60">
        <f t="shared" si="2"/>
        <v>0</v>
      </c>
      <c r="J31" s="60">
        <f t="shared" si="2"/>
        <v>0</v>
      </c>
      <c r="K31" s="60">
        <f t="shared" si="2"/>
        <v>0</v>
      </c>
      <c r="L31" s="60">
        <f t="shared" si="2"/>
        <v>0</v>
      </c>
    </row>
    <row r="32" spans="1:12" ht="15.9" customHeight="1">
      <c r="A32" s="55" t="s">
        <v>89</v>
      </c>
      <c r="B32" s="8"/>
      <c r="C32" s="57"/>
      <c r="D32" s="57"/>
      <c r="E32" s="57"/>
      <c r="F32" s="57"/>
      <c r="G32" s="57"/>
      <c r="H32" s="57"/>
      <c r="I32" s="57"/>
      <c r="J32" s="57"/>
      <c r="K32" s="57"/>
      <c r="L32" s="57"/>
    </row>
    <row r="33" spans="1:12" ht="15.9" customHeight="1">
      <c r="A33" s="59">
        <v>1</v>
      </c>
      <c r="B33" s="8"/>
      <c r="C33" s="189">
        <v>62.63</v>
      </c>
      <c r="D33" s="189">
        <v>57</v>
      </c>
      <c r="E33" s="189">
        <v>86.87</v>
      </c>
      <c r="F33" s="144">
        <v>13.58</v>
      </c>
      <c r="G33" s="144">
        <v>74</v>
      </c>
      <c r="H33" s="144"/>
      <c r="I33" s="144"/>
      <c r="J33" s="144"/>
      <c r="K33" s="144"/>
      <c r="L33" s="144"/>
    </row>
    <row r="34" spans="1:12" ht="15.9" customHeight="1">
      <c r="A34" s="59">
        <f>A33+1</f>
        <v>2</v>
      </c>
      <c r="B34" s="8"/>
      <c r="C34" s="144"/>
      <c r="D34" s="144"/>
      <c r="E34" s="144"/>
      <c r="F34" s="144">
        <v>16.68</v>
      </c>
      <c r="G34" s="144"/>
      <c r="H34" s="144"/>
      <c r="I34" s="144"/>
      <c r="J34" s="144"/>
      <c r="K34" s="144"/>
      <c r="L34" s="144"/>
    </row>
    <row r="35" spans="1:12" ht="15.9" customHeight="1">
      <c r="A35" s="59">
        <f t="shared" ref="A35:A46" si="3">A34+1</f>
        <v>3</v>
      </c>
      <c r="B35" s="8"/>
      <c r="C35" s="144"/>
      <c r="D35" s="144"/>
      <c r="E35" s="144"/>
      <c r="F35" s="144">
        <v>20.32</v>
      </c>
      <c r="G35" s="144"/>
      <c r="H35" s="144"/>
      <c r="I35" s="144"/>
      <c r="J35" s="144"/>
      <c r="K35" s="144"/>
      <c r="L35" s="144"/>
    </row>
    <row r="36" spans="1:12" ht="15.9" customHeight="1">
      <c r="A36" s="59">
        <f t="shared" si="3"/>
        <v>4</v>
      </c>
      <c r="B36" s="8"/>
      <c r="C36" s="144"/>
      <c r="D36" s="144"/>
      <c r="E36" s="144"/>
      <c r="F36" s="144">
        <v>26.91</v>
      </c>
      <c r="G36" s="144"/>
      <c r="H36" s="144"/>
      <c r="I36" s="144"/>
      <c r="J36" s="144"/>
      <c r="K36" s="144"/>
      <c r="L36" s="144"/>
    </row>
    <row r="37" spans="1:12" ht="15.9" customHeight="1">
      <c r="A37" s="59">
        <f t="shared" si="3"/>
        <v>5</v>
      </c>
      <c r="B37" s="8"/>
      <c r="C37" s="144"/>
      <c r="D37" s="144"/>
      <c r="E37" s="144"/>
      <c r="F37" s="144">
        <v>30.98</v>
      </c>
      <c r="G37" s="144"/>
      <c r="H37" s="144"/>
      <c r="I37" s="144"/>
      <c r="J37" s="144"/>
      <c r="K37" s="144"/>
      <c r="L37" s="144"/>
    </row>
    <row r="38" spans="1:12" ht="15.9" customHeight="1">
      <c r="A38" s="59">
        <f t="shared" si="3"/>
        <v>6</v>
      </c>
      <c r="B38" s="8"/>
      <c r="C38" s="144"/>
      <c r="D38" s="144"/>
      <c r="E38" s="144"/>
      <c r="F38" s="144"/>
      <c r="G38" s="144"/>
      <c r="H38" s="144"/>
      <c r="I38" s="144"/>
      <c r="J38" s="144"/>
      <c r="K38" s="144"/>
      <c r="L38" s="144"/>
    </row>
    <row r="39" spans="1:12" ht="15.9" customHeight="1">
      <c r="A39" s="59">
        <f t="shared" si="3"/>
        <v>7</v>
      </c>
      <c r="B39" s="8"/>
      <c r="C39" s="144"/>
      <c r="D39" s="144"/>
      <c r="E39" s="144"/>
      <c r="F39" s="144"/>
      <c r="G39" s="144"/>
      <c r="H39" s="144"/>
      <c r="I39" s="144"/>
      <c r="J39" s="144"/>
      <c r="K39" s="144"/>
      <c r="L39" s="144"/>
    </row>
    <row r="40" spans="1:12" ht="15.9" customHeight="1">
      <c r="A40" s="59">
        <f t="shared" si="3"/>
        <v>8</v>
      </c>
      <c r="B40" s="8"/>
      <c r="C40" s="144"/>
      <c r="D40" s="144"/>
      <c r="E40" s="144"/>
      <c r="F40" s="144"/>
      <c r="G40" s="144"/>
      <c r="H40" s="144"/>
      <c r="I40" s="144"/>
      <c r="J40" s="144"/>
      <c r="K40" s="144"/>
      <c r="L40" s="144"/>
    </row>
    <row r="41" spans="1:12" ht="15.9" customHeight="1">
      <c r="A41" s="59">
        <f t="shared" si="3"/>
        <v>9</v>
      </c>
      <c r="B41" s="8"/>
      <c r="C41" s="144"/>
      <c r="D41" s="144"/>
      <c r="E41" s="144"/>
      <c r="F41" s="144"/>
      <c r="G41" s="144"/>
      <c r="H41" s="144"/>
      <c r="I41" s="144"/>
      <c r="J41" s="144"/>
      <c r="K41" s="144"/>
      <c r="L41" s="144"/>
    </row>
    <row r="42" spans="1:12" ht="15.9" customHeight="1">
      <c r="A42" s="59">
        <f t="shared" si="3"/>
        <v>10</v>
      </c>
      <c r="B42" s="8"/>
      <c r="C42" s="144"/>
      <c r="D42" s="144"/>
      <c r="E42" s="144"/>
      <c r="F42" s="144"/>
      <c r="G42" s="144"/>
      <c r="H42" s="144"/>
      <c r="I42" s="144"/>
      <c r="J42" s="144"/>
      <c r="K42" s="144"/>
      <c r="L42" s="144"/>
    </row>
    <row r="43" spans="1:12" ht="15.9" customHeight="1">
      <c r="A43" s="59">
        <f t="shared" si="3"/>
        <v>11</v>
      </c>
      <c r="B43" s="8"/>
      <c r="C43" s="144"/>
      <c r="D43" s="144"/>
      <c r="E43" s="144"/>
      <c r="F43" s="144"/>
      <c r="G43" s="144"/>
      <c r="H43" s="144"/>
      <c r="I43" s="144"/>
      <c r="J43" s="144"/>
      <c r="K43" s="144"/>
      <c r="L43" s="144"/>
    </row>
    <row r="44" spans="1:12" ht="15.9" customHeight="1">
      <c r="A44" s="59">
        <f t="shared" si="3"/>
        <v>12</v>
      </c>
      <c r="B44" s="8"/>
      <c r="C44" s="144"/>
      <c r="D44" s="144"/>
      <c r="E44" s="144"/>
      <c r="F44" s="144"/>
      <c r="G44" s="144"/>
      <c r="H44" s="144"/>
      <c r="I44" s="144"/>
      <c r="J44" s="144"/>
      <c r="K44" s="144"/>
      <c r="L44" s="144"/>
    </row>
    <row r="45" spans="1:12" ht="15.9" customHeight="1">
      <c r="A45" s="59">
        <f t="shared" si="3"/>
        <v>13</v>
      </c>
      <c r="B45" s="8"/>
      <c r="C45" s="144"/>
      <c r="D45" s="144"/>
      <c r="E45" s="144"/>
      <c r="F45" s="144"/>
      <c r="G45" s="144"/>
      <c r="H45" s="144"/>
      <c r="I45" s="144"/>
      <c r="J45" s="144"/>
      <c r="K45" s="144"/>
      <c r="L45" s="144"/>
    </row>
    <row r="46" spans="1:12" ht="15.9" customHeight="1">
      <c r="A46" s="59">
        <f t="shared" si="3"/>
        <v>14</v>
      </c>
      <c r="B46" s="8"/>
      <c r="C46" s="144"/>
      <c r="D46" s="144"/>
      <c r="E46" s="144"/>
      <c r="F46" s="144"/>
      <c r="G46" s="144"/>
      <c r="H46" s="144"/>
      <c r="I46" s="144"/>
      <c r="J46" s="144"/>
      <c r="K46" s="144"/>
      <c r="L46" s="144"/>
    </row>
    <row r="47" spans="1:12" ht="15.9" customHeight="1">
      <c r="A47" s="24"/>
      <c r="B47" s="8"/>
      <c r="C47" s="58"/>
      <c r="D47" s="58"/>
      <c r="E47" s="58"/>
      <c r="F47" s="58"/>
      <c r="G47" s="58"/>
      <c r="H47" s="58"/>
      <c r="I47" s="58"/>
      <c r="J47" s="58"/>
      <c r="K47" s="58"/>
      <c r="L47" s="58"/>
    </row>
    <row r="48" spans="1:12" ht="15.9" customHeight="1">
      <c r="A48" s="24" t="s">
        <v>90</v>
      </c>
      <c r="B48" s="8"/>
      <c r="C48" s="187">
        <f t="shared" ref="C48:L48" si="4">SUMPRODUCT((C33:C46&lt;C11)*(C33:C46),C17:C30)</f>
        <v>10307.520140000001</v>
      </c>
      <c r="D48" s="57">
        <f t="shared" si="4"/>
        <v>1504.5719999999999</v>
      </c>
      <c r="E48" s="57">
        <f t="shared" si="4"/>
        <v>318.55229000000003</v>
      </c>
      <c r="F48" s="57">
        <f t="shared" si="4"/>
        <v>220.78099999999998</v>
      </c>
      <c r="G48" s="57">
        <f t="shared" si="4"/>
        <v>263.07</v>
      </c>
      <c r="H48" s="57">
        <f t="shared" si="4"/>
        <v>0</v>
      </c>
      <c r="I48" s="57">
        <f t="shared" si="4"/>
        <v>0</v>
      </c>
      <c r="J48" s="57">
        <f t="shared" si="4"/>
        <v>0</v>
      </c>
      <c r="K48" s="57">
        <f t="shared" si="4"/>
        <v>0</v>
      </c>
      <c r="L48" s="57">
        <f t="shared" si="4"/>
        <v>0</v>
      </c>
    </row>
    <row r="49" spans="1:14" ht="15.9" customHeight="1">
      <c r="A49" s="24" t="s">
        <v>137</v>
      </c>
      <c r="B49" s="8"/>
      <c r="C49" s="56">
        <f>SUMIF(C33:C46,"&lt;"&amp;C11,C17:C30)</f>
        <v>164.578</v>
      </c>
      <c r="D49" s="56">
        <f t="shared" ref="D49:L49" si="5">SUMIF(D33:D46,"&lt;"&amp;D11,D17:D30)</f>
        <v>26.395999999999997</v>
      </c>
      <c r="E49" s="56">
        <f t="shared" si="5"/>
        <v>3.6670000000000003</v>
      </c>
      <c r="F49" s="56">
        <f t="shared" si="5"/>
        <v>9.7000000000000011</v>
      </c>
      <c r="G49" s="56">
        <f t="shared" si="5"/>
        <v>3.5549999999999997</v>
      </c>
      <c r="H49" s="56">
        <f t="shared" si="5"/>
        <v>0</v>
      </c>
      <c r="I49" s="56">
        <f t="shared" si="5"/>
        <v>0</v>
      </c>
      <c r="J49" s="56">
        <f t="shared" si="5"/>
        <v>0</v>
      </c>
      <c r="K49" s="56">
        <f t="shared" si="5"/>
        <v>0</v>
      </c>
      <c r="L49" s="56">
        <f t="shared" si="5"/>
        <v>0</v>
      </c>
    </row>
    <row r="50" spans="1:14">
      <c r="A50" s="25" t="s">
        <v>91</v>
      </c>
      <c r="B50" s="8"/>
      <c r="C50" s="114">
        <f>IFERROR(C49-C48/C11, 0)</f>
        <v>49.087578263305318</v>
      </c>
      <c r="D50" s="114">
        <f t="shared" ref="D50:L50" si="6">IFERROR(D49-D48/D11, 0)</f>
        <v>5.7854246575342465</v>
      </c>
      <c r="E50" s="114">
        <f t="shared" si="6"/>
        <v>1.0608289290681503</v>
      </c>
      <c r="F50" s="114">
        <f t="shared" si="6"/>
        <v>5.5855572120760355</v>
      </c>
      <c r="G50" s="114">
        <f t="shared" si="6"/>
        <v>1.5834044068050661</v>
      </c>
      <c r="H50" s="114">
        <f t="shared" si="6"/>
        <v>0</v>
      </c>
      <c r="I50" s="114">
        <f t="shared" si="6"/>
        <v>0</v>
      </c>
      <c r="J50" s="114">
        <f t="shared" si="6"/>
        <v>0</v>
      </c>
      <c r="K50" s="114">
        <f t="shared" si="6"/>
        <v>0</v>
      </c>
      <c r="L50" s="114">
        <f t="shared" si="6"/>
        <v>0</v>
      </c>
    </row>
    <row r="51" spans="1:14">
      <c r="A51" s="24" t="s">
        <v>92</v>
      </c>
      <c r="B51"/>
      <c r="C51" s="145">
        <v>0</v>
      </c>
      <c r="D51" s="145"/>
      <c r="E51" s="145"/>
      <c r="F51" s="145"/>
      <c r="G51" s="145"/>
      <c r="H51" s="145"/>
      <c r="I51" s="145"/>
      <c r="J51" s="145"/>
      <c r="K51" s="145"/>
      <c r="L51" s="145"/>
    </row>
    <row r="52" spans="1:14">
      <c r="A52" s="24" t="s">
        <v>143</v>
      </c>
      <c r="B52" s="1"/>
      <c r="C52" s="146">
        <v>103.9</v>
      </c>
      <c r="D52" s="146"/>
      <c r="E52" s="146"/>
      <c r="F52" s="146"/>
      <c r="G52" s="146"/>
      <c r="H52" s="146"/>
      <c r="I52" s="146"/>
      <c r="J52" s="146"/>
      <c r="K52" s="146"/>
      <c r="L52" s="146"/>
    </row>
    <row r="53" spans="1:14">
      <c r="A53" s="9" t="s">
        <v>144</v>
      </c>
      <c r="B53" s="8"/>
      <c r="C53" s="115">
        <f t="shared" ref="C53:L53" si="7">C15+SUM(C50:C52)</f>
        <v>2710.6019662633057</v>
      </c>
      <c r="D53" s="115">
        <f t="shared" si="7"/>
        <v>886.62740165753405</v>
      </c>
      <c r="E53" s="115">
        <f t="shared" si="7"/>
        <v>354.36367192906812</v>
      </c>
      <c r="F53" s="115">
        <f t="shared" si="7"/>
        <v>254.84045721207602</v>
      </c>
      <c r="G53" s="115">
        <f t="shared" si="7"/>
        <v>130.3816434068051</v>
      </c>
      <c r="H53" s="115">
        <f t="shared" si="7"/>
        <v>0</v>
      </c>
      <c r="I53" s="115">
        <f t="shared" si="7"/>
        <v>0</v>
      </c>
      <c r="J53" s="115">
        <f t="shared" si="7"/>
        <v>0</v>
      </c>
      <c r="K53" s="115">
        <f t="shared" si="7"/>
        <v>0</v>
      </c>
      <c r="L53" s="115">
        <f t="shared" si="7"/>
        <v>0</v>
      </c>
    </row>
    <row r="54" spans="1:14">
      <c r="A54" s="8"/>
    </row>
    <row r="55" spans="1:14" ht="15" thickBot="1">
      <c r="A55" s="27" t="s">
        <v>157</v>
      </c>
      <c r="B55" s="27"/>
      <c r="C55" s="27"/>
      <c r="D55" s="27"/>
      <c r="E55" s="27"/>
      <c r="F55" s="27"/>
      <c r="G55" s="27"/>
      <c r="H55" s="27"/>
      <c r="I55" s="27"/>
      <c r="J55" s="27"/>
      <c r="K55" s="27"/>
      <c r="L55" s="27"/>
      <c r="N55" s="11" t="s">
        <v>164</v>
      </c>
    </row>
    <row r="56" spans="1:14">
      <c r="A56" s="7"/>
      <c r="D56" s="30"/>
      <c r="E56" s="31"/>
      <c r="F56" s="32"/>
    </row>
    <row r="57" spans="1:14">
      <c r="A57" s="21" t="s">
        <v>85</v>
      </c>
      <c r="B57" s="22"/>
      <c r="C57" s="23" t="str">
        <f>C$7</f>
        <v>PG</v>
      </c>
      <c r="D57" s="23" t="str">
        <f t="shared" ref="D57:L57" si="8">D$7</f>
        <v>CL</v>
      </c>
      <c r="E57" s="23" t="str">
        <f t="shared" si="8"/>
        <v>KMB</v>
      </c>
      <c r="F57" s="23" t="str">
        <f t="shared" si="8"/>
        <v>CHD</v>
      </c>
      <c r="G57" s="23" t="str">
        <f t="shared" si="8"/>
        <v>CLX</v>
      </c>
      <c r="H57" s="23" t="str">
        <f t="shared" si="8"/>
        <v>EL</v>
      </c>
      <c r="I57" s="23">
        <f t="shared" si="8"/>
        <v>0</v>
      </c>
      <c r="J57" s="23">
        <f t="shared" si="8"/>
        <v>0</v>
      </c>
      <c r="K57" s="23">
        <f t="shared" si="8"/>
        <v>0</v>
      </c>
      <c r="L57" s="23">
        <f t="shared" si="8"/>
        <v>0</v>
      </c>
    </row>
    <row r="58" spans="1:14">
      <c r="A58" s="6"/>
      <c r="B58" s="10"/>
      <c r="C58" s="61">
        <f>C9</f>
        <v>42916</v>
      </c>
      <c r="D58" s="61">
        <f t="shared" ref="D58:L58" si="9">D9</f>
        <v>42735</v>
      </c>
      <c r="E58" s="61">
        <f t="shared" si="9"/>
        <v>42735</v>
      </c>
      <c r="F58" s="61">
        <f t="shared" si="9"/>
        <v>42735</v>
      </c>
      <c r="G58" s="61">
        <f t="shared" si="9"/>
        <v>42551</v>
      </c>
      <c r="H58" s="61">
        <f t="shared" si="9"/>
        <v>0</v>
      </c>
      <c r="I58" s="61">
        <f t="shared" si="9"/>
        <v>0</v>
      </c>
      <c r="J58" s="61">
        <f t="shared" si="9"/>
        <v>0</v>
      </c>
      <c r="K58" s="61">
        <f t="shared" si="9"/>
        <v>0</v>
      </c>
      <c r="L58" s="61">
        <f t="shared" si="9"/>
        <v>0</v>
      </c>
    </row>
    <row r="59" spans="1:14">
      <c r="A59" s="8" t="s">
        <v>6</v>
      </c>
      <c r="B59" s="8"/>
      <c r="C59" s="190">
        <v>65058</v>
      </c>
      <c r="D59" s="190">
        <v>15195</v>
      </c>
      <c r="E59" s="190">
        <v>18202</v>
      </c>
      <c r="F59" s="190">
        <v>3493.1</v>
      </c>
      <c r="G59" s="185">
        <v>5761</v>
      </c>
      <c r="H59" s="139"/>
      <c r="I59" s="139"/>
      <c r="J59" s="139"/>
      <c r="K59" s="139"/>
      <c r="L59" s="139"/>
    </row>
    <row r="60" spans="1:14">
      <c r="A60" s="113" t="s">
        <v>84</v>
      </c>
      <c r="C60" s="191">
        <v>-32535</v>
      </c>
      <c r="D60" s="191">
        <v>-6072</v>
      </c>
      <c r="E60" s="191">
        <v>-11551</v>
      </c>
      <c r="F60" s="191">
        <v>-1902.5</v>
      </c>
      <c r="G60" s="186">
        <v>-3163</v>
      </c>
      <c r="H60" s="142"/>
      <c r="I60" s="142"/>
      <c r="J60" s="142"/>
      <c r="K60" s="142"/>
      <c r="L60" s="142"/>
      <c r="N60" s="11" t="s">
        <v>16</v>
      </c>
    </row>
    <row r="61" spans="1:14">
      <c r="A61" s="8" t="s">
        <v>78</v>
      </c>
      <c r="B61" s="8"/>
      <c r="C61" s="192">
        <f t="shared" ref="C61:F61" si="10">SUM(C59:C60)</f>
        <v>32523</v>
      </c>
      <c r="D61" s="192">
        <f t="shared" si="10"/>
        <v>9123</v>
      </c>
      <c r="E61" s="192">
        <f t="shared" si="10"/>
        <v>6651</v>
      </c>
      <c r="F61" s="192">
        <f t="shared" si="10"/>
        <v>1590.6</v>
      </c>
      <c r="G61" s="140">
        <f t="shared" ref="G61:L61" si="11">SUM(G59:G60)</f>
        <v>2598</v>
      </c>
      <c r="H61" s="140">
        <f t="shared" si="11"/>
        <v>0</v>
      </c>
      <c r="I61" s="140">
        <f t="shared" si="11"/>
        <v>0</v>
      </c>
      <c r="J61" s="140">
        <f t="shared" si="11"/>
        <v>0</v>
      </c>
      <c r="K61" s="140">
        <f t="shared" si="11"/>
        <v>0</v>
      </c>
      <c r="L61" s="140">
        <f t="shared" si="11"/>
        <v>0</v>
      </c>
    </row>
    <row r="62" spans="1:14">
      <c r="A62" s="54" t="s">
        <v>150</v>
      </c>
      <c r="C62" s="191">
        <v>-18568</v>
      </c>
      <c r="D62" s="191">
        <f>-5249-37</f>
        <v>-5286</v>
      </c>
      <c r="E62" s="191">
        <f>-(3326+8)</f>
        <v>-3334</v>
      </c>
      <c r="F62" s="191">
        <f>-(427.2+439.2)</f>
        <v>-866.4</v>
      </c>
      <c r="G62" s="142">
        <f>-(806+587+141)</f>
        <v>-1534</v>
      </c>
      <c r="H62" s="142"/>
      <c r="I62" s="142"/>
      <c r="J62" s="142"/>
      <c r="K62" s="142"/>
      <c r="L62" s="142"/>
      <c r="N62" s="11" t="s">
        <v>16</v>
      </c>
    </row>
    <row r="63" spans="1:14">
      <c r="A63" s="9" t="s">
        <v>151</v>
      </c>
      <c r="B63" s="9"/>
      <c r="C63" s="181">
        <f>SUM(C61:C62)</f>
        <v>13955</v>
      </c>
      <c r="D63" s="181">
        <f t="shared" ref="D63:F63" si="12">SUM(D61:D62)</f>
        <v>3837</v>
      </c>
      <c r="E63" s="181">
        <f t="shared" si="12"/>
        <v>3317</v>
      </c>
      <c r="F63" s="181">
        <f t="shared" si="12"/>
        <v>724.19999999999993</v>
      </c>
      <c r="G63" s="147">
        <f t="shared" ref="G63:L63" si="13">SUM(G61:G62)</f>
        <v>1064</v>
      </c>
      <c r="H63" s="147">
        <f t="shared" si="13"/>
        <v>0</v>
      </c>
      <c r="I63" s="147">
        <f t="shared" si="13"/>
        <v>0</v>
      </c>
      <c r="J63" s="147">
        <f t="shared" si="13"/>
        <v>0</v>
      </c>
      <c r="K63" s="147">
        <f t="shared" si="13"/>
        <v>0</v>
      </c>
      <c r="L63" s="147">
        <f t="shared" si="13"/>
        <v>0</v>
      </c>
      <c r="M63" s="13"/>
      <c r="N63" s="13"/>
    </row>
    <row r="64" spans="1:14">
      <c r="A64" s="34" t="s">
        <v>161</v>
      </c>
      <c r="B64" s="8"/>
      <c r="C64" s="190">
        <f>171-465-404</f>
        <v>-698</v>
      </c>
      <c r="D64" s="190">
        <v>-99</v>
      </c>
      <c r="E64" s="190">
        <v>-308</v>
      </c>
      <c r="F64" s="190">
        <f>9.2+1.7-1.5-27.7</f>
        <v>-18.3</v>
      </c>
      <c r="G64" s="139">
        <f>-(88-7)</f>
        <v>-81</v>
      </c>
      <c r="H64" s="139"/>
      <c r="I64" s="139"/>
      <c r="J64" s="139"/>
      <c r="K64" s="139"/>
      <c r="L64" s="139"/>
      <c r="N64" s="11" t="s">
        <v>16</v>
      </c>
    </row>
    <row r="65" spans="1:14">
      <c r="A65" s="8" t="s">
        <v>33</v>
      </c>
      <c r="B65" s="8"/>
      <c r="C65" s="192">
        <f t="shared" ref="C65:F65" si="14">SUM(C63:C64)</f>
        <v>13257</v>
      </c>
      <c r="D65" s="192">
        <f t="shared" si="14"/>
        <v>3738</v>
      </c>
      <c r="E65" s="192">
        <f t="shared" si="14"/>
        <v>3009</v>
      </c>
      <c r="F65" s="192">
        <f t="shared" si="14"/>
        <v>705.9</v>
      </c>
      <c r="G65" s="140">
        <f t="shared" ref="G65:L65" si="15">SUM(G63:G64)</f>
        <v>983</v>
      </c>
      <c r="H65" s="140">
        <f t="shared" si="15"/>
        <v>0</v>
      </c>
      <c r="I65" s="140">
        <f t="shared" si="15"/>
        <v>0</v>
      </c>
      <c r="J65" s="140">
        <f t="shared" si="15"/>
        <v>0</v>
      </c>
      <c r="K65" s="140">
        <f t="shared" si="15"/>
        <v>0</v>
      </c>
      <c r="L65" s="140">
        <f t="shared" si="15"/>
        <v>0</v>
      </c>
    </row>
    <row r="66" spans="1:14">
      <c r="A66" s="54" t="s">
        <v>83</v>
      </c>
      <c r="B66" s="8"/>
      <c r="C66" s="190">
        <v>-3063</v>
      </c>
      <c r="D66" s="190">
        <v>-1152</v>
      </c>
      <c r="E66" s="190">
        <v>-922</v>
      </c>
      <c r="F66" s="190">
        <v>-246.9</v>
      </c>
      <c r="G66" s="139">
        <v>-335</v>
      </c>
      <c r="H66" s="139"/>
      <c r="I66" s="139"/>
      <c r="J66" s="139"/>
      <c r="K66" s="139"/>
      <c r="L66" s="139"/>
      <c r="N66" s="11" t="s">
        <v>16</v>
      </c>
    </row>
    <row r="67" spans="1:14">
      <c r="A67" s="8" t="s">
        <v>79</v>
      </c>
      <c r="B67" s="8"/>
      <c r="C67" s="192">
        <f t="shared" ref="C67:F67" si="16">SUM(C65:C66)</f>
        <v>10194</v>
      </c>
      <c r="D67" s="192">
        <f t="shared" si="16"/>
        <v>2586</v>
      </c>
      <c r="E67" s="192">
        <f t="shared" si="16"/>
        <v>2087</v>
      </c>
      <c r="F67" s="192">
        <f t="shared" si="16"/>
        <v>459</v>
      </c>
      <c r="G67" s="140">
        <f t="shared" ref="G67:L67" si="17">SUM(G65:G66)</f>
        <v>648</v>
      </c>
      <c r="H67" s="140">
        <f t="shared" si="17"/>
        <v>0</v>
      </c>
      <c r="I67" s="140">
        <f t="shared" si="17"/>
        <v>0</v>
      </c>
      <c r="J67" s="140">
        <f t="shared" si="17"/>
        <v>0</v>
      </c>
      <c r="K67" s="140">
        <f t="shared" si="17"/>
        <v>0</v>
      </c>
      <c r="L67" s="140">
        <f t="shared" si="17"/>
        <v>0</v>
      </c>
    </row>
    <row r="68" spans="1:14">
      <c r="A68" s="8" t="s">
        <v>173</v>
      </c>
      <c r="B68" s="8"/>
      <c r="C68" s="192">
        <f>5217-85</f>
        <v>5132</v>
      </c>
      <c r="D68" s="192">
        <v>-145</v>
      </c>
      <c r="E68" s="192">
        <f>132-53</f>
        <v>79</v>
      </c>
      <c r="F68" s="192">
        <v>0</v>
      </c>
      <c r="G68" s="140">
        <v>0</v>
      </c>
      <c r="H68" s="140"/>
      <c r="I68" s="140"/>
      <c r="J68" s="140"/>
      <c r="K68" s="140"/>
      <c r="L68" s="140"/>
    </row>
    <row r="69" spans="1:14">
      <c r="A69" s="10" t="s">
        <v>171</v>
      </c>
      <c r="B69" s="8"/>
      <c r="C69" s="192">
        <f>SUM(C67:C68)</f>
        <v>15326</v>
      </c>
      <c r="D69" s="192">
        <f>SUM(D67:D68)</f>
        <v>2441</v>
      </c>
      <c r="E69" s="192">
        <f>SUM(E67:E68)</f>
        <v>2166</v>
      </c>
      <c r="F69" s="192">
        <f>SUM(F67:F68)</f>
        <v>459</v>
      </c>
      <c r="G69" s="192">
        <f>SUM(G67:G68)</f>
        <v>648</v>
      </c>
      <c r="H69" s="140"/>
      <c r="I69" s="140"/>
      <c r="J69" s="140"/>
      <c r="K69" s="140"/>
      <c r="L69" s="140"/>
    </row>
    <row r="70" spans="1:14">
      <c r="A70" s="54" t="s">
        <v>82</v>
      </c>
      <c r="B70" s="8"/>
      <c r="C70" s="190">
        <v>2740.4</v>
      </c>
      <c r="D70" s="190">
        <v>898.4</v>
      </c>
      <c r="E70" s="190">
        <v>361.7</v>
      </c>
      <c r="F70" s="190">
        <v>262.10000000000002</v>
      </c>
      <c r="G70" s="185">
        <v>131.71700000000001</v>
      </c>
      <c r="H70" s="139"/>
      <c r="I70" s="139"/>
      <c r="J70" s="139"/>
      <c r="K70" s="139"/>
      <c r="L70" s="139"/>
    </row>
    <row r="71" spans="1:14">
      <c r="A71" s="54"/>
      <c r="B71" s="8"/>
      <c r="C71" s="149"/>
      <c r="D71" s="141"/>
      <c r="E71" s="141"/>
      <c r="F71" s="141"/>
      <c r="G71" s="141"/>
      <c r="H71" s="141"/>
      <c r="I71" s="141"/>
      <c r="J71" s="141"/>
      <c r="K71" s="141"/>
      <c r="L71" s="141"/>
    </row>
    <row r="72" spans="1:14">
      <c r="A72" s="116" t="s">
        <v>163</v>
      </c>
      <c r="B72" s="8"/>
      <c r="C72" s="141"/>
      <c r="D72" s="141"/>
      <c r="E72" s="141"/>
      <c r="F72" s="141"/>
      <c r="G72" s="141"/>
      <c r="H72" s="141"/>
      <c r="I72" s="141"/>
      <c r="J72" s="141"/>
      <c r="K72" s="141"/>
      <c r="L72" s="141"/>
    </row>
    <row r="73" spans="1:14">
      <c r="A73" s="24" t="s">
        <v>153</v>
      </c>
      <c r="B73" s="8"/>
      <c r="C73" s="190">
        <f>-5217</f>
        <v>-5217</v>
      </c>
      <c r="D73" s="139"/>
      <c r="E73" s="190">
        <v>24</v>
      </c>
      <c r="F73" s="139">
        <v>4.9000000000000004</v>
      </c>
      <c r="G73" s="139"/>
      <c r="H73" s="139"/>
      <c r="I73" s="139"/>
      <c r="J73" s="139"/>
      <c r="K73" s="139"/>
      <c r="L73" s="139"/>
      <c r="N73" s="11" t="s">
        <v>152</v>
      </c>
    </row>
    <row r="74" spans="1:14">
      <c r="A74" s="24" t="s">
        <v>154</v>
      </c>
      <c r="B74" s="8"/>
      <c r="C74" s="190">
        <f>399+345</f>
        <v>744</v>
      </c>
      <c r="D74" s="190">
        <f>228-97+17</f>
        <v>148</v>
      </c>
      <c r="E74" s="139"/>
      <c r="F74" s="139"/>
      <c r="G74" s="139"/>
      <c r="H74" s="139"/>
      <c r="I74" s="139"/>
      <c r="J74" s="139"/>
      <c r="K74" s="139"/>
      <c r="L74" s="139"/>
      <c r="N74" s="11" t="s">
        <v>152</v>
      </c>
    </row>
    <row r="75" spans="1:14">
      <c r="A75" s="24" t="s">
        <v>162</v>
      </c>
      <c r="B75" s="8"/>
      <c r="C75" s="190">
        <v>-120</v>
      </c>
      <c r="D75" s="190">
        <f>(-59+34-35-6)</f>
        <v>-66</v>
      </c>
      <c r="E75" s="190">
        <v>-8</v>
      </c>
      <c r="F75" s="139"/>
      <c r="G75" s="139"/>
      <c r="H75" s="139"/>
      <c r="I75" s="139"/>
      <c r="J75" s="139"/>
      <c r="K75" s="139"/>
      <c r="L75" s="139"/>
    </row>
    <row r="76" spans="1:14">
      <c r="A76" s="24"/>
      <c r="B76" s="8"/>
      <c r="C76" s="141"/>
      <c r="D76" s="141"/>
      <c r="E76" s="141"/>
      <c r="F76" s="141"/>
      <c r="G76" s="141"/>
      <c r="H76" s="141"/>
      <c r="I76" s="141"/>
      <c r="J76" s="141"/>
      <c r="K76" s="141"/>
      <c r="L76" s="141"/>
    </row>
    <row r="77" spans="1:14">
      <c r="A77" s="116" t="s">
        <v>145</v>
      </c>
      <c r="B77" s="8"/>
      <c r="C77" s="141"/>
      <c r="D77" s="141"/>
      <c r="E77" s="141"/>
      <c r="F77" s="141"/>
      <c r="G77" s="141"/>
      <c r="H77" s="141"/>
      <c r="I77" s="141"/>
      <c r="J77" s="141"/>
      <c r="K77" s="141"/>
      <c r="L77" s="141"/>
    </row>
    <row r="78" spans="1:14">
      <c r="A78" s="25" t="s">
        <v>7</v>
      </c>
      <c r="B78" s="8"/>
      <c r="C78" s="150">
        <f t="shared" ref="C78:L78" si="18">C63+C73</f>
        <v>8738</v>
      </c>
      <c r="D78" s="150">
        <f t="shared" si="18"/>
        <v>3837</v>
      </c>
      <c r="E78" s="150">
        <f t="shared" si="18"/>
        <v>3341</v>
      </c>
      <c r="F78" s="150">
        <f t="shared" si="18"/>
        <v>729.09999999999991</v>
      </c>
      <c r="G78" s="150">
        <f t="shared" si="18"/>
        <v>1064</v>
      </c>
      <c r="H78" s="150">
        <f t="shared" si="18"/>
        <v>0</v>
      </c>
      <c r="I78" s="150">
        <f t="shared" si="18"/>
        <v>0</v>
      </c>
      <c r="J78" s="150">
        <f t="shared" si="18"/>
        <v>0</v>
      </c>
      <c r="K78" s="150">
        <f t="shared" si="18"/>
        <v>0</v>
      </c>
      <c r="L78" s="150">
        <f t="shared" si="18"/>
        <v>0</v>
      </c>
    </row>
    <row r="79" spans="1:14">
      <c r="A79" s="24" t="s">
        <v>9</v>
      </c>
      <c r="B79" s="8"/>
      <c r="C79" s="185">
        <v>2820</v>
      </c>
      <c r="D79" s="139">
        <v>443</v>
      </c>
      <c r="E79" s="139">
        <v>705</v>
      </c>
      <c r="F79" s="139">
        <v>59.7</v>
      </c>
      <c r="G79" s="139">
        <v>165</v>
      </c>
      <c r="H79" s="139"/>
      <c r="I79" s="139"/>
      <c r="J79" s="139"/>
      <c r="K79" s="139"/>
      <c r="L79" s="139"/>
      <c r="M79" s="8"/>
      <c r="N79" s="11" t="s">
        <v>32</v>
      </c>
    </row>
    <row r="80" spans="1:14">
      <c r="A80" s="25" t="s">
        <v>8</v>
      </c>
      <c r="B80" s="8"/>
      <c r="C80" s="150">
        <f t="shared" ref="C80:L80" si="19">C78+C79</f>
        <v>11558</v>
      </c>
      <c r="D80" s="150">
        <f t="shared" si="19"/>
        <v>4280</v>
      </c>
      <c r="E80" s="150">
        <f t="shared" si="19"/>
        <v>4046</v>
      </c>
      <c r="F80" s="150">
        <f t="shared" si="19"/>
        <v>788.8</v>
      </c>
      <c r="G80" s="150">
        <f t="shared" si="19"/>
        <v>1229</v>
      </c>
      <c r="H80" s="150">
        <f t="shared" si="19"/>
        <v>0</v>
      </c>
      <c r="I80" s="150">
        <f t="shared" si="19"/>
        <v>0</v>
      </c>
      <c r="J80" s="150">
        <f t="shared" si="19"/>
        <v>0</v>
      </c>
      <c r="K80" s="150">
        <f t="shared" si="19"/>
        <v>0</v>
      </c>
      <c r="L80" s="150">
        <f t="shared" si="19"/>
        <v>0</v>
      </c>
    </row>
    <row r="81" spans="1:14">
      <c r="A81" s="25" t="s">
        <v>33</v>
      </c>
      <c r="B81" s="8"/>
      <c r="C81" s="150">
        <f t="shared" ref="C81:L81" si="20">C65+C73+C74</f>
        <v>8784</v>
      </c>
      <c r="D81" s="150">
        <f>D65+D73+D74</f>
        <v>3886</v>
      </c>
      <c r="E81" s="150">
        <f>E65+E73+E74</f>
        <v>3033</v>
      </c>
      <c r="F81" s="150">
        <f t="shared" si="20"/>
        <v>710.8</v>
      </c>
      <c r="G81" s="150">
        <f t="shared" si="20"/>
        <v>983</v>
      </c>
      <c r="H81" s="150">
        <f t="shared" si="20"/>
        <v>0</v>
      </c>
      <c r="I81" s="150">
        <f t="shared" si="20"/>
        <v>0</v>
      </c>
      <c r="J81" s="150">
        <f t="shared" si="20"/>
        <v>0</v>
      </c>
      <c r="K81" s="150">
        <f t="shared" si="20"/>
        <v>0</v>
      </c>
      <c r="L81" s="150">
        <f t="shared" si="20"/>
        <v>0</v>
      </c>
    </row>
    <row r="82" spans="1:14">
      <c r="A82" s="25" t="s">
        <v>83</v>
      </c>
      <c r="B82" s="8"/>
      <c r="C82" s="150">
        <f t="shared" ref="C82:L82" si="21">C66+C75</f>
        <v>-3183</v>
      </c>
      <c r="D82" s="150">
        <f>D66+D75</f>
        <v>-1218</v>
      </c>
      <c r="E82" s="150">
        <f>E66+E75</f>
        <v>-930</v>
      </c>
      <c r="F82" s="150">
        <f t="shared" si="21"/>
        <v>-246.9</v>
      </c>
      <c r="G82" s="150">
        <f t="shared" si="21"/>
        <v>-335</v>
      </c>
      <c r="H82" s="150">
        <f t="shared" si="21"/>
        <v>0</v>
      </c>
      <c r="I82" s="150">
        <f t="shared" si="21"/>
        <v>0</v>
      </c>
      <c r="J82" s="150">
        <f t="shared" si="21"/>
        <v>0</v>
      </c>
      <c r="K82" s="150">
        <f t="shared" si="21"/>
        <v>0</v>
      </c>
      <c r="L82" s="150">
        <f t="shared" si="21"/>
        <v>0</v>
      </c>
    </row>
    <row r="83" spans="1:14">
      <c r="A83" s="25" t="s">
        <v>146</v>
      </c>
      <c r="B83" s="8"/>
      <c r="C83" s="150">
        <f>C81+C82+C68</f>
        <v>10733</v>
      </c>
      <c r="D83" s="150">
        <f>D81+D82+D68</f>
        <v>2523</v>
      </c>
      <c r="E83" s="150">
        <f>E81+E82+E68</f>
        <v>2182</v>
      </c>
      <c r="F83" s="150">
        <f t="shared" ref="D83:L83" si="22">F81+F82</f>
        <v>463.9</v>
      </c>
      <c r="G83" s="150">
        <f t="shared" si="22"/>
        <v>648</v>
      </c>
      <c r="H83" s="150">
        <f t="shared" si="22"/>
        <v>0</v>
      </c>
      <c r="I83" s="150">
        <f t="shared" si="22"/>
        <v>0</v>
      </c>
      <c r="J83" s="150">
        <f t="shared" si="22"/>
        <v>0</v>
      </c>
      <c r="K83" s="150">
        <f t="shared" si="22"/>
        <v>0</v>
      </c>
      <c r="L83" s="150">
        <f t="shared" si="22"/>
        <v>0</v>
      </c>
    </row>
    <row r="84" spans="1:14">
      <c r="A84" s="25"/>
      <c r="B84" s="8"/>
      <c r="C84" s="150"/>
      <c r="D84" s="150"/>
      <c r="E84" s="150"/>
      <c r="F84" s="150"/>
      <c r="G84" s="150"/>
      <c r="H84" s="150"/>
      <c r="I84" s="150"/>
      <c r="J84" s="150"/>
      <c r="K84" s="150"/>
      <c r="L84" s="150"/>
    </row>
    <row r="85" spans="1:14">
      <c r="A85" s="117" t="s">
        <v>147</v>
      </c>
      <c r="B85" s="8"/>
      <c r="C85" s="150"/>
      <c r="D85" s="150"/>
      <c r="E85" s="150"/>
      <c r="F85" s="150"/>
      <c r="G85" s="150"/>
      <c r="H85" s="150"/>
      <c r="I85" s="150"/>
      <c r="J85" s="150"/>
      <c r="K85" s="150"/>
      <c r="L85" s="150"/>
    </row>
    <row r="86" spans="1:14">
      <c r="A86" s="25" t="s">
        <v>148</v>
      </c>
      <c r="B86" s="8"/>
      <c r="C86" s="148"/>
      <c r="D86" s="148"/>
      <c r="E86" s="148"/>
      <c r="F86" s="148"/>
      <c r="G86" s="148"/>
      <c r="H86" s="148"/>
      <c r="I86" s="148"/>
      <c r="J86" s="148"/>
      <c r="K86" s="148"/>
      <c r="L86" s="148"/>
    </row>
    <row r="87" spans="1:14">
      <c r="A87" s="25" t="s">
        <v>149</v>
      </c>
      <c r="C87" s="148"/>
      <c r="D87" s="148"/>
      <c r="E87" s="148"/>
      <c r="F87" s="148"/>
      <c r="G87" s="148"/>
      <c r="H87" s="148"/>
      <c r="I87" s="148"/>
      <c r="J87" s="148"/>
      <c r="K87" s="148"/>
      <c r="L87" s="148"/>
    </row>
    <row r="88" spans="1:14">
      <c r="A88" s="55" t="s">
        <v>37</v>
      </c>
      <c r="B88" s="8"/>
      <c r="C88" s="151">
        <f>IFERROR((C83+C86)/(C70+C87),0)</f>
        <v>3.9165815209458472</v>
      </c>
      <c r="D88" s="151">
        <f t="shared" ref="D88:L88" si="23">IFERROR((D83+D86)/(D70+D87),0)</f>
        <v>2.808325912733749</v>
      </c>
      <c r="E88" s="151">
        <f t="shared" si="23"/>
        <v>6.0326237213160079</v>
      </c>
      <c r="F88" s="151">
        <f t="shared" si="23"/>
        <v>1.7699351392598242</v>
      </c>
      <c r="G88" s="151">
        <f t="shared" si="23"/>
        <v>4.9196383154793981</v>
      </c>
      <c r="H88" s="151">
        <f t="shared" si="23"/>
        <v>0</v>
      </c>
      <c r="I88" s="151">
        <f t="shared" si="23"/>
        <v>0</v>
      </c>
      <c r="J88" s="151">
        <f t="shared" si="23"/>
        <v>0</v>
      </c>
      <c r="K88" s="151">
        <f t="shared" si="23"/>
        <v>0</v>
      </c>
      <c r="L88" s="151">
        <f t="shared" si="23"/>
        <v>0</v>
      </c>
    </row>
    <row r="89" spans="1:14">
      <c r="A89" s="8"/>
      <c r="B89" s="8"/>
      <c r="C89" s="141"/>
      <c r="D89" s="141"/>
      <c r="E89" s="141"/>
      <c r="F89" s="141"/>
      <c r="G89" s="141"/>
      <c r="H89" s="141"/>
      <c r="I89" s="141"/>
      <c r="J89" s="141"/>
      <c r="K89" s="141"/>
      <c r="L89" s="141"/>
    </row>
    <row r="90" spans="1:14">
      <c r="A90" s="21" t="s">
        <v>86</v>
      </c>
      <c r="B90" s="22"/>
      <c r="C90" s="152" t="str">
        <f>C$7</f>
        <v>PG</v>
      </c>
      <c r="D90" s="152" t="str">
        <f t="shared" ref="D90:L90" si="24">D$7</f>
        <v>CL</v>
      </c>
      <c r="E90" s="152" t="str">
        <f t="shared" si="24"/>
        <v>KMB</v>
      </c>
      <c r="F90" s="152" t="str">
        <f t="shared" si="24"/>
        <v>CHD</v>
      </c>
      <c r="G90" s="152" t="str">
        <f t="shared" si="24"/>
        <v>CLX</v>
      </c>
      <c r="H90" s="152" t="str">
        <f t="shared" si="24"/>
        <v>EL</v>
      </c>
      <c r="I90" s="152">
        <f t="shared" si="24"/>
        <v>0</v>
      </c>
      <c r="J90" s="152">
        <f t="shared" si="24"/>
        <v>0</v>
      </c>
      <c r="K90" s="152">
        <f t="shared" si="24"/>
        <v>0</v>
      </c>
      <c r="L90" s="152">
        <f t="shared" si="24"/>
        <v>0</v>
      </c>
      <c r="M90" s="13"/>
      <c r="N90" s="13"/>
    </row>
    <row r="91" spans="1:14">
      <c r="A91" s="62" t="s">
        <v>95</v>
      </c>
      <c r="B91" s="10"/>
      <c r="C91" s="153" t="str">
        <f t="shared" ref="C91:L91" si="25">C10</f>
        <v>Q4</v>
      </c>
      <c r="D91" s="153" t="str">
        <f t="shared" si="25"/>
        <v>Q2</v>
      </c>
      <c r="E91" s="153" t="str">
        <f t="shared" si="25"/>
        <v>Q2</v>
      </c>
      <c r="F91" s="153" t="str">
        <f t="shared" si="25"/>
        <v>Q1</v>
      </c>
      <c r="G91" s="153" t="str">
        <f t="shared" si="25"/>
        <v>Q3</v>
      </c>
      <c r="H91" s="153" t="str">
        <f t="shared" si="25"/>
        <v>Select:</v>
      </c>
      <c r="I91" s="153" t="str">
        <f t="shared" si="25"/>
        <v>Select:</v>
      </c>
      <c r="J91" s="153" t="str">
        <f t="shared" si="25"/>
        <v>Select:</v>
      </c>
      <c r="K91" s="153" t="str">
        <f t="shared" si="25"/>
        <v>Select:</v>
      </c>
      <c r="L91" s="153" t="str">
        <f t="shared" si="25"/>
        <v>Select:</v>
      </c>
      <c r="M91" s="13"/>
      <c r="N91" s="13"/>
    </row>
    <row r="92" spans="1:14">
      <c r="A92" s="62" t="s">
        <v>96</v>
      </c>
      <c r="B92" s="10"/>
      <c r="C92" s="154">
        <f t="shared" ref="C92:L92" si="26">C8</f>
        <v>42916</v>
      </c>
      <c r="D92" s="154">
        <f t="shared" si="26"/>
        <v>42916</v>
      </c>
      <c r="E92" s="154">
        <f t="shared" si="26"/>
        <v>42916</v>
      </c>
      <c r="F92" s="154">
        <f t="shared" si="26"/>
        <v>42825</v>
      </c>
      <c r="G92" s="154">
        <f t="shared" si="26"/>
        <v>42825</v>
      </c>
      <c r="H92" s="154">
        <f t="shared" si="26"/>
        <v>0</v>
      </c>
      <c r="I92" s="154">
        <f t="shared" si="26"/>
        <v>0</v>
      </c>
      <c r="J92" s="154">
        <f t="shared" si="26"/>
        <v>0</v>
      </c>
      <c r="K92" s="154">
        <f t="shared" si="26"/>
        <v>0</v>
      </c>
      <c r="L92" s="154">
        <f t="shared" si="26"/>
        <v>0</v>
      </c>
      <c r="M92" s="13"/>
      <c r="N92" s="13"/>
    </row>
    <row r="93" spans="1:14">
      <c r="A93" s="8" t="s">
        <v>6</v>
      </c>
      <c r="B93" s="8"/>
      <c r="C93" s="190">
        <v>65058</v>
      </c>
      <c r="D93" s="190">
        <v>7588</v>
      </c>
      <c r="E93" s="190">
        <v>9037</v>
      </c>
      <c r="F93" s="139">
        <v>877.2</v>
      </c>
      <c r="G93" s="185">
        <v>4326</v>
      </c>
      <c r="H93" s="139"/>
      <c r="I93" s="139"/>
      <c r="J93" s="139"/>
      <c r="K93" s="139"/>
      <c r="L93" s="139"/>
    </row>
    <row r="94" spans="1:14">
      <c r="A94" s="113" t="s">
        <v>84</v>
      </c>
      <c r="C94" s="191">
        <v>-32535</v>
      </c>
      <c r="D94" s="190">
        <v>-3019</v>
      </c>
      <c r="E94" s="190">
        <v>-5741</v>
      </c>
      <c r="F94" s="139">
        <v>-477.9</v>
      </c>
      <c r="G94" s="185">
        <v>-2407</v>
      </c>
      <c r="H94" s="139"/>
      <c r="I94" s="139"/>
      <c r="J94" s="139"/>
      <c r="K94" s="139"/>
      <c r="L94" s="139"/>
    </row>
    <row r="95" spans="1:14">
      <c r="A95" s="8" t="s">
        <v>78</v>
      </c>
      <c r="B95" s="8"/>
      <c r="C95" s="192">
        <f t="shared" ref="C95" si="27">SUM(C93:C94)</f>
        <v>32523</v>
      </c>
      <c r="D95" s="192">
        <f t="shared" ref="D95:F95" si="28">SUM(D93:D94)</f>
        <v>4569</v>
      </c>
      <c r="E95" s="192">
        <f t="shared" si="28"/>
        <v>3296</v>
      </c>
      <c r="F95" s="140">
        <f t="shared" si="28"/>
        <v>399.30000000000007</v>
      </c>
      <c r="G95" s="140">
        <f t="shared" ref="G95:L95" si="29">SUM(G93:G94)</f>
        <v>1919</v>
      </c>
      <c r="H95" s="140">
        <f t="shared" si="29"/>
        <v>0</v>
      </c>
      <c r="I95" s="140">
        <f t="shared" si="29"/>
        <v>0</v>
      </c>
      <c r="J95" s="140">
        <f t="shared" si="29"/>
        <v>0</v>
      </c>
      <c r="K95" s="140">
        <f t="shared" si="29"/>
        <v>0</v>
      </c>
      <c r="L95" s="140">
        <f t="shared" si="29"/>
        <v>0</v>
      </c>
    </row>
    <row r="96" spans="1:14">
      <c r="A96" s="54" t="s">
        <v>150</v>
      </c>
      <c r="C96" s="191">
        <v>-18568</v>
      </c>
      <c r="D96" s="190">
        <f>-(2695+136)</f>
        <v>-2831</v>
      </c>
      <c r="E96" s="190">
        <f>-(1655+8)</f>
        <v>-1663</v>
      </c>
      <c r="F96" s="139">
        <f>-(90.8+112.4)</f>
        <v>-203.2</v>
      </c>
      <c r="G96" s="139">
        <f>-(598+417+98)</f>
        <v>-1113</v>
      </c>
      <c r="H96" s="139"/>
      <c r="I96" s="139"/>
      <c r="J96" s="139"/>
      <c r="K96" s="139"/>
      <c r="L96" s="139"/>
    </row>
    <row r="97" spans="1:12">
      <c r="A97" s="9" t="s">
        <v>151</v>
      </c>
      <c r="B97" s="9"/>
      <c r="C97" s="181">
        <f t="shared" ref="C97:F97" si="30">SUM(C95:C96)</f>
        <v>13955</v>
      </c>
      <c r="D97" s="181">
        <f t="shared" si="30"/>
        <v>1738</v>
      </c>
      <c r="E97" s="181">
        <f t="shared" si="30"/>
        <v>1633</v>
      </c>
      <c r="F97" s="147">
        <f t="shared" si="30"/>
        <v>196.10000000000008</v>
      </c>
      <c r="G97" s="147">
        <f t="shared" ref="G97:L97" si="31">SUM(G95:G96)</f>
        <v>806</v>
      </c>
      <c r="H97" s="147">
        <f t="shared" si="31"/>
        <v>0</v>
      </c>
      <c r="I97" s="147">
        <f t="shared" si="31"/>
        <v>0</v>
      </c>
      <c r="J97" s="147">
        <f t="shared" si="31"/>
        <v>0</v>
      </c>
      <c r="K97" s="147">
        <f t="shared" si="31"/>
        <v>0</v>
      </c>
      <c r="L97" s="147">
        <f t="shared" si="31"/>
        <v>0</v>
      </c>
    </row>
    <row r="98" spans="1:12">
      <c r="A98" s="34" t="s">
        <v>161</v>
      </c>
      <c r="B98" s="8"/>
      <c r="C98" s="190">
        <f>171-465-404</f>
        <v>-698</v>
      </c>
      <c r="D98" s="190">
        <v>-47</v>
      </c>
      <c r="E98" s="190">
        <f>-164</f>
        <v>-164</v>
      </c>
      <c r="F98" s="139">
        <f>2.1+0.4-0.2-8.2</f>
        <v>-5.8999999999999995</v>
      </c>
      <c r="G98" s="139">
        <v>-68</v>
      </c>
      <c r="H98" s="139"/>
      <c r="I98" s="139"/>
      <c r="J98" s="139"/>
      <c r="K98" s="139"/>
      <c r="L98" s="139"/>
    </row>
    <row r="99" spans="1:12">
      <c r="A99" s="8" t="s">
        <v>33</v>
      </c>
      <c r="B99" s="8"/>
      <c r="C99" s="192">
        <f t="shared" ref="C99:F99" si="32">SUM(C97:C98)</f>
        <v>13257</v>
      </c>
      <c r="D99" s="192">
        <f t="shared" si="32"/>
        <v>1691</v>
      </c>
      <c r="E99" s="192">
        <f t="shared" si="32"/>
        <v>1469</v>
      </c>
      <c r="F99" s="140">
        <f t="shared" si="32"/>
        <v>190.20000000000007</v>
      </c>
      <c r="G99" s="140">
        <f t="shared" ref="G99:L99" si="33">SUM(G97:G98)</f>
        <v>738</v>
      </c>
      <c r="H99" s="140">
        <f t="shared" si="33"/>
        <v>0</v>
      </c>
      <c r="I99" s="140">
        <f t="shared" si="33"/>
        <v>0</v>
      </c>
      <c r="J99" s="140">
        <f t="shared" si="33"/>
        <v>0</v>
      </c>
      <c r="K99" s="140">
        <f t="shared" si="33"/>
        <v>0</v>
      </c>
      <c r="L99" s="140">
        <f t="shared" si="33"/>
        <v>0</v>
      </c>
    </row>
    <row r="100" spans="1:12">
      <c r="A100" s="54" t="s">
        <v>83</v>
      </c>
      <c r="B100" s="8"/>
      <c r="C100" s="190">
        <v>-3063</v>
      </c>
      <c r="D100" s="190">
        <v>-520</v>
      </c>
      <c r="E100" s="190">
        <v>-409</v>
      </c>
      <c r="F100" s="139">
        <v>-58.7</v>
      </c>
      <c r="G100" s="139">
        <v>-237</v>
      </c>
      <c r="H100" s="139"/>
      <c r="I100" s="139"/>
      <c r="J100" s="139"/>
      <c r="K100" s="139"/>
      <c r="L100" s="139"/>
    </row>
    <row r="101" spans="1:12">
      <c r="A101" s="8" t="s">
        <v>79</v>
      </c>
      <c r="B101" s="8"/>
      <c r="C101" s="192">
        <f t="shared" ref="C101:F101" si="34">SUM(C99:C100)</f>
        <v>10194</v>
      </c>
      <c r="D101" s="192">
        <f t="shared" si="34"/>
        <v>1171</v>
      </c>
      <c r="E101" s="192">
        <f t="shared" si="34"/>
        <v>1060</v>
      </c>
      <c r="F101" s="140">
        <f t="shared" si="34"/>
        <v>131.50000000000006</v>
      </c>
      <c r="G101" s="140">
        <f t="shared" ref="G101:L101" si="35">SUM(G99:G100)</f>
        <v>501</v>
      </c>
      <c r="H101" s="140">
        <f t="shared" si="35"/>
        <v>0</v>
      </c>
      <c r="I101" s="140">
        <f t="shared" si="35"/>
        <v>0</v>
      </c>
      <c r="J101" s="140">
        <f t="shared" si="35"/>
        <v>0</v>
      </c>
      <c r="K101" s="140">
        <f t="shared" si="35"/>
        <v>0</v>
      </c>
      <c r="L101" s="140">
        <f t="shared" si="35"/>
        <v>0</v>
      </c>
    </row>
    <row r="102" spans="1:12">
      <c r="A102" s="8" t="s">
        <v>177</v>
      </c>
      <c r="B102" s="8"/>
      <c r="C102" s="192">
        <f>5217-85</f>
        <v>5132</v>
      </c>
      <c r="D102" s="192">
        <v>-77</v>
      </c>
      <c r="E102" s="192">
        <f>55-21</f>
        <v>34</v>
      </c>
      <c r="F102" s="140"/>
      <c r="G102" s="140"/>
      <c r="H102" s="140"/>
      <c r="I102" s="140"/>
      <c r="J102" s="140"/>
      <c r="K102" s="140"/>
      <c r="L102" s="140"/>
    </row>
    <row r="103" spans="1:12">
      <c r="A103" s="10" t="s">
        <v>178</v>
      </c>
      <c r="B103" s="8"/>
      <c r="C103" s="192">
        <f>SUM(C101:C102)</f>
        <v>15326</v>
      </c>
      <c r="D103" s="192">
        <f>SUM(D101:D102)</f>
        <v>1094</v>
      </c>
      <c r="E103" s="192">
        <f>SUM(E101:E102)</f>
        <v>1094</v>
      </c>
      <c r="F103" s="140"/>
      <c r="G103" s="140"/>
      <c r="H103" s="140"/>
      <c r="I103" s="140"/>
      <c r="J103" s="140"/>
      <c r="K103" s="140"/>
      <c r="L103" s="140"/>
    </row>
    <row r="104" spans="1:12">
      <c r="A104" s="54" t="s">
        <v>82</v>
      </c>
      <c r="B104" s="8"/>
      <c r="C104" s="190">
        <v>2740.4</v>
      </c>
      <c r="D104" s="190">
        <v>890.9</v>
      </c>
      <c r="E104" s="190">
        <v>357.6</v>
      </c>
      <c r="F104" s="139">
        <v>259.7</v>
      </c>
      <c r="G104" s="185">
        <v>131.399</v>
      </c>
      <c r="H104" s="139"/>
      <c r="I104" s="139"/>
      <c r="J104" s="139"/>
      <c r="K104" s="139"/>
      <c r="L104" s="139"/>
    </row>
    <row r="105" spans="1:12">
      <c r="A105" s="54"/>
      <c r="B105" s="8"/>
      <c r="C105" s="141"/>
      <c r="D105" s="141"/>
      <c r="E105" s="141"/>
      <c r="F105" s="141"/>
      <c r="G105" s="141"/>
      <c r="H105" s="141"/>
      <c r="I105" s="141"/>
      <c r="J105" s="141"/>
      <c r="K105" s="141"/>
      <c r="L105" s="141"/>
    </row>
    <row r="106" spans="1:12">
      <c r="A106" s="116" t="s">
        <v>163</v>
      </c>
      <c r="B106" s="8"/>
      <c r="C106" s="141"/>
      <c r="D106" s="141"/>
      <c r="E106" s="141"/>
      <c r="F106" s="141"/>
      <c r="G106" s="141"/>
      <c r="H106" s="141"/>
      <c r="I106" s="141"/>
      <c r="J106" s="141"/>
      <c r="K106" s="141"/>
      <c r="L106" s="141"/>
    </row>
    <row r="107" spans="1:12">
      <c r="A107" s="24" t="s">
        <v>153</v>
      </c>
      <c r="B107" s="8"/>
      <c r="C107" s="190">
        <f>-5217</f>
        <v>-5217</v>
      </c>
      <c r="D107" s="190">
        <v>188</v>
      </c>
      <c r="E107" s="190">
        <v>15</v>
      </c>
      <c r="F107" s="139">
        <v>3.5</v>
      </c>
      <c r="G107" s="139"/>
      <c r="H107" s="139"/>
      <c r="I107" s="139"/>
      <c r="J107" s="139"/>
      <c r="K107" s="139"/>
      <c r="L107" s="139"/>
    </row>
    <row r="108" spans="1:12">
      <c r="A108" s="24" t="s">
        <v>154</v>
      </c>
      <c r="B108" s="8"/>
      <c r="C108" s="190">
        <f>399+345</f>
        <v>744</v>
      </c>
      <c r="D108" s="190"/>
      <c r="E108" s="190"/>
      <c r="F108" s="139"/>
      <c r="G108" s="139"/>
      <c r="H108" s="139"/>
      <c r="I108" s="139"/>
      <c r="J108" s="139"/>
      <c r="K108" s="139"/>
      <c r="L108" s="139"/>
    </row>
    <row r="109" spans="1:12">
      <c r="A109" s="24" t="s">
        <v>162</v>
      </c>
      <c r="B109" s="8"/>
      <c r="C109" s="190">
        <v>-120</v>
      </c>
      <c r="D109" s="190">
        <v>-42</v>
      </c>
      <c r="E109" s="190">
        <v>-11</v>
      </c>
      <c r="F109" s="139"/>
      <c r="G109" s="139"/>
      <c r="H109" s="139"/>
      <c r="I109" s="139"/>
      <c r="J109" s="139"/>
      <c r="K109" s="139"/>
      <c r="L109" s="139"/>
    </row>
    <row r="110" spans="1:12">
      <c r="A110" s="24"/>
      <c r="B110" s="8"/>
      <c r="C110" s="141"/>
      <c r="D110" s="141"/>
      <c r="E110" s="141"/>
      <c r="F110" s="141"/>
      <c r="G110" s="141"/>
      <c r="H110" s="141"/>
      <c r="I110" s="141"/>
      <c r="J110" s="141"/>
      <c r="K110" s="141"/>
      <c r="L110" s="141"/>
    </row>
    <row r="111" spans="1:12">
      <c r="A111" s="116" t="s">
        <v>145</v>
      </c>
      <c r="B111" s="8"/>
      <c r="C111" s="141"/>
      <c r="D111" s="141"/>
      <c r="E111" s="141"/>
      <c r="F111" s="141"/>
      <c r="G111" s="141"/>
      <c r="H111" s="141"/>
      <c r="I111" s="141"/>
      <c r="J111" s="141"/>
      <c r="K111" s="141"/>
      <c r="L111" s="141"/>
    </row>
    <row r="112" spans="1:12">
      <c r="A112" s="25" t="s">
        <v>7</v>
      </c>
      <c r="B112" s="8"/>
      <c r="C112" s="150">
        <f t="shared" ref="C112:L112" si="36">C97+C107</f>
        <v>8738</v>
      </c>
      <c r="D112" s="150">
        <f t="shared" si="36"/>
        <v>1926</v>
      </c>
      <c r="E112" s="150">
        <f t="shared" si="36"/>
        <v>1648</v>
      </c>
      <c r="F112" s="150">
        <f t="shared" si="36"/>
        <v>199.60000000000008</v>
      </c>
      <c r="G112" s="150">
        <f t="shared" si="36"/>
        <v>806</v>
      </c>
      <c r="H112" s="150">
        <f t="shared" si="36"/>
        <v>0</v>
      </c>
      <c r="I112" s="150">
        <f t="shared" si="36"/>
        <v>0</v>
      </c>
      <c r="J112" s="150">
        <f t="shared" si="36"/>
        <v>0</v>
      </c>
      <c r="K112" s="150">
        <f t="shared" si="36"/>
        <v>0</v>
      </c>
      <c r="L112" s="150">
        <f t="shared" si="36"/>
        <v>0</v>
      </c>
    </row>
    <row r="113" spans="1:12">
      <c r="A113" s="24" t="s">
        <v>9</v>
      </c>
      <c r="B113" s="8"/>
      <c r="C113" s="139">
        <v>2820</v>
      </c>
      <c r="D113" s="139">
        <v>226</v>
      </c>
      <c r="E113" s="139">
        <v>358</v>
      </c>
      <c r="F113" s="139">
        <v>14.8</v>
      </c>
      <c r="G113" s="139">
        <v>121</v>
      </c>
      <c r="H113" s="139"/>
      <c r="I113" s="139"/>
      <c r="J113" s="139"/>
      <c r="K113" s="139"/>
      <c r="L113" s="139"/>
    </row>
    <row r="114" spans="1:12">
      <c r="A114" s="25" t="s">
        <v>8</v>
      </c>
      <c r="B114" s="8"/>
      <c r="C114" s="150">
        <f t="shared" ref="C114:L114" si="37">C112+C113</f>
        <v>11558</v>
      </c>
      <c r="D114" s="150">
        <f t="shared" si="37"/>
        <v>2152</v>
      </c>
      <c r="E114" s="150">
        <f>E112+E113</f>
        <v>2006</v>
      </c>
      <c r="F114" s="150">
        <f t="shared" si="37"/>
        <v>214.40000000000009</v>
      </c>
      <c r="G114" s="150">
        <f t="shared" si="37"/>
        <v>927</v>
      </c>
      <c r="H114" s="150">
        <f t="shared" si="37"/>
        <v>0</v>
      </c>
      <c r="I114" s="150">
        <f t="shared" si="37"/>
        <v>0</v>
      </c>
      <c r="J114" s="150">
        <f t="shared" si="37"/>
        <v>0</v>
      </c>
      <c r="K114" s="150">
        <f t="shared" si="37"/>
        <v>0</v>
      </c>
      <c r="L114" s="150">
        <f t="shared" si="37"/>
        <v>0</v>
      </c>
    </row>
    <row r="115" spans="1:12">
      <c r="A115" s="25" t="s">
        <v>33</v>
      </c>
      <c r="B115" s="8"/>
      <c r="C115" s="150">
        <f t="shared" ref="C115:L115" si="38">C99+C107+C108</f>
        <v>8784</v>
      </c>
      <c r="D115" s="150">
        <f t="shared" si="38"/>
        <v>1879</v>
      </c>
      <c r="E115" s="150">
        <f t="shared" si="38"/>
        <v>1484</v>
      </c>
      <c r="F115" s="150">
        <f t="shared" si="38"/>
        <v>193.70000000000007</v>
      </c>
      <c r="G115" s="150">
        <f t="shared" si="38"/>
        <v>738</v>
      </c>
      <c r="H115" s="150">
        <f t="shared" si="38"/>
        <v>0</v>
      </c>
      <c r="I115" s="150">
        <f t="shared" si="38"/>
        <v>0</v>
      </c>
      <c r="J115" s="150">
        <f t="shared" si="38"/>
        <v>0</v>
      </c>
      <c r="K115" s="150">
        <f t="shared" si="38"/>
        <v>0</v>
      </c>
      <c r="L115" s="150">
        <f t="shared" si="38"/>
        <v>0</v>
      </c>
    </row>
    <row r="116" spans="1:12">
      <c r="A116" s="25" t="s">
        <v>83</v>
      </c>
      <c r="B116" s="8"/>
      <c r="C116" s="150">
        <f t="shared" ref="C116:L116" si="39">C100+C109</f>
        <v>-3183</v>
      </c>
      <c r="D116" s="150">
        <f t="shared" si="39"/>
        <v>-562</v>
      </c>
      <c r="E116" s="150">
        <f t="shared" si="39"/>
        <v>-420</v>
      </c>
      <c r="F116" s="150">
        <f t="shared" si="39"/>
        <v>-58.7</v>
      </c>
      <c r="G116" s="150">
        <f t="shared" si="39"/>
        <v>-237</v>
      </c>
      <c r="H116" s="150">
        <f t="shared" si="39"/>
        <v>0</v>
      </c>
      <c r="I116" s="150">
        <f t="shared" si="39"/>
        <v>0</v>
      </c>
      <c r="J116" s="150">
        <f t="shared" si="39"/>
        <v>0</v>
      </c>
      <c r="K116" s="150">
        <f t="shared" si="39"/>
        <v>0</v>
      </c>
      <c r="L116" s="150">
        <f t="shared" si="39"/>
        <v>0</v>
      </c>
    </row>
    <row r="117" spans="1:12">
      <c r="A117" s="25" t="s">
        <v>146</v>
      </c>
      <c r="B117" s="8"/>
      <c r="C117" s="150">
        <f>C115+C116+C102</f>
        <v>10733</v>
      </c>
      <c r="D117" s="150">
        <f>D115+D116+D102</f>
        <v>1240</v>
      </c>
      <c r="E117" s="150">
        <f>E115+E116+E102</f>
        <v>1098</v>
      </c>
      <c r="F117" s="150">
        <f t="shared" ref="C117:L117" si="40">F115+F116</f>
        <v>135.00000000000006</v>
      </c>
      <c r="G117" s="150">
        <f t="shared" si="40"/>
        <v>501</v>
      </c>
      <c r="H117" s="150">
        <f t="shared" si="40"/>
        <v>0</v>
      </c>
      <c r="I117" s="150">
        <f t="shared" si="40"/>
        <v>0</v>
      </c>
      <c r="J117" s="150">
        <f t="shared" si="40"/>
        <v>0</v>
      </c>
      <c r="K117" s="150">
        <f t="shared" si="40"/>
        <v>0</v>
      </c>
      <c r="L117" s="150">
        <f t="shared" si="40"/>
        <v>0</v>
      </c>
    </row>
    <row r="118" spans="1:12">
      <c r="A118" s="25"/>
      <c r="B118" s="8"/>
      <c r="C118" s="150"/>
      <c r="D118" s="150"/>
      <c r="E118" s="150"/>
      <c r="F118" s="150"/>
      <c r="G118" s="150"/>
      <c r="H118" s="150"/>
      <c r="I118" s="150"/>
      <c r="J118" s="150"/>
      <c r="K118" s="150"/>
      <c r="L118" s="150"/>
    </row>
    <row r="119" spans="1:12">
      <c r="A119" s="117" t="s">
        <v>147</v>
      </c>
      <c r="B119" s="8"/>
      <c r="C119" s="150"/>
      <c r="D119" s="150"/>
      <c r="E119" s="150"/>
      <c r="F119" s="150"/>
      <c r="G119" s="150"/>
      <c r="H119" s="150"/>
      <c r="I119" s="150"/>
      <c r="J119" s="150"/>
      <c r="K119" s="150"/>
      <c r="L119" s="150"/>
    </row>
    <row r="120" spans="1:12">
      <c r="A120" s="25" t="s">
        <v>148</v>
      </c>
      <c r="B120" s="8"/>
      <c r="C120" s="139"/>
      <c r="D120" s="139"/>
      <c r="E120" s="139"/>
      <c r="F120" s="139"/>
      <c r="G120" s="139"/>
      <c r="H120" s="139"/>
      <c r="I120" s="139"/>
      <c r="J120" s="139"/>
      <c r="K120" s="139"/>
      <c r="L120" s="139"/>
    </row>
    <row r="121" spans="1:12">
      <c r="A121" s="25" t="s">
        <v>149</v>
      </c>
      <c r="C121" s="193"/>
      <c r="D121" s="139"/>
      <c r="E121" s="139"/>
      <c r="F121" s="139"/>
      <c r="G121" s="139"/>
      <c r="H121" s="139"/>
      <c r="I121" s="139"/>
      <c r="J121" s="139"/>
      <c r="K121" s="139"/>
      <c r="L121" s="139"/>
    </row>
    <row r="122" spans="1:12">
      <c r="A122" s="55" t="s">
        <v>37</v>
      </c>
      <c r="B122" s="8"/>
      <c r="C122" s="151">
        <f t="shared" ref="C122:L122" si="41">IFERROR((C117+C120)/(C104+C121),0)</f>
        <v>3.9165815209458472</v>
      </c>
      <c r="D122" s="151">
        <f t="shared" si="41"/>
        <v>1.3918509372544619</v>
      </c>
      <c r="E122" s="151">
        <f t="shared" si="41"/>
        <v>3.0704697986577179</v>
      </c>
      <c r="F122" s="151">
        <f t="shared" si="41"/>
        <v>0.51983057373892982</v>
      </c>
      <c r="G122" s="151">
        <f t="shared" si="41"/>
        <v>3.812814404980251</v>
      </c>
      <c r="H122" s="151">
        <f t="shared" si="41"/>
        <v>0</v>
      </c>
      <c r="I122" s="151">
        <f t="shared" si="41"/>
        <v>0</v>
      </c>
      <c r="J122" s="151">
        <f t="shared" si="41"/>
        <v>0</v>
      </c>
      <c r="K122" s="151">
        <f t="shared" si="41"/>
        <v>0</v>
      </c>
      <c r="L122" s="151">
        <f t="shared" si="41"/>
        <v>0</v>
      </c>
    </row>
    <row r="123" spans="1:12">
      <c r="C123" s="155"/>
      <c r="D123" s="155"/>
      <c r="E123" s="155"/>
      <c r="F123" s="155"/>
      <c r="G123" s="155"/>
      <c r="H123" s="155"/>
      <c r="I123" s="155"/>
      <c r="J123" s="155"/>
      <c r="K123" s="155"/>
      <c r="L123" s="155"/>
    </row>
    <row r="124" spans="1:12">
      <c r="A124" s="21" t="s">
        <v>87</v>
      </c>
      <c r="B124" s="22"/>
      <c r="C124" s="156" t="str">
        <f>C$7</f>
        <v>PG</v>
      </c>
      <c r="D124" s="156" t="str">
        <f t="shared" ref="D124:L124" si="42">D$7</f>
        <v>CL</v>
      </c>
      <c r="E124" s="156" t="str">
        <f t="shared" si="42"/>
        <v>KMB</v>
      </c>
      <c r="F124" s="156" t="str">
        <f t="shared" si="42"/>
        <v>CHD</v>
      </c>
      <c r="G124" s="156" t="str">
        <f t="shared" si="42"/>
        <v>CLX</v>
      </c>
      <c r="H124" s="156" t="str">
        <f t="shared" si="42"/>
        <v>EL</v>
      </c>
      <c r="I124" s="156">
        <f t="shared" si="42"/>
        <v>0</v>
      </c>
      <c r="J124" s="156">
        <f t="shared" si="42"/>
        <v>0</v>
      </c>
      <c r="K124" s="156">
        <f t="shared" si="42"/>
        <v>0</v>
      </c>
      <c r="L124" s="156">
        <f t="shared" si="42"/>
        <v>0</v>
      </c>
    </row>
    <row r="125" spans="1:12">
      <c r="A125" s="6"/>
      <c r="B125" s="10"/>
      <c r="C125" s="157">
        <f t="shared" ref="C125:L125" si="43">IFERROR(EOMONTH(C8,-12), "NM")</f>
        <v>42551</v>
      </c>
      <c r="D125" s="157">
        <f t="shared" si="43"/>
        <v>42551</v>
      </c>
      <c r="E125" s="157">
        <f t="shared" si="43"/>
        <v>42551</v>
      </c>
      <c r="F125" s="157">
        <f t="shared" si="43"/>
        <v>42460</v>
      </c>
      <c r="G125" s="157">
        <f t="shared" si="43"/>
        <v>42460</v>
      </c>
      <c r="H125" s="157" t="str">
        <f t="shared" si="43"/>
        <v>NM</v>
      </c>
      <c r="I125" s="157" t="str">
        <f t="shared" si="43"/>
        <v>NM</v>
      </c>
      <c r="J125" s="157" t="str">
        <f t="shared" si="43"/>
        <v>NM</v>
      </c>
      <c r="K125" s="157" t="str">
        <f t="shared" si="43"/>
        <v>NM</v>
      </c>
      <c r="L125" s="157" t="str">
        <f t="shared" si="43"/>
        <v>NM</v>
      </c>
    </row>
    <row r="126" spans="1:12">
      <c r="A126" s="8" t="s">
        <v>6</v>
      </c>
      <c r="B126" s="8"/>
      <c r="C126" s="190">
        <v>65299</v>
      </c>
      <c r="D126" s="190">
        <v>7607</v>
      </c>
      <c r="E126" s="190">
        <v>9064</v>
      </c>
      <c r="F126" s="139">
        <v>849</v>
      </c>
      <c r="G126" s="185">
        <v>4161</v>
      </c>
      <c r="H126" s="139"/>
      <c r="I126" s="139"/>
      <c r="J126" s="139"/>
      <c r="K126" s="139"/>
      <c r="L126" s="139"/>
    </row>
    <row r="127" spans="1:12">
      <c r="A127" s="113" t="s">
        <v>84</v>
      </c>
      <c r="C127" s="191">
        <v>-32909</v>
      </c>
      <c r="D127" s="191">
        <v>-3055</v>
      </c>
      <c r="E127" s="191">
        <v>-5761</v>
      </c>
      <c r="F127" s="142">
        <v>-470</v>
      </c>
      <c r="G127" s="186">
        <v>-2290</v>
      </c>
      <c r="H127" s="142"/>
      <c r="I127" s="142"/>
      <c r="J127" s="142"/>
      <c r="K127" s="142"/>
      <c r="L127" s="142"/>
    </row>
    <row r="128" spans="1:12">
      <c r="A128" s="8" t="s">
        <v>78</v>
      </c>
      <c r="B128" s="8"/>
      <c r="C128" s="192">
        <f t="shared" ref="C128" si="44">SUM(C126:C127)</f>
        <v>32390</v>
      </c>
      <c r="D128" s="192">
        <f t="shared" ref="D128:F128" si="45">SUM(D126:D127)</f>
        <v>4552</v>
      </c>
      <c r="E128" s="192">
        <f t="shared" si="45"/>
        <v>3303</v>
      </c>
      <c r="F128" s="140">
        <f t="shared" si="45"/>
        <v>379</v>
      </c>
      <c r="G128" s="140">
        <f t="shared" ref="G128:L128" si="46">SUM(G126:G127)</f>
        <v>1871</v>
      </c>
      <c r="H128" s="140">
        <f t="shared" si="46"/>
        <v>0</v>
      </c>
      <c r="I128" s="140">
        <f t="shared" si="46"/>
        <v>0</v>
      </c>
      <c r="J128" s="140">
        <f t="shared" si="46"/>
        <v>0</v>
      </c>
      <c r="K128" s="140">
        <f t="shared" si="46"/>
        <v>0</v>
      </c>
      <c r="L128" s="140">
        <f t="shared" si="46"/>
        <v>0</v>
      </c>
    </row>
    <row r="129" spans="1:12">
      <c r="A129" s="54" t="s">
        <v>150</v>
      </c>
      <c r="C129" s="191">
        <v>-18949</v>
      </c>
      <c r="D129" s="191">
        <f>-2674-67</f>
        <v>-2741</v>
      </c>
      <c r="E129" s="191">
        <f>-(1672-11)</f>
        <v>-1661</v>
      </c>
      <c r="F129" s="142">
        <f>-92.5-107</f>
        <v>-199.5</v>
      </c>
      <c r="G129" s="142">
        <f>-(581+395+99)</f>
        <v>-1075</v>
      </c>
      <c r="H129" s="142"/>
      <c r="I129" s="142"/>
      <c r="J129" s="142"/>
      <c r="K129" s="142"/>
      <c r="L129" s="142"/>
    </row>
    <row r="130" spans="1:12">
      <c r="A130" s="9" t="s">
        <v>151</v>
      </c>
      <c r="B130" s="9"/>
      <c r="C130" s="181">
        <f t="shared" ref="C130:F130" si="47">SUM(C128:C129)</f>
        <v>13441</v>
      </c>
      <c r="D130" s="181">
        <f t="shared" si="47"/>
        <v>1811</v>
      </c>
      <c r="E130" s="181">
        <f t="shared" si="47"/>
        <v>1642</v>
      </c>
      <c r="F130" s="147">
        <f t="shared" si="47"/>
        <v>179.5</v>
      </c>
      <c r="G130" s="147">
        <f t="shared" ref="G130:L130" si="48">SUM(G128:G129)</f>
        <v>796</v>
      </c>
      <c r="H130" s="147">
        <f t="shared" si="48"/>
        <v>0</v>
      </c>
      <c r="I130" s="147">
        <f t="shared" si="48"/>
        <v>0</v>
      </c>
      <c r="J130" s="147">
        <f t="shared" si="48"/>
        <v>0</v>
      </c>
      <c r="K130" s="147">
        <f t="shared" si="48"/>
        <v>0</v>
      </c>
      <c r="L130" s="147">
        <f t="shared" si="48"/>
        <v>0</v>
      </c>
    </row>
    <row r="131" spans="1:12">
      <c r="A131" s="34" t="s">
        <v>161</v>
      </c>
      <c r="B131" s="8"/>
      <c r="C131" s="190">
        <f>-(579-182-325)</f>
        <v>-72</v>
      </c>
      <c r="D131" s="190">
        <v>-53</v>
      </c>
      <c r="E131" s="190">
        <v>-150</v>
      </c>
      <c r="F131" s="139">
        <f>1.7+0.3-1.7-6.8</f>
        <v>-6.5</v>
      </c>
      <c r="G131" s="139">
        <f>-(65)</f>
        <v>-65</v>
      </c>
      <c r="H131" s="139"/>
      <c r="I131" s="139"/>
      <c r="J131" s="139"/>
      <c r="K131" s="139"/>
      <c r="L131" s="139"/>
    </row>
    <row r="132" spans="1:12">
      <c r="A132" s="8" t="s">
        <v>33</v>
      </c>
      <c r="B132" s="8"/>
      <c r="C132" s="192">
        <f t="shared" ref="C132:F132" si="49">SUM(C130:C131)</f>
        <v>13369</v>
      </c>
      <c r="D132" s="192">
        <f t="shared" si="49"/>
        <v>1758</v>
      </c>
      <c r="E132" s="192">
        <f t="shared" si="49"/>
        <v>1492</v>
      </c>
      <c r="F132" s="140">
        <f t="shared" si="49"/>
        <v>173</v>
      </c>
      <c r="G132" s="140">
        <f t="shared" ref="G132:L132" si="50">SUM(G130:G131)</f>
        <v>731</v>
      </c>
      <c r="H132" s="140">
        <f t="shared" si="50"/>
        <v>0</v>
      </c>
      <c r="I132" s="140">
        <f t="shared" si="50"/>
        <v>0</v>
      </c>
      <c r="J132" s="140">
        <f t="shared" si="50"/>
        <v>0</v>
      </c>
      <c r="K132" s="140">
        <f t="shared" si="50"/>
        <v>0</v>
      </c>
      <c r="L132" s="140">
        <f t="shared" si="50"/>
        <v>0</v>
      </c>
    </row>
    <row r="133" spans="1:12">
      <c r="A133" s="54" t="s">
        <v>83</v>
      </c>
      <c r="B133" s="8"/>
      <c r="C133" s="190">
        <v>-3342</v>
      </c>
      <c r="D133" s="190">
        <v>-546</v>
      </c>
      <c r="E133" s="190">
        <v>-424</v>
      </c>
      <c r="F133" s="139">
        <v>-60</v>
      </c>
      <c r="G133" s="139">
        <v>-248</v>
      </c>
      <c r="H133" s="139"/>
      <c r="I133" s="139"/>
      <c r="J133" s="139"/>
      <c r="K133" s="139"/>
      <c r="L133" s="139"/>
    </row>
    <row r="134" spans="1:12">
      <c r="A134" s="8" t="s">
        <v>79</v>
      </c>
      <c r="B134" s="8"/>
      <c r="C134" s="192">
        <f t="shared" ref="C134:F134" si="51">SUM(C132:C133)</f>
        <v>10027</v>
      </c>
      <c r="D134" s="192">
        <f t="shared" si="51"/>
        <v>1212</v>
      </c>
      <c r="E134" s="192">
        <f t="shared" si="51"/>
        <v>1068</v>
      </c>
      <c r="F134" s="140">
        <f t="shared" si="51"/>
        <v>113</v>
      </c>
      <c r="G134" s="140">
        <f t="shared" ref="G134:L134" si="52">SUM(G132:G133)</f>
        <v>483</v>
      </c>
      <c r="H134" s="140">
        <f t="shared" si="52"/>
        <v>0</v>
      </c>
      <c r="I134" s="140">
        <f t="shared" si="52"/>
        <v>0</v>
      </c>
      <c r="J134" s="140">
        <f t="shared" si="52"/>
        <v>0</v>
      </c>
      <c r="K134" s="140">
        <f t="shared" si="52"/>
        <v>0</v>
      </c>
      <c r="L134" s="140">
        <f t="shared" si="52"/>
        <v>0</v>
      </c>
    </row>
    <row r="135" spans="1:12">
      <c r="A135" s="8" t="s">
        <v>179</v>
      </c>
      <c r="B135" s="8"/>
      <c r="C135" s="192">
        <f>577-96</f>
        <v>481</v>
      </c>
      <c r="D135" s="192">
        <v>-79</v>
      </c>
      <c r="E135" s="192">
        <v>43</v>
      </c>
      <c r="F135" s="140">
        <v>0</v>
      </c>
      <c r="G135" s="140">
        <v>0</v>
      </c>
      <c r="H135" s="140"/>
      <c r="I135" s="140"/>
      <c r="J135" s="140"/>
      <c r="K135" s="140"/>
      <c r="L135" s="140"/>
    </row>
    <row r="136" spans="1:12">
      <c r="A136" s="10" t="s">
        <v>178</v>
      </c>
      <c r="B136" s="8"/>
      <c r="C136" s="192">
        <f>SUM(C134:C135)</f>
        <v>10508</v>
      </c>
      <c r="D136" s="192">
        <f>D135+D134</f>
        <v>1133</v>
      </c>
      <c r="E136" s="192">
        <f>E135+E134</f>
        <v>1111</v>
      </c>
      <c r="F136" s="192">
        <f t="shared" ref="F136:G136" si="53">F135+F134</f>
        <v>113</v>
      </c>
      <c r="G136" s="192">
        <f t="shared" si="53"/>
        <v>483</v>
      </c>
      <c r="H136" s="140"/>
      <c r="I136" s="140"/>
      <c r="J136" s="140"/>
      <c r="K136" s="140"/>
      <c r="L136" s="140"/>
    </row>
    <row r="137" spans="1:12">
      <c r="A137" s="54" t="s">
        <v>82</v>
      </c>
      <c r="B137" s="8"/>
      <c r="C137" s="193">
        <v>2844.4</v>
      </c>
      <c r="D137" s="139">
        <v>900.7</v>
      </c>
      <c r="E137" s="139">
        <v>362.9</v>
      </c>
      <c r="F137" s="139">
        <v>263.60000000000002</v>
      </c>
      <c r="G137" s="185">
        <v>131.65199999999999</v>
      </c>
      <c r="H137" s="139"/>
      <c r="I137" s="139"/>
      <c r="J137" s="139"/>
      <c r="K137" s="139"/>
      <c r="L137" s="139"/>
    </row>
    <row r="138" spans="1:12">
      <c r="A138" s="54"/>
      <c r="B138" s="8"/>
      <c r="C138" s="141"/>
      <c r="D138" s="141"/>
      <c r="E138" s="141"/>
      <c r="F138" s="141"/>
      <c r="G138" s="141"/>
      <c r="H138" s="141"/>
      <c r="I138" s="141"/>
      <c r="J138" s="141"/>
      <c r="K138" s="141"/>
      <c r="L138" s="141"/>
    </row>
    <row r="139" spans="1:12">
      <c r="A139" s="116" t="s">
        <v>163</v>
      </c>
      <c r="B139" s="8"/>
      <c r="C139" s="141"/>
      <c r="D139" s="141"/>
      <c r="E139" s="141"/>
      <c r="F139" s="141"/>
      <c r="G139" s="141"/>
      <c r="H139" s="141"/>
      <c r="I139" s="141"/>
      <c r="J139" s="141"/>
      <c r="K139" s="141"/>
      <c r="L139" s="141"/>
    </row>
    <row r="140" spans="1:12">
      <c r="A140" s="24" t="s">
        <v>153</v>
      </c>
      <c r="B140" s="8"/>
      <c r="C140" s="190">
        <v>-577</v>
      </c>
      <c r="D140" s="190">
        <v>114</v>
      </c>
      <c r="E140" s="190">
        <v>4</v>
      </c>
      <c r="F140" s="139"/>
      <c r="G140" s="139"/>
      <c r="H140" s="139"/>
      <c r="I140" s="139"/>
      <c r="J140" s="139"/>
      <c r="K140" s="139"/>
      <c r="L140" s="139"/>
    </row>
    <row r="141" spans="1:12">
      <c r="A141" s="24" t="s">
        <v>154</v>
      </c>
      <c r="B141" s="8"/>
      <c r="C141" s="190">
        <f>593+13</f>
        <v>606</v>
      </c>
      <c r="D141" s="190"/>
      <c r="E141" s="190"/>
      <c r="F141" s="139"/>
      <c r="G141" s="139"/>
      <c r="H141" s="139"/>
      <c r="I141" s="139"/>
      <c r="J141" s="139"/>
      <c r="K141" s="139"/>
      <c r="L141" s="139"/>
    </row>
    <row r="142" spans="1:12">
      <c r="A142" s="24" t="s">
        <v>162</v>
      </c>
      <c r="B142" s="8"/>
      <c r="C142" s="190">
        <v>-96</v>
      </c>
      <c r="D142" s="190">
        <f>-(31+13)</f>
        <v>-44</v>
      </c>
      <c r="E142" s="190">
        <v>-4</v>
      </c>
      <c r="F142" s="139"/>
      <c r="G142" s="139"/>
      <c r="H142" s="139"/>
      <c r="I142" s="139"/>
      <c r="J142" s="139"/>
      <c r="K142" s="139"/>
      <c r="L142" s="139"/>
    </row>
    <row r="143" spans="1:12">
      <c r="A143" s="24"/>
      <c r="B143" s="8"/>
      <c r="C143" s="141"/>
      <c r="D143" s="141"/>
      <c r="E143" s="141"/>
      <c r="F143" s="141"/>
      <c r="G143" s="141"/>
      <c r="H143" s="141"/>
      <c r="I143" s="141"/>
      <c r="J143" s="141"/>
      <c r="K143" s="141"/>
      <c r="L143" s="141"/>
    </row>
    <row r="144" spans="1:12">
      <c r="A144" s="116" t="s">
        <v>145</v>
      </c>
      <c r="B144" s="8"/>
      <c r="C144" s="141"/>
      <c r="D144" s="141"/>
      <c r="E144" s="141"/>
      <c r="F144" s="141"/>
      <c r="G144" s="141"/>
      <c r="H144" s="141"/>
      <c r="I144" s="141"/>
      <c r="J144" s="141"/>
      <c r="K144" s="141"/>
      <c r="L144" s="141"/>
    </row>
    <row r="145" spans="1:12">
      <c r="A145" s="25" t="s">
        <v>7</v>
      </c>
      <c r="B145" s="8"/>
      <c r="C145" s="150">
        <f t="shared" ref="C145:L145" si="54">C130+C140</f>
        <v>12864</v>
      </c>
      <c r="D145" s="150">
        <f t="shared" si="54"/>
        <v>1925</v>
      </c>
      <c r="E145" s="150">
        <f t="shared" si="54"/>
        <v>1646</v>
      </c>
      <c r="F145" s="150">
        <f t="shared" si="54"/>
        <v>179.5</v>
      </c>
      <c r="G145" s="150">
        <f t="shared" si="54"/>
        <v>796</v>
      </c>
      <c r="H145" s="150">
        <f t="shared" si="54"/>
        <v>0</v>
      </c>
      <c r="I145" s="150">
        <f t="shared" si="54"/>
        <v>0</v>
      </c>
      <c r="J145" s="150">
        <f t="shared" si="54"/>
        <v>0</v>
      </c>
      <c r="K145" s="150">
        <f t="shared" si="54"/>
        <v>0</v>
      </c>
      <c r="L145" s="150">
        <f t="shared" si="54"/>
        <v>0</v>
      </c>
    </row>
    <row r="146" spans="1:12">
      <c r="A146" s="24" t="s">
        <v>9</v>
      </c>
      <c r="B146" s="8"/>
      <c r="C146" s="185">
        <v>3134</v>
      </c>
      <c r="D146" s="139">
        <v>215</v>
      </c>
      <c r="E146" s="139">
        <v>349</v>
      </c>
      <c r="F146" s="139">
        <v>16</v>
      </c>
      <c r="G146" s="139">
        <v>122</v>
      </c>
      <c r="H146" s="139"/>
      <c r="I146" s="139"/>
      <c r="J146" s="139"/>
      <c r="K146" s="139"/>
      <c r="L146" s="139"/>
    </row>
    <row r="147" spans="1:12">
      <c r="A147" s="25" t="s">
        <v>8</v>
      </c>
      <c r="B147" s="8"/>
      <c r="C147" s="150">
        <f t="shared" ref="C147:L147" si="55">C145+C146</f>
        <v>15998</v>
      </c>
      <c r="D147" s="150">
        <f t="shared" si="55"/>
        <v>2140</v>
      </c>
      <c r="E147" s="150">
        <f t="shared" si="55"/>
        <v>1995</v>
      </c>
      <c r="F147" s="150">
        <f t="shared" si="55"/>
        <v>195.5</v>
      </c>
      <c r="G147" s="150">
        <f t="shared" si="55"/>
        <v>918</v>
      </c>
      <c r="H147" s="150">
        <f t="shared" si="55"/>
        <v>0</v>
      </c>
      <c r="I147" s="150">
        <f t="shared" si="55"/>
        <v>0</v>
      </c>
      <c r="J147" s="150">
        <f t="shared" si="55"/>
        <v>0</v>
      </c>
      <c r="K147" s="150">
        <f t="shared" si="55"/>
        <v>0</v>
      </c>
      <c r="L147" s="150">
        <f t="shared" si="55"/>
        <v>0</v>
      </c>
    </row>
    <row r="148" spans="1:12">
      <c r="A148" s="25" t="s">
        <v>33</v>
      </c>
      <c r="B148" s="8"/>
      <c r="C148" s="150">
        <f t="shared" ref="C148:L148" si="56">C132+C140+C141</f>
        <v>13398</v>
      </c>
      <c r="D148" s="150">
        <f t="shared" si="56"/>
        <v>1872</v>
      </c>
      <c r="E148" s="150">
        <f t="shared" si="56"/>
        <v>1496</v>
      </c>
      <c r="F148" s="150">
        <f t="shared" si="56"/>
        <v>173</v>
      </c>
      <c r="G148" s="150">
        <f t="shared" si="56"/>
        <v>731</v>
      </c>
      <c r="H148" s="150">
        <f t="shared" si="56"/>
        <v>0</v>
      </c>
      <c r="I148" s="150">
        <f t="shared" si="56"/>
        <v>0</v>
      </c>
      <c r="J148" s="150">
        <f t="shared" si="56"/>
        <v>0</v>
      </c>
      <c r="K148" s="150">
        <f t="shared" si="56"/>
        <v>0</v>
      </c>
      <c r="L148" s="150">
        <f t="shared" si="56"/>
        <v>0</v>
      </c>
    </row>
    <row r="149" spans="1:12">
      <c r="A149" s="25" t="s">
        <v>83</v>
      </c>
      <c r="B149" s="8"/>
      <c r="C149" s="150">
        <f t="shared" ref="C149:L149" si="57">C133+C142</f>
        <v>-3438</v>
      </c>
      <c r="D149" s="150">
        <f t="shared" si="57"/>
        <v>-590</v>
      </c>
      <c r="E149" s="150">
        <f t="shared" si="57"/>
        <v>-428</v>
      </c>
      <c r="F149" s="150">
        <f t="shared" si="57"/>
        <v>-60</v>
      </c>
      <c r="G149" s="150">
        <f t="shared" si="57"/>
        <v>-248</v>
      </c>
      <c r="H149" s="150">
        <f t="shared" si="57"/>
        <v>0</v>
      </c>
      <c r="I149" s="150">
        <f t="shared" si="57"/>
        <v>0</v>
      </c>
      <c r="J149" s="150">
        <f t="shared" si="57"/>
        <v>0</v>
      </c>
      <c r="K149" s="150">
        <f t="shared" si="57"/>
        <v>0</v>
      </c>
      <c r="L149" s="150">
        <f t="shared" si="57"/>
        <v>0</v>
      </c>
    </row>
    <row r="150" spans="1:12">
      <c r="A150" s="25" t="s">
        <v>146</v>
      </c>
      <c r="B150" s="8"/>
      <c r="C150" s="150">
        <f>C148+C149+C135</f>
        <v>10441</v>
      </c>
      <c r="D150" s="150">
        <f>D148+D149+D135</f>
        <v>1203</v>
      </c>
      <c r="E150" s="150">
        <f>E148+E149+E135</f>
        <v>1111</v>
      </c>
      <c r="F150" s="150">
        <f t="shared" ref="C150:L150" si="58">F148+F149</f>
        <v>113</v>
      </c>
      <c r="G150" s="150">
        <f t="shared" si="58"/>
        <v>483</v>
      </c>
      <c r="H150" s="150">
        <f t="shared" si="58"/>
        <v>0</v>
      </c>
      <c r="I150" s="150">
        <f t="shared" si="58"/>
        <v>0</v>
      </c>
      <c r="J150" s="150">
        <f t="shared" si="58"/>
        <v>0</v>
      </c>
      <c r="K150" s="150">
        <f t="shared" si="58"/>
        <v>0</v>
      </c>
      <c r="L150" s="150">
        <f t="shared" si="58"/>
        <v>0</v>
      </c>
    </row>
    <row r="151" spans="1:12">
      <c r="A151" s="25"/>
      <c r="B151" s="8"/>
      <c r="C151" s="150"/>
      <c r="D151" s="150"/>
      <c r="E151" s="150"/>
      <c r="F151" s="150"/>
      <c r="G151" s="150"/>
      <c r="H151" s="150"/>
      <c r="I151" s="150"/>
      <c r="J151" s="150"/>
      <c r="K151" s="150"/>
      <c r="L151" s="150"/>
    </row>
    <row r="152" spans="1:12">
      <c r="A152" s="117" t="s">
        <v>147</v>
      </c>
      <c r="B152" s="8"/>
      <c r="C152" s="150"/>
      <c r="D152" s="150"/>
      <c r="E152" s="150"/>
      <c r="F152" s="150"/>
      <c r="G152" s="150"/>
      <c r="H152" s="150"/>
      <c r="I152" s="150"/>
      <c r="J152" s="150"/>
      <c r="K152" s="150"/>
      <c r="L152" s="150"/>
    </row>
    <row r="153" spans="1:12">
      <c r="A153" s="25" t="s">
        <v>148</v>
      </c>
      <c r="B153" s="8"/>
      <c r="C153" s="139"/>
      <c r="D153" s="139"/>
      <c r="E153" s="139"/>
      <c r="F153" s="139"/>
      <c r="G153" s="139"/>
      <c r="H153" s="139"/>
      <c r="I153" s="139"/>
      <c r="J153" s="139"/>
      <c r="K153" s="139"/>
      <c r="L153" s="139"/>
    </row>
    <row r="154" spans="1:12">
      <c r="A154" s="25" t="s">
        <v>149</v>
      </c>
      <c r="C154" s="193"/>
      <c r="D154" s="139"/>
      <c r="E154" s="139"/>
      <c r="F154" s="139"/>
      <c r="G154" s="139"/>
      <c r="H154" s="139"/>
      <c r="I154" s="139"/>
      <c r="J154" s="139"/>
      <c r="K154" s="139"/>
      <c r="L154" s="139"/>
    </row>
    <row r="155" spans="1:12">
      <c r="A155" s="55" t="s">
        <v>37</v>
      </c>
      <c r="B155" s="8"/>
      <c r="C155" s="151">
        <f>IFERROR((C150+C153)/(C137+C154),0)</f>
        <v>3.6707214175221488</v>
      </c>
      <c r="D155" s="151">
        <f t="shared" ref="D155:L155" si="59">IFERROR((D150+D153)/(D137+D154),0)</f>
        <v>1.335627845009437</v>
      </c>
      <c r="E155" s="151">
        <f t="shared" si="59"/>
        <v>3.0614494351060899</v>
      </c>
      <c r="F155" s="151">
        <f t="shared" si="59"/>
        <v>0.42867981790591803</v>
      </c>
      <c r="G155" s="151">
        <f t="shared" si="59"/>
        <v>3.6687631027253671</v>
      </c>
      <c r="H155" s="151">
        <f t="shared" si="59"/>
        <v>0</v>
      </c>
      <c r="I155" s="151">
        <f t="shared" si="59"/>
        <v>0</v>
      </c>
      <c r="J155" s="151">
        <f t="shared" si="59"/>
        <v>0</v>
      </c>
      <c r="K155" s="151">
        <f t="shared" si="59"/>
        <v>0</v>
      </c>
      <c r="L155" s="151">
        <f t="shared" si="59"/>
        <v>0</v>
      </c>
    </row>
    <row r="156" spans="1:12">
      <c r="A156" s="9"/>
      <c r="B156" s="8"/>
      <c r="C156" s="147"/>
      <c r="D156" s="147"/>
      <c r="E156" s="147"/>
      <c r="F156" s="147"/>
      <c r="G156" s="147"/>
      <c r="H156" s="147"/>
      <c r="I156" s="147"/>
      <c r="J156" s="147"/>
      <c r="K156" s="147"/>
      <c r="L156" s="147"/>
    </row>
    <row r="157" spans="1:12">
      <c r="A157" s="26" t="s">
        <v>36</v>
      </c>
      <c r="B157" s="35"/>
      <c r="C157" s="152" t="str">
        <f>C$7</f>
        <v>PG</v>
      </c>
      <c r="D157" s="152" t="str">
        <f t="shared" ref="D157:L157" si="60">D$7</f>
        <v>CL</v>
      </c>
      <c r="E157" s="152" t="str">
        <f t="shared" si="60"/>
        <v>KMB</v>
      </c>
      <c r="F157" s="152" t="str">
        <f t="shared" si="60"/>
        <v>CHD</v>
      </c>
      <c r="G157" s="152" t="str">
        <f t="shared" si="60"/>
        <v>CLX</v>
      </c>
      <c r="H157" s="152" t="str">
        <f t="shared" si="60"/>
        <v>EL</v>
      </c>
      <c r="I157" s="152">
        <f t="shared" si="60"/>
        <v>0</v>
      </c>
      <c r="J157" s="152">
        <f t="shared" si="60"/>
        <v>0</v>
      </c>
      <c r="K157" s="152">
        <f t="shared" si="60"/>
        <v>0</v>
      </c>
      <c r="L157" s="152">
        <f t="shared" si="60"/>
        <v>0</v>
      </c>
    </row>
    <row r="158" spans="1:12">
      <c r="A158" s="10"/>
      <c r="C158" s="158"/>
      <c r="D158" s="158"/>
      <c r="E158" s="158"/>
      <c r="F158" s="158"/>
      <c r="G158" s="158"/>
      <c r="H158" s="158"/>
      <c r="I158" s="158"/>
      <c r="J158" s="158"/>
      <c r="K158" s="158"/>
      <c r="L158" s="158"/>
    </row>
    <row r="159" spans="1:12">
      <c r="A159" s="39" t="s">
        <v>42</v>
      </c>
      <c r="B159" s="40"/>
      <c r="C159" s="159">
        <f t="shared" ref="C159:L159" si="61">C8</f>
        <v>42916</v>
      </c>
      <c r="D159" s="159">
        <f t="shared" si="61"/>
        <v>42916</v>
      </c>
      <c r="E159" s="159">
        <f t="shared" si="61"/>
        <v>42916</v>
      </c>
      <c r="F159" s="159">
        <f t="shared" si="61"/>
        <v>42825</v>
      </c>
      <c r="G159" s="159">
        <f t="shared" si="61"/>
        <v>42825</v>
      </c>
      <c r="H159" s="159">
        <f t="shared" si="61"/>
        <v>0</v>
      </c>
      <c r="I159" s="159">
        <f t="shared" si="61"/>
        <v>0</v>
      </c>
      <c r="J159" s="159">
        <f t="shared" si="61"/>
        <v>0</v>
      </c>
      <c r="K159" s="159">
        <f t="shared" si="61"/>
        <v>0</v>
      </c>
      <c r="L159" s="159">
        <f t="shared" si="61"/>
        <v>0</v>
      </c>
    </row>
    <row r="160" spans="1:12">
      <c r="A160" s="11" t="s">
        <v>43</v>
      </c>
      <c r="C160" s="160">
        <f t="shared" ref="C160:L160" si="62">C59+C93-C126</f>
        <v>64817</v>
      </c>
      <c r="D160" s="160">
        <f t="shared" si="62"/>
        <v>15176</v>
      </c>
      <c r="E160" s="160">
        <f t="shared" si="62"/>
        <v>18175</v>
      </c>
      <c r="F160" s="160">
        <f t="shared" si="62"/>
        <v>3521.3</v>
      </c>
      <c r="G160" s="160">
        <f t="shared" si="62"/>
        <v>5926</v>
      </c>
      <c r="H160" s="160">
        <f t="shared" si="62"/>
        <v>0</v>
      </c>
      <c r="I160" s="160">
        <f t="shared" si="62"/>
        <v>0</v>
      </c>
      <c r="J160" s="160">
        <f t="shared" si="62"/>
        <v>0</v>
      </c>
      <c r="K160" s="160">
        <f t="shared" si="62"/>
        <v>0</v>
      </c>
      <c r="L160" s="160">
        <f t="shared" si="62"/>
        <v>0</v>
      </c>
    </row>
    <row r="161" spans="1:12">
      <c r="A161" s="8" t="s">
        <v>44</v>
      </c>
      <c r="C161" s="161">
        <f t="shared" ref="C161:L161" si="63">C80+C114-C147</f>
        <v>7118</v>
      </c>
      <c r="D161" s="161">
        <f t="shared" si="63"/>
        <v>4292</v>
      </c>
      <c r="E161" s="161">
        <f t="shared" si="63"/>
        <v>4057</v>
      </c>
      <c r="F161" s="161">
        <f t="shared" si="63"/>
        <v>807.7</v>
      </c>
      <c r="G161" s="161">
        <f t="shared" si="63"/>
        <v>1238</v>
      </c>
      <c r="H161" s="161">
        <f t="shared" si="63"/>
        <v>0</v>
      </c>
      <c r="I161" s="161">
        <f t="shared" si="63"/>
        <v>0</v>
      </c>
      <c r="J161" s="161">
        <f t="shared" si="63"/>
        <v>0</v>
      </c>
      <c r="K161" s="161">
        <f t="shared" si="63"/>
        <v>0</v>
      </c>
      <c r="L161" s="161">
        <f t="shared" si="63"/>
        <v>0</v>
      </c>
    </row>
    <row r="162" spans="1:12">
      <c r="A162" s="8" t="s">
        <v>45</v>
      </c>
      <c r="C162" s="161">
        <f t="shared" ref="C162:L162" si="64">C78+C112-C145</f>
        <v>4612</v>
      </c>
      <c r="D162" s="161">
        <f t="shared" si="64"/>
        <v>3838</v>
      </c>
      <c r="E162" s="161">
        <f t="shared" si="64"/>
        <v>3343</v>
      </c>
      <c r="F162" s="161">
        <f t="shared" si="64"/>
        <v>749.2</v>
      </c>
      <c r="G162" s="161">
        <f t="shared" si="64"/>
        <v>1074</v>
      </c>
      <c r="H162" s="161">
        <f t="shared" si="64"/>
        <v>0</v>
      </c>
      <c r="I162" s="161">
        <f t="shared" si="64"/>
        <v>0</v>
      </c>
      <c r="J162" s="161">
        <f t="shared" si="64"/>
        <v>0</v>
      </c>
      <c r="K162" s="161">
        <f t="shared" si="64"/>
        <v>0</v>
      </c>
      <c r="L162" s="161">
        <f t="shared" si="64"/>
        <v>0</v>
      </c>
    </row>
    <row r="163" spans="1:12">
      <c r="A163" s="10" t="s">
        <v>46</v>
      </c>
      <c r="C163" s="162">
        <f t="shared" ref="C163:L163" si="65">C88+C122-C155</f>
        <v>4.1624416243695457</v>
      </c>
      <c r="D163" s="162">
        <f t="shared" si="65"/>
        <v>2.8645490049787732</v>
      </c>
      <c r="E163" s="162">
        <f t="shared" si="65"/>
        <v>6.0416440848676363</v>
      </c>
      <c r="F163" s="162">
        <f t="shared" si="65"/>
        <v>1.861085895092836</v>
      </c>
      <c r="G163" s="162">
        <f t="shared" si="65"/>
        <v>5.0636896177342825</v>
      </c>
      <c r="H163" s="162">
        <f t="shared" si="65"/>
        <v>0</v>
      </c>
      <c r="I163" s="162">
        <f t="shared" si="65"/>
        <v>0</v>
      </c>
      <c r="J163" s="162">
        <f t="shared" si="65"/>
        <v>0</v>
      </c>
      <c r="K163" s="162">
        <f t="shared" si="65"/>
        <v>0</v>
      </c>
      <c r="L163" s="162">
        <f t="shared" si="65"/>
        <v>0</v>
      </c>
    </row>
    <row r="164" spans="1:12">
      <c r="C164" s="155"/>
      <c r="D164" s="155"/>
      <c r="E164" s="155"/>
      <c r="F164" s="155"/>
      <c r="G164" s="155"/>
      <c r="H164" s="155"/>
      <c r="I164" s="155"/>
      <c r="J164" s="155"/>
      <c r="K164" s="155"/>
      <c r="L164" s="155"/>
    </row>
    <row r="165" spans="1:12">
      <c r="A165" s="26" t="s">
        <v>5</v>
      </c>
      <c r="B165" s="35"/>
      <c r="C165" s="152" t="str">
        <f>C$7</f>
        <v>PG</v>
      </c>
      <c r="D165" s="152" t="str">
        <f t="shared" ref="D165:L165" si="66">D$7</f>
        <v>CL</v>
      </c>
      <c r="E165" s="152" t="str">
        <f t="shared" si="66"/>
        <v>KMB</v>
      </c>
      <c r="F165" s="152" t="str">
        <f t="shared" si="66"/>
        <v>CHD</v>
      </c>
      <c r="G165" s="152" t="str">
        <f t="shared" si="66"/>
        <v>CLX</v>
      </c>
      <c r="H165" s="152" t="str">
        <f t="shared" si="66"/>
        <v>EL</v>
      </c>
      <c r="I165" s="152">
        <f t="shared" si="66"/>
        <v>0</v>
      </c>
      <c r="J165" s="152">
        <f t="shared" si="66"/>
        <v>0</v>
      </c>
      <c r="K165" s="152">
        <f t="shared" si="66"/>
        <v>0</v>
      </c>
      <c r="L165" s="152">
        <f t="shared" si="66"/>
        <v>0</v>
      </c>
    </row>
    <row r="166" spans="1:12">
      <c r="A166" s="10"/>
      <c r="C166" s="158"/>
      <c r="D166" s="158"/>
      <c r="E166" s="158"/>
      <c r="F166" s="158"/>
      <c r="G166" s="158"/>
      <c r="H166" s="158"/>
      <c r="I166" s="158"/>
      <c r="J166" s="158"/>
      <c r="K166" s="158"/>
      <c r="L166" s="158"/>
    </row>
    <row r="167" spans="1:12">
      <c r="A167" s="39" t="s">
        <v>107</v>
      </c>
      <c r="B167" s="40"/>
      <c r="C167" s="159">
        <f t="shared" ref="C167:L167" si="67">C9</f>
        <v>42916</v>
      </c>
      <c r="D167" s="159">
        <f t="shared" si="67"/>
        <v>42735</v>
      </c>
      <c r="E167" s="159">
        <f t="shared" si="67"/>
        <v>42735</v>
      </c>
      <c r="F167" s="159">
        <f t="shared" si="67"/>
        <v>42735</v>
      </c>
      <c r="G167" s="159">
        <f t="shared" si="67"/>
        <v>42551</v>
      </c>
      <c r="H167" s="159">
        <f t="shared" si="67"/>
        <v>0</v>
      </c>
      <c r="I167" s="159">
        <f t="shared" si="67"/>
        <v>0</v>
      </c>
      <c r="J167" s="159">
        <f t="shared" si="67"/>
        <v>0</v>
      </c>
      <c r="K167" s="159">
        <f t="shared" si="67"/>
        <v>0</v>
      </c>
      <c r="L167" s="159">
        <f t="shared" si="67"/>
        <v>0</v>
      </c>
    </row>
    <row r="168" spans="1:12">
      <c r="A168" s="11" t="s">
        <v>20</v>
      </c>
      <c r="C168" s="163">
        <f t="shared" ref="C168:L168" si="68">C59</f>
        <v>65058</v>
      </c>
      <c r="D168" s="163">
        <f t="shared" si="68"/>
        <v>15195</v>
      </c>
      <c r="E168" s="163">
        <f t="shared" si="68"/>
        <v>18202</v>
      </c>
      <c r="F168" s="163">
        <f t="shared" si="68"/>
        <v>3493.1</v>
      </c>
      <c r="G168" s="163">
        <f t="shared" si="68"/>
        <v>5761</v>
      </c>
      <c r="H168" s="163">
        <f t="shared" si="68"/>
        <v>0</v>
      </c>
      <c r="I168" s="163">
        <f t="shared" si="68"/>
        <v>0</v>
      </c>
      <c r="J168" s="163">
        <f t="shared" si="68"/>
        <v>0</v>
      </c>
      <c r="K168" s="163">
        <f t="shared" si="68"/>
        <v>0</v>
      </c>
      <c r="L168" s="163">
        <f t="shared" si="68"/>
        <v>0</v>
      </c>
    </row>
    <row r="169" spans="1:12">
      <c r="A169" s="11" t="s">
        <v>19</v>
      </c>
      <c r="C169" s="161">
        <f>C80</f>
        <v>11558</v>
      </c>
      <c r="D169" s="161">
        <f t="shared" ref="D169:L169" si="69">D80</f>
        <v>4280</v>
      </c>
      <c r="E169" s="161">
        <f t="shared" si="69"/>
        <v>4046</v>
      </c>
      <c r="F169" s="161">
        <f t="shared" si="69"/>
        <v>788.8</v>
      </c>
      <c r="G169" s="161">
        <f t="shared" si="69"/>
        <v>1229</v>
      </c>
      <c r="H169" s="161">
        <f t="shared" si="69"/>
        <v>0</v>
      </c>
      <c r="I169" s="161">
        <f t="shared" si="69"/>
        <v>0</v>
      </c>
      <c r="J169" s="161">
        <f t="shared" si="69"/>
        <v>0</v>
      </c>
      <c r="K169" s="161">
        <f t="shared" si="69"/>
        <v>0</v>
      </c>
      <c r="L169" s="161">
        <f t="shared" si="69"/>
        <v>0</v>
      </c>
    </row>
    <row r="170" spans="1:12">
      <c r="A170" s="11" t="s">
        <v>18</v>
      </c>
      <c r="C170" s="161">
        <f>C78</f>
        <v>8738</v>
      </c>
      <c r="D170" s="161">
        <f t="shared" ref="D170:L170" si="70">D78</f>
        <v>3837</v>
      </c>
      <c r="E170" s="161">
        <f t="shared" si="70"/>
        <v>3341</v>
      </c>
      <c r="F170" s="161">
        <f t="shared" si="70"/>
        <v>729.09999999999991</v>
      </c>
      <c r="G170" s="161">
        <f t="shared" si="70"/>
        <v>1064</v>
      </c>
      <c r="H170" s="161">
        <f t="shared" si="70"/>
        <v>0</v>
      </c>
      <c r="I170" s="161">
        <f t="shared" si="70"/>
        <v>0</v>
      </c>
      <c r="J170" s="161">
        <f t="shared" si="70"/>
        <v>0</v>
      </c>
      <c r="K170" s="161">
        <f t="shared" si="70"/>
        <v>0</v>
      </c>
      <c r="L170" s="161">
        <f t="shared" si="70"/>
        <v>0</v>
      </c>
    </row>
    <row r="171" spans="1:12">
      <c r="A171" s="11" t="s">
        <v>17</v>
      </c>
      <c r="C171" s="164">
        <f>C88</f>
        <v>3.9165815209458472</v>
      </c>
      <c r="D171" s="164">
        <f t="shared" ref="D171:L171" si="71">D88</f>
        <v>2.808325912733749</v>
      </c>
      <c r="E171" s="164">
        <f t="shared" si="71"/>
        <v>6.0326237213160079</v>
      </c>
      <c r="F171" s="164">
        <f t="shared" si="71"/>
        <v>1.7699351392598242</v>
      </c>
      <c r="G171" s="164">
        <f t="shared" si="71"/>
        <v>4.9196383154793981</v>
      </c>
      <c r="H171" s="164">
        <f t="shared" si="71"/>
        <v>0</v>
      </c>
      <c r="I171" s="164">
        <f t="shared" si="71"/>
        <v>0</v>
      </c>
      <c r="J171" s="164">
        <f t="shared" si="71"/>
        <v>0</v>
      </c>
      <c r="K171" s="164">
        <f t="shared" si="71"/>
        <v>0</v>
      </c>
      <c r="L171" s="164">
        <f t="shared" si="71"/>
        <v>0</v>
      </c>
    </row>
    <row r="172" spans="1:12">
      <c r="C172" s="164"/>
      <c r="D172" s="164"/>
      <c r="E172" s="164"/>
      <c r="F172" s="164"/>
      <c r="G172" s="164"/>
      <c r="H172" s="164"/>
      <c r="I172" s="164"/>
      <c r="J172" s="164"/>
      <c r="K172" s="164"/>
      <c r="L172" s="164"/>
    </row>
    <row r="173" spans="1:12" ht="15" thickBot="1">
      <c r="A173" s="27" t="s">
        <v>158</v>
      </c>
      <c r="B173" s="27"/>
      <c r="C173" s="165"/>
      <c r="D173" s="165"/>
      <c r="E173" s="165"/>
      <c r="F173" s="165"/>
      <c r="G173" s="165"/>
      <c r="H173" s="165"/>
      <c r="I173" s="165"/>
      <c r="J173" s="165"/>
      <c r="K173" s="165"/>
      <c r="L173" s="165"/>
    </row>
    <row r="174" spans="1:12">
      <c r="C174" s="155"/>
      <c r="D174" s="155"/>
      <c r="E174" s="155"/>
      <c r="F174" s="155"/>
      <c r="G174" s="155"/>
      <c r="H174" s="155"/>
      <c r="I174" s="155"/>
      <c r="J174" s="155"/>
      <c r="K174" s="155"/>
      <c r="L174" s="155"/>
    </row>
    <row r="175" spans="1:12">
      <c r="A175" s="39" t="s">
        <v>106</v>
      </c>
      <c r="C175" s="159">
        <f t="shared" ref="C175:L175" si="72">C8</f>
        <v>42916</v>
      </c>
      <c r="D175" s="159">
        <f t="shared" si="72"/>
        <v>42916</v>
      </c>
      <c r="E175" s="159">
        <f t="shared" si="72"/>
        <v>42916</v>
      </c>
      <c r="F175" s="159">
        <f t="shared" si="72"/>
        <v>42825</v>
      </c>
      <c r="G175" s="159">
        <f t="shared" si="72"/>
        <v>42825</v>
      </c>
      <c r="H175" s="159">
        <f t="shared" si="72"/>
        <v>0</v>
      </c>
      <c r="I175" s="159">
        <f t="shared" si="72"/>
        <v>0</v>
      </c>
      <c r="J175" s="159">
        <f t="shared" si="72"/>
        <v>0</v>
      </c>
      <c r="K175" s="159">
        <f t="shared" si="72"/>
        <v>0</v>
      </c>
      <c r="L175" s="159">
        <f t="shared" si="72"/>
        <v>0</v>
      </c>
    </row>
    <row r="176" spans="1:12">
      <c r="A176" s="24" t="s">
        <v>11</v>
      </c>
      <c r="C176" s="188">
        <v>13554</v>
      </c>
      <c r="D176" s="191">
        <f>13</f>
        <v>13</v>
      </c>
      <c r="E176" s="191">
        <v>1246</v>
      </c>
      <c r="F176" s="191">
        <v>585.70000000000005</v>
      </c>
      <c r="G176" s="191">
        <f>650+400</f>
        <v>1050</v>
      </c>
      <c r="H176" s="142"/>
      <c r="I176" s="142"/>
      <c r="J176" s="142"/>
      <c r="K176" s="142"/>
      <c r="L176" s="142"/>
    </row>
    <row r="177" spans="1:19">
      <c r="A177" s="24" t="s">
        <v>12</v>
      </c>
      <c r="C177" s="188">
        <v>18038</v>
      </c>
      <c r="D177" s="191">
        <v>6506</v>
      </c>
      <c r="E177" s="191">
        <v>6777</v>
      </c>
      <c r="F177" s="191">
        <v>692.9</v>
      </c>
      <c r="G177" s="191">
        <v>1390</v>
      </c>
      <c r="H177" s="142"/>
      <c r="I177" s="142"/>
      <c r="J177" s="142"/>
      <c r="K177" s="142"/>
      <c r="L177" s="142"/>
    </row>
    <row r="178" spans="1:19">
      <c r="A178" s="25" t="s">
        <v>34</v>
      </c>
      <c r="C178" s="142">
        <v>0</v>
      </c>
      <c r="D178" s="191">
        <v>330</v>
      </c>
      <c r="E178" s="191">
        <v>229</v>
      </c>
      <c r="F178" s="191">
        <v>0</v>
      </c>
      <c r="G178" s="191">
        <v>0</v>
      </c>
      <c r="H178" s="142"/>
      <c r="I178" s="142"/>
      <c r="J178" s="142"/>
      <c r="K178" s="142"/>
      <c r="L178" s="142"/>
    </row>
    <row r="179" spans="1:19">
      <c r="A179" s="24" t="s">
        <v>13</v>
      </c>
      <c r="C179" s="143">
        <v>0</v>
      </c>
      <c r="D179" s="198">
        <v>0</v>
      </c>
      <c r="E179" s="198">
        <v>0</v>
      </c>
      <c r="F179" s="198">
        <v>0</v>
      </c>
      <c r="G179" s="198">
        <v>0</v>
      </c>
      <c r="H179" s="143"/>
      <c r="I179" s="143"/>
      <c r="J179" s="143"/>
      <c r="K179" s="143"/>
      <c r="L179" s="143"/>
    </row>
    <row r="180" spans="1:19">
      <c r="A180" s="10" t="s">
        <v>35</v>
      </c>
      <c r="C180" s="194">
        <f>SUM(C176:C179)</f>
        <v>31592</v>
      </c>
      <c r="D180" s="194">
        <f>SUM(D176:D179)</f>
        <v>6849</v>
      </c>
      <c r="E180" s="194">
        <f>SUM(E176:E179)</f>
        <v>8252</v>
      </c>
      <c r="F180" s="194">
        <f>SUM(F176:F179)</f>
        <v>1278.5999999999999</v>
      </c>
      <c r="G180" s="194">
        <f t="shared" ref="G180:L180" si="73">SUM(G176:G179)</f>
        <v>2440</v>
      </c>
      <c r="H180" s="166">
        <f t="shared" si="73"/>
        <v>0</v>
      </c>
      <c r="I180" s="166">
        <f t="shared" si="73"/>
        <v>0</v>
      </c>
      <c r="J180" s="166">
        <f t="shared" si="73"/>
        <v>0</v>
      </c>
      <c r="K180" s="166">
        <f t="shared" si="73"/>
        <v>0</v>
      </c>
      <c r="L180" s="166">
        <f t="shared" si="73"/>
        <v>0</v>
      </c>
    </row>
    <row r="181" spans="1:19">
      <c r="A181" s="25" t="s">
        <v>14</v>
      </c>
      <c r="C181" s="191">
        <f>-(5569+9568)</f>
        <v>-15137</v>
      </c>
      <c r="D181" s="191">
        <v>-1241</v>
      </c>
      <c r="E181" s="191">
        <v>-1051</v>
      </c>
      <c r="F181" s="191">
        <v>-139.5</v>
      </c>
      <c r="G181" s="191">
        <v>-431</v>
      </c>
      <c r="H181" s="142"/>
      <c r="I181" s="142"/>
      <c r="J181" s="142"/>
      <c r="K181" s="142"/>
      <c r="L181" s="142"/>
      <c r="N181" s="11" t="s">
        <v>16</v>
      </c>
    </row>
    <row r="182" spans="1:19">
      <c r="A182" s="9" t="s">
        <v>15</v>
      </c>
      <c r="B182" s="29"/>
      <c r="C182" s="167">
        <f>SUM(C180:C181)</f>
        <v>16455</v>
      </c>
      <c r="D182" s="167">
        <f>SUM(D180:D181)</f>
        <v>5608</v>
      </c>
      <c r="E182" s="167">
        <f>SUM(E180:E181)</f>
        <v>7201</v>
      </c>
      <c r="F182" s="167">
        <f>SUM(F180:F181)</f>
        <v>1139.0999999999999</v>
      </c>
      <c r="G182" s="167">
        <f t="shared" ref="G182:L182" si="74">SUM(G180:G181)</f>
        <v>2009</v>
      </c>
      <c r="H182" s="167">
        <f t="shared" si="74"/>
        <v>0</v>
      </c>
      <c r="I182" s="167">
        <f t="shared" si="74"/>
        <v>0</v>
      </c>
      <c r="J182" s="167">
        <f t="shared" si="74"/>
        <v>0</v>
      </c>
      <c r="K182" s="167">
        <f t="shared" si="74"/>
        <v>0</v>
      </c>
      <c r="L182" s="167">
        <f t="shared" si="74"/>
        <v>0</v>
      </c>
    </row>
    <row r="183" spans="1:19">
      <c r="A183" s="9"/>
      <c r="B183" s="8"/>
      <c r="C183" s="168"/>
      <c r="D183" s="168"/>
      <c r="E183" s="168"/>
      <c r="F183" s="168"/>
      <c r="G183" s="168"/>
      <c r="H183" s="168"/>
      <c r="I183" s="168"/>
      <c r="J183" s="168"/>
      <c r="K183" s="168"/>
      <c r="L183" s="168"/>
    </row>
    <row r="184" spans="1:19" ht="15" thickBot="1">
      <c r="A184" s="27" t="s">
        <v>159</v>
      </c>
      <c r="B184" s="27"/>
      <c r="C184" s="165"/>
      <c r="D184" s="165"/>
      <c r="E184" s="165"/>
      <c r="F184" s="165"/>
      <c r="G184" s="165"/>
      <c r="H184" s="165"/>
      <c r="I184" s="165"/>
      <c r="J184" s="165"/>
      <c r="K184" s="165"/>
      <c r="L184" s="165"/>
    </row>
    <row r="185" spans="1:19">
      <c r="C185" s="164"/>
      <c r="D185" s="164"/>
      <c r="E185" s="164"/>
      <c r="F185" s="164"/>
      <c r="G185" s="164"/>
      <c r="H185" s="164"/>
      <c r="I185" s="164"/>
      <c r="J185" s="164"/>
      <c r="K185" s="164"/>
      <c r="L185" s="164"/>
    </row>
    <row r="186" spans="1:19">
      <c r="A186" s="26" t="s">
        <v>102</v>
      </c>
      <c r="B186" s="35"/>
      <c r="C186" s="152" t="str">
        <f>C$7</f>
        <v>PG</v>
      </c>
      <c r="D186" s="152" t="str">
        <f t="shared" ref="D186:L186" si="75">D$7</f>
        <v>CL</v>
      </c>
      <c r="E186" s="152" t="str">
        <f t="shared" si="75"/>
        <v>KMB</v>
      </c>
      <c r="F186" s="152" t="str">
        <f t="shared" si="75"/>
        <v>CHD</v>
      </c>
      <c r="G186" s="152" t="str">
        <f t="shared" si="75"/>
        <v>CLX</v>
      </c>
      <c r="H186" s="152" t="str">
        <f t="shared" si="75"/>
        <v>EL</v>
      </c>
      <c r="I186" s="152">
        <f t="shared" si="75"/>
        <v>0</v>
      </c>
      <c r="J186" s="152">
        <f t="shared" si="75"/>
        <v>0</v>
      </c>
      <c r="K186" s="152">
        <f t="shared" si="75"/>
        <v>0</v>
      </c>
      <c r="L186" s="152">
        <f t="shared" si="75"/>
        <v>0</v>
      </c>
    </row>
    <row r="187" spans="1:19">
      <c r="C187" s="169"/>
      <c r="D187" s="158"/>
      <c r="E187" s="158"/>
      <c r="F187" s="158"/>
      <c r="G187" s="158"/>
      <c r="H187" s="158"/>
      <c r="I187" s="158"/>
      <c r="J187" s="158"/>
      <c r="K187" s="158"/>
      <c r="L187" s="158"/>
    </row>
    <row r="188" spans="1:19">
      <c r="A188" s="39" t="s">
        <v>41</v>
      </c>
      <c r="B188" s="40"/>
      <c r="C188" s="170">
        <f t="shared" ref="C188:L188" si="76">DATE(YEAR(C167)+1,MONTH(C167),DAY(C167))</f>
        <v>43281</v>
      </c>
      <c r="D188" s="170">
        <f t="shared" si="76"/>
        <v>43100</v>
      </c>
      <c r="E188" s="170">
        <f t="shared" si="76"/>
        <v>43100</v>
      </c>
      <c r="F188" s="170">
        <f t="shared" si="76"/>
        <v>43100</v>
      </c>
      <c r="G188" s="170">
        <f t="shared" si="76"/>
        <v>42916</v>
      </c>
      <c r="H188" s="170">
        <f t="shared" si="76"/>
        <v>366</v>
      </c>
      <c r="I188" s="170">
        <f t="shared" si="76"/>
        <v>366</v>
      </c>
      <c r="J188" s="170">
        <f t="shared" si="76"/>
        <v>366</v>
      </c>
      <c r="K188" s="170">
        <f t="shared" si="76"/>
        <v>366</v>
      </c>
      <c r="L188" s="170">
        <f t="shared" si="76"/>
        <v>366</v>
      </c>
    </row>
    <row r="189" spans="1:19">
      <c r="A189" s="11" t="s">
        <v>108</v>
      </c>
      <c r="C189" s="139">
        <v>66542</v>
      </c>
      <c r="D189" s="142">
        <v>15550</v>
      </c>
      <c r="E189" s="142">
        <v>18444</v>
      </c>
      <c r="F189" s="142">
        <v>3633</v>
      </c>
      <c r="G189" s="142">
        <v>5969</v>
      </c>
      <c r="H189" s="142"/>
      <c r="I189" s="142"/>
      <c r="J189" s="142"/>
      <c r="K189" s="139"/>
      <c r="L189" s="142"/>
      <c r="N189" s="18"/>
      <c r="O189" s="18"/>
      <c r="P189" s="18"/>
      <c r="Q189" s="18"/>
      <c r="R189" s="18"/>
      <c r="S189" s="18"/>
    </row>
    <row r="190" spans="1:19">
      <c r="A190" s="8" t="s">
        <v>109</v>
      </c>
      <c r="C190" s="142">
        <v>17647</v>
      </c>
      <c r="D190" s="142">
        <v>4526</v>
      </c>
      <c r="E190" s="142">
        <v>4170</v>
      </c>
      <c r="F190" s="142">
        <v>878</v>
      </c>
      <c r="G190" s="142">
        <v>1283</v>
      </c>
      <c r="H190" s="142"/>
      <c r="I190" s="142"/>
      <c r="J190" s="142"/>
      <c r="K190" s="142"/>
      <c r="L190" s="142"/>
      <c r="N190" s="18"/>
      <c r="O190" s="18"/>
      <c r="P190" s="18"/>
      <c r="Q190" s="18"/>
      <c r="R190" s="18"/>
      <c r="S190" s="18"/>
    </row>
    <row r="191" spans="1:19">
      <c r="A191" s="8" t="s">
        <v>110</v>
      </c>
      <c r="C191" s="142">
        <v>14639</v>
      </c>
      <c r="D191" s="142">
        <v>4092</v>
      </c>
      <c r="E191" s="142">
        <v>3426</v>
      </c>
      <c r="F191" s="142">
        <v>770</v>
      </c>
      <c r="G191" s="142">
        <v>1105</v>
      </c>
      <c r="H191" s="142"/>
      <c r="I191" s="142"/>
      <c r="J191" s="142"/>
      <c r="K191" s="142"/>
      <c r="L191" s="142"/>
      <c r="N191" s="18"/>
      <c r="O191" s="18"/>
      <c r="P191" s="18"/>
      <c r="Q191" s="18"/>
      <c r="R191" s="18"/>
      <c r="S191" s="18"/>
    </row>
    <row r="192" spans="1:19">
      <c r="A192" s="10" t="s">
        <v>111</v>
      </c>
      <c r="C192" s="142"/>
      <c r="D192" s="142"/>
      <c r="E192" s="142"/>
      <c r="F192" s="142"/>
      <c r="G192" s="142"/>
      <c r="H192" s="142"/>
      <c r="I192" s="142"/>
      <c r="J192" s="142"/>
      <c r="K192" s="142"/>
      <c r="L192" s="142"/>
      <c r="N192" s="18"/>
      <c r="O192" s="18"/>
      <c r="P192" s="18"/>
      <c r="Q192" s="18"/>
      <c r="R192" s="18"/>
      <c r="S192" s="18"/>
    </row>
    <row r="193" spans="1:17">
      <c r="A193" s="37" t="s">
        <v>40</v>
      </c>
      <c r="B193" s="38"/>
      <c r="C193" s="171"/>
      <c r="D193" s="171"/>
      <c r="E193" s="171"/>
      <c r="F193" s="171"/>
      <c r="G193" s="171"/>
      <c r="H193" s="171"/>
      <c r="I193" s="171"/>
      <c r="J193" s="171"/>
      <c r="K193" s="171"/>
      <c r="L193" s="171"/>
    </row>
    <row r="194" spans="1:17">
      <c r="A194" s="10"/>
      <c r="C194" s="164"/>
      <c r="D194" s="155"/>
      <c r="E194" s="155"/>
      <c r="F194" s="155"/>
      <c r="G194" s="155"/>
      <c r="H194" s="155"/>
      <c r="I194" s="155"/>
      <c r="J194" s="155"/>
      <c r="K194" s="155"/>
      <c r="L194" s="155"/>
    </row>
    <row r="195" spans="1:17">
      <c r="A195" s="26" t="s">
        <v>103</v>
      </c>
      <c r="B195" s="35"/>
      <c r="C195" s="152" t="str">
        <f>C$7</f>
        <v>PG</v>
      </c>
      <c r="D195" s="152" t="str">
        <f t="shared" ref="D195:L195" si="77">D$7</f>
        <v>CL</v>
      </c>
      <c r="E195" s="152" t="str">
        <f t="shared" si="77"/>
        <v>KMB</v>
      </c>
      <c r="F195" s="152" t="str">
        <f t="shared" si="77"/>
        <v>CHD</v>
      </c>
      <c r="G195" s="152" t="str">
        <f t="shared" si="77"/>
        <v>CLX</v>
      </c>
      <c r="H195" s="152" t="str">
        <f t="shared" si="77"/>
        <v>EL</v>
      </c>
      <c r="I195" s="152">
        <f t="shared" si="77"/>
        <v>0</v>
      </c>
      <c r="J195" s="152">
        <f t="shared" si="77"/>
        <v>0</v>
      </c>
      <c r="K195" s="152">
        <f t="shared" si="77"/>
        <v>0</v>
      </c>
      <c r="L195" s="152">
        <f t="shared" si="77"/>
        <v>0</v>
      </c>
    </row>
    <row r="196" spans="1:17">
      <c r="C196" s="172"/>
      <c r="D196" s="172"/>
      <c r="E196" s="155"/>
      <c r="F196" s="155"/>
      <c r="G196" s="155"/>
      <c r="H196" s="155"/>
      <c r="I196" s="155"/>
      <c r="J196" s="155"/>
      <c r="K196" s="155"/>
      <c r="L196" s="155"/>
    </row>
    <row r="197" spans="1:17">
      <c r="A197" s="39" t="s">
        <v>41</v>
      </c>
      <c r="B197" s="40"/>
      <c r="C197" s="170">
        <f>DATE(YEAR(C188)+1,MONTH(C188),DAY(C188))</f>
        <v>43646</v>
      </c>
      <c r="D197" s="170">
        <f t="shared" ref="D197:L197" si="78">DATE(YEAR(D188)+1,MONTH(D188),DAY(D188))</f>
        <v>43465</v>
      </c>
      <c r="E197" s="170">
        <f t="shared" si="78"/>
        <v>43465</v>
      </c>
      <c r="F197" s="170">
        <f t="shared" si="78"/>
        <v>43465</v>
      </c>
      <c r="G197" s="170">
        <f t="shared" si="78"/>
        <v>43281</v>
      </c>
      <c r="H197" s="170">
        <f t="shared" si="78"/>
        <v>731</v>
      </c>
      <c r="I197" s="170">
        <f t="shared" si="78"/>
        <v>731</v>
      </c>
      <c r="J197" s="170">
        <f t="shared" si="78"/>
        <v>731</v>
      </c>
      <c r="K197" s="170">
        <f t="shared" si="78"/>
        <v>731</v>
      </c>
      <c r="L197" s="170">
        <f t="shared" si="78"/>
        <v>731</v>
      </c>
    </row>
    <row r="198" spans="1:17">
      <c r="A198" s="11" t="s">
        <v>112</v>
      </c>
      <c r="C198" s="139">
        <v>68757</v>
      </c>
      <c r="D198" s="139">
        <v>16213</v>
      </c>
      <c r="E198" s="139">
        <v>18980</v>
      </c>
      <c r="F198" s="139">
        <v>3746</v>
      </c>
      <c r="G198" s="139">
        <v>6149</v>
      </c>
      <c r="H198" s="139"/>
      <c r="I198" s="139"/>
      <c r="J198" s="139"/>
      <c r="K198" s="139"/>
      <c r="L198" s="139"/>
      <c r="N198" s="18"/>
      <c r="O198" s="18"/>
      <c r="P198" s="18"/>
      <c r="Q198" s="18"/>
    </row>
    <row r="199" spans="1:17">
      <c r="A199" s="8" t="s">
        <v>113</v>
      </c>
      <c r="C199" s="142">
        <v>18606</v>
      </c>
      <c r="D199" s="142">
        <v>4824</v>
      </c>
      <c r="E199" s="142">
        <v>4348</v>
      </c>
      <c r="F199" s="142">
        <v>932</v>
      </c>
      <c r="G199" s="142">
        <v>1346</v>
      </c>
      <c r="H199" s="142"/>
      <c r="I199" s="142"/>
      <c r="J199" s="142"/>
      <c r="K199" s="142"/>
      <c r="L199" s="142"/>
      <c r="N199" s="18"/>
      <c r="O199" s="18"/>
      <c r="P199" s="18"/>
      <c r="Q199" s="18"/>
    </row>
    <row r="200" spans="1:17">
      <c r="A200" s="8" t="s">
        <v>114</v>
      </c>
      <c r="C200" s="142">
        <v>15498</v>
      </c>
      <c r="D200" s="142">
        <v>4371</v>
      </c>
      <c r="E200" s="142">
        <v>3583</v>
      </c>
      <c r="F200" s="142">
        <v>821</v>
      </c>
      <c r="G200" s="142">
        <v>1163</v>
      </c>
      <c r="H200" s="142"/>
      <c r="I200" s="142"/>
      <c r="J200" s="142"/>
      <c r="K200" s="142"/>
      <c r="L200" s="142"/>
      <c r="N200" s="18"/>
      <c r="O200" s="18"/>
      <c r="P200" s="18"/>
      <c r="Q200" s="18"/>
    </row>
    <row r="201" spans="1:17">
      <c r="A201" s="10" t="s">
        <v>115</v>
      </c>
      <c r="C201" s="142"/>
      <c r="D201" s="142"/>
      <c r="E201" s="142"/>
      <c r="F201" s="142"/>
      <c r="G201" s="142"/>
      <c r="H201" s="142"/>
      <c r="I201" s="142"/>
      <c r="J201" s="142"/>
      <c r="K201" s="142"/>
      <c r="L201" s="142"/>
      <c r="N201" s="18"/>
      <c r="O201" s="18"/>
      <c r="P201" s="18"/>
      <c r="Q201" s="18"/>
    </row>
    <row r="202" spans="1:17">
      <c r="A202" s="37" t="s">
        <v>40</v>
      </c>
      <c r="B202" s="38"/>
      <c r="C202" s="171"/>
      <c r="D202" s="171"/>
      <c r="E202" s="171"/>
      <c r="F202" s="171"/>
      <c r="G202" s="171"/>
      <c r="H202" s="171"/>
      <c r="I202" s="171"/>
      <c r="J202" s="171"/>
      <c r="K202" s="171"/>
      <c r="L202" s="171"/>
    </row>
    <row r="203" spans="1:17">
      <c r="C203" s="172"/>
      <c r="D203" s="172"/>
      <c r="E203" s="155"/>
      <c r="F203" s="155"/>
      <c r="G203" s="155"/>
      <c r="H203" s="155"/>
      <c r="I203" s="155"/>
      <c r="J203" s="155"/>
      <c r="K203" s="155"/>
      <c r="L203" s="155"/>
    </row>
    <row r="204" spans="1:17">
      <c r="A204" s="26" t="s">
        <v>104</v>
      </c>
      <c r="B204" s="35"/>
      <c r="C204" s="152" t="str">
        <f>C$7</f>
        <v>PG</v>
      </c>
      <c r="D204" s="152" t="str">
        <f t="shared" ref="D204:L204" si="79">D$7</f>
        <v>CL</v>
      </c>
      <c r="E204" s="152" t="str">
        <f t="shared" si="79"/>
        <v>KMB</v>
      </c>
      <c r="F204" s="152" t="str">
        <f t="shared" si="79"/>
        <v>CHD</v>
      </c>
      <c r="G204" s="152" t="str">
        <f t="shared" si="79"/>
        <v>CLX</v>
      </c>
      <c r="H204" s="152" t="str">
        <f t="shared" si="79"/>
        <v>EL</v>
      </c>
      <c r="I204" s="152">
        <f t="shared" si="79"/>
        <v>0</v>
      </c>
      <c r="J204" s="152">
        <f t="shared" si="79"/>
        <v>0</v>
      </c>
      <c r="K204" s="152">
        <f t="shared" si="79"/>
        <v>0</v>
      </c>
      <c r="L204" s="152">
        <f t="shared" si="79"/>
        <v>0</v>
      </c>
    </row>
    <row r="205" spans="1:17">
      <c r="C205" s="172"/>
      <c r="D205" s="172"/>
      <c r="E205" s="155"/>
      <c r="F205" s="155"/>
      <c r="G205" s="155"/>
      <c r="H205" s="155"/>
      <c r="I205" s="155"/>
      <c r="J205" s="155"/>
      <c r="K205" s="155"/>
      <c r="L205" s="155"/>
    </row>
    <row r="206" spans="1:17">
      <c r="A206" s="39" t="s">
        <v>41</v>
      </c>
      <c r="B206" s="40"/>
      <c r="C206" s="170">
        <f>DATE(YEAR(C197)+1,MONTH(C197),DAY(C197))</f>
        <v>44012</v>
      </c>
      <c r="D206" s="170">
        <f t="shared" ref="D206:L206" si="80">DATE(YEAR(D197)+1,MONTH(D197),DAY(D197))</f>
        <v>43830</v>
      </c>
      <c r="E206" s="170">
        <f t="shared" si="80"/>
        <v>43830</v>
      </c>
      <c r="F206" s="170">
        <f t="shared" si="80"/>
        <v>43830</v>
      </c>
      <c r="G206" s="170">
        <f t="shared" si="80"/>
        <v>43646</v>
      </c>
      <c r="H206" s="170">
        <f t="shared" si="80"/>
        <v>1096</v>
      </c>
      <c r="I206" s="170">
        <f t="shared" si="80"/>
        <v>1096</v>
      </c>
      <c r="J206" s="170">
        <f t="shared" si="80"/>
        <v>1096</v>
      </c>
      <c r="K206" s="170">
        <f t="shared" si="80"/>
        <v>1096</v>
      </c>
      <c r="L206" s="170">
        <f t="shared" si="80"/>
        <v>1096</v>
      </c>
    </row>
    <row r="207" spans="1:17">
      <c r="A207" s="11" t="s">
        <v>116</v>
      </c>
      <c r="C207" s="139">
        <v>71473</v>
      </c>
      <c r="D207" s="139">
        <v>16894</v>
      </c>
      <c r="E207" s="139">
        <v>19521</v>
      </c>
      <c r="F207" s="139">
        <v>3860</v>
      </c>
      <c r="G207" s="139">
        <v>6349</v>
      </c>
      <c r="H207" s="139"/>
      <c r="I207" s="139"/>
      <c r="J207" s="139"/>
      <c r="K207" s="139"/>
      <c r="L207" s="139"/>
    </row>
    <row r="208" spans="1:17">
      <c r="A208" s="8" t="s">
        <v>117</v>
      </c>
      <c r="C208" s="139">
        <v>19739</v>
      </c>
      <c r="D208" s="142">
        <v>5158</v>
      </c>
      <c r="E208" s="142">
        <v>4619</v>
      </c>
      <c r="F208" s="142">
        <v>967</v>
      </c>
      <c r="G208" s="142">
        <v>1405</v>
      </c>
      <c r="H208" s="142"/>
      <c r="I208" s="142"/>
      <c r="J208" s="142"/>
      <c r="K208" s="142"/>
      <c r="L208" s="142"/>
    </row>
    <row r="209" spans="1:17">
      <c r="A209" s="8" t="s">
        <v>118</v>
      </c>
      <c r="C209" s="139">
        <v>16509</v>
      </c>
      <c r="D209" s="142">
        <v>4686</v>
      </c>
      <c r="E209" s="142">
        <v>3832</v>
      </c>
      <c r="F209" s="142">
        <v>853</v>
      </c>
      <c r="G209" s="142">
        <v>1215</v>
      </c>
      <c r="H209" s="142"/>
      <c r="I209" s="142"/>
      <c r="J209" s="142"/>
      <c r="K209" s="142"/>
      <c r="L209" s="142"/>
    </row>
    <row r="210" spans="1:17">
      <c r="A210" s="10" t="s">
        <v>119</v>
      </c>
      <c r="C210" s="142"/>
      <c r="D210" s="142"/>
      <c r="E210" s="142"/>
      <c r="F210" s="142"/>
      <c r="G210" s="142"/>
      <c r="H210" s="142"/>
      <c r="I210" s="142"/>
      <c r="J210" s="142"/>
      <c r="K210" s="142"/>
      <c r="L210" s="142"/>
    </row>
    <row r="211" spans="1:17">
      <c r="A211" s="37" t="s">
        <v>40</v>
      </c>
      <c r="B211" s="38"/>
      <c r="C211" s="171"/>
      <c r="D211" s="171"/>
      <c r="E211" s="171"/>
      <c r="F211" s="171"/>
      <c r="G211" s="171"/>
      <c r="H211" s="171"/>
      <c r="I211" s="171"/>
      <c r="J211" s="171"/>
      <c r="K211" s="171"/>
      <c r="L211" s="171"/>
    </row>
    <row r="212" spans="1:17">
      <c r="A212" s="37"/>
      <c r="B212" s="38"/>
      <c r="C212" s="171"/>
      <c r="D212" s="171"/>
      <c r="E212" s="171"/>
      <c r="F212" s="171"/>
      <c r="G212" s="171"/>
      <c r="H212" s="171"/>
      <c r="I212" s="171"/>
      <c r="J212" s="171"/>
      <c r="K212" s="171"/>
      <c r="L212" s="171"/>
    </row>
    <row r="213" spans="1:17">
      <c r="A213" s="26" t="s">
        <v>47</v>
      </c>
      <c r="B213" s="35"/>
      <c r="C213" s="152" t="str">
        <f>C$7</f>
        <v>PG</v>
      </c>
      <c r="D213" s="152" t="str">
        <f t="shared" ref="D213:L213" si="81">D$7</f>
        <v>CL</v>
      </c>
      <c r="E213" s="152" t="str">
        <f t="shared" si="81"/>
        <v>KMB</v>
      </c>
      <c r="F213" s="152" t="str">
        <f t="shared" si="81"/>
        <v>CHD</v>
      </c>
      <c r="G213" s="152" t="str">
        <f t="shared" si="81"/>
        <v>CLX</v>
      </c>
      <c r="H213" s="152" t="str">
        <f t="shared" si="81"/>
        <v>EL</v>
      </c>
      <c r="I213" s="152">
        <f t="shared" si="81"/>
        <v>0</v>
      </c>
      <c r="J213" s="152">
        <f t="shared" si="81"/>
        <v>0</v>
      </c>
      <c r="K213" s="152">
        <f t="shared" si="81"/>
        <v>0</v>
      </c>
      <c r="L213" s="152">
        <f t="shared" si="81"/>
        <v>0</v>
      </c>
    </row>
    <row r="214" spans="1:17">
      <c r="C214" s="172"/>
      <c r="D214" s="172"/>
      <c r="E214" s="155"/>
      <c r="F214" s="155"/>
      <c r="G214" s="155"/>
      <c r="H214" s="155"/>
      <c r="I214" s="155"/>
      <c r="J214" s="155"/>
      <c r="K214" s="155"/>
      <c r="L214" s="155"/>
    </row>
    <row r="215" spans="1:17">
      <c r="A215" s="36" t="s">
        <v>26</v>
      </c>
      <c r="B215" s="36"/>
      <c r="C215" s="195">
        <v>3.5000000000000003E-2</v>
      </c>
      <c r="D215" s="195">
        <v>0.04</v>
      </c>
      <c r="E215" s="195">
        <v>2.5000000000000001E-3</v>
      </c>
      <c r="F215" s="195">
        <v>1.4999999999999999E-2</v>
      </c>
      <c r="G215" s="195">
        <v>3.5000000000000003E-2</v>
      </c>
      <c r="H215" s="142"/>
      <c r="I215" s="142"/>
      <c r="J215" s="142"/>
      <c r="K215" s="142"/>
      <c r="L215" s="142"/>
      <c r="N215" s="18"/>
      <c r="O215" s="18"/>
      <c r="P215" s="18"/>
      <c r="Q215" s="18"/>
    </row>
    <row r="216" spans="1:17">
      <c r="A216" s="37" t="s">
        <v>40</v>
      </c>
      <c r="B216" s="38"/>
      <c r="C216" s="171"/>
      <c r="D216" s="171"/>
      <c r="E216" s="171"/>
      <c r="F216" s="171"/>
      <c r="G216" s="171"/>
      <c r="H216" s="171"/>
      <c r="I216" s="171"/>
      <c r="J216" s="171"/>
      <c r="K216" s="171"/>
      <c r="L216" s="155"/>
    </row>
    <row r="217" spans="1:17">
      <c r="A217" s="37"/>
      <c r="B217" s="38"/>
      <c r="C217" s="171"/>
      <c r="D217" s="171"/>
      <c r="E217" s="171"/>
      <c r="F217" s="171"/>
      <c r="G217" s="155"/>
      <c r="H217" s="155"/>
      <c r="I217" s="155"/>
      <c r="J217" s="155"/>
      <c r="K217" s="155"/>
      <c r="L217" s="155"/>
    </row>
    <row r="218" spans="1:17">
      <c r="A218" s="73" t="s">
        <v>105</v>
      </c>
      <c r="B218" s="74"/>
      <c r="C218" s="156" t="str">
        <f>C$7</f>
        <v>PG</v>
      </c>
      <c r="D218" s="156" t="str">
        <f t="shared" ref="D218:L218" si="82">D$7</f>
        <v>CL</v>
      </c>
      <c r="E218" s="156" t="str">
        <f t="shared" si="82"/>
        <v>KMB</v>
      </c>
      <c r="F218" s="156" t="str">
        <f t="shared" si="82"/>
        <v>CHD</v>
      </c>
      <c r="G218" s="156" t="str">
        <f t="shared" si="82"/>
        <v>CLX</v>
      </c>
      <c r="H218" s="156" t="str">
        <f t="shared" si="82"/>
        <v>EL</v>
      </c>
      <c r="I218" s="156">
        <f t="shared" si="82"/>
        <v>0</v>
      </c>
      <c r="J218" s="156">
        <f t="shared" si="82"/>
        <v>0</v>
      </c>
      <c r="K218" s="156">
        <f t="shared" si="82"/>
        <v>0</v>
      </c>
      <c r="L218" s="156">
        <f t="shared" si="82"/>
        <v>0</v>
      </c>
    </row>
    <row r="219" spans="1:17">
      <c r="A219" s="37"/>
      <c r="B219" s="38"/>
      <c r="C219" s="173"/>
      <c r="D219" s="171"/>
      <c r="E219" s="171"/>
      <c r="F219" s="171"/>
      <c r="G219" s="155"/>
      <c r="H219" s="155"/>
      <c r="I219" s="155"/>
      <c r="J219" s="155"/>
      <c r="K219" s="155"/>
      <c r="L219" s="155"/>
    </row>
    <row r="220" spans="1:17">
      <c r="A220" s="37" t="s">
        <v>98</v>
      </c>
      <c r="B220" s="38"/>
      <c r="C220" s="173">
        <f t="shared" ref="C220" si="83">DATE(YEAR(C12),12,31)</f>
        <v>43100</v>
      </c>
      <c r="D220" s="173">
        <f t="shared" ref="D220:L220" si="84">DATE(YEAR(D12),12,31)</f>
        <v>43100</v>
      </c>
      <c r="E220" s="173">
        <f t="shared" si="84"/>
        <v>43100</v>
      </c>
      <c r="F220" s="173">
        <f t="shared" si="84"/>
        <v>43100</v>
      </c>
      <c r="G220" s="173">
        <f t="shared" si="84"/>
        <v>43100</v>
      </c>
      <c r="H220" s="173">
        <f t="shared" si="84"/>
        <v>43100</v>
      </c>
      <c r="I220" s="173">
        <f t="shared" si="84"/>
        <v>43100</v>
      </c>
      <c r="J220" s="173">
        <f t="shared" si="84"/>
        <v>43100</v>
      </c>
      <c r="K220" s="173">
        <f t="shared" si="84"/>
        <v>43100</v>
      </c>
      <c r="L220" s="173">
        <f t="shared" si="84"/>
        <v>43100</v>
      </c>
    </row>
    <row r="221" spans="1:17">
      <c r="A221" s="37" t="s">
        <v>128</v>
      </c>
      <c r="B221" s="38"/>
      <c r="C221" s="174">
        <f t="shared" ref="C221:L221" si="85">MAX(0,C220-C188)</f>
        <v>0</v>
      </c>
      <c r="D221" s="174">
        <f t="shared" si="85"/>
        <v>0</v>
      </c>
      <c r="E221" s="174">
        <f t="shared" si="85"/>
        <v>0</v>
      </c>
      <c r="F221" s="174">
        <f t="shared" si="85"/>
        <v>0</v>
      </c>
      <c r="G221" s="174">
        <f t="shared" si="85"/>
        <v>184</v>
      </c>
      <c r="H221" s="174">
        <f t="shared" si="85"/>
        <v>42734</v>
      </c>
      <c r="I221" s="174">
        <f t="shared" si="85"/>
        <v>42734</v>
      </c>
      <c r="J221" s="174">
        <f t="shared" si="85"/>
        <v>42734</v>
      </c>
      <c r="K221" s="174">
        <f t="shared" si="85"/>
        <v>42734</v>
      </c>
      <c r="L221" s="174">
        <f t="shared" si="85"/>
        <v>42734</v>
      </c>
    </row>
    <row r="222" spans="1:17">
      <c r="A222" s="37" t="s">
        <v>129</v>
      </c>
      <c r="B222" s="38"/>
      <c r="C222" s="174">
        <f t="shared" ref="C222:L222" si="86">MAX(0,C188-C220)</f>
        <v>181</v>
      </c>
      <c r="D222" s="174">
        <f t="shared" si="86"/>
        <v>0</v>
      </c>
      <c r="E222" s="174">
        <f t="shared" si="86"/>
        <v>0</v>
      </c>
      <c r="F222" s="174">
        <f t="shared" si="86"/>
        <v>0</v>
      </c>
      <c r="G222" s="174">
        <f t="shared" si="86"/>
        <v>0</v>
      </c>
      <c r="H222" s="174">
        <f t="shared" si="86"/>
        <v>0</v>
      </c>
      <c r="I222" s="174">
        <f t="shared" si="86"/>
        <v>0</v>
      </c>
      <c r="J222" s="174">
        <f t="shared" si="86"/>
        <v>0</v>
      </c>
      <c r="K222" s="174">
        <f t="shared" si="86"/>
        <v>0</v>
      </c>
      <c r="L222" s="174">
        <f t="shared" si="86"/>
        <v>0</v>
      </c>
    </row>
    <row r="223" spans="1:17">
      <c r="A223" s="37" t="s">
        <v>99</v>
      </c>
      <c r="B223" s="38"/>
      <c r="C223" s="76">
        <f t="shared" ref="C223" si="87">IF(C222&gt;0,C222/365,0)</f>
        <v>0.49589041095890413</v>
      </c>
      <c r="D223" s="76">
        <f t="shared" ref="D223" si="88">IF(D222&gt;0,D222/365,0)</f>
        <v>0</v>
      </c>
      <c r="E223" s="76">
        <f t="shared" ref="E223" si="89">IF(E222&gt;0,E222/365,0)</f>
        <v>0</v>
      </c>
      <c r="F223" s="76">
        <f t="shared" ref="F223" si="90">IF(F222&gt;0,F222/365,0)</f>
        <v>0</v>
      </c>
      <c r="G223" s="76">
        <f t="shared" ref="G223" si="91">IF(G222&gt;0,G222/365,0)</f>
        <v>0</v>
      </c>
      <c r="H223" s="76">
        <f t="shared" ref="H223" si="92">IF(H222&gt;0,H222/365,0)</f>
        <v>0</v>
      </c>
      <c r="I223" s="76">
        <f t="shared" ref="I223" si="93">IF(I222&gt;0,I222/365,0)</f>
        <v>0</v>
      </c>
      <c r="J223" s="76">
        <f t="shared" ref="J223" si="94">IF(J222&gt;0,J222/365,0)</f>
        <v>0</v>
      </c>
      <c r="K223" s="76">
        <f t="shared" ref="K223" si="95">IF(K222&gt;0,K222/365,0)</f>
        <v>0</v>
      </c>
      <c r="L223" s="76">
        <f t="shared" ref="L223" si="96">IF(L222&gt;0,L222/365,0)</f>
        <v>0</v>
      </c>
    </row>
    <row r="224" spans="1:17">
      <c r="A224" s="37" t="s">
        <v>100</v>
      </c>
      <c r="B224" s="38"/>
      <c r="C224" s="76">
        <f t="shared" ref="C224" si="97">IF(C221&gt;0,(365-C221)/365,1-C223)</f>
        <v>0.50410958904109582</v>
      </c>
      <c r="D224" s="76">
        <f t="shared" ref="D224" si="98">IF(D221&gt;0,(365-D221)/365,1-D223)</f>
        <v>1</v>
      </c>
      <c r="E224" s="76">
        <f t="shared" ref="E224" si="99">IF(E221&gt;0,(365-E221)/365,1-E223)</f>
        <v>1</v>
      </c>
      <c r="F224" s="76">
        <f t="shared" ref="F224" si="100">IF(F221&gt;0,(365-F221)/365,1-F223)</f>
        <v>1</v>
      </c>
      <c r="G224" s="76">
        <f t="shared" ref="G224" si="101">IF(G221&gt;0,(365-G221)/365,1-G223)</f>
        <v>0.49589041095890413</v>
      </c>
      <c r="H224" s="76">
        <f t="shared" ref="H224" si="102">IF(H221&gt;0,(365-H221)/365,1-H223)</f>
        <v>-116.07945205479452</v>
      </c>
      <c r="I224" s="76">
        <f t="shared" ref="I224" si="103">IF(I221&gt;0,(365-I221)/365,1-I223)</f>
        <v>-116.07945205479452</v>
      </c>
      <c r="J224" s="76">
        <f t="shared" ref="J224" si="104">IF(J221&gt;0,(365-J221)/365,1-J223)</f>
        <v>-116.07945205479452</v>
      </c>
      <c r="K224" s="76">
        <f t="shared" ref="K224" si="105">IF(K221&gt;0,(365-K221)/365,1-K223)</f>
        <v>-116.07945205479452</v>
      </c>
      <c r="L224" s="76">
        <f t="shared" ref="L224" si="106">IF(L221&gt;0,(365-L221)/365,1-L223)</f>
        <v>-116.07945205479452</v>
      </c>
    </row>
    <row r="225" spans="1:12">
      <c r="A225" s="37" t="s">
        <v>101</v>
      </c>
      <c r="B225" s="38"/>
      <c r="C225" s="76">
        <f t="shared" ref="C225:L225" si="107">1-C224-C223</f>
        <v>0</v>
      </c>
      <c r="D225" s="76">
        <f t="shared" si="107"/>
        <v>0</v>
      </c>
      <c r="E225" s="76">
        <f t="shared" si="107"/>
        <v>0</v>
      </c>
      <c r="F225" s="76">
        <f t="shared" si="107"/>
        <v>0</v>
      </c>
      <c r="G225" s="76">
        <f t="shared" si="107"/>
        <v>0.50410958904109582</v>
      </c>
      <c r="H225" s="76">
        <f t="shared" si="107"/>
        <v>117.07945205479452</v>
      </c>
      <c r="I225" s="76">
        <f t="shared" si="107"/>
        <v>117.07945205479452</v>
      </c>
      <c r="J225" s="76">
        <f t="shared" si="107"/>
        <v>117.07945205479452</v>
      </c>
      <c r="K225" s="76">
        <f t="shared" si="107"/>
        <v>117.07945205479452</v>
      </c>
      <c r="L225" s="76">
        <f t="shared" si="107"/>
        <v>117.07945205479452</v>
      </c>
    </row>
    <row r="226" spans="1:12">
      <c r="A226" s="37"/>
      <c r="B226" s="38"/>
      <c r="C226" s="75"/>
      <c r="D226" s="75"/>
      <c r="E226" s="75"/>
      <c r="F226" s="75"/>
      <c r="G226" s="75"/>
      <c r="H226" s="75"/>
      <c r="I226" s="75"/>
      <c r="J226" s="75"/>
      <c r="K226" s="75"/>
      <c r="L226" s="75"/>
    </row>
    <row r="227" spans="1:12">
      <c r="A227" s="26" t="s">
        <v>38</v>
      </c>
      <c r="B227" s="74"/>
      <c r="C227" s="156" t="str">
        <f>C$7</f>
        <v>PG</v>
      </c>
      <c r="D227" s="156" t="str">
        <f t="shared" ref="D227:L227" si="108">D$7</f>
        <v>CL</v>
      </c>
      <c r="E227" s="156" t="str">
        <f t="shared" si="108"/>
        <v>KMB</v>
      </c>
      <c r="F227" s="156" t="str">
        <f t="shared" si="108"/>
        <v>CHD</v>
      </c>
      <c r="G227" s="156" t="str">
        <f t="shared" si="108"/>
        <v>CLX</v>
      </c>
      <c r="H227" s="156" t="str">
        <f t="shared" si="108"/>
        <v>EL</v>
      </c>
      <c r="I227" s="156">
        <f t="shared" si="108"/>
        <v>0</v>
      </c>
      <c r="J227" s="156">
        <f t="shared" si="108"/>
        <v>0</v>
      </c>
      <c r="K227" s="156">
        <f t="shared" si="108"/>
        <v>0</v>
      </c>
      <c r="L227" s="156">
        <f t="shared" si="108"/>
        <v>0</v>
      </c>
    </row>
    <row r="228" spans="1:12">
      <c r="A228" s="39" t="s">
        <v>41</v>
      </c>
      <c r="B228" s="38"/>
      <c r="C228" s="170">
        <f>C220</f>
        <v>43100</v>
      </c>
      <c r="D228" s="170">
        <f t="shared" ref="D228:L228" si="109">D220</f>
        <v>43100</v>
      </c>
      <c r="E228" s="170">
        <f t="shared" si="109"/>
        <v>43100</v>
      </c>
      <c r="F228" s="170">
        <f t="shared" si="109"/>
        <v>43100</v>
      </c>
      <c r="G228" s="170">
        <f t="shared" si="109"/>
        <v>43100</v>
      </c>
      <c r="H228" s="170">
        <f t="shared" si="109"/>
        <v>43100</v>
      </c>
      <c r="I228" s="170">
        <f t="shared" si="109"/>
        <v>43100</v>
      </c>
      <c r="J228" s="170">
        <f t="shared" si="109"/>
        <v>43100</v>
      </c>
      <c r="K228" s="170">
        <f t="shared" si="109"/>
        <v>43100</v>
      </c>
      <c r="L228" s="170">
        <f t="shared" si="109"/>
        <v>43100</v>
      </c>
    </row>
    <row r="229" spans="1:12">
      <c r="A229" s="11" t="s">
        <v>120</v>
      </c>
      <c r="B229" s="38"/>
      <c r="C229" s="175">
        <f t="shared" ref="C229:E232" si="110">C168*C$223+C189*C$224+C198*C$225</f>
        <v>65806.098630136985</v>
      </c>
      <c r="D229" s="175">
        <f t="shared" si="110"/>
        <v>15550</v>
      </c>
      <c r="E229" s="175">
        <f t="shared" si="110"/>
        <v>18444</v>
      </c>
      <c r="F229" s="175">
        <f t="shared" ref="F229:L232" si="111">F168*F$223+F189*F$224+F198*F$225</f>
        <v>3633</v>
      </c>
      <c r="G229" s="175">
        <f t="shared" si="111"/>
        <v>6059.7397260273974</v>
      </c>
      <c r="H229" s="175">
        <f t="shared" si="111"/>
        <v>0</v>
      </c>
      <c r="I229" s="175">
        <f t="shared" si="111"/>
        <v>0</v>
      </c>
      <c r="J229" s="175">
        <f t="shared" si="111"/>
        <v>0</v>
      </c>
      <c r="K229" s="175">
        <f t="shared" si="111"/>
        <v>0</v>
      </c>
      <c r="L229" s="175">
        <f t="shared" si="111"/>
        <v>0</v>
      </c>
    </row>
    <row r="230" spans="1:12">
      <c r="A230" s="8" t="s">
        <v>121</v>
      </c>
      <c r="B230" s="38"/>
      <c r="C230" s="175">
        <f t="shared" si="110"/>
        <v>14627.523287671231</v>
      </c>
      <c r="D230" s="175">
        <f t="shared" si="110"/>
        <v>4526</v>
      </c>
      <c r="E230" s="175">
        <f t="shared" si="110"/>
        <v>4170</v>
      </c>
      <c r="F230" s="175">
        <f t="shared" si="111"/>
        <v>878</v>
      </c>
      <c r="G230" s="175">
        <f t="shared" si="111"/>
        <v>1314.7589041095889</v>
      </c>
      <c r="H230" s="175">
        <f t="shared" si="111"/>
        <v>0</v>
      </c>
      <c r="I230" s="175">
        <f t="shared" si="111"/>
        <v>0</v>
      </c>
      <c r="J230" s="175">
        <f t="shared" si="111"/>
        <v>0</v>
      </c>
      <c r="K230" s="175">
        <f t="shared" si="111"/>
        <v>0</v>
      </c>
      <c r="L230" s="175">
        <f t="shared" si="111"/>
        <v>0</v>
      </c>
    </row>
    <row r="231" spans="1:12">
      <c r="A231" s="8" t="s">
        <v>122</v>
      </c>
      <c r="B231" s="38"/>
      <c r="C231" s="175">
        <f t="shared" si="110"/>
        <v>11712.750684931507</v>
      </c>
      <c r="D231" s="175">
        <f t="shared" si="110"/>
        <v>4092</v>
      </c>
      <c r="E231" s="175">
        <f t="shared" si="110"/>
        <v>3426</v>
      </c>
      <c r="F231" s="175">
        <f t="shared" si="111"/>
        <v>770</v>
      </c>
      <c r="G231" s="175">
        <f t="shared" si="111"/>
        <v>1134.2383561643835</v>
      </c>
      <c r="H231" s="175">
        <f t="shared" si="111"/>
        <v>0</v>
      </c>
      <c r="I231" s="175">
        <f t="shared" si="111"/>
        <v>0</v>
      </c>
      <c r="J231" s="175">
        <f t="shared" si="111"/>
        <v>0</v>
      </c>
      <c r="K231" s="175">
        <f t="shared" si="111"/>
        <v>0</v>
      </c>
      <c r="L231" s="175">
        <f t="shared" si="111"/>
        <v>0</v>
      </c>
    </row>
    <row r="232" spans="1:12">
      <c r="A232" s="10" t="s">
        <v>123</v>
      </c>
      <c r="B232" s="38"/>
      <c r="C232" s="176">
        <f t="shared" si="110"/>
        <v>1.9421952199758858</v>
      </c>
      <c r="D232" s="176">
        <f t="shared" si="110"/>
        <v>0</v>
      </c>
      <c r="E232" s="176">
        <f t="shared" si="110"/>
        <v>0</v>
      </c>
      <c r="F232" s="176">
        <f t="shared" si="111"/>
        <v>0</v>
      </c>
      <c r="G232" s="176">
        <f t="shared" si="111"/>
        <v>0</v>
      </c>
      <c r="H232" s="176">
        <f t="shared" si="111"/>
        <v>0</v>
      </c>
      <c r="I232" s="176">
        <f t="shared" si="111"/>
        <v>0</v>
      </c>
      <c r="J232" s="176">
        <f t="shared" si="111"/>
        <v>0</v>
      </c>
      <c r="K232" s="176">
        <f t="shared" si="111"/>
        <v>0</v>
      </c>
      <c r="L232" s="176">
        <f t="shared" si="111"/>
        <v>0</v>
      </c>
    </row>
    <row r="233" spans="1:12">
      <c r="A233" s="10"/>
      <c r="B233" s="38"/>
      <c r="C233" s="176"/>
      <c r="D233" s="176"/>
      <c r="E233" s="176"/>
      <c r="F233" s="176"/>
      <c r="G233" s="176"/>
      <c r="H233" s="176"/>
      <c r="I233" s="176"/>
      <c r="J233" s="176"/>
      <c r="K233" s="176"/>
      <c r="L233" s="176"/>
    </row>
    <row r="234" spans="1:12">
      <c r="A234" s="26" t="s">
        <v>39</v>
      </c>
      <c r="B234" s="74"/>
      <c r="C234" s="156" t="str">
        <f>C$7</f>
        <v>PG</v>
      </c>
      <c r="D234" s="156" t="str">
        <f t="shared" ref="D234:L234" si="112">D$7</f>
        <v>CL</v>
      </c>
      <c r="E234" s="156" t="str">
        <f t="shared" si="112"/>
        <v>KMB</v>
      </c>
      <c r="F234" s="156" t="str">
        <f t="shared" si="112"/>
        <v>CHD</v>
      </c>
      <c r="G234" s="156" t="str">
        <f t="shared" si="112"/>
        <v>CLX</v>
      </c>
      <c r="H234" s="156" t="str">
        <f t="shared" si="112"/>
        <v>EL</v>
      </c>
      <c r="I234" s="156">
        <f t="shared" si="112"/>
        <v>0</v>
      </c>
      <c r="J234" s="156">
        <f t="shared" si="112"/>
        <v>0</v>
      </c>
      <c r="K234" s="156">
        <f t="shared" si="112"/>
        <v>0</v>
      </c>
      <c r="L234" s="156">
        <f t="shared" si="112"/>
        <v>0</v>
      </c>
    </row>
    <row r="235" spans="1:12">
      <c r="A235" s="39" t="s">
        <v>41</v>
      </c>
      <c r="B235" s="38"/>
      <c r="C235" s="170">
        <f>EOMONTH(C228,12)</f>
        <v>43465</v>
      </c>
      <c r="D235" s="170">
        <f t="shared" ref="D235:L235" si="113">EOMONTH(D228,12)</f>
        <v>43465</v>
      </c>
      <c r="E235" s="170">
        <f t="shared" si="113"/>
        <v>43465</v>
      </c>
      <c r="F235" s="170">
        <f t="shared" si="113"/>
        <v>43465</v>
      </c>
      <c r="G235" s="170">
        <f t="shared" si="113"/>
        <v>43465</v>
      </c>
      <c r="H235" s="170">
        <f t="shared" si="113"/>
        <v>43465</v>
      </c>
      <c r="I235" s="170">
        <f t="shared" si="113"/>
        <v>43465</v>
      </c>
      <c r="J235" s="170">
        <f t="shared" si="113"/>
        <v>43465</v>
      </c>
      <c r="K235" s="170">
        <f t="shared" si="113"/>
        <v>43465</v>
      </c>
      <c r="L235" s="170">
        <f t="shared" si="113"/>
        <v>43465</v>
      </c>
    </row>
    <row r="236" spans="1:12">
      <c r="A236" s="11" t="s">
        <v>124</v>
      </c>
      <c r="B236" s="38"/>
      <c r="C236" s="175">
        <f>C189*C$223+C198*C$224+C207*C$225</f>
        <v>67658.602739726019</v>
      </c>
      <c r="D236" s="175">
        <f t="shared" ref="D236:L236" si="114">D189*D$223+D198*D$224+D207*D$225</f>
        <v>16213</v>
      </c>
      <c r="E236" s="175">
        <f t="shared" si="114"/>
        <v>18980</v>
      </c>
      <c r="F236" s="175">
        <f t="shared" si="114"/>
        <v>3746</v>
      </c>
      <c r="G236" s="175">
        <f t="shared" si="114"/>
        <v>6249.821917808219</v>
      </c>
      <c r="H236" s="175">
        <f t="shared" si="114"/>
        <v>0</v>
      </c>
      <c r="I236" s="175">
        <f t="shared" si="114"/>
        <v>0</v>
      </c>
      <c r="J236" s="175">
        <f t="shared" si="114"/>
        <v>0</v>
      </c>
      <c r="K236" s="175">
        <f t="shared" si="114"/>
        <v>0</v>
      </c>
      <c r="L236" s="175">
        <f t="shared" si="114"/>
        <v>0</v>
      </c>
    </row>
    <row r="237" spans="1:12">
      <c r="A237" s="8" t="s">
        <v>125</v>
      </c>
      <c r="B237" s="38"/>
      <c r="C237" s="175">
        <f t="shared" ref="C237:L239" si="115">C190*C$223+C199*C$224+C208*C$225</f>
        <v>18130.441095890412</v>
      </c>
      <c r="D237" s="175">
        <f t="shared" si="115"/>
        <v>4824</v>
      </c>
      <c r="E237" s="175">
        <f t="shared" si="115"/>
        <v>4348</v>
      </c>
      <c r="F237" s="175">
        <f t="shared" si="115"/>
        <v>932</v>
      </c>
      <c r="G237" s="175">
        <f t="shared" si="115"/>
        <v>1375.7424657534245</v>
      </c>
      <c r="H237" s="175">
        <f t="shared" si="115"/>
        <v>0</v>
      </c>
      <c r="I237" s="175">
        <f t="shared" si="115"/>
        <v>0</v>
      </c>
      <c r="J237" s="175">
        <f t="shared" si="115"/>
        <v>0</v>
      </c>
      <c r="K237" s="175">
        <f t="shared" si="115"/>
        <v>0</v>
      </c>
      <c r="L237" s="175">
        <f t="shared" si="115"/>
        <v>0</v>
      </c>
    </row>
    <row r="238" spans="1:12">
      <c r="A238" s="8" t="s">
        <v>126</v>
      </c>
      <c r="B238" s="38"/>
      <c r="C238" s="175">
        <f t="shared" si="115"/>
        <v>15072.030136986301</v>
      </c>
      <c r="D238" s="175">
        <f t="shared" si="115"/>
        <v>4371</v>
      </c>
      <c r="E238" s="175">
        <f t="shared" si="115"/>
        <v>3583</v>
      </c>
      <c r="F238" s="175">
        <f t="shared" si="115"/>
        <v>821</v>
      </c>
      <c r="G238" s="175">
        <f t="shared" si="115"/>
        <v>1189.2136986301368</v>
      </c>
      <c r="H238" s="175">
        <f t="shared" si="115"/>
        <v>0</v>
      </c>
      <c r="I238" s="175">
        <f t="shared" si="115"/>
        <v>0</v>
      </c>
      <c r="J238" s="175">
        <f t="shared" si="115"/>
        <v>0</v>
      </c>
      <c r="K238" s="175">
        <f t="shared" si="115"/>
        <v>0</v>
      </c>
      <c r="L238" s="175">
        <f t="shared" si="115"/>
        <v>0</v>
      </c>
    </row>
    <row r="239" spans="1:12">
      <c r="A239" s="10" t="s">
        <v>127</v>
      </c>
      <c r="B239" s="38"/>
      <c r="C239" s="176">
        <f t="shared" si="115"/>
        <v>0</v>
      </c>
      <c r="D239" s="176">
        <f t="shared" si="115"/>
        <v>0</v>
      </c>
      <c r="E239" s="176">
        <f t="shared" si="115"/>
        <v>0</v>
      </c>
      <c r="F239" s="176">
        <f t="shared" si="115"/>
        <v>0</v>
      </c>
      <c r="G239" s="176">
        <f t="shared" si="115"/>
        <v>0</v>
      </c>
      <c r="H239" s="176">
        <f t="shared" si="115"/>
        <v>0</v>
      </c>
      <c r="I239" s="176">
        <f t="shared" si="115"/>
        <v>0</v>
      </c>
      <c r="J239" s="176">
        <f t="shared" si="115"/>
        <v>0</v>
      </c>
      <c r="K239" s="176">
        <f t="shared" si="115"/>
        <v>0</v>
      </c>
      <c r="L239" s="176">
        <f t="shared" si="115"/>
        <v>0</v>
      </c>
    </row>
    <row r="240" spans="1:12">
      <c r="A240" s="37"/>
      <c r="B240" s="38"/>
      <c r="C240" s="171"/>
      <c r="D240" s="171"/>
      <c r="E240" s="171"/>
      <c r="F240" s="171"/>
      <c r="G240" s="155"/>
      <c r="H240" s="155"/>
      <c r="I240" s="155"/>
      <c r="J240" s="155"/>
      <c r="K240" s="155"/>
      <c r="L240" s="155"/>
    </row>
    <row r="241" spans="1:17" ht="15" thickBot="1">
      <c r="A241" s="27" t="s">
        <v>160</v>
      </c>
      <c r="B241" s="27"/>
      <c r="C241" s="165"/>
      <c r="D241" s="165"/>
      <c r="E241" s="165"/>
      <c r="F241" s="165"/>
      <c r="G241" s="165"/>
      <c r="H241" s="165"/>
      <c r="I241" s="165"/>
      <c r="J241" s="165"/>
      <c r="K241" s="165"/>
      <c r="L241" s="165"/>
    </row>
    <row r="242" spans="1:17">
      <c r="A242" s="10"/>
      <c r="C242" s="163"/>
      <c r="D242" s="163"/>
      <c r="E242" s="163"/>
      <c r="F242" s="163"/>
      <c r="G242" s="163"/>
      <c r="H242" s="163"/>
      <c r="I242" s="163"/>
      <c r="J242" s="163"/>
      <c r="K242" s="163"/>
      <c r="L242" s="163"/>
    </row>
    <row r="243" spans="1:17">
      <c r="A243" s="42" t="s">
        <v>65</v>
      </c>
      <c r="B243" s="23"/>
      <c r="C243" s="152" t="str">
        <f>C$7</f>
        <v>PG</v>
      </c>
      <c r="D243" s="152" t="str">
        <f t="shared" ref="D243:L243" si="116">D$7</f>
        <v>CL</v>
      </c>
      <c r="E243" s="152" t="str">
        <f t="shared" si="116"/>
        <v>KMB</v>
      </c>
      <c r="F243" s="152" t="str">
        <f t="shared" si="116"/>
        <v>CHD</v>
      </c>
      <c r="G243" s="152" t="str">
        <f t="shared" si="116"/>
        <v>CLX</v>
      </c>
      <c r="H243" s="152" t="str">
        <f t="shared" si="116"/>
        <v>EL</v>
      </c>
      <c r="I243" s="152">
        <f t="shared" si="116"/>
        <v>0</v>
      </c>
      <c r="J243" s="152">
        <f t="shared" si="116"/>
        <v>0</v>
      </c>
      <c r="K243" s="152">
        <f t="shared" si="116"/>
        <v>0</v>
      </c>
      <c r="L243" s="152">
        <f t="shared" si="116"/>
        <v>0</v>
      </c>
    </row>
    <row r="244" spans="1:17">
      <c r="A244" s="25"/>
      <c r="C244" s="177"/>
      <c r="D244" s="177"/>
      <c r="E244" s="177"/>
      <c r="F244" s="178"/>
      <c r="G244" s="178"/>
      <c r="H244" s="178"/>
      <c r="I244" s="178"/>
      <c r="J244" s="178"/>
      <c r="K244" s="178"/>
      <c r="L244" s="178"/>
      <c r="M244" s="13"/>
      <c r="N244" s="13"/>
      <c r="O244"/>
    </row>
    <row r="245" spans="1:17">
      <c r="A245" s="25" t="s">
        <v>62</v>
      </c>
      <c r="C245" s="177">
        <f t="shared" ref="C245:L245" si="117">C11</f>
        <v>89.25</v>
      </c>
      <c r="D245" s="177">
        <f t="shared" si="117"/>
        <v>73</v>
      </c>
      <c r="E245" s="177">
        <f t="shared" si="117"/>
        <v>122.23</v>
      </c>
      <c r="F245" s="178">
        <f t="shared" si="117"/>
        <v>53.66</v>
      </c>
      <c r="G245" s="178">
        <f t="shared" si="117"/>
        <v>133.43</v>
      </c>
      <c r="H245" s="178">
        <f t="shared" si="117"/>
        <v>98.86</v>
      </c>
      <c r="I245" s="178">
        <f t="shared" si="117"/>
        <v>0</v>
      </c>
      <c r="J245" s="178">
        <f t="shared" si="117"/>
        <v>0</v>
      </c>
      <c r="K245" s="178">
        <f t="shared" si="117"/>
        <v>0</v>
      </c>
      <c r="L245" s="178">
        <f t="shared" si="117"/>
        <v>0</v>
      </c>
      <c r="M245" s="13"/>
      <c r="N245" s="13"/>
      <c r="O245" s="13"/>
      <c r="P245" s="13"/>
      <c r="Q245" s="13"/>
    </row>
    <row r="246" spans="1:17">
      <c r="A246" s="25" t="s">
        <v>63</v>
      </c>
      <c r="C246" s="179">
        <f t="shared" ref="C246:L246" si="118">C53</f>
        <v>2710.6019662633057</v>
      </c>
      <c r="D246" s="179">
        <f t="shared" si="118"/>
        <v>886.62740165753405</v>
      </c>
      <c r="E246" s="179">
        <f t="shared" si="118"/>
        <v>354.36367192906812</v>
      </c>
      <c r="F246" s="180">
        <f t="shared" si="118"/>
        <v>254.84045721207602</v>
      </c>
      <c r="G246" s="180">
        <f t="shared" si="118"/>
        <v>130.3816434068051</v>
      </c>
      <c r="H246" s="180">
        <f t="shared" si="118"/>
        <v>0</v>
      </c>
      <c r="I246" s="180">
        <f t="shared" si="118"/>
        <v>0</v>
      </c>
      <c r="J246" s="180">
        <f t="shared" si="118"/>
        <v>0</v>
      </c>
      <c r="K246" s="180">
        <f t="shared" si="118"/>
        <v>0</v>
      </c>
      <c r="L246" s="180">
        <f t="shared" si="118"/>
        <v>0</v>
      </c>
      <c r="M246" s="13"/>
      <c r="N246" s="13"/>
      <c r="O246" s="13"/>
      <c r="P246" s="13"/>
      <c r="Q246" s="13"/>
    </row>
    <row r="247" spans="1:17">
      <c r="A247" s="6" t="s">
        <v>64</v>
      </c>
      <c r="B247" s="41"/>
      <c r="C247" s="147">
        <f t="shared" ref="C247:L247" si="119">C53*C11</f>
        <v>241921.22548900003</v>
      </c>
      <c r="D247" s="147">
        <f t="shared" si="119"/>
        <v>64723.800320999988</v>
      </c>
      <c r="E247" s="147">
        <f t="shared" si="119"/>
        <v>43313.87161989</v>
      </c>
      <c r="F247" s="147">
        <f t="shared" si="119"/>
        <v>13674.738933999999</v>
      </c>
      <c r="G247" s="147">
        <f t="shared" si="119"/>
        <v>17396.822679770004</v>
      </c>
      <c r="H247" s="147">
        <f t="shared" si="119"/>
        <v>0</v>
      </c>
      <c r="I247" s="147">
        <f t="shared" si="119"/>
        <v>0</v>
      </c>
      <c r="J247" s="147">
        <f t="shared" si="119"/>
        <v>0</v>
      </c>
      <c r="K247" s="147">
        <f t="shared" si="119"/>
        <v>0</v>
      </c>
      <c r="L247" s="147">
        <f t="shared" si="119"/>
        <v>0</v>
      </c>
      <c r="M247" s="13"/>
      <c r="N247" s="13"/>
      <c r="O247" s="13"/>
      <c r="P247" s="13"/>
      <c r="Q247" s="13"/>
    </row>
    <row r="248" spans="1:17">
      <c r="A248" s="6"/>
      <c r="B248" s="41"/>
      <c r="C248" s="181"/>
      <c r="D248" s="181"/>
      <c r="E248" s="181"/>
      <c r="F248" s="181"/>
      <c r="G248" s="181"/>
      <c r="H248" s="181"/>
      <c r="I248" s="181"/>
      <c r="J248" s="181"/>
      <c r="K248" s="181"/>
      <c r="L248" s="181"/>
      <c r="M248" s="13"/>
      <c r="N248" s="13"/>
      <c r="O248" s="13"/>
      <c r="P248" s="13"/>
      <c r="Q248" s="13"/>
    </row>
    <row r="249" spans="1:17">
      <c r="A249" s="25" t="s">
        <v>15</v>
      </c>
      <c r="B249" s="24"/>
      <c r="C249" s="179">
        <f t="shared" ref="C249:L249" si="120">C182</f>
        <v>16455</v>
      </c>
      <c r="D249" s="179">
        <f t="shared" si="120"/>
        <v>5608</v>
      </c>
      <c r="E249" s="179">
        <f t="shared" si="120"/>
        <v>7201</v>
      </c>
      <c r="F249" s="179">
        <f t="shared" si="120"/>
        <v>1139.0999999999999</v>
      </c>
      <c r="G249" s="179">
        <f t="shared" si="120"/>
        <v>2009</v>
      </c>
      <c r="H249" s="179">
        <f t="shared" si="120"/>
        <v>0</v>
      </c>
      <c r="I249" s="179">
        <f t="shared" si="120"/>
        <v>0</v>
      </c>
      <c r="J249" s="179">
        <f t="shared" si="120"/>
        <v>0</v>
      </c>
      <c r="K249" s="179">
        <f t="shared" si="120"/>
        <v>0</v>
      </c>
      <c r="L249" s="179">
        <f t="shared" si="120"/>
        <v>0</v>
      </c>
      <c r="M249" s="13"/>
      <c r="N249" s="13"/>
      <c r="O249" s="13"/>
      <c r="P249" s="13"/>
      <c r="Q249" s="13"/>
    </row>
    <row r="250" spans="1:17">
      <c r="A250" s="6" t="s">
        <v>61</v>
      </c>
      <c r="B250" s="9"/>
      <c r="C250" s="182">
        <f t="shared" ref="C250:L250" si="121">C247+C182</f>
        <v>258376.22548900003</v>
      </c>
      <c r="D250" s="182">
        <f t="shared" si="121"/>
        <v>70331.800320999988</v>
      </c>
      <c r="E250" s="182">
        <f t="shared" si="121"/>
        <v>50514.87161989</v>
      </c>
      <c r="F250" s="182">
        <f t="shared" si="121"/>
        <v>14813.838933999999</v>
      </c>
      <c r="G250" s="182">
        <f t="shared" si="121"/>
        <v>19405.822679770004</v>
      </c>
      <c r="H250" s="182">
        <f t="shared" si="121"/>
        <v>0</v>
      </c>
      <c r="I250" s="182">
        <f t="shared" si="121"/>
        <v>0</v>
      </c>
      <c r="J250" s="182">
        <f t="shared" si="121"/>
        <v>0</v>
      </c>
      <c r="K250" s="182">
        <f t="shared" si="121"/>
        <v>0</v>
      </c>
      <c r="L250" s="182">
        <f t="shared" si="121"/>
        <v>0</v>
      </c>
      <c r="M250" s="13"/>
      <c r="N250" s="13"/>
      <c r="O250" s="13"/>
      <c r="P250" s="13"/>
      <c r="Q250" s="13"/>
    </row>
    <row r="251" spans="1:17">
      <c r="A251" s="8"/>
      <c r="C251" s="155"/>
      <c r="D251" s="155"/>
      <c r="E251" s="155"/>
      <c r="F251" s="155"/>
      <c r="G251" s="155"/>
      <c r="H251" s="155"/>
      <c r="I251" s="155"/>
      <c r="J251" s="155"/>
      <c r="K251" s="155"/>
      <c r="L251" s="155"/>
      <c r="M251" s="13"/>
      <c r="N251" s="13"/>
      <c r="O251" s="13"/>
      <c r="P251" s="13"/>
      <c r="Q251" s="13"/>
    </row>
    <row r="252" spans="1:17">
      <c r="A252" s="42" t="s">
        <v>66</v>
      </c>
      <c r="B252" s="23"/>
      <c r="C252" s="152" t="str">
        <f>C$7</f>
        <v>PG</v>
      </c>
      <c r="D252" s="152" t="str">
        <f t="shared" ref="D252:L252" si="122">D$7</f>
        <v>CL</v>
      </c>
      <c r="E252" s="152" t="str">
        <f t="shared" si="122"/>
        <v>KMB</v>
      </c>
      <c r="F252" s="152" t="str">
        <f t="shared" si="122"/>
        <v>CHD</v>
      </c>
      <c r="G252" s="152" t="str">
        <f t="shared" si="122"/>
        <v>CLX</v>
      </c>
      <c r="H252" s="152" t="str">
        <f t="shared" si="122"/>
        <v>EL</v>
      </c>
      <c r="I252" s="152">
        <f t="shared" si="122"/>
        <v>0</v>
      </c>
      <c r="J252" s="152">
        <f t="shared" si="122"/>
        <v>0</v>
      </c>
      <c r="K252" s="152">
        <f t="shared" si="122"/>
        <v>0</v>
      </c>
      <c r="L252" s="152">
        <f t="shared" si="122"/>
        <v>0</v>
      </c>
    </row>
    <row r="253" spans="1:17">
      <c r="A253" s="10"/>
      <c r="C253" s="183"/>
      <c r="D253" s="183"/>
      <c r="E253" s="183"/>
      <c r="F253" s="183"/>
      <c r="G253" s="183"/>
      <c r="H253" s="183"/>
      <c r="I253" s="183"/>
      <c r="J253" s="183"/>
      <c r="K253" s="183"/>
      <c r="L253" s="183"/>
    </row>
    <row r="254" spans="1:17">
      <c r="A254" s="44" t="s">
        <v>67</v>
      </c>
      <c r="C254" s="183"/>
      <c r="D254" s="183"/>
      <c r="E254" s="183"/>
      <c r="F254" s="183"/>
      <c r="G254" s="183"/>
      <c r="H254" s="183"/>
      <c r="I254" s="183"/>
      <c r="J254" s="183"/>
      <c r="K254" s="183"/>
      <c r="L254" s="183"/>
    </row>
    <row r="255" spans="1:17">
      <c r="A255" s="10" t="s">
        <v>48</v>
      </c>
      <c r="C255" s="184">
        <f t="shared" ref="C255:L255" si="123">IFERROR(C250/C160, "NM")</f>
        <v>3.9862416571115609</v>
      </c>
      <c r="D255" s="184">
        <f t="shared" si="123"/>
        <v>4.6344096152477592</v>
      </c>
      <c r="E255" s="184">
        <f t="shared" si="123"/>
        <v>2.7793601991686381</v>
      </c>
      <c r="F255" s="184">
        <f t="shared" si="123"/>
        <v>4.2069232766307891</v>
      </c>
      <c r="G255" s="184">
        <f t="shared" si="123"/>
        <v>3.2746916435656437</v>
      </c>
      <c r="H255" s="184" t="str">
        <f t="shared" si="123"/>
        <v>NM</v>
      </c>
      <c r="I255" s="184" t="str">
        <f t="shared" si="123"/>
        <v>NM</v>
      </c>
      <c r="J255" s="184" t="str">
        <f t="shared" si="123"/>
        <v>NM</v>
      </c>
      <c r="K255" s="184" t="str">
        <f t="shared" si="123"/>
        <v>NM</v>
      </c>
      <c r="L255" s="184" t="str">
        <f t="shared" si="123"/>
        <v>NM</v>
      </c>
    </row>
    <row r="256" spans="1:17">
      <c r="A256" s="10" t="s">
        <v>49</v>
      </c>
      <c r="C256" s="184">
        <f t="shared" ref="C256:L256" si="124">IFERROR(C250/C161, "NM")</f>
        <v>36.298992060831701</v>
      </c>
      <c r="D256" s="184">
        <f t="shared" si="124"/>
        <v>16.386719552889094</v>
      </c>
      <c r="E256" s="184">
        <f t="shared" si="124"/>
        <v>12.451287064306138</v>
      </c>
      <c r="F256" s="184">
        <f t="shared" si="124"/>
        <v>18.340768768106969</v>
      </c>
      <c r="G256" s="184">
        <f t="shared" si="124"/>
        <v>15.675139482851376</v>
      </c>
      <c r="H256" s="184" t="str">
        <f t="shared" si="124"/>
        <v>NM</v>
      </c>
      <c r="I256" s="184" t="str">
        <f t="shared" si="124"/>
        <v>NM</v>
      </c>
      <c r="J256" s="184" t="str">
        <f t="shared" si="124"/>
        <v>NM</v>
      </c>
      <c r="K256" s="184" t="str">
        <f t="shared" si="124"/>
        <v>NM</v>
      </c>
      <c r="L256" s="184" t="str">
        <f t="shared" si="124"/>
        <v>NM</v>
      </c>
    </row>
    <row r="257" spans="1:12">
      <c r="A257" s="10" t="s">
        <v>50</v>
      </c>
      <c r="C257" s="184">
        <f t="shared" ref="C257:L257" si="125">IFERROR(C250/C162, "NM")</f>
        <v>56.022598761708593</v>
      </c>
      <c r="D257" s="184">
        <f t="shared" si="125"/>
        <v>18.325117332204268</v>
      </c>
      <c r="E257" s="184">
        <f t="shared" si="125"/>
        <v>15.110640628145378</v>
      </c>
      <c r="F257" s="184">
        <f t="shared" si="125"/>
        <v>19.77287631340096</v>
      </c>
      <c r="G257" s="184">
        <f t="shared" si="125"/>
        <v>18.068736200903171</v>
      </c>
      <c r="H257" s="184" t="str">
        <f t="shared" si="125"/>
        <v>NM</v>
      </c>
      <c r="I257" s="184" t="str">
        <f t="shared" si="125"/>
        <v>NM</v>
      </c>
      <c r="J257" s="184" t="str">
        <f t="shared" si="125"/>
        <v>NM</v>
      </c>
      <c r="K257" s="184" t="str">
        <f t="shared" si="125"/>
        <v>NM</v>
      </c>
      <c r="L257" s="184" t="str">
        <f t="shared" si="125"/>
        <v>NM</v>
      </c>
    </row>
    <row r="258" spans="1:12">
      <c r="A258" s="10" t="s">
        <v>51</v>
      </c>
      <c r="C258" s="184">
        <f t="shared" ref="C258:L258" si="126">IFERROR(C11/C163, "NM")</f>
        <v>21.441742144195967</v>
      </c>
      <c r="D258" s="184">
        <f t="shared" si="126"/>
        <v>25.483941755969695</v>
      </c>
      <c r="E258" s="184">
        <f t="shared" si="126"/>
        <v>20.231248031665189</v>
      </c>
      <c r="F258" s="184">
        <f t="shared" si="126"/>
        <v>28.832629456537411</v>
      </c>
      <c r="G258" s="184">
        <f t="shared" si="126"/>
        <v>26.350351240466129</v>
      </c>
      <c r="H258" s="184" t="str">
        <f t="shared" si="126"/>
        <v>NM</v>
      </c>
      <c r="I258" s="184" t="str">
        <f t="shared" si="126"/>
        <v>NM</v>
      </c>
      <c r="J258" s="184" t="str">
        <f t="shared" si="126"/>
        <v>NM</v>
      </c>
      <c r="K258" s="184" t="str">
        <f t="shared" si="126"/>
        <v>NM</v>
      </c>
      <c r="L258" s="184" t="str">
        <f t="shared" si="126"/>
        <v>NM</v>
      </c>
    </row>
    <row r="259" spans="1:12">
      <c r="A259" s="44" t="s">
        <v>24</v>
      </c>
      <c r="C259" s="155"/>
      <c r="D259" s="155"/>
      <c r="E259" s="155"/>
      <c r="F259" s="155"/>
      <c r="G259" s="155"/>
      <c r="H259" s="155"/>
      <c r="I259" s="155"/>
      <c r="J259" s="155"/>
      <c r="K259" s="155"/>
      <c r="L259" s="155"/>
    </row>
    <row r="260" spans="1:12">
      <c r="A260" s="10" t="s">
        <v>52</v>
      </c>
      <c r="C260" s="184">
        <f t="shared" ref="C260:L260" si="127">IFERROR(C$250/C229, "NM")</f>
        <v>3.9263264479665172</v>
      </c>
      <c r="D260" s="184">
        <f t="shared" si="127"/>
        <v>4.522945358263665</v>
      </c>
      <c r="E260" s="184">
        <f t="shared" si="127"/>
        <v>2.7388240956348948</v>
      </c>
      <c r="F260" s="184">
        <f t="shared" si="127"/>
        <v>4.0775774660060558</v>
      </c>
      <c r="G260" s="184">
        <f t="shared" si="127"/>
        <v>3.2024185125343561</v>
      </c>
      <c r="H260" s="184" t="str">
        <f t="shared" si="127"/>
        <v>NM</v>
      </c>
      <c r="I260" s="184" t="str">
        <f t="shared" si="127"/>
        <v>NM</v>
      </c>
      <c r="J260" s="184" t="str">
        <f t="shared" si="127"/>
        <v>NM</v>
      </c>
      <c r="K260" s="184" t="str">
        <f t="shared" si="127"/>
        <v>NM</v>
      </c>
      <c r="L260" s="184" t="str">
        <f t="shared" si="127"/>
        <v>NM</v>
      </c>
    </row>
    <row r="261" spans="1:12">
      <c r="A261" s="10" t="s">
        <v>53</v>
      </c>
      <c r="C261" s="184">
        <f t="shared" ref="C261:L261" si="128">IFERROR(C$250/C230, "NM")</f>
        <v>17.663702898136677</v>
      </c>
      <c r="D261" s="184">
        <f t="shared" si="128"/>
        <v>15.53950515267344</v>
      </c>
      <c r="E261" s="184">
        <f t="shared" si="128"/>
        <v>12.113878086304556</v>
      </c>
      <c r="F261" s="184">
        <f t="shared" si="128"/>
        <v>16.872253911161732</v>
      </c>
      <c r="G261" s="184">
        <f t="shared" si="128"/>
        <v>14.759985742718708</v>
      </c>
      <c r="H261" s="184" t="str">
        <f t="shared" si="128"/>
        <v>NM</v>
      </c>
      <c r="I261" s="184" t="str">
        <f t="shared" si="128"/>
        <v>NM</v>
      </c>
      <c r="J261" s="184" t="str">
        <f t="shared" si="128"/>
        <v>NM</v>
      </c>
      <c r="K261" s="184" t="str">
        <f t="shared" si="128"/>
        <v>NM</v>
      </c>
      <c r="L261" s="184" t="str">
        <f t="shared" si="128"/>
        <v>NM</v>
      </c>
    </row>
    <row r="262" spans="1:12">
      <c r="A262" s="10" t="s">
        <v>54</v>
      </c>
      <c r="C262" s="184">
        <f t="shared" ref="C262:L262" si="129">IFERROR(C$250/C231, "NM")</f>
        <v>22.059397697365991</v>
      </c>
      <c r="D262" s="184">
        <f t="shared" si="129"/>
        <v>17.187634487047895</v>
      </c>
      <c r="E262" s="184">
        <f t="shared" si="129"/>
        <v>14.744562644451255</v>
      </c>
      <c r="F262" s="184">
        <f t="shared" si="129"/>
        <v>19.238751862337661</v>
      </c>
      <c r="G262" s="184">
        <f t="shared" si="129"/>
        <v>17.109122235465598</v>
      </c>
      <c r="H262" s="184" t="str">
        <f t="shared" si="129"/>
        <v>NM</v>
      </c>
      <c r="I262" s="184" t="str">
        <f t="shared" si="129"/>
        <v>NM</v>
      </c>
      <c r="J262" s="184" t="str">
        <f t="shared" si="129"/>
        <v>NM</v>
      </c>
      <c r="K262" s="184" t="str">
        <f t="shared" si="129"/>
        <v>NM</v>
      </c>
      <c r="L262" s="184" t="str">
        <f t="shared" si="129"/>
        <v>NM</v>
      </c>
    </row>
    <row r="263" spans="1:12">
      <c r="A263" s="10" t="s">
        <v>55</v>
      </c>
      <c r="C263" s="184">
        <f t="shared" ref="C263:L263" si="130">IFERROR(C245/C232, "NM")</f>
        <v>45.953156038098022</v>
      </c>
      <c r="D263" s="184" t="str">
        <f t="shared" si="130"/>
        <v>NM</v>
      </c>
      <c r="E263" s="184" t="str">
        <f t="shared" si="130"/>
        <v>NM</v>
      </c>
      <c r="F263" s="184" t="str">
        <f t="shared" si="130"/>
        <v>NM</v>
      </c>
      <c r="G263" s="184" t="str">
        <f t="shared" si="130"/>
        <v>NM</v>
      </c>
      <c r="H263" s="184" t="str">
        <f t="shared" si="130"/>
        <v>NM</v>
      </c>
      <c r="I263" s="184" t="str">
        <f t="shared" si="130"/>
        <v>NM</v>
      </c>
      <c r="J263" s="184" t="str">
        <f t="shared" si="130"/>
        <v>NM</v>
      </c>
      <c r="K263" s="184" t="str">
        <f t="shared" si="130"/>
        <v>NM</v>
      </c>
      <c r="L263" s="184" t="str">
        <f t="shared" si="130"/>
        <v>NM</v>
      </c>
    </row>
    <row r="264" spans="1:12">
      <c r="A264" s="44" t="s">
        <v>25</v>
      </c>
      <c r="C264" s="155"/>
      <c r="D264" s="155"/>
      <c r="E264" s="155"/>
      <c r="F264" s="155"/>
      <c r="G264" s="155"/>
      <c r="H264" s="155"/>
      <c r="I264" s="155"/>
      <c r="J264" s="155"/>
      <c r="K264" s="155"/>
      <c r="L264" s="155"/>
    </row>
    <row r="265" spans="1:12">
      <c r="A265" s="10" t="s">
        <v>56</v>
      </c>
      <c r="C265" s="184">
        <f t="shared" ref="C265:L265" si="131">IFERROR(C$250/C236, "NM")</f>
        <v>3.8188229585961193</v>
      </c>
      <c r="D265" s="184">
        <f t="shared" si="131"/>
        <v>4.3379880540923939</v>
      </c>
      <c r="E265" s="184">
        <f t="shared" si="131"/>
        <v>2.6614790105316124</v>
      </c>
      <c r="F265" s="184">
        <f t="shared" si="131"/>
        <v>3.954575262680192</v>
      </c>
      <c r="G265" s="184">
        <f t="shared" si="131"/>
        <v>3.1050201005688058</v>
      </c>
      <c r="H265" s="184" t="str">
        <f t="shared" si="131"/>
        <v>NM</v>
      </c>
      <c r="I265" s="184" t="str">
        <f t="shared" si="131"/>
        <v>NM</v>
      </c>
      <c r="J265" s="184" t="str">
        <f t="shared" si="131"/>
        <v>NM</v>
      </c>
      <c r="K265" s="184" t="str">
        <f t="shared" si="131"/>
        <v>NM</v>
      </c>
      <c r="L265" s="184" t="str">
        <f t="shared" si="131"/>
        <v>NM</v>
      </c>
    </row>
    <row r="266" spans="1:12">
      <c r="A266" s="10" t="s">
        <v>57</v>
      </c>
      <c r="C266" s="184">
        <f t="shared" ref="C266:L266" si="132">IFERROR(C$250/C237, "NM")</f>
        <v>14.250961911101303</v>
      </c>
      <c r="D266" s="184">
        <f t="shared" si="132"/>
        <v>14.579560597222219</v>
      </c>
      <c r="E266" s="184">
        <f t="shared" si="132"/>
        <v>11.617955754344527</v>
      </c>
      <c r="F266" s="184">
        <f t="shared" si="132"/>
        <v>15.894676967811158</v>
      </c>
      <c r="G266" s="184">
        <f t="shared" si="132"/>
        <v>14.105708853831461</v>
      </c>
      <c r="H266" s="184" t="str">
        <f t="shared" si="132"/>
        <v>NM</v>
      </c>
      <c r="I266" s="184" t="str">
        <f t="shared" si="132"/>
        <v>NM</v>
      </c>
      <c r="J266" s="184" t="str">
        <f t="shared" si="132"/>
        <v>NM</v>
      </c>
      <c r="K266" s="184" t="str">
        <f t="shared" si="132"/>
        <v>NM</v>
      </c>
      <c r="L266" s="184" t="str">
        <f t="shared" si="132"/>
        <v>NM</v>
      </c>
    </row>
    <row r="267" spans="1:12">
      <c r="A267" s="10" t="s">
        <v>58</v>
      </c>
      <c r="C267" s="184">
        <f t="shared" ref="C267:L267" si="133">IFERROR(C$250/C238, "NM")</f>
        <v>17.142761999589734</v>
      </c>
      <c r="D267" s="184">
        <f t="shared" si="133"/>
        <v>16.090551434683135</v>
      </c>
      <c r="E267" s="184">
        <f t="shared" si="133"/>
        <v>14.098484962291376</v>
      </c>
      <c r="F267" s="184">
        <f t="shared" si="133"/>
        <v>18.043652781973204</v>
      </c>
      <c r="G267" s="184">
        <f t="shared" si="133"/>
        <v>16.318196386506227</v>
      </c>
      <c r="H267" s="184" t="str">
        <f t="shared" si="133"/>
        <v>NM</v>
      </c>
      <c r="I267" s="184" t="str">
        <f t="shared" si="133"/>
        <v>NM</v>
      </c>
      <c r="J267" s="184" t="str">
        <f t="shared" si="133"/>
        <v>NM</v>
      </c>
      <c r="K267" s="184" t="str">
        <f t="shared" si="133"/>
        <v>NM</v>
      </c>
      <c r="L267" s="184" t="str">
        <f t="shared" si="133"/>
        <v>NM</v>
      </c>
    </row>
    <row r="268" spans="1:12">
      <c r="A268" s="10" t="s">
        <v>59</v>
      </c>
      <c r="C268" s="184" t="str">
        <f t="shared" ref="C268:L268" si="134">IFERROR(C245/C239, "NM")</f>
        <v>NM</v>
      </c>
      <c r="D268" s="184" t="str">
        <f t="shared" si="134"/>
        <v>NM</v>
      </c>
      <c r="E268" s="184" t="str">
        <f t="shared" si="134"/>
        <v>NM</v>
      </c>
      <c r="F268" s="184" t="str">
        <f t="shared" si="134"/>
        <v>NM</v>
      </c>
      <c r="G268" s="184" t="str">
        <f t="shared" si="134"/>
        <v>NM</v>
      </c>
      <c r="H268" s="184" t="str">
        <f t="shared" si="134"/>
        <v>NM</v>
      </c>
      <c r="I268" s="184" t="str">
        <f t="shared" si="134"/>
        <v>NM</v>
      </c>
      <c r="J268" s="184" t="str">
        <f t="shared" si="134"/>
        <v>NM</v>
      </c>
      <c r="K268" s="184" t="str">
        <f t="shared" si="134"/>
        <v>NM</v>
      </c>
      <c r="L268" s="184" t="str">
        <f t="shared" si="134"/>
        <v>NM</v>
      </c>
    </row>
    <row r="269" spans="1:12">
      <c r="C269" s="155"/>
      <c r="D269" s="155"/>
      <c r="E269" s="155"/>
      <c r="F269" s="155"/>
      <c r="G269" s="155"/>
      <c r="H269" s="155"/>
      <c r="I269" s="155"/>
      <c r="J269" s="155"/>
      <c r="K269" s="155"/>
      <c r="L269" s="155"/>
    </row>
    <row r="270" spans="1:12">
      <c r="A270" s="11" t="s">
        <v>60</v>
      </c>
      <c r="C270" s="184">
        <f t="shared" ref="C270:L270" si="135">IFERROR(C263/(C215*100), "NM")</f>
        <v>13.129473153742291</v>
      </c>
      <c r="D270" s="184" t="str">
        <f t="shared" si="135"/>
        <v>NM</v>
      </c>
      <c r="E270" s="184" t="str">
        <f t="shared" si="135"/>
        <v>NM</v>
      </c>
      <c r="F270" s="184" t="str">
        <f t="shared" si="135"/>
        <v>NM</v>
      </c>
      <c r="G270" s="184" t="str">
        <f t="shared" si="135"/>
        <v>NM</v>
      </c>
      <c r="H270" s="184" t="str">
        <f t="shared" si="135"/>
        <v>NM</v>
      </c>
      <c r="I270" s="184" t="str">
        <f t="shared" si="135"/>
        <v>NM</v>
      </c>
      <c r="J270" s="184" t="str">
        <f t="shared" si="135"/>
        <v>NM</v>
      </c>
      <c r="K270" s="184" t="str">
        <f t="shared" si="135"/>
        <v>NM</v>
      </c>
      <c r="L270" s="184" t="str">
        <f t="shared" si="135"/>
        <v>NM</v>
      </c>
    </row>
    <row r="271" spans="1:12">
      <c r="C271" s="155"/>
      <c r="D271" s="155"/>
      <c r="E271" s="155"/>
      <c r="F271" s="155"/>
      <c r="G271" s="155"/>
      <c r="H271" s="155"/>
      <c r="I271" s="155"/>
      <c r="J271" s="155"/>
      <c r="K271" s="155"/>
      <c r="L271" s="155"/>
    </row>
    <row r="287" spans="3:3">
      <c r="C287" s="44"/>
    </row>
    <row r="288" spans="3:3">
      <c r="C288" s="10"/>
    </row>
    <row r="289" spans="3:5">
      <c r="C289" s="10"/>
    </row>
    <row r="290" spans="3:5">
      <c r="C290" s="10"/>
    </row>
    <row r="291" spans="3:5">
      <c r="C291" s="44"/>
      <c r="E291" s="8"/>
    </row>
    <row r="292" spans="3:5">
      <c r="C292" s="10"/>
    </row>
    <row r="293" spans="3:5">
      <c r="C293" s="10"/>
    </row>
    <row r="294" spans="3:5">
      <c r="C294" s="10"/>
    </row>
    <row r="295" spans="3:5">
      <c r="C295" s="10"/>
    </row>
  </sheetData>
  <dataValidations count="1">
    <dataValidation type="list" allowBlank="1" showInputMessage="1" showErrorMessage="1" sqref="C10:L10">
      <formula1>"Select:,Q1,Q2,Q3,Q4"</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3"/>
  <sheetViews>
    <sheetView tabSelected="1" topLeftCell="A7" zoomScaleNormal="100" workbookViewId="0">
      <selection activeCell="C39" sqref="C39"/>
    </sheetView>
  </sheetViews>
  <sheetFormatPr defaultRowHeight="14.4"/>
  <cols>
    <col min="1" max="1" width="19.44140625" customWidth="1"/>
    <col min="3" max="3" width="9.88671875" bestFit="1" customWidth="1"/>
    <col min="4" max="4" width="9.33203125" bestFit="1" customWidth="1"/>
    <col min="5" max="5" width="1.88671875" customWidth="1"/>
    <col min="6" max="6" width="14.5546875" bestFit="1" customWidth="1"/>
    <col min="7" max="8" width="9.33203125" bestFit="1" customWidth="1"/>
    <col min="9" max="9" width="8.88671875" bestFit="1" customWidth="1"/>
    <col min="10" max="10" width="1.88671875" customWidth="1"/>
    <col min="11" max="14" width="9.33203125" bestFit="1" customWidth="1"/>
    <col min="15" max="15" width="1.88671875" customWidth="1"/>
    <col min="16" max="19" width="9.33203125" bestFit="1" customWidth="1"/>
    <col min="20" max="20" width="11.44140625" bestFit="1" customWidth="1"/>
    <col min="21" max="21" width="1.5546875" customWidth="1"/>
    <col min="22" max="22" width="11.33203125" customWidth="1"/>
    <col min="23" max="23" width="13.109375" bestFit="1" customWidth="1"/>
  </cols>
  <sheetData>
    <row r="1" spans="1:23">
      <c r="A1" s="72" t="s">
        <v>97</v>
      </c>
      <c r="B1" s="68"/>
      <c r="C1" s="69"/>
      <c r="D1" s="69"/>
      <c r="E1" s="70"/>
      <c r="F1" s="69"/>
      <c r="G1" s="71"/>
      <c r="H1" s="71"/>
      <c r="I1" s="71"/>
      <c r="J1" s="70"/>
      <c r="K1" s="71"/>
      <c r="L1" s="71"/>
      <c r="M1" s="71"/>
      <c r="N1" s="71"/>
      <c r="O1" s="71"/>
      <c r="P1" s="71"/>
      <c r="Q1" s="71"/>
      <c r="R1" s="71"/>
      <c r="S1" s="71"/>
      <c r="T1" s="71"/>
      <c r="U1" s="71"/>
      <c r="V1" s="71"/>
      <c r="W1" s="71"/>
    </row>
    <row r="2" spans="1:23">
      <c r="A2" s="130" t="s">
        <v>2</v>
      </c>
      <c r="B2" s="130" t="s">
        <v>1</v>
      </c>
      <c r="C2" s="131" t="s">
        <v>64</v>
      </c>
      <c r="D2" s="131" t="s">
        <v>61</v>
      </c>
      <c r="E2" s="132"/>
      <c r="F2" s="131" t="s">
        <v>43</v>
      </c>
      <c r="G2" s="133" t="s">
        <v>44</v>
      </c>
      <c r="H2" s="133" t="s">
        <v>45</v>
      </c>
      <c r="I2" s="133" t="s">
        <v>46</v>
      </c>
      <c r="J2" s="132"/>
      <c r="K2" s="133" t="s">
        <v>120</v>
      </c>
      <c r="L2" s="133" t="s">
        <v>121</v>
      </c>
      <c r="M2" s="133" t="s">
        <v>122</v>
      </c>
      <c r="N2" s="133" t="s">
        <v>123</v>
      </c>
      <c r="O2" s="133"/>
      <c r="P2" s="133" t="s">
        <v>124</v>
      </c>
      <c r="Q2" s="133" t="s">
        <v>125</v>
      </c>
      <c r="R2" s="133" t="s">
        <v>126</v>
      </c>
      <c r="S2" s="133" t="s">
        <v>127</v>
      </c>
      <c r="T2" s="133" t="s">
        <v>26</v>
      </c>
      <c r="U2" s="133"/>
      <c r="V2" s="133" t="s">
        <v>15</v>
      </c>
      <c r="W2" s="133" t="s">
        <v>144</v>
      </c>
    </row>
    <row r="3" spans="1:23">
      <c r="A3" s="130"/>
      <c r="B3" s="130"/>
      <c r="C3" s="131"/>
      <c r="D3" s="131"/>
      <c r="E3" s="132"/>
      <c r="F3" s="134" t="s">
        <v>48</v>
      </c>
      <c r="G3" s="134" t="s">
        <v>49</v>
      </c>
      <c r="H3" s="134" t="s">
        <v>50</v>
      </c>
      <c r="I3" s="134" t="s">
        <v>51</v>
      </c>
      <c r="J3" s="132"/>
      <c r="K3" s="134" t="s">
        <v>52</v>
      </c>
      <c r="L3" s="134" t="s">
        <v>53</v>
      </c>
      <c r="M3" s="134" t="s">
        <v>54</v>
      </c>
      <c r="N3" s="134" t="s">
        <v>55</v>
      </c>
      <c r="O3" s="132"/>
      <c r="P3" s="134" t="s">
        <v>56</v>
      </c>
      <c r="Q3" s="134" t="s">
        <v>57</v>
      </c>
      <c r="R3" s="134" t="s">
        <v>58</v>
      </c>
      <c r="S3" s="134" t="s">
        <v>59</v>
      </c>
      <c r="T3" s="132" t="s">
        <v>60</v>
      </c>
      <c r="U3" s="132"/>
      <c r="V3" s="135"/>
      <c r="W3" s="135"/>
    </row>
    <row r="4" spans="1:23" ht="23.4">
      <c r="A4" s="4" t="s">
        <v>22</v>
      </c>
      <c r="B4" s="2"/>
      <c r="C4" s="2"/>
      <c r="D4" s="3"/>
      <c r="E4" s="3"/>
      <c r="F4" s="3"/>
      <c r="G4" s="3"/>
      <c r="H4" s="5"/>
      <c r="I4" s="3"/>
      <c r="J4" s="3"/>
      <c r="K4" s="3"/>
      <c r="L4" s="3"/>
      <c r="M4" s="3"/>
      <c r="N4" s="3"/>
      <c r="O4" s="3"/>
      <c r="P4" s="3"/>
      <c r="Q4" s="3"/>
      <c r="R4" s="3"/>
      <c r="S4" s="3"/>
      <c r="T4" s="3"/>
      <c r="U4" s="1"/>
      <c r="V4" s="1"/>
    </row>
    <row r="6" spans="1:23">
      <c r="B6" s="43"/>
      <c r="C6" s="43"/>
      <c r="E6" s="36"/>
      <c r="F6" s="50" t="s">
        <v>23</v>
      </c>
      <c r="G6" s="51"/>
      <c r="H6" s="51"/>
      <c r="I6" s="51"/>
      <c r="J6" s="36"/>
      <c r="K6" s="50" t="s">
        <v>75</v>
      </c>
      <c r="L6" s="51"/>
      <c r="M6" s="51"/>
      <c r="N6" s="51"/>
      <c r="O6" s="36"/>
      <c r="P6" s="50" t="s">
        <v>76</v>
      </c>
      <c r="Q6" s="51"/>
      <c r="R6" s="51"/>
      <c r="S6" s="51"/>
    </row>
    <row r="7" spans="1:23" ht="42" thickBot="1">
      <c r="A7" s="52" t="s">
        <v>77</v>
      </c>
      <c r="B7" s="52" t="s">
        <v>1</v>
      </c>
      <c r="C7" s="49" t="s">
        <v>64</v>
      </c>
      <c r="D7" s="49" t="s">
        <v>61</v>
      </c>
      <c r="E7" s="45"/>
      <c r="F7" s="49" t="s">
        <v>68</v>
      </c>
      <c r="G7" s="49" t="s">
        <v>8</v>
      </c>
      <c r="H7" s="49" t="s">
        <v>7</v>
      </c>
      <c r="I7" s="49" t="s">
        <v>10</v>
      </c>
      <c r="J7" s="45"/>
      <c r="K7" s="49" t="s">
        <v>68</v>
      </c>
      <c r="L7" s="49" t="s">
        <v>8</v>
      </c>
      <c r="M7" s="49" t="s">
        <v>7</v>
      </c>
      <c r="N7" s="49" t="s">
        <v>10</v>
      </c>
      <c r="O7" s="45"/>
      <c r="P7" s="49" t="s">
        <v>68</v>
      </c>
      <c r="Q7" s="49" t="s">
        <v>8</v>
      </c>
      <c r="R7" s="49" t="s">
        <v>7</v>
      </c>
      <c r="S7" s="49" t="s">
        <v>10</v>
      </c>
      <c r="T7" s="49" t="s">
        <v>73</v>
      </c>
      <c r="U7" s="49"/>
      <c r="V7" s="49" t="s">
        <v>15</v>
      </c>
      <c r="W7" s="49" t="s">
        <v>144</v>
      </c>
    </row>
    <row r="8" spans="1:23">
      <c r="A8" s="121" t="s">
        <v>165</v>
      </c>
      <c r="B8" s="80"/>
      <c r="C8" s="80"/>
      <c r="D8" s="81"/>
      <c r="E8" s="80"/>
      <c r="F8" s="80"/>
      <c r="G8" s="80"/>
      <c r="H8" s="80"/>
      <c r="I8" s="80"/>
      <c r="J8" s="80"/>
      <c r="K8" s="80"/>
      <c r="L8" s="80"/>
      <c r="M8" s="80"/>
      <c r="N8" s="80"/>
      <c r="O8" s="80"/>
      <c r="P8" s="80"/>
      <c r="Q8" s="80"/>
      <c r="R8" s="80"/>
      <c r="S8" s="80"/>
      <c r="T8" s="82"/>
      <c r="U8" s="10"/>
      <c r="V8" s="10"/>
    </row>
    <row r="9" spans="1:23">
      <c r="A9" s="88" t="s">
        <v>168</v>
      </c>
      <c r="B9" s="83" t="str">
        <f>IF(ISBLANK($A9),"",VLOOKUP(B$2,Input!$A$6:$L$306,MATCH($A9,Input!$B$6:$L$6,0)+1,FALSE))</f>
        <v>PG</v>
      </c>
      <c r="C9" s="83">
        <f>IF(ISBLANK($A9),"",VLOOKUP(C$2,Input!$A$6:$L$306,MATCH($A9,Input!$B$6:$L$6,0)+1,FALSE))</f>
        <v>241921.22548900003</v>
      </c>
      <c r="D9" s="83">
        <f>IF(ISBLANK($A9),"",VLOOKUP(D$2,Input!$A$6:$L$306,MATCH($A9,Input!$B$6:$L$6,0)+1,FALSE))</f>
        <v>258376.22548900003</v>
      </c>
      <c r="E9" s="83"/>
      <c r="F9" s="83">
        <f>IF(ISBLANK($A9),"",VLOOKUP(F$2,Input!$A$6:$L$306,MATCH($A9,Input!$B$6:$L$6,0)+1,FALSE))</f>
        <v>64817</v>
      </c>
      <c r="G9" s="83">
        <f>IF(ISBLANK($A9),"",VLOOKUP(G$2,Input!$A$6:$L$306,MATCH($A9,Input!$B$6:$L$6,0)+1,FALSE))</f>
        <v>7118</v>
      </c>
      <c r="H9" s="83">
        <f>IF(ISBLANK($A9),"",VLOOKUP(H$2,Input!$A$6:$L$306,MATCH($A9,Input!$B$6:$L$6,0)+1,FALSE))</f>
        <v>4612</v>
      </c>
      <c r="I9" s="83">
        <f>IF(ISBLANK($A9),"",VLOOKUP(I$2,Input!$A$6:$L$306,MATCH($A9,Input!$B$6:$L$6,0)+1,FALSE))</f>
        <v>4.1624416243695457</v>
      </c>
      <c r="J9" s="83"/>
      <c r="K9" s="83">
        <f>IF(ISBLANK($A9),"",VLOOKUP(K$2,Input!$A$6:$L$306,MATCH($A9,Input!$B$6:$L$6,0)+1,FALSE))</f>
        <v>65806.098630136985</v>
      </c>
      <c r="L9" s="83">
        <f>IF(ISBLANK($A9),"",VLOOKUP(L$2,Input!$A$6:$L$306,MATCH($A9,Input!$B$6:$L$6,0)+1,FALSE))</f>
        <v>14627.523287671231</v>
      </c>
      <c r="M9" s="83">
        <f>IF(ISBLANK($A9),"",VLOOKUP(M$2,Input!$A$6:$L$306,MATCH($A9,Input!$B$6:$L$6,0)+1,FALSE))</f>
        <v>11712.750684931507</v>
      </c>
      <c r="N9" s="83">
        <f>IF(ISBLANK($A9),"",VLOOKUP(N$2,Input!$A$6:$L$306,MATCH($A9,Input!$B$6:$L$6,0)+1,FALSE))</f>
        <v>1.9421952199758858</v>
      </c>
      <c r="O9" s="83"/>
      <c r="P9" s="83">
        <f>IF(ISBLANK($A9),"",VLOOKUP(P$2,Input!$A$6:$L$306,MATCH($A9,Input!$B$6:$L$6,0)+1,FALSE))</f>
        <v>67658.602739726019</v>
      </c>
      <c r="Q9" s="83">
        <f>IF(ISBLANK($A9),"",VLOOKUP(Q$2,Input!$A$6:$L$306,MATCH($A9,Input!$B$6:$L$6,0)+1,FALSE))</f>
        <v>18130.441095890412</v>
      </c>
      <c r="R9" s="83">
        <f>IF(ISBLANK($A9),"",VLOOKUP(R$2,Input!$A$6:$L$306,MATCH($A9,Input!$B$6:$L$6,0)+1,FALSE))</f>
        <v>15072.030136986301</v>
      </c>
      <c r="S9" s="83">
        <f>IF(ISBLANK($A9),"",VLOOKUP(S$2,Input!$A$6:$L$306,MATCH($A9,Input!$B$6:$L$6,0)+1,FALSE))</f>
        <v>0</v>
      </c>
      <c r="T9" s="83">
        <f>IF(ISBLANK($A9),"",VLOOKUP(T$2,Input!$A$6:$L$306,MATCH($A9,Input!$B$6:$L$6,0)+1,FALSE))</f>
        <v>3.5000000000000003E-2</v>
      </c>
      <c r="U9" s="83"/>
      <c r="V9" s="83">
        <f>IF(ISBLANK($A9),"",VLOOKUP(V$2,Input!$A$6:$L$306,MATCH($A9,Input!$B$6:$L$6,0)+1,FALSE))</f>
        <v>16455</v>
      </c>
      <c r="W9" s="85">
        <f>IF(ISBLANK($A9),"",VLOOKUP(W$2,Input!$A$6:$L$306,MATCH($A9,Input!$B$6:$L$6,0)+1,FALSE))</f>
        <v>2710.6019662633057</v>
      </c>
    </row>
    <row r="10" spans="1:23">
      <c r="A10" s="46" t="s">
        <v>174</v>
      </c>
      <c r="B10" s="16" t="str">
        <f>IF(ISBLANK($A10),"",VLOOKUP(B$2,Input!$A$6:$L$306,MATCH($A10,Input!$B$6:$L$6,0)+1,FALSE))</f>
        <v>CL</v>
      </c>
      <c r="C10" s="16">
        <f>IF(ISBLANK($A10),"",VLOOKUP(C$2,Input!$A$6:$L$306,MATCH($A10,Input!$B$6:$L$6,0)+1,FALSE))</f>
        <v>64723.800320999988</v>
      </c>
      <c r="D10" s="16">
        <f>IF(ISBLANK($A10),"",VLOOKUP(D$2,Input!$A$6:$L$306,MATCH($A10,Input!$B$6:$L$6,0)+1,FALSE))</f>
        <v>70331.800320999988</v>
      </c>
      <c r="E10" s="16"/>
      <c r="F10" s="16">
        <f>IF(ISBLANK($A10),"",VLOOKUP(F$2,Input!$A$6:$L$306,MATCH($A10,Input!$B$6:$L$6,0)+1,FALSE))</f>
        <v>15176</v>
      </c>
      <c r="G10" s="16">
        <f>IF(ISBLANK($A10),"",VLOOKUP(G$2,Input!$A$6:$L$306,MATCH($A10,Input!$B$6:$L$6,0)+1,FALSE))</f>
        <v>4292</v>
      </c>
      <c r="H10" s="16">
        <f>IF(ISBLANK($A10),"",VLOOKUP(H$2,Input!$A$6:$L$306,MATCH($A10,Input!$B$6:$L$6,0)+1,FALSE))</f>
        <v>3838</v>
      </c>
      <c r="I10" s="16">
        <f>IF(ISBLANK($A10),"",VLOOKUP(I$2,Input!$A$6:$L$306,MATCH($A10,Input!$B$6:$L$6,0)+1,FALSE))</f>
        <v>2.8645490049787732</v>
      </c>
      <c r="J10" s="16"/>
      <c r="K10" s="16">
        <f>IF(ISBLANK($A10),"",VLOOKUP(K$2,Input!$A$6:$L$306,MATCH($A10,Input!$B$6:$L$6,0)+1,FALSE))</f>
        <v>15550</v>
      </c>
      <c r="L10" s="16">
        <f>IF(ISBLANK($A10),"",VLOOKUP(L$2,Input!$A$6:$L$306,MATCH($A10,Input!$B$6:$L$6,0)+1,FALSE))</f>
        <v>4526</v>
      </c>
      <c r="M10" s="16">
        <f>IF(ISBLANK($A10),"",VLOOKUP(M$2,Input!$A$6:$L$306,MATCH($A10,Input!$B$6:$L$6,0)+1,FALSE))</f>
        <v>4092</v>
      </c>
      <c r="N10" s="16">
        <f>IF(ISBLANK($A10),"",VLOOKUP(N$2,Input!$A$6:$L$306,MATCH($A10,Input!$B$6:$L$6,0)+1,FALSE))</f>
        <v>0</v>
      </c>
      <c r="O10" s="16"/>
      <c r="P10" s="16">
        <f>IF(ISBLANK($A10),"",VLOOKUP(P$2,Input!$A$6:$L$306,MATCH($A10,Input!$B$6:$L$6,0)+1,FALSE))</f>
        <v>16213</v>
      </c>
      <c r="Q10" s="16">
        <f>IF(ISBLANK($A10),"",VLOOKUP(Q$2,Input!$A$6:$L$306,MATCH($A10,Input!$B$6:$L$6,0)+1,FALSE))</f>
        <v>4824</v>
      </c>
      <c r="R10" s="16">
        <f>IF(ISBLANK($A10),"",VLOOKUP(R$2,Input!$A$6:$L$306,MATCH($A10,Input!$B$6:$L$6,0)+1,FALSE))</f>
        <v>4371</v>
      </c>
      <c r="S10" s="16">
        <f>IF(ISBLANK($A10),"",VLOOKUP(S$2,Input!$A$6:$L$306,MATCH($A10,Input!$B$6:$L$6,0)+1,FALSE))</f>
        <v>0</v>
      </c>
      <c r="T10" s="16">
        <f>IF(ISBLANK($A10),"",VLOOKUP(T$2,Input!$A$6:$L$306,MATCH($A10,Input!$B$6:$L$6,0)+1,FALSE))</f>
        <v>0.04</v>
      </c>
      <c r="U10" s="16"/>
      <c r="V10" s="16">
        <f>IF(ISBLANK($A10),"",VLOOKUP(V$2,Input!$A$6:$L$306,MATCH($A10,Input!$B$6:$L$6,0)+1,FALSE))</f>
        <v>5608</v>
      </c>
      <c r="W10" s="16">
        <f>IF(ISBLANK($A10),"",VLOOKUP(W$2,Input!$A$6:$L$306,MATCH($A10,Input!$B$6:$L$6,0)+1,FALSE))</f>
        <v>886.62740165753405</v>
      </c>
    </row>
    <row r="11" spans="1:23">
      <c r="A11" s="46" t="s">
        <v>180</v>
      </c>
      <c r="B11" s="16" t="str">
        <f>IF(ISBLANK($A11),"",VLOOKUP(B$2,Input!$A$6:$L$306,MATCH($A11,Input!$B$6:$L$6,0)+1,FALSE))</f>
        <v>KMB</v>
      </c>
      <c r="C11" s="16">
        <f>IF(ISBLANK($A11),"",VLOOKUP(C$2,Input!$A$6:$L$306,MATCH($A11,Input!$B$6:$L$6,0)+1,FALSE))</f>
        <v>43313.87161989</v>
      </c>
      <c r="D11" s="16">
        <f>IF(ISBLANK($A11),"",VLOOKUP(D$2,Input!$A$6:$L$306,MATCH($A11,Input!$B$6:$L$6,0)+1,FALSE))</f>
        <v>50514.87161989</v>
      </c>
      <c r="E11" s="16"/>
      <c r="F11" s="16">
        <f>IF(ISBLANK($A11),"",VLOOKUP(F$2,Input!$A$6:$L$306,MATCH($A11,Input!$B$6:$L$6,0)+1,FALSE))</f>
        <v>18175</v>
      </c>
      <c r="G11" s="16">
        <f>IF(ISBLANK($A11),"",VLOOKUP(G$2,Input!$A$6:$L$306,MATCH($A11,Input!$B$6:$L$6,0)+1,FALSE))</f>
        <v>4057</v>
      </c>
      <c r="H11" s="16">
        <f>IF(ISBLANK($A11),"",VLOOKUP(H$2,Input!$A$6:$L$306,MATCH($A11,Input!$B$6:$L$6,0)+1,FALSE))</f>
        <v>3343</v>
      </c>
      <c r="I11" s="16">
        <f>IF(ISBLANK($A11),"",VLOOKUP(I$2,Input!$A$6:$L$306,MATCH($A11,Input!$B$6:$L$6,0)+1,FALSE))</f>
        <v>6.0416440848676363</v>
      </c>
      <c r="J11" s="16"/>
      <c r="K11" s="16">
        <f>IF(ISBLANK($A11),"",VLOOKUP(K$2,Input!$A$6:$L$306,MATCH($A11,Input!$B$6:$L$6,0)+1,FALSE))</f>
        <v>18444</v>
      </c>
      <c r="L11" s="16">
        <f>IF(ISBLANK($A11),"",VLOOKUP(L$2,Input!$A$6:$L$306,MATCH($A11,Input!$B$6:$L$6,0)+1,FALSE))</f>
        <v>4170</v>
      </c>
      <c r="M11" s="16">
        <f>IF(ISBLANK($A11),"",VLOOKUP(M$2,Input!$A$6:$L$306,MATCH($A11,Input!$B$6:$L$6,0)+1,FALSE))</f>
        <v>3426</v>
      </c>
      <c r="N11" s="16">
        <f>IF(ISBLANK($A11),"",VLOOKUP(N$2,Input!$A$6:$L$306,MATCH($A11,Input!$B$6:$L$6,0)+1,FALSE))</f>
        <v>0</v>
      </c>
      <c r="O11" s="16"/>
      <c r="P11" s="16">
        <f>IF(ISBLANK($A11),"",VLOOKUP(P$2,Input!$A$6:$L$306,MATCH($A11,Input!$B$6:$L$6,0)+1,FALSE))</f>
        <v>18980</v>
      </c>
      <c r="Q11" s="16">
        <f>IF(ISBLANK($A11),"",VLOOKUP(Q$2,Input!$A$6:$L$306,MATCH($A11,Input!$B$6:$L$6,0)+1,FALSE))</f>
        <v>4348</v>
      </c>
      <c r="R11" s="16">
        <f>IF(ISBLANK($A11),"",VLOOKUP(R$2,Input!$A$6:$L$306,MATCH($A11,Input!$B$6:$L$6,0)+1,FALSE))</f>
        <v>3583</v>
      </c>
      <c r="S11" s="16">
        <f>IF(ISBLANK($A11),"",VLOOKUP(S$2,Input!$A$6:$L$306,MATCH($A11,Input!$B$6:$L$6,0)+1,FALSE))</f>
        <v>0</v>
      </c>
      <c r="T11" s="16">
        <f>IF(ISBLANK($A11),"",VLOOKUP(T$2,Input!$A$6:$L$306,MATCH($A11,Input!$B$6:$L$6,0)+1,FALSE))</f>
        <v>2.5000000000000001E-3</v>
      </c>
      <c r="U11" s="16"/>
      <c r="V11" s="16">
        <f>IF(ISBLANK($A11),"",VLOOKUP(V$2,Input!$A$6:$L$306,MATCH($A11,Input!$B$6:$L$6,0)+1,FALSE))</f>
        <v>7201</v>
      </c>
      <c r="W11" s="16">
        <f>IF(ISBLANK($A11),"",VLOOKUP(W$2,Input!$A$6:$L$306,MATCH($A11,Input!$B$6:$L$6,0)+1,FALSE))</f>
        <v>354.36367192906812</v>
      </c>
    </row>
    <row r="12" spans="1:23">
      <c r="A12" s="46" t="s">
        <v>182</v>
      </c>
      <c r="B12" s="16" t="str">
        <f>IF(ISBLANK($A12),"",VLOOKUP(B$2,Input!$A$6:$L$306,MATCH($A12,Input!$B$6:$L$6,0)+1,FALSE))</f>
        <v>CHD</v>
      </c>
      <c r="C12" s="16">
        <f>IF(ISBLANK($A12),"",VLOOKUP(C$2,Input!$A$6:$L$306,MATCH($A12,Input!$B$6:$L$6,0)+1,FALSE))</f>
        <v>13674.738933999999</v>
      </c>
      <c r="D12" s="16">
        <f>IF(ISBLANK($A12),"",VLOOKUP(D$2,Input!$A$6:$L$306,MATCH($A12,Input!$B$6:$L$6,0)+1,FALSE))</f>
        <v>14813.838933999999</v>
      </c>
      <c r="E12" s="16"/>
      <c r="F12" s="16">
        <f>IF(ISBLANK($A12),"",VLOOKUP(F$2,Input!$A$6:$L$306,MATCH($A12,Input!$B$6:$L$6,0)+1,FALSE))</f>
        <v>3521.3</v>
      </c>
      <c r="G12" s="16">
        <f>IF(ISBLANK($A12),"",VLOOKUP(G$2,Input!$A$6:$L$306,MATCH($A12,Input!$B$6:$L$6,0)+1,FALSE))</f>
        <v>807.7</v>
      </c>
      <c r="H12" s="16">
        <f>IF(ISBLANK($A12),"",VLOOKUP(H$2,Input!$A$6:$L$306,MATCH($A12,Input!$B$6:$L$6,0)+1,FALSE))</f>
        <v>749.2</v>
      </c>
      <c r="I12" s="16">
        <f>IF(ISBLANK($A12),"",VLOOKUP(I$2,Input!$A$6:$L$306,MATCH($A12,Input!$B$6:$L$6,0)+1,FALSE))</f>
        <v>1.861085895092836</v>
      </c>
      <c r="J12" s="16"/>
      <c r="K12" s="16">
        <f>IF(ISBLANK($A12),"",VLOOKUP(K$2,Input!$A$6:$L$306,MATCH($A12,Input!$B$6:$L$6,0)+1,FALSE))</f>
        <v>3633</v>
      </c>
      <c r="L12" s="16">
        <f>IF(ISBLANK($A12),"",VLOOKUP(L$2,Input!$A$6:$L$306,MATCH($A12,Input!$B$6:$L$6,0)+1,FALSE))</f>
        <v>878</v>
      </c>
      <c r="M12" s="16">
        <f>IF(ISBLANK($A12),"",VLOOKUP(M$2,Input!$A$6:$L$306,MATCH($A12,Input!$B$6:$L$6,0)+1,FALSE))</f>
        <v>770</v>
      </c>
      <c r="N12" s="16">
        <f>IF(ISBLANK($A12),"",VLOOKUP(N$2,Input!$A$6:$L$306,MATCH($A12,Input!$B$6:$L$6,0)+1,FALSE))</f>
        <v>0</v>
      </c>
      <c r="O12" s="16"/>
      <c r="P12" s="16">
        <f>IF(ISBLANK($A12),"",VLOOKUP(P$2,Input!$A$6:$L$306,MATCH($A12,Input!$B$6:$L$6,0)+1,FALSE))</f>
        <v>3746</v>
      </c>
      <c r="Q12" s="16">
        <f>IF(ISBLANK($A12),"",VLOOKUP(Q$2,Input!$A$6:$L$306,MATCH($A12,Input!$B$6:$L$6,0)+1,FALSE))</f>
        <v>932</v>
      </c>
      <c r="R12" s="16">
        <f>IF(ISBLANK($A12),"",VLOOKUP(R$2,Input!$A$6:$L$306,MATCH($A12,Input!$B$6:$L$6,0)+1,FALSE))</f>
        <v>821</v>
      </c>
      <c r="S12" s="16">
        <f>IF(ISBLANK($A12),"",VLOOKUP(S$2,Input!$A$6:$L$306,MATCH($A12,Input!$B$6:$L$6,0)+1,FALSE))</f>
        <v>0</v>
      </c>
      <c r="T12" s="16">
        <f>IF(ISBLANK($A12),"",VLOOKUP(T$2,Input!$A$6:$L$306,MATCH($A12,Input!$B$6:$L$6,0)+1,FALSE))</f>
        <v>1.4999999999999999E-2</v>
      </c>
      <c r="U12" s="16"/>
      <c r="V12" s="16">
        <f>IF(ISBLANK($A12),"",VLOOKUP(V$2,Input!$A$6:$L$306,MATCH($A12,Input!$B$6:$L$6,0)+1,FALSE))</f>
        <v>1139.0999999999999</v>
      </c>
      <c r="W12" s="16">
        <f>IF(ISBLANK($A12),"",VLOOKUP(W$2,Input!$A$6:$L$306,MATCH($A12,Input!$B$6:$L$6,0)+1,FALSE))</f>
        <v>254.84045721207602</v>
      </c>
    </row>
    <row r="13" spans="1:23">
      <c r="A13" s="46" t="s">
        <v>185</v>
      </c>
      <c r="B13" s="16" t="str">
        <f>IF(ISBLANK($A13),"",VLOOKUP(B$2,Input!$A$6:$L$306,MATCH($A13,Input!$B$6:$L$6,0)+1,FALSE))</f>
        <v>CLX</v>
      </c>
      <c r="C13" s="16">
        <f>IF(ISBLANK($A13),"",VLOOKUP(C$2,Input!$A$6:$L$306,MATCH($A13,Input!$B$6:$L$6,0)+1,FALSE))</f>
        <v>17396.822679770004</v>
      </c>
      <c r="D13" s="16">
        <f>IF(ISBLANK($A13),"",VLOOKUP(D$2,Input!$A$6:$L$306,MATCH($A13,Input!$B$6:$L$6,0)+1,FALSE))</f>
        <v>19405.822679770004</v>
      </c>
      <c r="E13" s="16"/>
      <c r="F13" s="16">
        <f>IF(ISBLANK($A13),"",VLOOKUP(F$2,Input!$A$6:$L$306,MATCH($A13,Input!$B$6:$L$6,0)+1,FALSE))</f>
        <v>5926</v>
      </c>
      <c r="G13" s="16">
        <f>IF(ISBLANK($A13),"",VLOOKUP(G$2,Input!$A$6:$L$306,MATCH($A13,Input!$B$6:$L$6,0)+1,FALSE))</f>
        <v>1238</v>
      </c>
      <c r="H13" s="16">
        <f>IF(ISBLANK($A13),"",VLOOKUP(H$2,Input!$A$6:$L$306,MATCH($A13,Input!$B$6:$L$6,0)+1,FALSE))</f>
        <v>1074</v>
      </c>
      <c r="I13" s="16">
        <f>IF(ISBLANK($A13),"",VLOOKUP(I$2,Input!$A$6:$L$306,MATCH($A13,Input!$B$6:$L$6,0)+1,FALSE))</f>
        <v>5.0636896177342825</v>
      </c>
      <c r="J13" s="16"/>
      <c r="K13" s="16">
        <f>IF(ISBLANK($A13),"",VLOOKUP(K$2,Input!$A$6:$L$306,MATCH($A13,Input!$B$6:$L$6,0)+1,FALSE))</f>
        <v>6059.7397260273974</v>
      </c>
      <c r="L13" s="16">
        <f>IF(ISBLANK($A13),"",VLOOKUP(L$2,Input!$A$6:$L$306,MATCH($A13,Input!$B$6:$L$6,0)+1,FALSE))</f>
        <v>1314.7589041095889</v>
      </c>
      <c r="M13" s="16">
        <f>IF(ISBLANK($A13),"",VLOOKUP(M$2,Input!$A$6:$L$306,MATCH($A13,Input!$B$6:$L$6,0)+1,FALSE))</f>
        <v>1134.2383561643835</v>
      </c>
      <c r="N13" s="16">
        <f>IF(ISBLANK($A13),"",VLOOKUP(N$2,Input!$A$6:$L$306,MATCH($A13,Input!$B$6:$L$6,0)+1,FALSE))</f>
        <v>0</v>
      </c>
      <c r="O13" s="16"/>
      <c r="P13" s="16">
        <f>IF(ISBLANK($A13),"",VLOOKUP(P$2,Input!$A$6:$L$306,MATCH($A13,Input!$B$6:$L$6,0)+1,FALSE))</f>
        <v>6249.821917808219</v>
      </c>
      <c r="Q13" s="16">
        <f>IF(ISBLANK($A13),"",VLOOKUP(Q$2,Input!$A$6:$L$306,MATCH($A13,Input!$B$6:$L$6,0)+1,FALSE))</f>
        <v>1375.7424657534245</v>
      </c>
      <c r="R13" s="16">
        <f>IF(ISBLANK($A13),"",VLOOKUP(R$2,Input!$A$6:$L$306,MATCH($A13,Input!$B$6:$L$6,0)+1,FALSE))</f>
        <v>1189.2136986301368</v>
      </c>
      <c r="S13" s="16">
        <f>IF(ISBLANK($A13),"",VLOOKUP(S$2,Input!$A$6:$L$306,MATCH($A13,Input!$B$6:$L$6,0)+1,FALSE))</f>
        <v>0</v>
      </c>
      <c r="T13" s="16">
        <f>IF(ISBLANK($A13),"",VLOOKUP(T$2,Input!$A$6:$L$306,MATCH($A13,Input!$B$6:$L$6,0)+1,FALSE))</f>
        <v>3.5000000000000003E-2</v>
      </c>
      <c r="U13" s="16"/>
      <c r="V13" s="16">
        <f>IF(ISBLANK($A13),"",VLOOKUP(V$2,Input!$A$6:$L$306,MATCH($A13,Input!$B$6:$L$6,0)+1,FALSE))</f>
        <v>2009</v>
      </c>
      <c r="W13" s="16">
        <f>IF(ISBLANK($A13),"",VLOOKUP(W$2,Input!$A$6:$L$306,MATCH($A13,Input!$B$6:$L$6,0)+1,FALSE))</f>
        <v>130.3816434068051</v>
      </c>
    </row>
    <row r="14" spans="1:23">
      <c r="A14" s="46"/>
      <c r="B14" s="16" t="str">
        <f>IF(ISBLANK($A14),"",VLOOKUP(B$2,Input!$A$6:$L$306,MATCH($A14,Input!$B$6:$L$6,0)+1,FALSE))</f>
        <v/>
      </c>
      <c r="C14" s="16" t="str">
        <f>IF(ISBLANK($A14),"",VLOOKUP(C$2,Input!$A$6:$L$306,MATCH($A14,Input!$B$6:$L$6,0)+1,FALSE))</f>
        <v/>
      </c>
      <c r="D14" s="16" t="str">
        <f>IF(ISBLANK($A14),"",VLOOKUP(D$2,Input!$A$6:$L$306,MATCH($A14,Input!$B$6:$L$6,0)+1,FALSE))</f>
        <v/>
      </c>
      <c r="E14" s="16"/>
      <c r="F14" s="16" t="str">
        <f>IF(ISBLANK($A14),"",VLOOKUP(F$2,Input!$A$6:$L$306,MATCH($A14,Input!$B$6:$L$6,0)+1,FALSE))</f>
        <v/>
      </c>
      <c r="G14" s="16" t="str">
        <f>IF(ISBLANK($A14),"",VLOOKUP(G$2,Input!$A$6:$L$306,MATCH($A14,Input!$B$6:$L$6,0)+1,FALSE))</f>
        <v/>
      </c>
      <c r="H14" s="16" t="str">
        <f>IF(ISBLANK($A14),"",VLOOKUP(H$2,Input!$A$6:$L$306,MATCH($A14,Input!$B$6:$L$6,0)+1,FALSE))</f>
        <v/>
      </c>
      <c r="I14" s="16" t="str">
        <f>IF(ISBLANK($A14),"",VLOOKUP(I$2,Input!$A$6:$L$306,MATCH($A14,Input!$B$6:$L$6,0)+1,FALSE))</f>
        <v/>
      </c>
      <c r="J14" s="16"/>
      <c r="K14" s="16" t="str">
        <f>IF(ISBLANK($A14),"",VLOOKUP(K$2,Input!$A$6:$L$306,MATCH($A14,Input!$B$6:$L$6,0)+1,FALSE))</f>
        <v/>
      </c>
      <c r="L14" s="16" t="str">
        <f>IF(ISBLANK($A14),"",VLOOKUP(L$2,Input!$A$6:$L$306,MATCH($A14,Input!$B$6:$L$6,0)+1,FALSE))</f>
        <v/>
      </c>
      <c r="M14" s="16" t="str">
        <f>IF(ISBLANK($A14),"",VLOOKUP(M$2,Input!$A$6:$L$306,MATCH($A14,Input!$B$6:$L$6,0)+1,FALSE))</f>
        <v/>
      </c>
      <c r="N14" s="16" t="str">
        <f>IF(ISBLANK($A14),"",VLOOKUP(N$2,Input!$A$6:$L$306,MATCH($A14,Input!$B$6:$L$6,0)+1,FALSE))</f>
        <v/>
      </c>
      <c r="O14" s="16"/>
      <c r="P14" s="16" t="str">
        <f>IF(ISBLANK($A14),"",VLOOKUP(P$2,Input!$A$6:$L$306,MATCH($A14,Input!$B$6:$L$6,0)+1,FALSE))</f>
        <v/>
      </c>
      <c r="Q14" s="16" t="str">
        <f>IF(ISBLANK($A14),"",VLOOKUP(Q$2,Input!$A$6:$L$306,MATCH($A14,Input!$B$6:$L$6,0)+1,FALSE))</f>
        <v/>
      </c>
      <c r="R14" s="16" t="str">
        <f>IF(ISBLANK($A14),"",VLOOKUP(R$2,Input!$A$6:$L$306,MATCH($A14,Input!$B$6:$L$6,0)+1,FALSE))</f>
        <v/>
      </c>
      <c r="S14" s="16" t="str">
        <f>IF(ISBLANK($A14),"",VLOOKUP(S$2,Input!$A$6:$L$306,MATCH($A14,Input!$B$6:$L$6,0)+1,FALSE))</f>
        <v/>
      </c>
      <c r="T14" s="16" t="str">
        <f>IF(ISBLANK($A14),"",VLOOKUP(T$2,Input!$A$6:$L$306,MATCH($A14,Input!$B$6:$L$6,0)+1,FALSE))</f>
        <v/>
      </c>
      <c r="U14" s="16"/>
      <c r="V14" s="16" t="str">
        <f>IF(ISBLANK($A14),"",VLOOKUP(V$2,Input!$A$6:$L$306,MATCH($A14,Input!$B$6:$L$6,0)+1,FALSE))</f>
        <v/>
      </c>
      <c r="W14" s="16" t="str">
        <f>IF(ISBLANK($A14),"",VLOOKUP(W$2,Input!$A$6:$L$306,MATCH($A14,Input!$B$6:$L$6,0)+1,FALSE))</f>
        <v/>
      </c>
    </row>
    <row r="15" spans="1:23">
      <c r="A15" s="46"/>
      <c r="B15" s="16" t="str">
        <f>IF(ISBLANK($A15),"",VLOOKUP(B$2,Input!$A$6:$L$306,MATCH($A15,Input!$B$6:$L$6,0)+1,FALSE))</f>
        <v/>
      </c>
      <c r="C15" s="16" t="str">
        <f>IF(ISBLANK($A15),"",VLOOKUP(C$2,Input!$A$6:$L$306,MATCH($A15,Input!$B$6:$L$6,0)+1,FALSE))</f>
        <v/>
      </c>
      <c r="D15" s="16" t="str">
        <f>IF(ISBLANK($A15),"",VLOOKUP(D$2,Input!$A$6:$L$306,MATCH($A15,Input!$B$6:$L$6,0)+1,FALSE))</f>
        <v/>
      </c>
      <c r="E15" s="16"/>
      <c r="F15" s="16" t="str">
        <f>IF(ISBLANK($A15),"",VLOOKUP(F$2,Input!$A$6:$L$306,MATCH($A15,Input!$B$6:$L$6,0)+1,FALSE))</f>
        <v/>
      </c>
      <c r="G15" s="16" t="str">
        <f>IF(ISBLANK($A15),"",VLOOKUP(G$2,Input!$A$6:$L$306,MATCH($A15,Input!$B$6:$L$6,0)+1,FALSE))</f>
        <v/>
      </c>
      <c r="H15" s="16" t="str">
        <f>IF(ISBLANK($A15),"",VLOOKUP(H$2,Input!$A$6:$L$306,MATCH($A15,Input!$B$6:$L$6,0)+1,FALSE))</f>
        <v/>
      </c>
      <c r="I15" s="16" t="str">
        <f>IF(ISBLANK($A15),"",VLOOKUP(I$2,Input!$A$6:$L$306,MATCH($A15,Input!$B$6:$L$6,0)+1,FALSE))</f>
        <v/>
      </c>
      <c r="J15" s="16"/>
      <c r="K15" s="16" t="str">
        <f>IF(ISBLANK($A15),"",VLOOKUP(K$2,Input!$A$6:$L$306,MATCH($A15,Input!$B$6:$L$6,0)+1,FALSE))</f>
        <v/>
      </c>
      <c r="L15" s="16" t="str">
        <f>IF(ISBLANK($A15),"",VLOOKUP(L$2,Input!$A$6:$L$306,MATCH($A15,Input!$B$6:$L$6,0)+1,FALSE))</f>
        <v/>
      </c>
      <c r="M15" s="16" t="str">
        <f>IF(ISBLANK($A15),"",VLOOKUP(M$2,Input!$A$6:$L$306,MATCH($A15,Input!$B$6:$L$6,0)+1,FALSE))</f>
        <v/>
      </c>
      <c r="N15" s="16" t="str">
        <f>IF(ISBLANK($A15),"",VLOOKUP(N$2,Input!$A$6:$L$306,MATCH($A15,Input!$B$6:$L$6,0)+1,FALSE))</f>
        <v/>
      </c>
      <c r="O15" s="16"/>
      <c r="P15" s="16" t="str">
        <f>IF(ISBLANK($A15),"",VLOOKUP(P$2,Input!$A$6:$L$306,MATCH($A15,Input!$B$6:$L$6,0)+1,FALSE))</f>
        <v/>
      </c>
      <c r="Q15" s="16" t="str">
        <f>IF(ISBLANK($A15),"",VLOOKUP(Q$2,Input!$A$6:$L$306,MATCH($A15,Input!$B$6:$L$6,0)+1,FALSE))</f>
        <v/>
      </c>
      <c r="R15" s="16" t="str">
        <f>IF(ISBLANK($A15),"",VLOOKUP(R$2,Input!$A$6:$L$306,MATCH($A15,Input!$B$6:$L$6,0)+1,FALSE))</f>
        <v/>
      </c>
      <c r="S15" s="16" t="str">
        <f>IF(ISBLANK($A15),"",VLOOKUP(S$2,Input!$A$6:$L$306,MATCH($A15,Input!$B$6:$L$6,0)+1,FALSE))</f>
        <v/>
      </c>
      <c r="T15" s="16" t="str">
        <f>IF(ISBLANK($A15),"",VLOOKUP(T$2,Input!$A$6:$L$306,MATCH($A15,Input!$B$6:$L$6,0)+1,FALSE))</f>
        <v/>
      </c>
      <c r="U15" s="16"/>
      <c r="V15" s="16" t="str">
        <f>IF(ISBLANK($A15),"",VLOOKUP(V$2,Input!$A$6:$L$306,MATCH($A15,Input!$B$6:$L$6,0)+1,FALSE))</f>
        <v/>
      </c>
      <c r="W15" s="16" t="str">
        <f>IF(ISBLANK($A15),"",VLOOKUP(W$2,Input!$A$6:$L$306,MATCH($A15,Input!$B$6:$L$6,0)+1,FALSE))</f>
        <v/>
      </c>
    </row>
    <row r="16" spans="1:23">
      <c r="A16" s="46"/>
      <c r="B16" s="16" t="str">
        <f>IF(ISBLANK($A16),"",VLOOKUP(B$2,Input!$A$6:$L$306,MATCH($A16,Input!$B$6:$L$6,0)+1,FALSE))</f>
        <v/>
      </c>
      <c r="C16" s="16" t="str">
        <f>IF(ISBLANK($A16),"",VLOOKUP(C$2,Input!$A$6:$L$306,MATCH($A16,Input!$B$6:$L$6,0)+1,FALSE))</f>
        <v/>
      </c>
      <c r="D16" s="16" t="str">
        <f>IF(ISBLANK($A16),"",VLOOKUP(D$2,Input!$A$6:$L$306,MATCH($A16,Input!$B$6:$L$6,0)+1,FALSE))</f>
        <v/>
      </c>
      <c r="E16" s="16"/>
      <c r="F16" s="16" t="str">
        <f>IF(ISBLANK($A16),"",VLOOKUP(F$2,Input!$A$6:$L$306,MATCH($A16,Input!$B$6:$L$6,0)+1,FALSE))</f>
        <v/>
      </c>
      <c r="G16" s="16" t="str">
        <f>IF(ISBLANK($A16),"",VLOOKUP(G$2,Input!$A$6:$L$306,MATCH($A16,Input!$B$6:$L$6,0)+1,FALSE))</f>
        <v/>
      </c>
      <c r="H16" s="16" t="str">
        <f>IF(ISBLANK($A16),"",VLOOKUP(H$2,Input!$A$6:$L$306,MATCH($A16,Input!$B$6:$L$6,0)+1,FALSE))</f>
        <v/>
      </c>
      <c r="I16" s="16" t="str">
        <f>IF(ISBLANK($A16),"",VLOOKUP(I$2,Input!$A$6:$L$306,MATCH($A16,Input!$B$6:$L$6,0)+1,FALSE))</f>
        <v/>
      </c>
      <c r="J16" s="16"/>
      <c r="K16" s="16" t="str">
        <f>IF(ISBLANK($A16),"",VLOOKUP(K$2,Input!$A$6:$L$306,MATCH($A16,Input!$B$6:$L$6,0)+1,FALSE))</f>
        <v/>
      </c>
      <c r="L16" s="16" t="str">
        <f>IF(ISBLANK($A16),"",VLOOKUP(L$2,Input!$A$6:$L$306,MATCH($A16,Input!$B$6:$L$6,0)+1,FALSE))</f>
        <v/>
      </c>
      <c r="M16" s="16" t="str">
        <f>IF(ISBLANK($A16),"",VLOOKUP(M$2,Input!$A$6:$L$306,MATCH($A16,Input!$B$6:$L$6,0)+1,FALSE))</f>
        <v/>
      </c>
      <c r="N16" s="16" t="str">
        <f>IF(ISBLANK($A16),"",VLOOKUP(N$2,Input!$A$6:$L$306,MATCH($A16,Input!$B$6:$L$6,0)+1,FALSE))</f>
        <v/>
      </c>
      <c r="O16" s="16"/>
      <c r="P16" s="16" t="str">
        <f>IF(ISBLANK($A16),"",VLOOKUP(P$2,Input!$A$6:$L$306,MATCH($A16,Input!$B$6:$L$6,0)+1,FALSE))</f>
        <v/>
      </c>
      <c r="Q16" s="16" t="str">
        <f>IF(ISBLANK($A16),"",VLOOKUP(Q$2,Input!$A$6:$L$306,MATCH($A16,Input!$B$6:$L$6,0)+1,FALSE))</f>
        <v/>
      </c>
      <c r="R16" s="16" t="str">
        <f>IF(ISBLANK($A16),"",VLOOKUP(R$2,Input!$A$6:$L$306,MATCH($A16,Input!$B$6:$L$6,0)+1,FALSE))</f>
        <v/>
      </c>
      <c r="S16" s="16" t="str">
        <f>IF(ISBLANK($A16),"",VLOOKUP(S$2,Input!$A$6:$L$306,MATCH($A16,Input!$B$6:$L$6,0)+1,FALSE))</f>
        <v/>
      </c>
      <c r="T16" s="16" t="str">
        <f>IF(ISBLANK($A16),"",VLOOKUP(T$2,Input!$A$6:$L$306,MATCH($A16,Input!$B$6:$L$6,0)+1,FALSE))</f>
        <v/>
      </c>
      <c r="U16" s="16"/>
      <c r="V16" s="16" t="str">
        <f>IF(ISBLANK($A16),"",VLOOKUP(V$2,Input!$A$6:$L$306,MATCH($A16,Input!$B$6:$L$6,0)+1,FALSE))</f>
        <v/>
      </c>
      <c r="W16" s="16" t="str">
        <f>IF(ISBLANK($A16),"",VLOOKUP(W$2,Input!$A$6:$L$306,MATCH($A16,Input!$B$6:$L$6,0)+1,FALSE))</f>
        <v/>
      </c>
    </row>
    <row r="17" spans="1:23">
      <c r="A17" s="46"/>
      <c r="B17" s="16" t="str">
        <f>IF(ISBLANK($A17),"",VLOOKUP(B$2,Input!$A$6:$L$306,MATCH($A17,Input!$B$6:$L$6,0)+1,FALSE))</f>
        <v/>
      </c>
      <c r="C17" s="16" t="str">
        <f>IF(ISBLANK($A17),"",VLOOKUP(C$2,Input!$A$6:$L$306,MATCH($A17,Input!$B$6:$L$6,0)+1,FALSE))</f>
        <v/>
      </c>
      <c r="D17" s="16" t="str">
        <f>IF(ISBLANK($A17),"",VLOOKUP(D$2,Input!$A$6:$L$306,MATCH($A17,Input!$B$6:$L$6,0)+1,FALSE))</f>
        <v/>
      </c>
      <c r="E17" s="16"/>
      <c r="F17" s="16" t="str">
        <f>IF(ISBLANK($A17),"",VLOOKUP(F$2,Input!$A$6:$L$306,MATCH($A17,Input!$B$6:$L$6,0)+1,FALSE))</f>
        <v/>
      </c>
      <c r="G17" s="16" t="str">
        <f>IF(ISBLANK($A17),"",VLOOKUP(G$2,Input!$A$6:$L$306,MATCH($A17,Input!$B$6:$L$6,0)+1,FALSE))</f>
        <v/>
      </c>
      <c r="H17" s="16" t="str">
        <f>IF(ISBLANK($A17),"",VLOOKUP(H$2,Input!$A$6:$L$306,MATCH($A17,Input!$B$6:$L$6,0)+1,FALSE))</f>
        <v/>
      </c>
      <c r="I17" s="16" t="str">
        <f>IF(ISBLANK($A17),"",VLOOKUP(I$2,Input!$A$6:$L$306,MATCH($A17,Input!$B$6:$L$6,0)+1,FALSE))</f>
        <v/>
      </c>
      <c r="J17" s="16"/>
      <c r="K17" s="16" t="str">
        <f>IF(ISBLANK($A17),"",VLOOKUP(K$2,Input!$A$6:$L$306,MATCH($A17,Input!$B$6:$L$6,0)+1,FALSE))</f>
        <v/>
      </c>
      <c r="L17" s="16" t="str">
        <f>IF(ISBLANK($A17),"",VLOOKUP(L$2,Input!$A$6:$L$306,MATCH($A17,Input!$B$6:$L$6,0)+1,FALSE))</f>
        <v/>
      </c>
      <c r="M17" s="16" t="str">
        <f>IF(ISBLANK($A17),"",VLOOKUP(M$2,Input!$A$6:$L$306,MATCH($A17,Input!$B$6:$L$6,0)+1,FALSE))</f>
        <v/>
      </c>
      <c r="N17" s="16" t="str">
        <f>IF(ISBLANK($A17),"",VLOOKUP(N$2,Input!$A$6:$L$306,MATCH($A17,Input!$B$6:$L$6,0)+1,FALSE))</f>
        <v/>
      </c>
      <c r="O17" s="16"/>
      <c r="P17" s="16" t="str">
        <f>IF(ISBLANK($A17),"",VLOOKUP(P$2,Input!$A$6:$L$306,MATCH($A17,Input!$B$6:$L$6,0)+1,FALSE))</f>
        <v/>
      </c>
      <c r="Q17" s="16" t="str">
        <f>IF(ISBLANK($A17),"",VLOOKUP(Q$2,Input!$A$6:$L$306,MATCH($A17,Input!$B$6:$L$6,0)+1,FALSE))</f>
        <v/>
      </c>
      <c r="R17" s="16" t="str">
        <f>IF(ISBLANK($A17),"",VLOOKUP(R$2,Input!$A$6:$L$306,MATCH($A17,Input!$B$6:$L$6,0)+1,FALSE))</f>
        <v/>
      </c>
      <c r="S17" s="16" t="str">
        <f>IF(ISBLANK($A17),"",VLOOKUP(S$2,Input!$A$6:$L$306,MATCH($A17,Input!$B$6:$L$6,0)+1,FALSE))</f>
        <v/>
      </c>
      <c r="T17" s="16" t="str">
        <f>IF(ISBLANK($A17),"",VLOOKUP(T$2,Input!$A$6:$L$306,MATCH($A17,Input!$B$6:$L$6,0)+1,FALSE))</f>
        <v/>
      </c>
      <c r="U17" s="16"/>
      <c r="V17" s="16" t="str">
        <f>IF(ISBLANK($A17),"",VLOOKUP(V$2,Input!$A$6:$L$306,MATCH($A17,Input!$B$6:$L$6,0)+1,FALSE))</f>
        <v/>
      </c>
      <c r="W17" s="16" t="str">
        <f>IF(ISBLANK($A17),"",VLOOKUP(W$2,Input!$A$6:$L$306,MATCH($A17,Input!$B$6:$L$6,0)+1,FALSE))</f>
        <v/>
      </c>
    </row>
    <row r="18" spans="1:23">
      <c r="A18" s="46"/>
      <c r="B18" s="16" t="str">
        <f>IF(ISBLANK($A18),"",VLOOKUP(B$2,Input!$A$6:$L$306,MATCH($A18,Input!$B$6:$L$6,0)+1,FALSE))</f>
        <v/>
      </c>
      <c r="C18" s="16" t="str">
        <f>IF(ISBLANK($A18),"",VLOOKUP(C$2,Input!$A$6:$L$306,MATCH($A18,Input!$B$6:$L$6,0)+1,FALSE))</f>
        <v/>
      </c>
      <c r="D18" s="16" t="str">
        <f>IF(ISBLANK($A18),"",VLOOKUP(D$2,Input!$A$6:$L$306,MATCH($A18,Input!$B$6:$L$6,0)+1,FALSE))</f>
        <v/>
      </c>
      <c r="E18" s="16"/>
      <c r="F18" s="16" t="str">
        <f>IF(ISBLANK($A18),"",VLOOKUP(F$2,Input!$A$6:$L$306,MATCH($A18,Input!$B$6:$L$6,0)+1,FALSE))</f>
        <v/>
      </c>
      <c r="G18" s="16" t="str">
        <f>IF(ISBLANK($A18),"",VLOOKUP(G$2,Input!$A$6:$L$306,MATCH($A18,Input!$B$6:$L$6,0)+1,FALSE))</f>
        <v/>
      </c>
      <c r="H18" s="16" t="str">
        <f>IF(ISBLANK($A18),"",VLOOKUP(H$2,Input!$A$6:$L$306,MATCH($A18,Input!$B$6:$L$6,0)+1,FALSE))</f>
        <v/>
      </c>
      <c r="I18" s="16" t="str">
        <f>IF(ISBLANK($A18),"",VLOOKUP(I$2,Input!$A$6:$L$306,MATCH($A18,Input!$B$6:$L$6,0)+1,FALSE))</f>
        <v/>
      </c>
      <c r="J18" s="16"/>
      <c r="K18" s="16" t="str">
        <f>IF(ISBLANK($A18),"",VLOOKUP(K$2,Input!$A$6:$L$306,MATCH($A18,Input!$B$6:$L$6,0)+1,FALSE))</f>
        <v/>
      </c>
      <c r="L18" s="16" t="str">
        <f>IF(ISBLANK($A18),"",VLOOKUP(L$2,Input!$A$6:$L$306,MATCH($A18,Input!$B$6:$L$6,0)+1,FALSE))</f>
        <v/>
      </c>
      <c r="M18" s="16" t="str">
        <f>IF(ISBLANK($A18),"",VLOOKUP(M$2,Input!$A$6:$L$306,MATCH($A18,Input!$B$6:$L$6,0)+1,FALSE))</f>
        <v/>
      </c>
      <c r="N18" s="16" t="str">
        <f>IF(ISBLANK($A18),"",VLOOKUP(N$2,Input!$A$6:$L$306,MATCH($A18,Input!$B$6:$L$6,0)+1,FALSE))</f>
        <v/>
      </c>
      <c r="O18" s="16"/>
      <c r="P18" s="16" t="str">
        <f>IF(ISBLANK($A18),"",VLOOKUP(P$2,Input!$A$6:$L$306,MATCH($A18,Input!$B$6:$L$6,0)+1,FALSE))</f>
        <v/>
      </c>
      <c r="Q18" s="16" t="str">
        <f>IF(ISBLANK($A18),"",VLOOKUP(Q$2,Input!$A$6:$L$306,MATCH($A18,Input!$B$6:$L$6,0)+1,FALSE))</f>
        <v/>
      </c>
      <c r="R18" s="16" t="str">
        <f>IF(ISBLANK($A18),"",VLOOKUP(R$2,Input!$A$6:$L$306,MATCH($A18,Input!$B$6:$L$6,0)+1,FALSE))</f>
        <v/>
      </c>
      <c r="S18" s="16" t="str">
        <f>IF(ISBLANK($A18),"",VLOOKUP(S$2,Input!$A$6:$L$306,MATCH($A18,Input!$B$6:$L$6,0)+1,FALSE))</f>
        <v/>
      </c>
      <c r="T18" s="16" t="str">
        <f>IF(ISBLANK($A18),"",VLOOKUP(T$2,Input!$A$6:$L$306,MATCH($A18,Input!$B$6:$L$6,0)+1,FALSE))</f>
        <v/>
      </c>
      <c r="U18" s="16"/>
      <c r="V18" s="16" t="str">
        <f>IF(ISBLANK($A18),"",VLOOKUP(V$2,Input!$A$6:$L$306,MATCH($A18,Input!$B$6:$L$6,0)+1,FALSE))</f>
        <v/>
      </c>
      <c r="W18" s="16" t="str">
        <f>IF(ISBLANK($A18),"",VLOOKUP(W$2,Input!$A$6:$L$306,MATCH($A18,Input!$B$6:$L$6,0)+1,FALSE))</f>
        <v/>
      </c>
    </row>
    <row r="19" spans="1:23">
      <c r="A19" s="46"/>
      <c r="B19" s="16" t="str">
        <f>IF(ISBLANK($A19),"",VLOOKUP(B$2,Input!$A$6:$L$306,MATCH($A19,Input!$B$6:$L$6,0)+1,FALSE))</f>
        <v/>
      </c>
      <c r="C19" s="16" t="str">
        <f>IF(ISBLANK($A19),"",VLOOKUP(C$2,Input!$A$6:$L$306,MATCH($A19,Input!$B$6:$L$6,0)+1,FALSE))</f>
        <v/>
      </c>
      <c r="D19" s="16" t="str">
        <f>IF(ISBLANK($A19),"",VLOOKUP(D$2,Input!$A$6:$L$306,MATCH($A19,Input!$B$6:$L$6,0)+1,FALSE))</f>
        <v/>
      </c>
      <c r="E19" s="16"/>
      <c r="F19" s="16" t="str">
        <f>IF(ISBLANK($A19),"",VLOOKUP(F$2,Input!$A$6:$L$306,MATCH($A19,Input!$B$6:$L$6,0)+1,FALSE))</f>
        <v/>
      </c>
      <c r="G19" s="16" t="str">
        <f>IF(ISBLANK($A19),"",VLOOKUP(G$2,Input!$A$6:$L$306,MATCH($A19,Input!$B$6:$L$6,0)+1,FALSE))</f>
        <v/>
      </c>
      <c r="H19" s="16" t="str">
        <f>IF(ISBLANK($A19),"",VLOOKUP(H$2,Input!$A$6:$L$306,MATCH($A19,Input!$B$6:$L$6,0)+1,FALSE))</f>
        <v/>
      </c>
      <c r="I19" s="16" t="str">
        <f>IF(ISBLANK($A19),"",VLOOKUP(I$2,Input!$A$6:$L$306,MATCH($A19,Input!$B$6:$L$6,0)+1,FALSE))</f>
        <v/>
      </c>
      <c r="J19" s="16"/>
      <c r="K19" s="16" t="str">
        <f>IF(ISBLANK($A19),"",VLOOKUP(K$2,Input!$A$6:$L$306,MATCH($A19,Input!$B$6:$L$6,0)+1,FALSE))</f>
        <v/>
      </c>
      <c r="L19" s="16" t="str">
        <f>IF(ISBLANK($A19),"",VLOOKUP(L$2,Input!$A$6:$L$306,MATCH($A19,Input!$B$6:$L$6,0)+1,FALSE))</f>
        <v/>
      </c>
      <c r="M19" s="16" t="str">
        <f>IF(ISBLANK($A19),"",VLOOKUP(M$2,Input!$A$6:$L$306,MATCH($A19,Input!$B$6:$L$6,0)+1,FALSE))</f>
        <v/>
      </c>
      <c r="N19" s="16" t="str">
        <f>IF(ISBLANK($A19),"",VLOOKUP(N$2,Input!$A$6:$L$306,MATCH($A19,Input!$B$6:$L$6,0)+1,FALSE))</f>
        <v/>
      </c>
      <c r="O19" s="16"/>
      <c r="P19" s="16" t="str">
        <f>IF(ISBLANK($A19),"",VLOOKUP(P$2,Input!$A$6:$L$306,MATCH($A19,Input!$B$6:$L$6,0)+1,FALSE))</f>
        <v/>
      </c>
      <c r="Q19" s="16" t="str">
        <f>IF(ISBLANK($A19),"",VLOOKUP(Q$2,Input!$A$6:$L$306,MATCH($A19,Input!$B$6:$L$6,0)+1,FALSE))</f>
        <v/>
      </c>
      <c r="R19" s="16" t="str">
        <f>IF(ISBLANK($A19),"",VLOOKUP(R$2,Input!$A$6:$L$306,MATCH($A19,Input!$B$6:$L$6,0)+1,FALSE))</f>
        <v/>
      </c>
      <c r="S19" s="16" t="str">
        <f>IF(ISBLANK($A19),"",VLOOKUP(S$2,Input!$A$6:$L$306,MATCH($A19,Input!$B$6:$L$6,0)+1,FALSE))</f>
        <v/>
      </c>
      <c r="T19" s="16" t="str">
        <f>IF(ISBLANK($A19),"",VLOOKUP(T$2,Input!$A$6:$L$306,MATCH($A19,Input!$B$6:$L$6,0)+1,FALSE))</f>
        <v/>
      </c>
      <c r="U19" s="16"/>
      <c r="V19" s="16" t="str">
        <f>IF(ISBLANK($A19),"",VLOOKUP(V$2,Input!$A$6:$L$306,MATCH($A19,Input!$B$6:$L$6,0)+1,FALSE))</f>
        <v/>
      </c>
      <c r="W19" s="16" t="str">
        <f>IF(ISBLANK($A19),"",VLOOKUP(W$2,Input!$A$6:$L$306,MATCH($A19,Input!$B$6:$L$6,0)+1,FALSE))</f>
        <v/>
      </c>
    </row>
    <row r="20" spans="1:23">
      <c r="A20" s="11"/>
      <c r="B20" s="11"/>
      <c r="C20" s="11"/>
      <c r="E20" s="36"/>
      <c r="F20" s="50" t="s">
        <v>23</v>
      </c>
      <c r="G20" s="51"/>
      <c r="H20" s="51"/>
      <c r="I20" s="51"/>
      <c r="J20" s="36"/>
      <c r="K20" s="50" t="s">
        <v>75</v>
      </c>
      <c r="L20" s="51"/>
      <c r="M20" s="51"/>
      <c r="N20" s="51"/>
      <c r="O20" s="36"/>
      <c r="P20" s="50" t="s">
        <v>76</v>
      </c>
      <c r="Q20" s="51"/>
      <c r="R20" s="51"/>
      <c r="S20" s="51"/>
    </row>
    <row r="21" spans="1:23" ht="28.2" thickBot="1">
      <c r="A21" s="52" t="s">
        <v>77</v>
      </c>
      <c r="B21" s="52" t="s">
        <v>1</v>
      </c>
      <c r="C21" s="14"/>
      <c r="D21" s="15"/>
      <c r="E21" s="45"/>
      <c r="F21" s="49" t="s">
        <v>69</v>
      </c>
      <c r="G21" s="49" t="s">
        <v>70</v>
      </c>
      <c r="H21" s="49" t="s">
        <v>71</v>
      </c>
      <c r="I21" s="49" t="s">
        <v>72</v>
      </c>
      <c r="J21" s="45"/>
      <c r="K21" s="49" t="s">
        <v>69</v>
      </c>
      <c r="L21" s="49" t="s">
        <v>70</v>
      </c>
      <c r="M21" s="49" t="s">
        <v>71</v>
      </c>
      <c r="N21" s="49" t="s">
        <v>31</v>
      </c>
      <c r="O21" s="45"/>
      <c r="P21" s="49" t="s">
        <v>69</v>
      </c>
      <c r="Q21" s="49" t="s">
        <v>70</v>
      </c>
      <c r="R21" s="49" t="s">
        <v>71</v>
      </c>
      <c r="S21" s="49" t="s">
        <v>72</v>
      </c>
      <c r="T21" s="49" t="s">
        <v>74</v>
      </c>
      <c r="U21" s="92"/>
      <c r="V21" s="92"/>
    </row>
    <row r="22" spans="1:23">
      <c r="A22" s="80"/>
      <c r="B22" s="80"/>
      <c r="C22" s="80"/>
      <c r="D22" s="86"/>
      <c r="E22" s="80"/>
      <c r="F22" s="80"/>
      <c r="G22" s="80"/>
      <c r="H22" s="80"/>
      <c r="I22" s="80"/>
      <c r="J22" s="80"/>
      <c r="K22" s="80"/>
      <c r="L22" s="80"/>
      <c r="M22" s="80"/>
      <c r="N22" s="80"/>
      <c r="O22" s="80"/>
      <c r="P22" s="80"/>
      <c r="Q22" s="80"/>
      <c r="R22" s="80"/>
      <c r="S22" s="80"/>
      <c r="T22" s="80"/>
      <c r="U22" s="8"/>
      <c r="V22" s="8"/>
    </row>
    <row r="23" spans="1:23">
      <c r="A23" s="87" t="str">
        <f>IF(ISBLANK(A9),"",A9)</f>
        <v>Procter &amp; Gamble</v>
      </c>
      <c r="B23" s="88" t="str">
        <f>B9</f>
        <v>PG</v>
      </c>
      <c r="C23" s="84"/>
      <c r="D23" s="89"/>
      <c r="E23" s="90"/>
      <c r="F23" s="83">
        <f>IF(ISBLANK($A9),"",VLOOKUP(F$3,Input!$A$6:$L$306,MATCH($A9,Input!$B$6:$L$6,0)+1,FALSE))</f>
        <v>3.9862416571115609</v>
      </c>
      <c r="G23" s="83">
        <f>IF(ISBLANK($A9),"",VLOOKUP(G$3,Input!$A$6:$L$306,MATCH($A9,Input!$B$6:$L$6,0)+1,FALSE))</f>
        <v>36.298992060831701</v>
      </c>
      <c r="H23" s="83">
        <f>IF(ISBLANK($A9),"",VLOOKUP(H$3,Input!$A$6:$L$306,MATCH($A9,Input!$B$6:$L$6,0)+1,FALSE))</f>
        <v>56.022598761708593</v>
      </c>
      <c r="I23" s="83">
        <f>IF(ISBLANK($A9),"",VLOOKUP(I$3,Input!$A$6:$L$306,MATCH($A9,Input!$B$6:$L$6,0)+1,FALSE))</f>
        <v>21.441742144195967</v>
      </c>
      <c r="J23" s="83"/>
      <c r="K23" s="83">
        <f>IF(ISBLANK($A9),"",VLOOKUP(K$3,Input!$A$6:$L$306,MATCH($A9,Input!$B$6:$L$6,0)+1,FALSE))</f>
        <v>3.9263264479665172</v>
      </c>
      <c r="L23" s="83">
        <f>IF(ISBLANK($A9),"",VLOOKUP(L$3,Input!$A$6:$L$306,MATCH($A9,Input!$B$6:$L$6,0)+1,FALSE))</f>
        <v>17.663702898136677</v>
      </c>
      <c r="M23" s="83">
        <f>IF(ISBLANK($A9),"",VLOOKUP(M$3,Input!$A$6:$L$306,MATCH($A9,Input!$B$6:$L$6,0)+1,FALSE))</f>
        <v>22.059397697365991</v>
      </c>
      <c r="N23" s="83">
        <f>IF(ISBLANK($A9),"",VLOOKUP(N$3,Input!$A$6:$L$306,MATCH($A9,Input!$B$6:$L$6,0)+1,FALSE))</f>
        <v>45.953156038098022</v>
      </c>
      <c r="O23" s="83"/>
      <c r="P23" s="83">
        <f>IF(ISBLANK($A9),"",VLOOKUP(P$3,Input!$A$6:$L$306,MATCH($A9,Input!$B$6:$L$6,0)+1,FALSE))</f>
        <v>3.8188229585961193</v>
      </c>
      <c r="Q23" s="83">
        <f>IF(ISBLANK($A9),"",VLOOKUP(Q$3,Input!$A$6:$L$306,MATCH($A9,Input!$B$6:$L$6,0)+1,FALSE))</f>
        <v>14.250961911101303</v>
      </c>
      <c r="R23" s="83">
        <f>IF(ISBLANK($A9),"",VLOOKUP(R$3,Input!$A$6:$L$306,MATCH($A9,Input!$B$6:$L$6,0)+1,FALSE))</f>
        <v>17.142761999589734</v>
      </c>
      <c r="S23" s="83" t="str">
        <f>IF(ISBLANK($A9),"",VLOOKUP(S$3,Input!$A$6:$L$306,MATCH($A9,Input!$B$6:$L$6,0)+1,FALSE))</f>
        <v>NM</v>
      </c>
      <c r="T23" s="85">
        <f>IF(ISBLANK($A9),"",VLOOKUP(T$3,Input!$A$6:$L$306,MATCH($A9,Input!$B$6:$L$6,0)+1,FALSE))</f>
        <v>13.129473153742291</v>
      </c>
      <c r="U23" s="16"/>
      <c r="V23" s="16"/>
      <c r="W23" s="1"/>
    </row>
    <row r="24" spans="1:23">
      <c r="A24" s="46" t="str">
        <f t="shared" ref="A24:B32" si="0">A10</f>
        <v>Colgate Palmlive Co</v>
      </c>
      <c r="B24" s="46" t="str">
        <f t="shared" si="0"/>
        <v>CL</v>
      </c>
      <c r="C24" s="8"/>
      <c r="D24" s="1"/>
      <c r="E24" s="65"/>
      <c r="F24" s="16">
        <f>IF(ISBLANK($A10),"",VLOOKUP(F$3,Input!$A$6:$L$306,MATCH($A10,Input!$B$6:$L$6,0)+1,FALSE))</f>
        <v>4.6344096152477592</v>
      </c>
      <c r="G24" s="16">
        <f>IF(ISBLANK($A10),"",VLOOKUP(G$3,Input!$A$6:$L$306,MATCH($A10,Input!$B$6:$L$6,0)+1,FALSE))</f>
        <v>16.386719552889094</v>
      </c>
      <c r="H24" s="16">
        <f>IF(ISBLANK($A10),"",VLOOKUP(H$3,Input!$A$6:$L$306,MATCH($A10,Input!$B$6:$L$6,0)+1,FALSE))</f>
        <v>18.325117332204268</v>
      </c>
      <c r="I24" s="16">
        <f>IF(ISBLANK($A10),"",VLOOKUP(I$3,Input!$A$6:$L$306,MATCH($A10,Input!$B$6:$L$6,0)+1,FALSE))</f>
        <v>25.483941755969695</v>
      </c>
      <c r="J24" s="16"/>
      <c r="K24" s="16">
        <f>IF(ISBLANK($A10),"",VLOOKUP(K$3,Input!$A$6:$L$306,MATCH($A10,Input!$B$6:$L$6,0)+1,FALSE))</f>
        <v>4.522945358263665</v>
      </c>
      <c r="L24" s="16">
        <f>IF(ISBLANK($A10),"",VLOOKUP(L$3,Input!$A$6:$L$306,MATCH($A10,Input!$B$6:$L$6,0)+1,FALSE))</f>
        <v>15.53950515267344</v>
      </c>
      <c r="M24" s="16">
        <f>IF(ISBLANK($A10),"",VLOOKUP(M$3,Input!$A$6:$L$306,MATCH($A10,Input!$B$6:$L$6,0)+1,FALSE))</f>
        <v>17.187634487047895</v>
      </c>
      <c r="N24" s="16" t="str">
        <f>IF(ISBLANK($A10),"",VLOOKUP(N$3,Input!$A$6:$L$306,MATCH($A10,Input!$B$6:$L$6,0)+1,FALSE))</f>
        <v>NM</v>
      </c>
      <c r="O24" s="16"/>
      <c r="P24" s="16">
        <f>IF(ISBLANK($A10),"",VLOOKUP(P$3,Input!$A$6:$L$306,MATCH($A10,Input!$B$6:$L$6,0)+1,FALSE))</f>
        <v>4.3379880540923939</v>
      </c>
      <c r="Q24" s="16">
        <f>IF(ISBLANK($A10),"",VLOOKUP(Q$3,Input!$A$6:$L$306,MATCH($A10,Input!$B$6:$L$6,0)+1,FALSE))</f>
        <v>14.579560597222219</v>
      </c>
      <c r="R24" s="16">
        <f>IF(ISBLANK($A10),"",VLOOKUP(R$3,Input!$A$6:$L$306,MATCH($A10,Input!$B$6:$L$6,0)+1,FALSE))</f>
        <v>16.090551434683135</v>
      </c>
      <c r="S24" s="16" t="str">
        <f>IF(ISBLANK($A10),"",VLOOKUP(S$3,Input!$A$6:$L$306,MATCH($A10,Input!$B$6:$L$6,0)+1,FALSE))</f>
        <v>NM</v>
      </c>
      <c r="T24" s="16" t="str">
        <f>IF(ISBLANK($A10),"",VLOOKUP(T$3,Input!$A$6:$L$306,MATCH($A10,Input!$B$6:$L$6,0)+1,FALSE))</f>
        <v>NM</v>
      </c>
      <c r="U24" s="16"/>
      <c r="V24" s="16"/>
    </row>
    <row r="25" spans="1:23">
      <c r="A25" s="46" t="str">
        <f t="shared" si="0"/>
        <v>Kimberly Clark Corp</v>
      </c>
      <c r="B25" s="46" t="str">
        <f t="shared" si="0"/>
        <v>KMB</v>
      </c>
      <c r="C25" s="11"/>
      <c r="E25" s="65"/>
      <c r="F25" s="16">
        <f>IF(ISBLANK($A11),"",VLOOKUP(F$3,Input!$A$6:$L$306,MATCH($A11,Input!$B$6:$L$6,0)+1,FALSE))</f>
        <v>2.7793601991686381</v>
      </c>
      <c r="G25" s="16">
        <f>IF(ISBLANK($A11),"",VLOOKUP(G$3,Input!$A$6:$L$306,MATCH($A11,Input!$B$6:$L$6,0)+1,FALSE))</f>
        <v>12.451287064306138</v>
      </c>
      <c r="H25" s="16">
        <f>IF(ISBLANK($A11),"",VLOOKUP(H$3,Input!$A$6:$L$306,MATCH($A11,Input!$B$6:$L$6,0)+1,FALSE))</f>
        <v>15.110640628145378</v>
      </c>
      <c r="I25" s="16">
        <f>IF(ISBLANK($A11),"",VLOOKUP(I$3,Input!$A$6:$L$306,MATCH($A11,Input!$B$6:$L$6,0)+1,FALSE))</f>
        <v>20.231248031665189</v>
      </c>
      <c r="J25" s="16"/>
      <c r="K25" s="16">
        <f>IF(ISBLANK($A11),"",VLOOKUP(K$3,Input!$A$6:$L$306,MATCH($A11,Input!$B$6:$L$6,0)+1,FALSE))</f>
        <v>2.7388240956348948</v>
      </c>
      <c r="L25" s="16">
        <f>IF(ISBLANK($A11),"",VLOOKUP(L$3,Input!$A$6:$L$306,MATCH($A11,Input!$B$6:$L$6,0)+1,FALSE))</f>
        <v>12.113878086304556</v>
      </c>
      <c r="M25" s="16">
        <f>IF(ISBLANK($A11),"",VLOOKUP(M$3,Input!$A$6:$L$306,MATCH($A11,Input!$B$6:$L$6,0)+1,FALSE))</f>
        <v>14.744562644451255</v>
      </c>
      <c r="N25" s="16" t="str">
        <f>IF(ISBLANK($A11),"",VLOOKUP(N$3,Input!$A$6:$L$306,MATCH($A11,Input!$B$6:$L$6,0)+1,FALSE))</f>
        <v>NM</v>
      </c>
      <c r="O25" s="16"/>
      <c r="P25" s="16">
        <f>IF(ISBLANK($A11),"",VLOOKUP(P$3,Input!$A$6:$L$306,MATCH($A11,Input!$B$6:$L$6,0)+1,FALSE))</f>
        <v>2.6614790105316124</v>
      </c>
      <c r="Q25" s="16">
        <f>IF(ISBLANK($A11),"",VLOOKUP(Q$3,Input!$A$6:$L$306,MATCH($A11,Input!$B$6:$L$6,0)+1,FALSE))</f>
        <v>11.617955754344527</v>
      </c>
      <c r="R25" s="16">
        <f>IF(ISBLANK($A11),"",VLOOKUP(R$3,Input!$A$6:$L$306,MATCH($A11,Input!$B$6:$L$6,0)+1,FALSE))</f>
        <v>14.098484962291376</v>
      </c>
      <c r="S25" s="16" t="str">
        <f>IF(ISBLANK($A11),"",VLOOKUP(S$3,Input!$A$6:$L$306,MATCH($A11,Input!$B$6:$L$6,0)+1,FALSE))</f>
        <v>NM</v>
      </c>
      <c r="T25" s="16" t="str">
        <f>IF(ISBLANK($A11),"",VLOOKUP(T$3,Input!$A$6:$L$306,MATCH($A11,Input!$B$6:$L$6,0)+1,FALSE))</f>
        <v>NM</v>
      </c>
      <c r="U25" s="16"/>
      <c r="V25" s="16"/>
    </row>
    <row r="26" spans="1:23">
      <c r="A26" s="46" t="str">
        <f t="shared" si="0"/>
        <v>Church &amp; Dwight Co.</v>
      </c>
      <c r="B26" s="46" t="str">
        <f t="shared" si="0"/>
        <v>CHD</v>
      </c>
      <c r="C26" s="11"/>
      <c r="E26" s="65"/>
      <c r="F26" s="16">
        <f>IF(ISBLANK($A12),"",VLOOKUP(F$3,Input!$A$6:$L$306,MATCH($A12,Input!$B$6:$L$6,0)+1,FALSE))</f>
        <v>4.2069232766307891</v>
      </c>
      <c r="G26" s="16">
        <f>IF(ISBLANK($A12),"",VLOOKUP(G$3,Input!$A$6:$L$306,MATCH($A12,Input!$B$6:$L$6,0)+1,FALSE))</f>
        <v>18.340768768106969</v>
      </c>
      <c r="H26" s="16">
        <f>IF(ISBLANK($A12),"",VLOOKUP(H$3,Input!$A$6:$L$306,MATCH($A12,Input!$B$6:$L$6,0)+1,FALSE))</f>
        <v>19.77287631340096</v>
      </c>
      <c r="I26" s="16">
        <f>IF(ISBLANK($A12),"",VLOOKUP(I$3,Input!$A$6:$L$306,MATCH($A12,Input!$B$6:$L$6,0)+1,FALSE))</f>
        <v>28.832629456537411</v>
      </c>
      <c r="J26" s="16"/>
      <c r="K26" s="16">
        <f>IF(ISBLANK($A12),"",VLOOKUP(K$3,Input!$A$6:$L$306,MATCH($A12,Input!$B$6:$L$6,0)+1,FALSE))</f>
        <v>4.0775774660060558</v>
      </c>
      <c r="L26" s="16">
        <f>IF(ISBLANK($A12),"",VLOOKUP(L$3,Input!$A$6:$L$306,MATCH($A12,Input!$B$6:$L$6,0)+1,FALSE))</f>
        <v>16.872253911161732</v>
      </c>
      <c r="M26" s="16">
        <f>IF(ISBLANK($A12),"",VLOOKUP(M$3,Input!$A$6:$L$306,MATCH($A12,Input!$B$6:$L$6,0)+1,FALSE))</f>
        <v>19.238751862337661</v>
      </c>
      <c r="N26" s="16" t="str">
        <f>IF(ISBLANK($A12),"",VLOOKUP(N$3,Input!$A$6:$L$306,MATCH($A12,Input!$B$6:$L$6,0)+1,FALSE))</f>
        <v>NM</v>
      </c>
      <c r="O26" s="16"/>
      <c r="P26" s="16">
        <f>IF(ISBLANK($A12),"",VLOOKUP(P$3,Input!$A$6:$L$306,MATCH($A12,Input!$B$6:$L$6,0)+1,FALSE))</f>
        <v>3.954575262680192</v>
      </c>
      <c r="Q26" s="16">
        <f>IF(ISBLANK($A12),"",VLOOKUP(Q$3,Input!$A$6:$L$306,MATCH($A12,Input!$B$6:$L$6,0)+1,FALSE))</f>
        <v>15.894676967811158</v>
      </c>
      <c r="R26" s="16">
        <f>IF(ISBLANK($A12),"",VLOOKUP(R$3,Input!$A$6:$L$306,MATCH($A12,Input!$B$6:$L$6,0)+1,FALSE))</f>
        <v>18.043652781973204</v>
      </c>
      <c r="S26" s="16" t="str">
        <f>IF(ISBLANK($A12),"",VLOOKUP(S$3,Input!$A$6:$L$306,MATCH($A12,Input!$B$6:$L$6,0)+1,FALSE))</f>
        <v>NM</v>
      </c>
      <c r="T26" s="16" t="str">
        <f>IF(ISBLANK($A12),"",VLOOKUP(T$3,Input!$A$6:$L$306,MATCH($A12,Input!$B$6:$L$6,0)+1,FALSE))</f>
        <v>NM</v>
      </c>
      <c r="U26" s="16"/>
      <c r="V26" s="16"/>
    </row>
    <row r="27" spans="1:23">
      <c r="A27" s="46" t="str">
        <f t="shared" si="0"/>
        <v>The Chlorox Company</v>
      </c>
      <c r="B27" s="46" t="str">
        <f t="shared" si="0"/>
        <v>CLX</v>
      </c>
      <c r="C27" s="11"/>
      <c r="E27" s="65"/>
      <c r="F27" s="16">
        <f>IF(ISBLANK($A13),"",VLOOKUP(F$3,Input!$A$6:$L$306,MATCH($A13,Input!$B$6:$L$6,0)+1,FALSE))</f>
        <v>3.2746916435656437</v>
      </c>
      <c r="G27" s="16">
        <f>IF(ISBLANK($A13),"",VLOOKUP(G$3,Input!$A$6:$L$306,MATCH($A13,Input!$B$6:$L$6,0)+1,FALSE))</f>
        <v>15.675139482851376</v>
      </c>
      <c r="H27" s="16">
        <f>IF(ISBLANK($A13),"",VLOOKUP(H$3,Input!$A$6:$L$306,MATCH($A13,Input!$B$6:$L$6,0)+1,FALSE))</f>
        <v>18.068736200903171</v>
      </c>
      <c r="I27" s="16">
        <f>IF(ISBLANK($A13),"",VLOOKUP(I$3,Input!$A$6:$L$306,MATCH($A13,Input!$B$6:$L$6,0)+1,FALSE))</f>
        <v>26.350351240466129</v>
      </c>
      <c r="J27" s="16"/>
      <c r="K27" s="16">
        <f>IF(ISBLANK($A13),"",VLOOKUP(K$3,Input!$A$6:$L$306,MATCH($A13,Input!$B$6:$L$6,0)+1,FALSE))</f>
        <v>3.2024185125343561</v>
      </c>
      <c r="L27" s="16">
        <f>IF(ISBLANK($A13),"",VLOOKUP(L$3,Input!$A$6:$L$306,MATCH($A13,Input!$B$6:$L$6,0)+1,FALSE))</f>
        <v>14.759985742718708</v>
      </c>
      <c r="M27" s="16">
        <f>IF(ISBLANK($A13),"",VLOOKUP(M$3,Input!$A$6:$L$306,MATCH($A13,Input!$B$6:$L$6,0)+1,FALSE))</f>
        <v>17.109122235465598</v>
      </c>
      <c r="N27" s="16" t="str">
        <f>IF(ISBLANK($A13),"",VLOOKUP(N$3,Input!$A$6:$L$306,MATCH($A13,Input!$B$6:$L$6,0)+1,FALSE))</f>
        <v>NM</v>
      </c>
      <c r="O27" s="16"/>
      <c r="P27" s="16">
        <f>IF(ISBLANK($A13),"",VLOOKUP(P$3,Input!$A$6:$L$306,MATCH($A13,Input!$B$6:$L$6,0)+1,FALSE))</f>
        <v>3.1050201005688058</v>
      </c>
      <c r="Q27" s="16">
        <f>IF(ISBLANK($A13),"",VLOOKUP(Q$3,Input!$A$6:$L$306,MATCH($A13,Input!$B$6:$L$6,0)+1,FALSE))</f>
        <v>14.105708853831461</v>
      </c>
      <c r="R27" s="16">
        <f>IF(ISBLANK($A13),"",VLOOKUP(R$3,Input!$A$6:$L$306,MATCH($A13,Input!$B$6:$L$6,0)+1,FALSE))</f>
        <v>16.318196386506227</v>
      </c>
      <c r="S27" s="16" t="str">
        <f>IF(ISBLANK($A13),"",VLOOKUP(S$3,Input!$A$6:$L$306,MATCH($A13,Input!$B$6:$L$6,0)+1,FALSE))</f>
        <v>NM</v>
      </c>
      <c r="T27" s="16" t="str">
        <f>IF(ISBLANK($A13),"",VLOOKUP(T$3,Input!$A$6:$L$306,MATCH($A13,Input!$B$6:$L$6,0)+1,FALSE))</f>
        <v>NM</v>
      </c>
      <c r="U27" s="16"/>
      <c r="V27" s="16"/>
    </row>
    <row r="28" spans="1:23">
      <c r="A28" s="46">
        <f t="shared" si="0"/>
        <v>0</v>
      </c>
      <c r="B28" s="46" t="str">
        <f t="shared" si="0"/>
        <v/>
      </c>
      <c r="C28" s="11"/>
      <c r="E28" s="65"/>
      <c r="F28" s="16" t="str">
        <f>IF(ISBLANK($A14),"",VLOOKUP(F$3,Input!$A$6:$L$306,MATCH($A14,Input!$B$6:$L$6,0)+1,FALSE))</f>
        <v/>
      </c>
      <c r="G28" s="16" t="str">
        <f>IF(ISBLANK($A14),"",VLOOKUP(G$3,Input!$A$6:$L$306,MATCH($A14,Input!$B$6:$L$6,0)+1,FALSE))</f>
        <v/>
      </c>
      <c r="H28" s="16" t="str">
        <f>IF(ISBLANK($A14),"",VLOOKUP(H$3,Input!$A$6:$L$306,MATCH($A14,Input!$B$6:$L$6,0)+1,FALSE))</f>
        <v/>
      </c>
      <c r="I28" s="16" t="str">
        <f>IF(ISBLANK($A14),"",VLOOKUP(I$3,Input!$A$6:$L$306,MATCH($A14,Input!$B$6:$L$6,0)+1,FALSE))</f>
        <v/>
      </c>
      <c r="J28" s="16"/>
      <c r="K28" s="16" t="str">
        <f>IF(ISBLANK($A14),"",VLOOKUP(K$3,Input!$A$6:$L$306,MATCH($A14,Input!$B$6:$L$6,0)+1,FALSE))</f>
        <v/>
      </c>
      <c r="L28" s="16" t="str">
        <f>IF(ISBLANK($A14),"",VLOOKUP(L$3,Input!$A$6:$L$306,MATCH($A14,Input!$B$6:$L$6,0)+1,FALSE))</f>
        <v/>
      </c>
      <c r="M28" s="16" t="str">
        <f>IF(ISBLANK($A14),"",VLOOKUP(M$3,Input!$A$6:$L$306,MATCH($A14,Input!$B$6:$L$6,0)+1,FALSE))</f>
        <v/>
      </c>
      <c r="N28" s="16" t="str">
        <f>IF(ISBLANK($A14),"",VLOOKUP(N$3,Input!$A$6:$L$306,MATCH($A14,Input!$B$6:$L$6,0)+1,FALSE))</f>
        <v/>
      </c>
      <c r="O28" s="16"/>
      <c r="P28" s="16" t="str">
        <f>IF(ISBLANK($A14),"",VLOOKUP(P$3,Input!$A$6:$L$306,MATCH($A14,Input!$B$6:$L$6,0)+1,FALSE))</f>
        <v/>
      </c>
      <c r="Q28" s="16" t="str">
        <f>IF(ISBLANK($A14),"",VLOOKUP(Q$3,Input!$A$6:$L$306,MATCH($A14,Input!$B$6:$L$6,0)+1,FALSE))</f>
        <v/>
      </c>
      <c r="R28" s="16" t="str">
        <f>IF(ISBLANK($A14),"",VLOOKUP(R$3,Input!$A$6:$L$306,MATCH($A14,Input!$B$6:$L$6,0)+1,FALSE))</f>
        <v/>
      </c>
      <c r="S28" s="16" t="str">
        <f>IF(ISBLANK($A14),"",VLOOKUP(S$3,Input!$A$6:$L$306,MATCH($A14,Input!$B$6:$L$6,0)+1,FALSE))</f>
        <v/>
      </c>
      <c r="T28" s="16" t="str">
        <f>IF(ISBLANK($A14),"",VLOOKUP(T$3,Input!$A$6:$L$306,MATCH($A14,Input!$B$6:$L$6,0)+1,FALSE))</f>
        <v/>
      </c>
      <c r="U28" s="16"/>
      <c r="V28" s="16"/>
    </row>
    <row r="29" spans="1:23">
      <c r="A29" s="46">
        <f>A15</f>
        <v>0</v>
      </c>
      <c r="B29" s="46" t="str">
        <f t="shared" si="0"/>
        <v/>
      </c>
      <c r="C29" s="11"/>
      <c r="E29" s="65"/>
      <c r="F29" s="16" t="str">
        <f>IF(ISBLANK($A15),"",VLOOKUP(F$3,Input!$A$6:$L$306,MATCH($A15,Input!$B$6:$L$6,0)+1,FALSE))</f>
        <v/>
      </c>
      <c r="G29" s="16" t="str">
        <f>IF(ISBLANK($A15),"",VLOOKUP(G$3,Input!$A$6:$L$306,MATCH($A15,Input!$B$6:$L$6,0)+1,FALSE))</f>
        <v/>
      </c>
      <c r="H29" s="16" t="str">
        <f>IF(ISBLANK($A15),"",VLOOKUP(H$3,Input!$A$6:$L$306,MATCH($A15,Input!$B$6:$L$6,0)+1,FALSE))</f>
        <v/>
      </c>
      <c r="I29" s="16" t="str">
        <f>IF(ISBLANK($A15),"",VLOOKUP(I$3,Input!$A$6:$L$306,MATCH($A15,Input!$B$6:$L$6,0)+1,FALSE))</f>
        <v/>
      </c>
      <c r="J29" s="16"/>
      <c r="K29" s="16" t="str">
        <f>IF(ISBLANK($A15),"",VLOOKUP(K$3,Input!$A$6:$L$306,MATCH($A15,Input!$B$6:$L$6,0)+1,FALSE))</f>
        <v/>
      </c>
      <c r="L29" s="16" t="str">
        <f>IF(ISBLANK($A15),"",VLOOKUP(L$3,Input!$A$6:$L$306,MATCH($A15,Input!$B$6:$L$6,0)+1,FALSE))</f>
        <v/>
      </c>
      <c r="M29" s="16" t="str">
        <f>IF(ISBLANK($A15),"",VLOOKUP(M$3,Input!$A$6:$L$306,MATCH($A15,Input!$B$6:$L$6,0)+1,FALSE))</f>
        <v/>
      </c>
      <c r="N29" s="16" t="str">
        <f>IF(ISBLANK($A15),"",VLOOKUP(N$3,Input!$A$6:$L$306,MATCH($A15,Input!$B$6:$L$6,0)+1,FALSE))</f>
        <v/>
      </c>
      <c r="O29" s="16"/>
      <c r="P29" s="16" t="str">
        <f>IF(ISBLANK($A15),"",VLOOKUP(P$3,Input!$A$6:$L$306,MATCH($A15,Input!$B$6:$L$6,0)+1,FALSE))</f>
        <v/>
      </c>
      <c r="Q29" s="16" t="str">
        <f>IF(ISBLANK($A15),"",VLOOKUP(Q$3,Input!$A$6:$L$306,MATCH($A15,Input!$B$6:$L$6,0)+1,FALSE))</f>
        <v/>
      </c>
      <c r="R29" s="16" t="str">
        <f>IF(ISBLANK($A15),"",VLOOKUP(R$3,Input!$A$6:$L$306,MATCH($A15,Input!$B$6:$L$6,0)+1,FALSE))</f>
        <v/>
      </c>
      <c r="S29" s="16" t="str">
        <f>IF(ISBLANK($A15),"",VLOOKUP(S$3,Input!$A$6:$L$306,MATCH($A15,Input!$B$6:$L$6,0)+1,FALSE))</f>
        <v/>
      </c>
      <c r="T29" s="16" t="str">
        <f>IF(ISBLANK($A15),"",VLOOKUP(T$3,Input!$A$6:$L$306,MATCH($A15,Input!$B$6:$L$6,0)+1,FALSE))</f>
        <v/>
      </c>
      <c r="U29" s="16"/>
      <c r="V29" s="16"/>
    </row>
    <row r="30" spans="1:23">
      <c r="A30" s="46">
        <f>A16</f>
        <v>0</v>
      </c>
      <c r="B30" s="46" t="str">
        <f t="shared" si="0"/>
        <v/>
      </c>
      <c r="C30" s="11"/>
      <c r="E30" s="65"/>
      <c r="F30" s="16" t="str">
        <f>IF(ISBLANK($A16),"",VLOOKUP(F$3,Input!$A$6:$L$306,MATCH($A16,Input!$B$6:$L$6,0)+1,FALSE))</f>
        <v/>
      </c>
      <c r="G30" s="16" t="str">
        <f>IF(ISBLANK($A16),"",VLOOKUP(G$3,Input!$A$6:$L$306,MATCH($A16,Input!$B$6:$L$6,0)+1,FALSE))</f>
        <v/>
      </c>
      <c r="H30" s="16" t="str">
        <f>IF(ISBLANK($A16),"",VLOOKUP(H$3,Input!$A$6:$L$306,MATCH($A16,Input!$B$6:$L$6,0)+1,FALSE))</f>
        <v/>
      </c>
      <c r="I30" s="16" t="str">
        <f>IF(ISBLANK($A16),"",VLOOKUP(I$3,Input!$A$6:$L$306,MATCH($A16,Input!$B$6:$L$6,0)+1,FALSE))</f>
        <v/>
      </c>
      <c r="J30" s="16" t="str">
        <f>IF(ISBLANK($A16),"",VLOOKUP(J$3,Input!$A$6:$L$306,MATCH($A16,Input!$B$6:$L$6,0)+1,FALSE))</f>
        <v/>
      </c>
      <c r="K30" s="16" t="str">
        <f>IF(ISBLANK($A16),"",VLOOKUP(K$3,Input!$A$6:$L$306,MATCH($A16,Input!$B$6:$L$6,0)+1,FALSE))</f>
        <v/>
      </c>
      <c r="L30" s="16" t="str">
        <f>IF(ISBLANK($A16),"",VLOOKUP(L$3,Input!$A$6:$L$306,MATCH($A16,Input!$B$6:$L$6,0)+1,FALSE))</f>
        <v/>
      </c>
      <c r="M30" s="16" t="str">
        <f>IF(ISBLANK($A16),"",VLOOKUP(M$3,Input!$A$6:$L$306,MATCH($A16,Input!$B$6:$L$6,0)+1,FALSE))</f>
        <v/>
      </c>
      <c r="N30" s="16" t="str">
        <f>IF(ISBLANK($A16),"",VLOOKUP(N$3,Input!$A$6:$L$306,MATCH($A16,Input!$B$6:$L$6,0)+1,FALSE))</f>
        <v/>
      </c>
      <c r="O30" s="16" t="str">
        <f>IF(ISBLANK($A16),"",VLOOKUP(O$3,Input!$A$6:$L$306,MATCH($A16,Input!$B$6:$L$6,0)+1,FALSE))</f>
        <v/>
      </c>
      <c r="P30" s="16" t="str">
        <f>IF(ISBLANK($A16),"",VLOOKUP(P$3,Input!$A$6:$L$306,MATCH($A16,Input!$B$6:$L$6,0)+1,FALSE))</f>
        <v/>
      </c>
      <c r="Q30" s="16" t="str">
        <f>IF(ISBLANK($A16),"",VLOOKUP(Q$3,Input!$A$6:$L$306,MATCH($A16,Input!$B$6:$L$6,0)+1,FALSE))</f>
        <v/>
      </c>
      <c r="R30" s="16" t="str">
        <f>IF(ISBLANK($A16),"",VLOOKUP(R$3,Input!$A$6:$L$306,MATCH($A16,Input!$B$6:$L$6,0)+1,FALSE))</f>
        <v/>
      </c>
      <c r="S30" s="16" t="str">
        <f>IF(ISBLANK($A16),"",VLOOKUP(S$3,Input!$A$6:$L$306,MATCH($A16,Input!$B$6:$L$6,0)+1,FALSE))</f>
        <v/>
      </c>
      <c r="T30" s="16" t="str">
        <f>IF(ISBLANK($A16),"",VLOOKUP(T$3,Input!$A$6:$L$306,MATCH($A16,Input!$B$6:$L$6,0)+1,FALSE))</f>
        <v/>
      </c>
      <c r="U30" s="16"/>
      <c r="V30" s="16"/>
    </row>
    <row r="31" spans="1:23">
      <c r="A31" s="46">
        <f t="shared" si="0"/>
        <v>0</v>
      </c>
      <c r="B31" s="46" t="str">
        <f t="shared" si="0"/>
        <v/>
      </c>
      <c r="C31" s="11"/>
      <c r="E31" s="65"/>
      <c r="F31" s="16" t="str">
        <f>IF(ISBLANK($A17),"",VLOOKUP(F$3,Input!$A$6:$L$306,MATCH($A17,Input!$B$6:$L$6,0)+1,FALSE))</f>
        <v/>
      </c>
      <c r="G31" s="16" t="str">
        <f>IF(ISBLANK($A17),"",VLOOKUP(G$3,Input!$A$6:$L$306,MATCH($A17,Input!$B$6:$L$6,0)+1,FALSE))</f>
        <v/>
      </c>
      <c r="H31" s="16" t="str">
        <f>IF(ISBLANK($A17),"",VLOOKUP(H$3,Input!$A$6:$L$306,MATCH($A17,Input!$B$6:$L$6,0)+1,FALSE))</f>
        <v/>
      </c>
      <c r="I31" s="16" t="str">
        <f>IF(ISBLANK($A17),"",VLOOKUP(I$3,Input!$A$6:$L$306,MATCH($A17,Input!$B$6:$L$6,0)+1,FALSE))</f>
        <v/>
      </c>
      <c r="J31" s="16" t="str">
        <f>IF(ISBLANK($A17),"",VLOOKUP(J$3,Input!$A$6:$L$306,MATCH($A17,Input!$B$6:$L$6,0)+1,FALSE))</f>
        <v/>
      </c>
      <c r="K31" s="16" t="str">
        <f>IF(ISBLANK($A17),"",VLOOKUP(K$3,Input!$A$6:$L$306,MATCH($A17,Input!$B$6:$L$6,0)+1,FALSE))</f>
        <v/>
      </c>
      <c r="L31" s="16" t="str">
        <f>IF(ISBLANK($A17),"",VLOOKUP(L$3,Input!$A$6:$L$306,MATCH($A17,Input!$B$6:$L$6,0)+1,FALSE))</f>
        <v/>
      </c>
      <c r="M31" s="16" t="str">
        <f>IF(ISBLANK($A17),"",VLOOKUP(M$3,Input!$A$6:$L$306,MATCH($A17,Input!$B$6:$L$6,0)+1,FALSE))</f>
        <v/>
      </c>
      <c r="N31" s="16" t="str">
        <f>IF(ISBLANK($A17),"",VLOOKUP(N$3,Input!$A$6:$L$306,MATCH($A17,Input!$B$6:$L$6,0)+1,FALSE))</f>
        <v/>
      </c>
      <c r="O31" s="16" t="str">
        <f>IF(ISBLANK($A17),"",VLOOKUP(O$3,Input!$A$6:$L$306,MATCH($A17,Input!$B$6:$L$6,0)+1,FALSE))</f>
        <v/>
      </c>
      <c r="P31" s="16" t="str">
        <f>IF(ISBLANK($A17),"",VLOOKUP(P$3,Input!$A$6:$L$306,MATCH($A17,Input!$B$6:$L$6,0)+1,FALSE))</f>
        <v/>
      </c>
      <c r="Q31" s="16" t="str">
        <f>IF(ISBLANK($A17),"",VLOOKUP(Q$3,Input!$A$6:$L$306,MATCH($A17,Input!$B$6:$L$6,0)+1,FALSE))</f>
        <v/>
      </c>
      <c r="R31" s="16" t="str">
        <f>IF(ISBLANK($A17),"",VLOOKUP(R$3,Input!$A$6:$L$306,MATCH($A17,Input!$B$6:$L$6,0)+1,FALSE))</f>
        <v/>
      </c>
      <c r="S31" s="16" t="str">
        <f>IF(ISBLANK($A17),"",VLOOKUP(S$3,Input!$A$6:$L$306,MATCH($A17,Input!$B$6:$L$6,0)+1,FALSE))</f>
        <v/>
      </c>
      <c r="T31" s="16" t="str">
        <f>IF(ISBLANK($A17),"",VLOOKUP(T$3,Input!$A$6:$L$306,MATCH($A17,Input!$B$6:$L$6,0)+1,FALSE))</f>
        <v/>
      </c>
      <c r="U31" s="16"/>
      <c r="V31" s="16"/>
    </row>
    <row r="32" spans="1:23">
      <c r="A32" s="46">
        <f t="shared" si="0"/>
        <v>0</v>
      </c>
      <c r="B32" s="46" t="str">
        <f t="shared" si="0"/>
        <v/>
      </c>
      <c r="C32" s="11"/>
      <c r="E32" s="65"/>
      <c r="F32" s="16" t="str">
        <f>IF(ISBLANK($A18),"",VLOOKUP(F$3,Input!$A$6:$L$306,MATCH($A18,Input!$B$6:$L$6,0)+1,FALSE))</f>
        <v/>
      </c>
      <c r="G32" s="16" t="str">
        <f>IF(ISBLANK($A18),"",VLOOKUP(G$3,Input!$A$6:$L$306,MATCH($A18,Input!$B$6:$L$6,0)+1,FALSE))</f>
        <v/>
      </c>
      <c r="H32" s="16" t="str">
        <f>IF(ISBLANK($A18),"",VLOOKUP(H$3,Input!$A$6:$L$306,MATCH($A18,Input!$B$6:$L$6,0)+1,FALSE))</f>
        <v/>
      </c>
      <c r="I32" s="16" t="str">
        <f>IF(ISBLANK($A18),"",VLOOKUP(I$3,Input!$A$6:$L$306,MATCH($A18,Input!$B$6:$L$6,0)+1,FALSE))</f>
        <v/>
      </c>
      <c r="J32" s="16" t="str">
        <f>IF(ISBLANK($A18),"",VLOOKUP(J$3,Input!$A$6:$L$306,MATCH($A18,Input!$B$6:$L$6,0)+1,FALSE))</f>
        <v/>
      </c>
      <c r="K32" s="16" t="str">
        <f>IF(ISBLANK($A18),"",VLOOKUP(K$3,Input!$A$6:$L$306,MATCH($A18,Input!$B$6:$L$6,0)+1,FALSE))</f>
        <v/>
      </c>
      <c r="L32" s="16" t="str">
        <f>IF(ISBLANK($A18),"",VLOOKUP(L$3,Input!$A$6:$L$306,MATCH($A18,Input!$B$6:$L$6,0)+1,FALSE))</f>
        <v/>
      </c>
      <c r="M32" s="16" t="str">
        <f>IF(ISBLANK($A18),"",VLOOKUP(M$3,Input!$A$6:$L$306,MATCH($A18,Input!$B$6:$L$6,0)+1,FALSE))</f>
        <v/>
      </c>
      <c r="N32" s="16" t="str">
        <f>IF(ISBLANK($A18),"",VLOOKUP(N$3,Input!$A$6:$L$306,MATCH($A18,Input!$B$6:$L$6,0)+1,FALSE))</f>
        <v/>
      </c>
      <c r="O32" s="16" t="str">
        <f>IF(ISBLANK($A18),"",VLOOKUP(O$3,Input!$A$6:$L$306,MATCH($A18,Input!$B$6:$L$6,0)+1,FALSE))</f>
        <v/>
      </c>
      <c r="P32" s="16" t="str">
        <f>IF(ISBLANK($A18),"",VLOOKUP(P$3,Input!$A$6:$L$306,MATCH($A18,Input!$B$6:$L$6,0)+1,FALSE))</f>
        <v/>
      </c>
      <c r="Q32" s="16" t="str">
        <f>IF(ISBLANK($A18),"",VLOOKUP(Q$3,Input!$A$6:$L$306,MATCH($A18,Input!$B$6:$L$6,0)+1,FALSE))</f>
        <v/>
      </c>
      <c r="R32" s="16" t="str">
        <f>IF(ISBLANK($A18),"",VLOOKUP(R$3,Input!$A$6:$L$306,MATCH($A18,Input!$B$6:$L$6,0)+1,FALSE))</f>
        <v/>
      </c>
      <c r="S32" s="16" t="str">
        <f>IF(ISBLANK($A18),"",VLOOKUP(S$3,Input!$A$6:$L$306,MATCH($A18,Input!$B$6:$L$6,0)+1,FALSE))</f>
        <v/>
      </c>
      <c r="T32" s="16" t="str">
        <f>IF(ISBLANK($A18),"",VLOOKUP(T$3,Input!$A$6:$L$306,MATCH($A18,Input!$B$6:$L$6,0)+1,FALSE))</f>
        <v/>
      </c>
      <c r="U32" s="16"/>
      <c r="V32" s="16"/>
    </row>
    <row r="34" spans="3:22">
      <c r="C34" s="48" t="s">
        <v>28</v>
      </c>
      <c r="D34" s="47"/>
      <c r="E34" s="47"/>
      <c r="F34" s="47">
        <f t="shared" ref="F34:T34" si="1">MAX(F23:F32)</f>
        <v>4.6344096152477592</v>
      </c>
      <c r="G34" s="47">
        <f t="shared" si="1"/>
        <v>36.298992060831701</v>
      </c>
      <c r="H34" s="47">
        <f t="shared" si="1"/>
        <v>56.022598761708593</v>
      </c>
      <c r="I34" s="47">
        <f t="shared" si="1"/>
        <v>28.832629456537411</v>
      </c>
      <c r="J34" s="47"/>
      <c r="K34" s="47">
        <f t="shared" si="1"/>
        <v>4.522945358263665</v>
      </c>
      <c r="L34" s="47">
        <f t="shared" si="1"/>
        <v>17.663702898136677</v>
      </c>
      <c r="M34" s="47">
        <f t="shared" si="1"/>
        <v>22.059397697365991</v>
      </c>
      <c r="N34" s="47">
        <f t="shared" si="1"/>
        <v>45.953156038098022</v>
      </c>
      <c r="O34" s="47"/>
      <c r="P34" s="47">
        <f t="shared" si="1"/>
        <v>4.3379880540923939</v>
      </c>
      <c r="Q34" s="47">
        <f t="shared" si="1"/>
        <v>15.894676967811158</v>
      </c>
      <c r="R34" s="47">
        <f t="shared" si="1"/>
        <v>18.043652781973204</v>
      </c>
      <c r="S34" s="47">
        <f t="shared" si="1"/>
        <v>0</v>
      </c>
      <c r="T34" s="47">
        <f t="shared" si="1"/>
        <v>13.129473153742291</v>
      </c>
      <c r="U34" s="47"/>
    </row>
    <row r="35" spans="3:22">
      <c r="C35" s="48" t="s">
        <v>29</v>
      </c>
      <c r="D35" s="47"/>
      <c r="E35" s="47"/>
      <c r="F35" s="66">
        <f t="shared" ref="F35:T35" si="2">MIN(F23:F32)</f>
        <v>2.7793601991686381</v>
      </c>
      <c r="G35" s="66">
        <f t="shared" si="2"/>
        <v>12.451287064306138</v>
      </c>
      <c r="H35" s="66">
        <f t="shared" si="2"/>
        <v>15.110640628145378</v>
      </c>
      <c r="I35" s="66">
        <f t="shared" si="2"/>
        <v>20.231248031665189</v>
      </c>
      <c r="J35" s="66"/>
      <c r="K35" s="66">
        <f t="shared" si="2"/>
        <v>2.7388240956348948</v>
      </c>
      <c r="L35" s="66">
        <f t="shared" si="2"/>
        <v>12.113878086304556</v>
      </c>
      <c r="M35" s="66">
        <f t="shared" si="2"/>
        <v>14.744562644451255</v>
      </c>
      <c r="N35" s="66">
        <f t="shared" si="2"/>
        <v>45.953156038098022</v>
      </c>
      <c r="O35" s="66"/>
      <c r="P35" s="66">
        <f t="shared" si="2"/>
        <v>2.6614790105316124</v>
      </c>
      <c r="Q35" s="66">
        <f t="shared" si="2"/>
        <v>11.617955754344527</v>
      </c>
      <c r="R35" s="66">
        <f t="shared" si="2"/>
        <v>14.098484962291376</v>
      </c>
      <c r="S35" s="66">
        <f t="shared" si="2"/>
        <v>0</v>
      </c>
      <c r="T35" s="66">
        <f t="shared" si="2"/>
        <v>13.129473153742291</v>
      </c>
      <c r="U35" s="66"/>
    </row>
    <row r="36" spans="3:22">
      <c r="C36" s="48" t="s">
        <v>30</v>
      </c>
      <c r="D36" s="47"/>
      <c r="E36" s="47"/>
      <c r="F36" s="66">
        <f>MEDIAN(F23:F32)</f>
        <v>3.9862416571115609</v>
      </c>
      <c r="G36" s="66">
        <f t="shared" ref="G36:T36" si="3">MEDIAN(G23:G32)</f>
        <v>16.386719552889094</v>
      </c>
      <c r="H36" s="66">
        <f t="shared" si="3"/>
        <v>18.325117332204268</v>
      </c>
      <c r="I36" s="66">
        <f t="shared" si="3"/>
        <v>25.483941755969695</v>
      </c>
      <c r="J36" s="66"/>
      <c r="K36" s="66">
        <f t="shared" si="3"/>
        <v>3.9263264479665172</v>
      </c>
      <c r="L36" s="66">
        <f t="shared" si="3"/>
        <v>15.53950515267344</v>
      </c>
      <c r="M36" s="66">
        <f t="shared" si="3"/>
        <v>17.187634487047895</v>
      </c>
      <c r="N36" s="66">
        <f t="shared" si="3"/>
        <v>45.953156038098022</v>
      </c>
      <c r="O36" s="66"/>
      <c r="P36" s="66">
        <f t="shared" si="3"/>
        <v>3.8188229585961193</v>
      </c>
      <c r="Q36" s="66">
        <f t="shared" si="3"/>
        <v>14.250961911101303</v>
      </c>
      <c r="R36" s="66">
        <f t="shared" si="3"/>
        <v>16.318196386506227</v>
      </c>
      <c r="S36" s="66" t="e">
        <f t="shared" si="3"/>
        <v>#NUM!</v>
      </c>
      <c r="T36" s="66">
        <f t="shared" si="3"/>
        <v>13.129473153742291</v>
      </c>
      <c r="U36" s="66"/>
    </row>
    <row r="37" spans="3:22">
      <c r="C37" s="12" t="s">
        <v>27</v>
      </c>
      <c r="D37" s="47"/>
      <c r="E37" s="47"/>
      <c r="F37" s="67">
        <f>AVERAGE(F23:F32)</f>
        <v>3.7763252783448777</v>
      </c>
      <c r="G37" s="67">
        <f t="shared" ref="G37:T37" si="4">AVERAGE(G23:G32)</f>
        <v>19.830581385797057</v>
      </c>
      <c r="H37" s="67">
        <f t="shared" si="4"/>
        <v>25.459993847272475</v>
      </c>
      <c r="I37" s="67">
        <f t="shared" si="4"/>
        <v>24.467982525766878</v>
      </c>
      <c r="J37" s="67"/>
      <c r="K37" s="67">
        <f t="shared" si="4"/>
        <v>3.6936183760810977</v>
      </c>
      <c r="L37" s="67">
        <f t="shared" si="4"/>
        <v>15.389865158199024</v>
      </c>
      <c r="M37" s="67">
        <f t="shared" si="4"/>
        <v>18.067893785333677</v>
      </c>
      <c r="N37" s="67">
        <f t="shared" si="4"/>
        <v>45.953156038098022</v>
      </c>
      <c r="O37" s="67"/>
      <c r="P37" s="67">
        <f t="shared" si="4"/>
        <v>3.5755770772938247</v>
      </c>
      <c r="Q37" s="67">
        <f t="shared" si="4"/>
        <v>14.089772816862133</v>
      </c>
      <c r="R37" s="67">
        <f t="shared" si="4"/>
        <v>16.338729513008737</v>
      </c>
      <c r="S37" s="67" t="e">
        <f t="shared" si="4"/>
        <v>#DIV/0!</v>
      </c>
      <c r="T37" s="67">
        <f t="shared" si="4"/>
        <v>13.129473153742291</v>
      </c>
      <c r="U37" s="67"/>
    </row>
    <row r="38" spans="3:22">
      <c r="C38" s="91" t="str">
        <f>"Mean (excl. "&amp;C39&amp;")"</f>
        <v>Mean (excl. PG)</v>
      </c>
      <c r="D38" s="47"/>
      <c r="E38" s="47"/>
      <c r="F38" s="99">
        <f>IFERROR(AVERAGE(F24:F32), "NM")</f>
        <v>3.7238461836532077</v>
      </c>
      <c r="G38" s="99">
        <f>IFERROR(AVERAGE(G24:G32), "NM")</f>
        <v>15.713478717038395</v>
      </c>
      <c r="H38" s="99">
        <f>IFERROR(AVERAGE(H24:H32), "NM")</f>
        <v>17.819342618663445</v>
      </c>
      <c r="I38" s="99">
        <f>IFERROR(AVERAGE(I24:I32), "NM")</f>
        <v>25.224542621159607</v>
      </c>
      <c r="J38" s="67"/>
      <c r="K38" s="99">
        <f>IFERROR(AVERAGE(K24:K32), "NM")</f>
        <v>3.6354413581097429</v>
      </c>
      <c r="L38" s="99">
        <f>IFERROR(AVERAGE(L24:L32), "NM")</f>
        <v>14.82140572321461</v>
      </c>
      <c r="M38" s="99">
        <f>IFERROR(AVERAGE(M24:M32), "NM")</f>
        <v>17.070017807325605</v>
      </c>
      <c r="N38" s="99" t="str">
        <f>IFERROR(AVERAGE(N24:N32), "NM")</f>
        <v>NM</v>
      </c>
      <c r="O38" s="67"/>
      <c r="P38" s="99">
        <f>IFERROR(AVERAGE(P24:P32), "NM")</f>
        <v>3.5147656069682514</v>
      </c>
      <c r="Q38" s="99">
        <f>IFERROR(AVERAGE(Q24:Q32), "NM")</f>
        <v>14.049475543302341</v>
      </c>
      <c r="R38" s="99">
        <f>IFERROR(AVERAGE(R24:R32), "NM")</f>
        <v>16.137721391363485</v>
      </c>
      <c r="S38" s="99" t="str">
        <f>IFERROR(AVERAGE(S24:S32), "NM")</f>
        <v>NM</v>
      </c>
      <c r="T38" s="99" t="str">
        <f>IFERROR(AVERAGE(T24:T32), "NM")</f>
        <v>NM</v>
      </c>
      <c r="U38" s="99"/>
    </row>
    <row r="39" spans="3:22">
      <c r="C39" s="79" t="str">
        <f>B9</f>
        <v>PG</v>
      </c>
      <c r="D39" s="47"/>
      <c r="E39" s="47"/>
      <c r="F39" s="67">
        <f>F23</f>
        <v>3.9862416571115609</v>
      </c>
      <c r="G39" s="67">
        <f t="shared" ref="G39:T39" si="5">G23</f>
        <v>36.298992060831701</v>
      </c>
      <c r="H39" s="67">
        <f t="shared" si="5"/>
        <v>56.022598761708593</v>
      </c>
      <c r="I39" s="67">
        <f t="shared" si="5"/>
        <v>21.441742144195967</v>
      </c>
      <c r="J39" s="67"/>
      <c r="K39" s="67">
        <f t="shared" si="5"/>
        <v>3.9263264479665172</v>
      </c>
      <c r="L39" s="67">
        <f t="shared" si="5"/>
        <v>17.663702898136677</v>
      </c>
      <c r="M39" s="67">
        <f t="shared" si="5"/>
        <v>22.059397697365991</v>
      </c>
      <c r="N39" s="67">
        <f t="shared" si="5"/>
        <v>45.953156038098022</v>
      </c>
      <c r="O39" s="67"/>
      <c r="P39" s="67">
        <f t="shared" si="5"/>
        <v>3.8188229585961193</v>
      </c>
      <c r="Q39" s="67">
        <f t="shared" si="5"/>
        <v>14.250961911101303</v>
      </c>
      <c r="R39" s="67">
        <f t="shared" si="5"/>
        <v>17.142761999589734</v>
      </c>
      <c r="S39" s="67" t="str">
        <f t="shared" si="5"/>
        <v>NM</v>
      </c>
      <c r="T39" s="67">
        <f t="shared" si="5"/>
        <v>13.129473153742291</v>
      </c>
      <c r="U39" s="67"/>
    </row>
    <row r="43" spans="3:22">
      <c r="V43" s="93"/>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Input!$B$6:$L$6</xm:f>
          </x14:formula1>
          <xm:sqref>A19</xm:sqref>
        </x14:dataValidation>
        <x14:dataValidation type="list" allowBlank="1" showInputMessage="1" showErrorMessage="1">
          <x14:formula1>
            <xm:f>Input!$C$6:$L$6</xm:f>
          </x14:formula1>
          <xm:sqref>A9:A18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
  <sheetViews>
    <sheetView zoomScaleNormal="100" workbookViewId="0">
      <selection activeCell="B6" sqref="B6"/>
    </sheetView>
  </sheetViews>
  <sheetFormatPr defaultRowHeight="14.4"/>
  <cols>
    <col min="1" max="1" width="25" bestFit="1" customWidth="1"/>
    <col min="2" max="2" width="13.44140625" bestFit="1" customWidth="1"/>
    <col min="3" max="3" width="10.21875" customWidth="1"/>
    <col min="4" max="4" width="10.6640625" customWidth="1"/>
    <col min="5" max="5" width="11" customWidth="1"/>
    <col min="6" max="6" width="3.5546875" customWidth="1"/>
    <col min="7" max="7" width="10.109375" customWidth="1"/>
    <col min="8" max="9" width="10" customWidth="1"/>
    <col min="10" max="10" width="10.44140625" customWidth="1"/>
    <col min="11" max="11" width="3.5546875" customWidth="1"/>
    <col min="12" max="13" width="10" customWidth="1"/>
    <col min="14" max="14" width="10.109375" customWidth="1"/>
    <col min="15" max="15" width="9.77734375" customWidth="1"/>
    <col min="16" max="16" width="10.33203125" customWidth="1"/>
    <col min="22" max="22" width="16.109375" bestFit="1" customWidth="1"/>
  </cols>
  <sheetData>
    <row r="1" spans="1:16" ht="21.6" thickBot="1">
      <c r="A1" s="100" t="str">
        <f>Output!A9&amp;" valuation"</f>
        <v>Procter &amp; Gamble valuation</v>
      </c>
      <c r="B1" s="101"/>
      <c r="C1" s="101"/>
      <c r="D1" s="101"/>
      <c r="E1" s="101"/>
      <c r="F1" s="101"/>
      <c r="G1" s="101"/>
      <c r="H1" s="101"/>
      <c r="I1" s="101"/>
      <c r="J1" s="101"/>
      <c r="K1" s="101"/>
      <c r="L1" s="101"/>
      <c r="M1" s="101"/>
      <c r="N1" s="101"/>
      <c r="O1" s="101"/>
      <c r="P1" s="101"/>
    </row>
    <row r="2" spans="1:16">
      <c r="A2" s="1"/>
      <c r="B2" s="1"/>
      <c r="C2" s="1"/>
      <c r="D2" s="1"/>
      <c r="E2" s="1"/>
      <c r="F2" s="1"/>
      <c r="G2" s="1"/>
      <c r="H2" s="1"/>
      <c r="I2" s="1"/>
      <c r="J2" s="1"/>
      <c r="K2" s="1"/>
      <c r="L2" s="1"/>
      <c r="M2" s="1"/>
      <c r="N2" s="1"/>
      <c r="O2" s="1"/>
      <c r="P2" s="1"/>
    </row>
    <row r="3" spans="1:16">
      <c r="B3" s="50" t="s">
        <v>23</v>
      </c>
      <c r="C3" s="51"/>
      <c r="D3" s="51"/>
      <c r="E3" s="51"/>
      <c r="F3" s="36"/>
      <c r="G3" s="50" t="s">
        <v>75</v>
      </c>
      <c r="H3" s="51"/>
      <c r="I3" s="51"/>
      <c r="J3" s="51"/>
      <c r="K3" s="36"/>
      <c r="L3" s="50" t="s">
        <v>76</v>
      </c>
      <c r="M3" s="51"/>
      <c r="N3" s="51"/>
      <c r="O3" s="51"/>
    </row>
    <row r="4" spans="1:16" ht="28.2" thickBot="1">
      <c r="B4" s="49" t="s">
        <v>69</v>
      </c>
      <c r="C4" s="49" t="s">
        <v>70</v>
      </c>
      <c r="D4" s="49" t="s">
        <v>71</v>
      </c>
      <c r="E4" s="49" t="s">
        <v>72</v>
      </c>
      <c r="F4" s="45"/>
      <c r="G4" s="49" t="s">
        <v>69</v>
      </c>
      <c r="H4" s="49" t="s">
        <v>70</v>
      </c>
      <c r="I4" s="49" t="s">
        <v>71</v>
      </c>
      <c r="J4" s="49" t="s">
        <v>31</v>
      </c>
      <c r="K4" s="45"/>
      <c r="L4" s="49" t="s">
        <v>69</v>
      </c>
      <c r="M4" s="49" t="s">
        <v>70</v>
      </c>
      <c r="N4" s="49" t="s">
        <v>71</v>
      </c>
      <c r="O4" s="49" t="s">
        <v>72</v>
      </c>
      <c r="P4" s="49" t="s">
        <v>74</v>
      </c>
    </row>
    <row r="5" spans="1:16">
      <c r="B5" s="92"/>
      <c r="C5" s="92"/>
      <c r="D5" s="92"/>
      <c r="E5" s="92"/>
      <c r="F5" s="103"/>
      <c r="G5" s="92"/>
      <c r="H5" s="92"/>
      <c r="I5" s="92"/>
      <c r="J5" s="92"/>
      <c r="K5" s="103"/>
      <c r="L5" s="92"/>
      <c r="M5" s="92"/>
      <c r="N5" s="92"/>
      <c r="O5" s="92"/>
      <c r="P5" s="92"/>
    </row>
    <row r="6" spans="1:16">
      <c r="A6" s="104" t="str">
        <f>Output!C36</f>
        <v>Median</v>
      </c>
      <c r="B6" s="105">
        <f>Output!F37</f>
        <v>3.7763252783448777</v>
      </c>
      <c r="C6" s="105">
        <f>Output!G37</f>
        <v>19.830581385797057</v>
      </c>
      <c r="D6" s="105">
        <f>Output!H37</f>
        <v>25.459993847272475</v>
      </c>
      <c r="E6" s="105">
        <f>Output!I37</f>
        <v>24.467982525766878</v>
      </c>
      <c r="F6" s="105"/>
      <c r="G6" s="105">
        <f>Output!K37</f>
        <v>3.6936183760810977</v>
      </c>
      <c r="H6" s="105">
        <f>Output!L37</f>
        <v>15.389865158199024</v>
      </c>
      <c r="I6" s="105">
        <f>Output!M37</f>
        <v>18.067893785333677</v>
      </c>
      <c r="J6" s="105">
        <f>Output!N37</f>
        <v>45.953156038098022</v>
      </c>
      <c r="K6" s="105"/>
      <c r="L6" s="105">
        <f>Output!P37</f>
        <v>3.5755770772938247</v>
      </c>
      <c r="M6" s="105">
        <f>Output!Q37</f>
        <v>14.089772816862133</v>
      </c>
      <c r="N6" s="105">
        <f>Output!R37</f>
        <v>16.338729513008737</v>
      </c>
      <c r="O6" s="105" t="e">
        <f>Output!S37</f>
        <v>#DIV/0!</v>
      </c>
      <c r="P6" s="105">
        <f>Output!T37</f>
        <v>13.129473153742291</v>
      </c>
    </row>
    <row r="7" spans="1:16">
      <c r="A7" s="106" t="s">
        <v>28</v>
      </c>
      <c r="B7" s="107">
        <f>Output!F34</f>
        <v>4.6344096152477592</v>
      </c>
      <c r="C7" s="107">
        <f>Output!G34</f>
        <v>36.298992060831701</v>
      </c>
      <c r="D7" s="107">
        <f>Output!H34</f>
        <v>56.022598761708593</v>
      </c>
      <c r="E7" s="107">
        <f>Output!I34</f>
        <v>28.832629456537411</v>
      </c>
      <c r="F7" s="107"/>
      <c r="G7" s="107">
        <f>Output!K34</f>
        <v>4.522945358263665</v>
      </c>
      <c r="H7" s="107">
        <f>Output!L34</f>
        <v>17.663702898136677</v>
      </c>
      <c r="I7" s="107">
        <f>Output!M34</f>
        <v>22.059397697365991</v>
      </c>
      <c r="J7" s="107">
        <f>Output!N34</f>
        <v>45.953156038098022</v>
      </c>
      <c r="K7" s="107"/>
      <c r="L7" s="107">
        <f>Output!P34</f>
        <v>4.3379880540923939</v>
      </c>
      <c r="M7" s="107">
        <f>Output!Q34</f>
        <v>15.894676967811158</v>
      </c>
      <c r="N7" s="107">
        <f>Output!R34</f>
        <v>18.043652781973204</v>
      </c>
      <c r="O7" s="107">
        <f>Output!S34</f>
        <v>0</v>
      </c>
      <c r="P7" s="107">
        <f>Output!T34</f>
        <v>13.129473153742291</v>
      </c>
    </row>
    <row r="8" spans="1:16">
      <c r="A8" s="106" t="s">
        <v>29</v>
      </c>
      <c r="B8" s="107">
        <f>Output!F35</f>
        <v>2.7793601991686381</v>
      </c>
      <c r="C8" s="107">
        <f>Output!G35</f>
        <v>12.451287064306138</v>
      </c>
      <c r="D8" s="107">
        <f>Output!H35</f>
        <v>15.110640628145378</v>
      </c>
      <c r="E8" s="107">
        <f>Output!I35</f>
        <v>20.231248031665189</v>
      </c>
      <c r="F8" s="107"/>
      <c r="G8" s="107">
        <f>Output!K35</f>
        <v>2.7388240956348948</v>
      </c>
      <c r="H8" s="107">
        <f>Output!L35</f>
        <v>12.113878086304556</v>
      </c>
      <c r="I8" s="107">
        <f>Output!M35</f>
        <v>14.744562644451255</v>
      </c>
      <c r="J8" s="107">
        <f>Output!N35</f>
        <v>45.953156038098022</v>
      </c>
      <c r="K8" s="107"/>
      <c r="L8" s="107">
        <f>Output!P35</f>
        <v>2.6614790105316124</v>
      </c>
      <c r="M8" s="107">
        <f>Output!Q35</f>
        <v>11.617955754344527</v>
      </c>
      <c r="N8" s="107">
        <f>Output!R35</f>
        <v>14.098484962291376</v>
      </c>
      <c r="O8" s="107">
        <f>Output!S35</f>
        <v>0</v>
      </c>
      <c r="P8" s="107">
        <f>Output!T35</f>
        <v>13.129473153742291</v>
      </c>
    </row>
    <row r="9" spans="1:16">
      <c r="B9" s="102"/>
      <c r="C9" s="102"/>
      <c r="D9" s="102"/>
      <c r="E9" s="102"/>
      <c r="F9" s="102"/>
      <c r="G9" s="102"/>
      <c r="H9" s="102"/>
      <c r="I9" s="102"/>
      <c r="J9" s="102"/>
      <c r="K9" s="102"/>
      <c r="L9" s="102"/>
      <c r="M9" s="102"/>
      <c r="N9" s="102"/>
      <c r="O9" s="102"/>
      <c r="P9" s="102"/>
    </row>
    <row r="10" spans="1:16">
      <c r="B10" s="102"/>
      <c r="C10" s="102"/>
      <c r="D10" s="102"/>
      <c r="E10" s="102"/>
      <c r="F10" s="102"/>
      <c r="G10" s="102"/>
      <c r="H10" s="102"/>
      <c r="I10" s="102"/>
      <c r="J10" s="102"/>
      <c r="K10" s="102"/>
      <c r="L10" s="102"/>
      <c r="M10" s="102"/>
      <c r="N10" s="102"/>
      <c r="O10" s="102"/>
      <c r="P10" s="102"/>
    </row>
    <row r="11" spans="1:16">
      <c r="A11" s="41" t="str">
        <f>"Comps-derived "&amp;Output!C39&amp;" value"</f>
        <v>Comps-derived PG value</v>
      </c>
      <c r="B11" s="102"/>
      <c r="C11" s="102"/>
      <c r="D11" s="102"/>
      <c r="E11" s="102"/>
      <c r="F11" s="102"/>
      <c r="G11" s="102"/>
      <c r="H11" s="102"/>
      <c r="I11" s="102"/>
      <c r="J11" s="102"/>
      <c r="K11" s="102"/>
      <c r="L11" s="102"/>
      <c r="M11" s="102"/>
      <c r="N11" s="102"/>
      <c r="O11" s="102"/>
      <c r="P11" s="102"/>
    </row>
    <row r="12" spans="1:16">
      <c r="A12" s="41"/>
      <c r="B12" s="102"/>
      <c r="C12" s="102"/>
      <c r="D12" s="102"/>
      <c r="E12" s="102"/>
      <c r="F12" s="102"/>
      <c r="G12" s="102"/>
      <c r="H12" s="102"/>
      <c r="I12" s="102"/>
      <c r="J12" s="102"/>
      <c r="K12" s="102"/>
      <c r="L12" s="102"/>
      <c r="M12" s="102"/>
      <c r="N12" s="102"/>
      <c r="O12" s="102"/>
      <c r="P12" s="102"/>
    </row>
    <row r="13" spans="1:16">
      <c r="A13" s="41" t="s">
        <v>30</v>
      </c>
      <c r="B13" s="102"/>
      <c r="C13" s="102"/>
      <c r="D13" s="102"/>
      <c r="E13" s="102"/>
      <c r="F13" s="102"/>
      <c r="G13" s="102"/>
      <c r="H13" s="102"/>
      <c r="I13" s="102"/>
      <c r="J13" s="102"/>
      <c r="K13" s="102"/>
      <c r="L13" s="102"/>
      <c r="M13" s="102"/>
      <c r="N13" s="102"/>
      <c r="O13" s="102"/>
      <c r="P13" s="102"/>
    </row>
    <row r="14" spans="1:16">
      <c r="A14" s="97" t="s">
        <v>132</v>
      </c>
      <c r="B14" s="18">
        <f>B6*Output!F9</f>
        <v>244770.07556647994</v>
      </c>
      <c r="C14" s="18">
        <f>C6*Output!G9</f>
        <v>141154.07830410346</v>
      </c>
      <c r="D14" s="18">
        <f>D6*Output!H9</f>
        <v>117421.49162362066</v>
      </c>
      <c r="E14" s="18">
        <f>E16+E15</f>
        <v>292520.45578570233</v>
      </c>
      <c r="G14" s="18">
        <f>G6*Output!K9</f>
        <v>243062.61515847911</v>
      </c>
      <c r="H14" s="18">
        <f>H6*Output!L9</f>
        <v>225115.61099567631</v>
      </c>
      <c r="I14" s="18">
        <f>I6*Output!M9</f>
        <v>211624.73530943674</v>
      </c>
      <c r="J14" s="18">
        <f>J16+J15</f>
        <v>258376.22548900003</v>
      </c>
      <c r="L14" s="18">
        <f>L6*Output!P9</f>
        <v>241918.54903789351</v>
      </c>
      <c r="M14" s="18">
        <f>M6*Output!Q9</f>
        <v>255453.79611059683</v>
      </c>
      <c r="N14" s="18">
        <f>N6*Output!R9</f>
        <v>246257.8236201352</v>
      </c>
      <c r="O14" s="18" t="e">
        <f>O16+O15</f>
        <v>#DIV/0!</v>
      </c>
      <c r="P14" s="18">
        <f>P16+P15</f>
        <v>258376.22548900003</v>
      </c>
    </row>
    <row r="15" spans="1:16">
      <c r="A15" s="97" t="s">
        <v>15</v>
      </c>
      <c r="B15" s="93">
        <f>Output!$V$9</f>
        <v>16455</v>
      </c>
      <c r="C15" s="93">
        <f>Output!$V$9</f>
        <v>16455</v>
      </c>
      <c r="D15" s="93">
        <f>Output!$V$9</f>
        <v>16455</v>
      </c>
      <c r="E15" s="93">
        <f>Output!$V$9</f>
        <v>16455</v>
      </c>
      <c r="G15" s="93">
        <f>Output!$V$9</f>
        <v>16455</v>
      </c>
      <c r="H15" s="93">
        <f>Output!$V$9</f>
        <v>16455</v>
      </c>
      <c r="I15" s="93">
        <f>Output!$V$9</f>
        <v>16455</v>
      </c>
      <c r="J15" s="93">
        <f>Output!$V$9</f>
        <v>16455</v>
      </c>
      <c r="L15" s="93">
        <f>Output!$V$9</f>
        <v>16455</v>
      </c>
      <c r="M15" s="93">
        <f>Output!$V$9</f>
        <v>16455</v>
      </c>
      <c r="N15" s="93">
        <f>Output!$V$9</f>
        <v>16455</v>
      </c>
      <c r="O15" s="93">
        <f>Output!$V$9</f>
        <v>16455</v>
      </c>
      <c r="P15" s="93">
        <f>Output!$V$9</f>
        <v>16455</v>
      </c>
    </row>
    <row r="16" spans="1:16">
      <c r="A16" s="97" t="s">
        <v>131</v>
      </c>
      <c r="B16" s="94">
        <f>B14-B15</f>
        <v>228315.07556647994</v>
      </c>
      <c r="C16" s="94">
        <f>C14-C15</f>
        <v>124699.07830410346</v>
      </c>
      <c r="D16" s="94">
        <f>D14-D15</f>
        <v>100966.49162362066</v>
      </c>
      <c r="E16" s="94">
        <f>E6*Output!$I$9*Output!$W$9</f>
        <v>276065.45578570233</v>
      </c>
      <c r="G16" s="94">
        <f>G14-G15</f>
        <v>226607.61515847911</v>
      </c>
      <c r="H16" s="94">
        <f>H14-H15</f>
        <v>208660.61099567631</v>
      </c>
      <c r="I16" s="94">
        <f>I14-I15</f>
        <v>195169.73530943674</v>
      </c>
      <c r="J16" s="94">
        <f>J6*Output!N9*Output!$W$9</f>
        <v>241921.22548900003</v>
      </c>
      <c r="L16" s="94">
        <f>L14-L15</f>
        <v>225463.54903789351</v>
      </c>
      <c r="M16" s="94">
        <f>M14-M15</f>
        <v>238998.79611059683</v>
      </c>
      <c r="N16" s="94">
        <f>N14-N15</f>
        <v>229802.8236201352</v>
      </c>
      <c r="O16" s="94" t="e">
        <f>O6*Output!S9*Output!$W$9</f>
        <v>#DIV/0!</v>
      </c>
      <c r="P16" s="95">
        <f>100*P6*Output!T$9*Output!N$9*Output!$W$9</f>
        <v>241921.22548900003</v>
      </c>
    </row>
    <row r="17" spans="1:22">
      <c r="A17" s="97" t="s">
        <v>133</v>
      </c>
      <c r="B17" s="93">
        <f>Output!$W$9</f>
        <v>2710.6019662633057</v>
      </c>
      <c r="C17" s="93">
        <f>Output!$W$9</f>
        <v>2710.6019662633057</v>
      </c>
      <c r="D17" s="93">
        <f>Output!$W$9</f>
        <v>2710.6019662633057</v>
      </c>
      <c r="E17" s="93">
        <f>Output!$W$9</f>
        <v>2710.6019662633057</v>
      </c>
      <c r="G17" s="93">
        <f>Output!$W$9</f>
        <v>2710.6019662633057</v>
      </c>
      <c r="H17" s="93">
        <f>Output!$W$9</f>
        <v>2710.6019662633057</v>
      </c>
      <c r="I17" s="93">
        <f>Output!$W$9</f>
        <v>2710.6019662633057</v>
      </c>
      <c r="J17" s="93">
        <f>Output!$W$9</f>
        <v>2710.6019662633057</v>
      </c>
      <c r="L17" s="93">
        <f>Output!$W$9</f>
        <v>2710.6019662633057</v>
      </c>
      <c r="M17" s="93">
        <f>Output!$W$9</f>
        <v>2710.6019662633057</v>
      </c>
      <c r="N17" s="93">
        <f>Output!$W$9</f>
        <v>2710.6019662633057</v>
      </c>
      <c r="O17" s="93">
        <f>Output!$W$9</f>
        <v>2710.6019662633057</v>
      </c>
      <c r="P17" s="93">
        <f>Output!$W$9</f>
        <v>2710.6019662633057</v>
      </c>
    </row>
    <row r="18" spans="1:22">
      <c r="A18" s="98" t="s">
        <v>62</v>
      </c>
      <c r="B18" s="96">
        <f>B16/B17</f>
        <v>84.23039546496868</v>
      </c>
      <c r="C18" s="96">
        <f>C16/C17</f>
        <v>46.004201227673093</v>
      </c>
      <c r="D18" s="96">
        <f>D16/D17</f>
        <v>37.248734000886081</v>
      </c>
      <c r="E18" s="96">
        <f>E16/E17</f>
        <v>101.84654892959874</v>
      </c>
      <c r="F18" s="96"/>
      <c r="G18" s="96">
        <f>G16/G17</f>
        <v>83.600476196388414</v>
      </c>
      <c r="H18" s="96">
        <f>H16/H17</f>
        <v>76.979436152082826</v>
      </c>
      <c r="I18" s="96">
        <f>I16/I17</f>
        <v>72.002358789139208</v>
      </c>
      <c r="J18" s="96">
        <f>J16/J17</f>
        <v>89.25</v>
      </c>
      <c r="K18" s="96"/>
      <c r="L18" s="96">
        <f>L16/L17</f>
        <v>83.178405329907505</v>
      </c>
      <c r="M18" s="96">
        <f>M16/M17</f>
        <v>88.171852262052354</v>
      </c>
      <c r="N18" s="96">
        <f>N16/N17</f>
        <v>84.779258068985087</v>
      </c>
      <c r="O18" s="96" t="e">
        <f>O16/O17</f>
        <v>#DIV/0!</v>
      </c>
      <c r="P18" s="96">
        <f>P16/P17</f>
        <v>89.25</v>
      </c>
    </row>
    <row r="20" spans="1:22">
      <c r="A20" s="108" t="s">
        <v>28</v>
      </c>
    </row>
    <row r="21" spans="1:22">
      <c r="A21" s="97" t="s">
        <v>132</v>
      </c>
      <c r="B21" s="18">
        <f>B7*Output!F9</f>
        <v>300388.52803151403</v>
      </c>
      <c r="C21" s="18">
        <f>C7*Output!G9</f>
        <v>258376.22548900003</v>
      </c>
      <c r="D21" s="18">
        <f>D7*Output!H9</f>
        <v>258376.22548900003</v>
      </c>
      <c r="E21" s="18">
        <f>E23+E22</f>
        <v>341765.55570425675</v>
      </c>
      <c r="G21" s="18">
        <f>G7*Output!K9</f>
        <v>297637.38834461902</v>
      </c>
      <c r="H21" s="18">
        <f>H7*Output!L9</f>
        <v>258376.22548900006</v>
      </c>
      <c r="I21" s="18">
        <f>I7*Output!M9</f>
        <v>258376.22548900003</v>
      </c>
      <c r="J21" s="18">
        <f>J23+J22</f>
        <v>258376.22548900003</v>
      </c>
      <c r="L21" s="18">
        <f>L7*Output!P9</f>
        <v>293502.21044151438</v>
      </c>
      <c r="M21" s="18">
        <f>M7*Output!Q9</f>
        <v>288177.50450310623</v>
      </c>
      <c r="N21" s="18">
        <f>N7*Output!R9</f>
        <v>271954.47851121682</v>
      </c>
      <c r="O21" s="18">
        <f>O23+O22</f>
        <v>16455</v>
      </c>
      <c r="P21" s="18">
        <f>P23+P22</f>
        <v>258376.22548900003</v>
      </c>
    </row>
    <row r="22" spans="1:22">
      <c r="A22" s="97" t="s">
        <v>15</v>
      </c>
      <c r="B22" s="93">
        <f>Output!$V$9</f>
        <v>16455</v>
      </c>
      <c r="C22" s="93">
        <f>Output!$V$9</f>
        <v>16455</v>
      </c>
      <c r="D22" s="93">
        <f>Output!$V$9</f>
        <v>16455</v>
      </c>
      <c r="E22" s="93">
        <f>Output!$V$9</f>
        <v>16455</v>
      </c>
      <c r="F22" s="93"/>
      <c r="G22" s="93">
        <f>Output!$V$9</f>
        <v>16455</v>
      </c>
      <c r="H22" s="93">
        <f>Output!$V$9</f>
        <v>16455</v>
      </c>
      <c r="I22" s="93">
        <f>Output!$V$9</f>
        <v>16455</v>
      </c>
      <c r="J22" s="93">
        <f>Output!$V$9</f>
        <v>16455</v>
      </c>
      <c r="L22" s="93">
        <f>Output!$V$9</f>
        <v>16455</v>
      </c>
      <c r="M22" s="93">
        <f>Output!$V$9</f>
        <v>16455</v>
      </c>
      <c r="N22" s="93">
        <f>Output!$V$9</f>
        <v>16455</v>
      </c>
      <c r="O22" s="93">
        <f>Output!$V$9</f>
        <v>16455</v>
      </c>
      <c r="P22" s="93">
        <f>Output!$V$9</f>
        <v>16455</v>
      </c>
    </row>
    <row r="23" spans="1:22">
      <c r="A23" s="97" t="s">
        <v>131</v>
      </c>
      <c r="B23" s="94">
        <f>B21-B22</f>
        <v>283933.52803151403</v>
      </c>
      <c r="C23" s="94">
        <f>C21-C22</f>
        <v>241921.22548900003</v>
      </c>
      <c r="D23" s="94">
        <f>D21-D22</f>
        <v>241921.22548900003</v>
      </c>
      <c r="E23" s="94">
        <f>E7*Output!$I$9*Output!$W$9</f>
        <v>325310.55570425675</v>
      </c>
      <c r="G23" s="94">
        <f>G21-G22</f>
        <v>281182.38834461902</v>
      </c>
      <c r="H23" s="94">
        <f>H21-H22</f>
        <v>241921.22548900006</v>
      </c>
      <c r="I23" s="94">
        <f>I21-I22</f>
        <v>241921.22548900003</v>
      </c>
      <c r="J23" s="94">
        <f>J7*Output!$N$9*Output!$W$9</f>
        <v>241921.22548900003</v>
      </c>
      <c r="L23" s="94">
        <f>L21-L22</f>
        <v>277047.21044151438</v>
      </c>
      <c r="M23" s="94">
        <f>M21-M22</f>
        <v>271722.50450310623</v>
      </c>
      <c r="N23" s="94">
        <f>N21-N22</f>
        <v>255499.47851121682</v>
      </c>
      <c r="O23" s="94">
        <f>O7*Output!S9*Output!$W$9</f>
        <v>0</v>
      </c>
      <c r="P23" s="95">
        <f>100*P7*Output!T$9*Output!N$9*Output!$W$9</f>
        <v>241921.22548900003</v>
      </c>
    </row>
    <row r="24" spans="1:22">
      <c r="A24" s="97" t="s">
        <v>133</v>
      </c>
      <c r="B24" s="93">
        <f>Output!$W$9</f>
        <v>2710.6019662633057</v>
      </c>
      <c r="C24" s="93">
        <f>Output!$W$9</f>
        <v>2710.6019662633057</v>
      </c>
      <c r="D24" s="93">
        <f>Output!$W$9</f>
        <v>2710.6019662633057</v>
      </c>
      <c r="E24" s="93">
        <f>Output!$W$9</f>
        <v>2710.6019662633057</v>
      </c>
      <c r="G24" s="93">
        <f>Output!$W$9</f>
        <v>2710.6019662633057</v>
      </c>
      <c r="H24" s="93">
        <f>Output!$W$9</f>
        <v>2710.6019662633057</v>
      </c>
      <c r="I24" s="93">
        <f>Output!$W$9</f>
        <v>2710.6019662633057</v>
      </c>
      <c r="J24" s="93">
        <f>Output!$W$9</f>
        <v>2710.6019662633057</v>
      </c>
      <c r="L24" s="93">
        <f>Output!$W$9</f>
        <v>2710.6019662633057</v>
      </c>
      <c r="M24" s="93">
        <f>Output!$W$9</f>
        <v>2710.6019662633057</v>
      </c>
      <c r="N24" s="93">
        <f>Output!$W$9</f>
        <v>2710.6019662633057</v>
      </c>
      <c r="O24" s="93">
        <f>Output!$W$9</f>
        <v>2710.6019662633057</v>
      </c>
      <c r="P24" s="93">
        <f>Output!$W$9</f>
        <v>2710.6019662633057</v>
      </c>
    </row>
    <row r="25" spans="1:22">
      <c r="A25" s="98" t="s">
        <v>62</v>
      </c>
      <c r="B25" s="96">
        <f>B23/B24</f>
        <v>104.74925185084624</v>
      </c>
      <c r="C25" s="96">
        <f>C23/C24</f>
        <v>89.25</v>
      </c>
      <c r="D25" s="96">
        <f>D23/D24</f>
        <v>89.25</v>
      </c>
      <c r="E25" s="96">
        <f>E23/E24</f>
        <v>120.01413698991479</v>
      </c>
      <c r="F25" s="96"/>
      <c r="G25" s="96">
        <f>G23/G24</f>
        <v>103.73429660432305</v>
      </c>
      <c r="H25" s="96">
        <f>H23/H24</f>
        <v>89.250000000000014</v>
      </c>
      <c r="I25" s="96">
        <f>I23/I24</f>
        <v>89.25</v>
      </c>
      <c r="J25" s="96">
        <f>J23/J24</f>
        <v>89.25</v>
      </c>
      <c r="K25" s="96"/>
      <c r="L25" s="96">
        <f>L23/L24</f>
        <v>102.20873956770465</v>
      </c>
      <c r="M25" s="96">
        <f>M23/M24</f>
        <v>100.24433977582061</v>
      </c>
      <c r="N25" s="96">
        <f>N23/N24</f>
        <v>94.259312761967422</v>
      </c>
      <c r="O25" s="96">
        <f>O23/O24</f>
        <v>0</v>
      </c>
      <c r="P25" s="96">
        <f>P23/P24</f>
        <v>89.25</v>
      </c>
    </row>
    <row r="26" spans="1:22">
      <c r="V26" s="18"/>
    </row>
    <row r="27" spans="1:22">
      <c r="A27" s="108" t="s">
        <v>29</v>
      </c>
    </row>
    <row r="28" spans="1:22">
      <c r="A28" s="97" t="s">
        <v>132</v>
      </c>
      <c r="B28" s="18">
        <f>B8*Output!F9</f>
        <v>180149.79002951362</v>
      </c>
      <c r="C28" s="18">
        <f>C8*Output!G9</f>
        <v>88628.261323731087</v>
      </c>
      <c r="D28" s="18">
        <f>D8*Output!H9</f>
        <v>69690.274577006479</v>
      </c>
      <c r="E28" s="18">
        <f>E30+E29</f>
        <v>244718.55638817398</v>
      </c>
      <c r="G28" s="18">
        <f>G8*Output!K9</f>
        <v>180231.32856794563</v>
      </c>
      <c r="H28" s="18">
        <f>H8*Output!L9</f>
        <v>177196.0338114301</v>
      </c>
      <c r="I28" s="18">
        <f>I8*Output!M9</f>
        <v>172699.38621281195</v>
      </c>
      <c r="J28" s="18">
        <f>J30+J29</f>
        <v>258376.22548900003</v>
      </c>
      <c r="L28" s="18">
        <f>L8*Output!P9</f>
        <v>180071.95107367745</v>
      </c>
      <c r="M28" s="18">
        <f>M8*Output!Q9</f>
        <v>210638.66245880449</v>
      </c>
      <c r="N28" s="18">
        <f>N8*Output!R9</f>
        <v>212492.7902375038</v>
      </c>
      <c r="O28" s="18">
        <f>O30+O29</f>
        <v>16455</v>
      </c>
      <c r="P28" s="18">
        <f>P30+P29</f>
        <v>258376.22548900003</v>
      </c>
    </row>
    <row r="29" spans="1:22">
      <c r="A29" s="97" t="s">
        <v>15</v>
      </c>
      <c r="B29" s="93">
        <f>Output!$V$9</f>
        <v>16455</v>
      </c>
      <c r="C29" s="93">
        <f>Output!$V$9</f>
        <v>16455</v>
      </c>
      <c r="D29" s="93">
        <f>Output!$V$9</f>
        <v>16455</v>
      </c>
      <c r="E29" s="93">
        <f>Output!$V$9</f>
        <v>16455</v>
      </c>
      <c r="G29" s="93">
        <f>Output!$V$9</f>
        <v>16455</v>
      </c>
      <c r="H29" s="93">
        <f>Output!$V$9</f>
        <v>16455</v>
      </c>
      <c r="I29" s="93">
        <f>Output!$V$9</f>
        <v>16455</v>
      </c>
      <c r="J29" s="93">
        <f>Output!$V$9</f>
        <v>16455</v>
      </c>
      <c r="L29" s="93">
        <f>Output!$V$9</f>
        <v>16455</v>
      </c>
      <c r="M29" s="93">
        <f>Output!$V$9</f>
        <v>16455</v>
      </c>
      <c r="N29" s="93">
        <f>Output!$V$9</f>
        <v>16455</v>
      </c>
      <c r="O29" s="93">
        <f>Output!$V$9</f>
        <v>16455</v>
      </c>
      <c r="P29" s="93">
        <f>Output!$V$9</f>
        <v>16455</v>
      </c>
    </row>
    <row r="30" spans="1:22">
      <c r="A30" s="97" t="s">
        <v>131</v>
      </c>
      <c r="B30" s="94">
        <f>B28-B29</f>
        <v>163694.79002951362</v>
      </c>
      <c r="C30" s="94">
        <f>C28-C29</f>
        <v>72173.261323731087</v>
      </c>
      <c r="D30" s="94">
        <f>D28-D29</f>
        <v>53235.274577006479</v>
      </c>
      <c r="E30" s="94">
        <f>E8*Output!$I$9*Output!$W$9</f>
        <v>228263.55638817398</v>
      </c>
      <c r="G30" s="18">
        <f>G28-G29</f>
        <v>163776.32856794563</v>
      </c>
      <c r="H30" s="18">
        <f>H28-H29</f>
        <v>160741.0338114301</v>
      </c>
      <c r="I30" s="18">
        <f>I28-I29</f>
        <v>156244.38621281195</v>
      </c>
      <c r="J30" s="94">
        <f>J8*Output!N9*Output!$W$9</f>
        <v>241921.22548900003</v>
      </c>
      <c r="L30" s="18">
        <f>L28-L29</f>
        <v>163616.95107367745</v>
      </c>
      <c r="M30" s="18">
        <f>M28-M29</f>
        <v>194183.66245880449</v>
      </c>
      <c r="N30" s="18">
        <f>N28-N29</f>
        <v>196037.7902375038</v>
      </c>
      <c r="O30" s="94">
        <f>O8*Output!S9*Output!$W$9</f>
        <v>0</v>
      </c>
      <c r="P30" s="95">
        <f>100*P8*Output!T$9*Output!N$9*Output!$W$9</f>
        <v>241921.22548900003</v>
      </c>
    </row>
    <row r="31" spans="1:22">
      <c r="A31" s="97" t="s">
        <v>133</v>
      </c>
      <c r="B31" s="93">
        <f>Output!$W$9</f>
        <v>2710.6019662633057</v>
      </c>
      <c r="C31" s="93">
        <f>Output!$W$9</f>
        <v>2710.6019662633057</v>
      </c>
      <c r="D31" s="93">
        <f>Output!$W$9</f>
        <v>2710.6019662633057</v>
      </c>
      <c r="E31" s="93">
        <f>Output!$W$9</f>
        <v>2710.6019662633057</v>
      </c>
      <c r="G31" s="93">
        <f>Output!$W$9</f>
        <v>2710.6019662633057</v>
      </c>
      <c r="H31" s="93">
        <f>Output!$W$9</f>
        <v>2710.6019662633057</v>
      </c>
      <c r="I31" s="93">
        <f>Output!$W$9</f>
        <v>2710.6019662633057</v>
      </c>
      <c r="J31" s="93">
        <f>Output!$W$9</f>
        <v>2710.6019662633057</v>
      </c>
      <c r="L31" s="93">
        <f>Output!$W$9</f>
        <v>2710.6019662633057</v>
      </c>
      <c r="M31" s="93">
        <f>Output!$W$9</f>
        <v>2710.6019662633057</v>
      </c>
      <c r="N31" s="93">
        <f>Output!$W$9</f>
        <v>2710.6019662633057</v>
      </c>
      <c r="O31" s="93">
        <f>Output!$W$9</f>
        <v>2710.6019662633057</v>
      </c>
      <c r="P31" s="93">
        <f>Output!$W$9</f>
        <v>2710.6019662633057</v>
      </c>
    </row>
    <row r="32" spans="1:22">
      <c r="A32" s="98" t="s">
        <v>62</v>
      </c>
      <c r="B32" s="96">
        <f>B30/B31</f>
        <v>60.390567138551404</v>
      </c>
      <c r="C32" s="96">
        <f>C30/C31</f>
        <v>26.626285313009411</v>
      </c>
      <c r="D32" s="96">
        <f>D30/D31</f>
        <v>19.639650247282102</v>
      </c>
      <c r="E32" s="96">
        <f>E30/E31</f>
        <v>84.211388919947623</v>
      </c>
      <c r="F32" s="96"/>
      <c r="G32" s="96">
        <f>G30/G31</f>
        <v>60.420648478212065</v>
      </c>
      <c r="H32" s="96">
        <f>H30/H31</f>
        <v>59.300862248329025</v>
      </c>
      <c r="I32" s="96">
        <f>I30/I31</f>
        <v>57.641951181863227</v>
      </c>
      <c r="J32" s="96">
        <f>J30/J31</f>
        <v>89.25</v>
      </c>
      <c r="K32" s="96"/>
      <c r="L32" s="96">
        <f>L30/L31</f>
        <v>60.361850655347688</v>
      </c>
      <c r="M32" s="96">
        <f>M30/M31</f>
        <v>71.638575075076758</v>
      </c>
      <c r="N32" s="96">
        <f>N30/N31</f>
        <v>72.322603125589566</v>
      </c>
      <c r="O32" s="96">
        <f>O30/O31</f>
        <v>0</v>
      </c>
      <c r="P32" s="96">
        <f>P30/P31</f>
        <v>89.25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Normal="100" workbookViewId="0">
      <selection activeCell="F5" sqref="F5"/>
    </sheetView>
  </sheetViews>
  <sheetFormatPr defaultColWidth="9.109375" defaultRowHeight="14.4"/>
  <cols>
    <col min="1" max="1" width="33" style="11" bestFit="1" customWidth="1"/>
    <col min="2" max="2" width="14.88671875" style="11" bestFit="1" customWidth="1"/>
    <col min="3" max="3" width="16.6640625" style="11" bestFit="1" customWidth="1"/>
    <col min="4" max="4" width="14.6640625" style="11" bestFit="1" customWidth="1"/>
    <col min="5" max="16384" width="9.109375" style="11"/>
  </cols>
  <sheetData>
    <row r="1" spans="1:7">
      <c r="A1" s="11" t="s">
        <v>142</v>
      </c>
      <c r="B1" s="19" t="s">
        <v>134</v>
      </c>
      <c r="C1" s="19" t="s">
        <v>135</v>
      </c>
      <c r="D1" s="19" t="s">
        <v>136</v>
      </c>
    </row>
    <row r="2" spans="1:7">
      <c r="A2" s="112" t="s">
        <v>167</v>
      </c>
      <c r="B2" s="136">
        <f>'Valuation Matrix'!I32</f>
        <v>57.641951181863227</v>
      </c>
      <c r="C2" s="110">
        <f t="shared" ref="C2:C7" si="0">D2-B2</f>
        <v>31.608048818136773</v>
      </c>
      <c r="D2" s="136">
        <f>'Valuation Matrix'!I25</f>
        <v>89.25</v>
      </c>
      <c r="G2" s="109"/>
    </row>
    <row r="3" spans="1:7">
      <c r="A3" s="112" t="s">
        <v>139</v>
      </c>
      <c r="B3" s="137">
        <f>'Valuation Matrix'!C32</f>
        <v>26.626285313009411</v>
      </c>
      <c r="C3" s="110">
        <f t="shared" si="0"/>
        <v>62.623714686990589</v>
      </c>
      <c r="D3" s="137">
        <f>'Valuation Matrix'!C25</f>
        <v>89.25</v>
      </c>
      <c r="G3" s="109"/>
    </row>
    <row r="4" spans="1:7">
      <c r="A4" s="112" t="s">
        <v>140</v>
      </c>
      <c r="B4" s="137">
        <f>'Valuation Matrix'!D32</f>
        <v>19.639650247282102</v>
      </c>
      <c r="C4" s="110">
        <f t="shared" si="0"/>
        <v>69.610349752717894</v>
      </c>
      <c r="D4" s="137">
        <f>'Valuation Matrix'!D25</f>
        <v>89.25</v>
      </c>
      <c r="G4" s="109"/>
    </row>
    <row r="5" spans="1:7">
      <c r="A5" s="112" t="s">
        <v>141</v>
      </c>
      <c r="B5" s="137">
        <f>'Valuation Matrix'!E32</f>
        <v>84.211388919947623</v>
      </c>
      <c r="C5" s="110">
        <f t="shared" si="0"/>
        <v>35.802748069967166</v>
      </c>
      <c r="D5" s="137">
        <f>'Valuation Matrix'!E25</f>
        <v>120.01413698991479</v>
      </c>
      <c r="G5" s="109"/>
    </row>
    <row r="6" spans="1:7">
      <c r="A6" s="34" t="s">
        <v>166</v>
      </c>
      <c r="B6" s="137">
        <f>'Valuation Matrix'!J32</f>
        <v>89.25</v>
      </c>
      <c r="C6" s="110">
        <f t="shared" si="0"/>
        <v>0</v>
      </c>
      <c r="D6" s="137">
        <f>'Valuation Matrix'!J25</f>
        <v>89.25</v>
      </c>
      <c r="G6" s="109"/>
    </row>
    <row r="7" spans="1:7">
      <c r="A7" s="34" t="s">
        <v>138</v>
      </c>
      <c r="B7" s="137">
        <f>'Valuation Matrix'!P32</f>
        <v>89.25</v>
      </c>
      <c r="C7" s="110">
        <f t="shared" si="0"/>
        <v>0</v>
      </c>
      <c r="D7" s="137">
        <f>'Valuation Matrix'!P25</f>
        <v>89.25</v>
      </c>
      <c r="G7" s="109"/>
    </row>
    <row r="32" spans="1:1">
      <c r="A32" s="111"/>
    </row>
    <row r="33" spans="1:1">
      <c r="A33" s="18"/>
    </row>
    <row r="34" spans="1:1">
      <c r="A34" s="18"/>
    </row>
    <row r="35" spans="1:1">
      <c r="A35" s="1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vt:lpstr>
      <vt:lpstr>Output</vt:lpstr>
      <vt:lpstr>Valuation Matrix</vt:lpstr>
      <vt:lpstr>Football Field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Mary Roberts</cp:lastModifiedBy>
  <cp:lastPrinted>2017-07-28T13:55:26Z</cp:lastPrinted>
  <dcterms:created xsi:type="dcterms:W3CDTF">2011-11-04T21:28:06Z</dcterms:created>
  <dcterms:modified xsi:type="dcterms:W3CDTF">2017-07-30T00:21:57Z</dcterms:modified>
</cp:coreProperties>
</file>